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3.xml" ContentType="application/vnd.openxmlformats-officedocument.spreadsheetml.comments+xml"/>
  <Override PartName="/xl/drawings/drawing7.xml" ContentType="application/vnd.openxmlformats-officedocument.drawing+xml"/>
  <Override PartName="/xl/comments4.xml" ContentType="application/vnd.openxmlformats-officedocument.spreadsheetml.comments+xml"/>
  <Override PartName="/xl/drawings/drawing8.xml" ContentType="application/vnd.openxmlformats-officedocument.drawing+xml"/>
  <Override PartName="/xl/comments5.xml" ContentType="application/vnd.openxmlformats-officedocument.spreadsheetml.comments+xml"/>
  <Override PartName="/xl/drawings/drawing9.xml" ContentType="application/vnd.openxmlformats-officedocument.drawing+xml"/>
  <Override PartName="/xl/comments6.xml" ContentType="application/vnd.openxmlformats-officedocument.spreadsheetml.comments+xml"/>
  <Override PartName="/xl/drawings/drawing10.xml" ContentType="application/vnd.openxmlformats-officedocument.drawing+xml"/>
  <Override PartName="/xl/comments7.xml" ContentType="application/vnd.openxmlformats-officedocument.spreadsheetml.comments+xml"/>
  <Override PartName="/xl/drawings/drawing11.xml" ContentType="application/vnd.openxmlformats-officedocument.drawing+xml"/>
  <Override PartName="/xl/comments8.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9.xml" ContentType="application/vnd.openxmlformats-officedocument.spreadsheetml.comments+xml"/>
  <Override PartName="/xl/drawings/drawing15.xml" ContentType="application/vnd.openxmlformats-officedocument.drawing+xml"/>
  <Override PartName="/xl/comments10.xml" ContentType="application/vnd.openxmlformats-officedocument.spreadsheetml.comments+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comments11.xml" ContentType="application/vnd.openxmlformats-officedocument.spreadsheetml.comments+xml"/>
  <Override PartName="/xl/drawings/drawing24.xml" ContentType="application/vnd.openxmlformats-officedocument.drawing+xml"/>
  <Override PartName="/xl/drawings/drawing25.xml" ContentType="application/vnd.openxmlformats-officedocument.drawing+xml"/>
  <Override PartName="/xl/comments12.xml" ContentType="application/vnd.openxmlformats-officedocument.spreadsheetml.comments+xml"/>
  <Override PartName="/xl/drawings/drawing26.xml" ContentType="application/vnd.openxmlformats-officedocument.drawing+xml"/>
  <Override PartName="/xl/drawings/drawing2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updateLinks="never" autoCompressPictures="0"/>
  <mc:AlternateContent xmlns:mc="http://schemas.openxmlformats.org/markup-compatibility/2006">
    <mc:Choice Requires="x15">
      <x15ac:absPath xmlns:x15ac="http://schemas.microsoft.com/office/spreadsheetml/2010/11/ac" url="C:\Users\hao.nguyen\OneDrive - SpeedCast Limited\DOCS\UCS\"/>
    </mc:Choice>
  </mc:AlternateContent>
  <xr:revisionPtr revIDLastSave="240" documentId="8_{759EED25-54B3-4F84-AD1A-76B6EBDDF836}" xr6:coauthVersionLast="45" xr6:coauthVersionMax="45" xr10:uidLastSave="{B395F367-02E0-490A-84E0-56CCFFE40364}"/>
  <bookViews>
    <workbookView xWindow="-120" yWindow="-120" windowWidth="29040" windowHeight="17640" tabRatio="929" firstSheet="1" activeTab="13" xr2:uid="{00000000-000D-0000-FFFF-FFFF00000000}"/>
  </bookViews>
  <sheets>
    <sheet name="Dropdowns" sheetId="2" state="hidden" r:id="rId1"/>
    <sheet name="Site Info" sheetId="3" r:id="rId2"/>
    <sheet name="Inventory" sheetId="4" r:id="rId3"/>
    <sheet name="7-Info" sheetId="6" state="hidden" r:id="rId4"/>
    <sheet name="c-Cluster" sheetId="5" r:id="rId5"/>
    <sheet name="E-Series" sheetId="32" state="hidden" r:id="rId6"/>
    <sheet name="c-SVM-CIFS" sheetId="7" r:id="rId7"/>
    <sheet name="c-SVM-NFS" sheetId="23" state="hidden" r:id="rId8"/>
    <sheet name="c-SVM-Block" sheetId="25" r:id="rId9"/>
    <sheet name="c-SVM-HyperV" sheetId="22" state="hidden" r:id="rId10"/>
    <sheet name="c-SVM-InfiniteVol" sheetId="24" state="hidden" r:id="rId11"/>
    <sheet name="MetroCluster" sheetId="21" state="hidden" r:id="rId12"/>
    <sheet name="UCS" sheetId="8" r:id="rId13"/>
    <sheet name="VMware" sheetId="10" r:id="rId14"/>
    <sheet name="Test Plan" sheetId="31" r:id="rId15"/>
    <sheet name="Cabling Info" sheetId="9" r:id="rId16"/>
    <sheet name="Setup-DNS Entries" sheetId="17" r:id="rId17"/>
    <sheet name="Setup-7-mode" sheetId="12" state="hidden" r:id="rId18"/>
    <sheet name="Setup-c-mode" sheetId="13" state="hidden" r:id="rId19"/>
    <sheet name="Setup-vServer-CIFS" sheetId="16" state="hidden" r:id="rId20"/>
    <sheet name="Setup-vServer-HyperV" sheetId="26" state="hidden" r:id="rId21"/>
    <sheet name="Setup-vServer-NFS" sheetId="27" state="hidden" r:id="rId22"/>
    <sheet name="Setup-vServer-InfiniteVol" sheetId="28" state="hidden" r:id="rId23"/>
    <sheet name="Setup-vServer-Block" sheetId="29" state="hidden" r:id="rId24"/>
    <sheet name="Setup-VMware" sheetId="20" state="hidden" r:id="rId25"/>
    <sheet name="IP Summary" sheetId="33" r:id="rId26"/>
    <sheet name="Sorted IP Summary" sheetId="34" r:id="rId27"/>
    <sheet name="Version" sheetId="19" r:id="rId28"/>
    <sheet name="Template" sheetId="1" state="hidden" r:id="rId29"/>
  </sheets>
  <definedNames>
    <definedName name="VLANBlanksRange">Dropdowns!$T$3:$T$29</definedName>
    <definedName name="VLANList">OFFSET(Dropdowns!$T$4,0,0,COUNTA(Dropdowns!$T$4:$T$30)-COUNTIF(Dropdowns!$T$4:$T$30,"Blank"),1)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32" i="10" l="1"/>
  <c r="F30" i="10"/>
  <c r="F27" i="10"/>
  <c r="F8" i="10"/>
  <c r="K9" i="24"/>
  <c r="K9" i="22"/>
  <c r="K9" i="25"/>
  <c r="K9" i="23"/>
  <c r="K9" i="7"/>
  <c r="F9" i="5" l="1"/>
  <c r="F8" i="5"/>
  <c r="C89" i="4"/>
  <c r="C88" i="4"/>
  <c r="P58" i="4"/>
  <c r="B156" i="33" l="1"/>
  <c r="C156" i="33"/>
  <c r="B157" i="33"/>
  <c r="C157" i="33"/>
  <c r="B158" i="33"/>
  <c r="C158" i="33"/>
  <c r="B159" i="33"/>
  <c r="C159" i="33"/>
  <c r="C155" i="33"/>
  <c r="B155" i="33"/>
  <c r="C111" i="17"/>
  <c r="C112" i="17"/>
  <c r="C113" i="17"/>
  <c r="C114" i="17"/>
  <c r="C110" i="17"/>
  <c r="C109" i="17"/>
  <c r="W73" i="8"/>
  <c r="Y29" i="8"/>
  <c r="Y25" i="8"/>
  <c r="B69" i="8"/>
  <c r="B68" i="8"/>
  <c r="B67" i="8"/>
  <c r="B66" i="8"/>
  <c r="B65" i="8"/>
  <c r="B64" i="8"/>
  <c r="B63" i="8"/>
  <c r="B62" i="8"/>
  <c r="B61" i="8"/>
  <c r="B60" i="8"/>
  <c r="D126" i="8"/>
  <c r="U110" i="8"/>
  <c r="B115" i="8"/>
  <c r="B114" i="8"/>
  <c r="B113" i="8"/>
  <c r="B112" i="8"/>
  <c r="B111" i="8"/>
  <c r="O103" i="8"/>
  <c r="O102" i="8"/>
  <c r="F103" i="8"/>
  <c r="F102" i="8"/>
  <c r="F96" i="8"/>
  <c r="F95" i="8"/>
  <c r="O92" i="8"/>
  <c r="F91" i="8"/>
  <c r="H84" i="8"/>
  <c r="H79" i="8"/>
  <c r="O75" i="8"/>
  <c r="F75" i="8"/>
  <c r="E68" i="8"/>
  <c r="E69" i="8"/>
  <c r="E67" i="8"/>
  <c r="E66" i="8"/>
  <c r="E65" i="8"/>
  <c r="E64" i="8"/>
  <c r="E63" i="8"/>
  <c r="E62" i="8"/>
  <c r="E61" i="8"/>
  <c r="E60" i="8"/>
  <c r="Q59" i="4"/>
  <c r="R59" i="4"/>
  <c r="Q60" i="4"/>
  <c r="R60" i="4"/>
  <c r="Q61" i="4"/>
  <c r="R61" i="4"/>
  <c r="Q62" i="4"/>
  <c r="R62" i="4"/>
  <c r="Q63" i="4"/>
  <c r="R63" i="4"/>
  <c r="Q64" i="4"/>
  <c r="R64" i="4"/>
  <c r="Q65" i="4"/>
  <c r="R65" i="4"/>
  <c r="Q66" i="4"/>
  <c r="R66" i="4"/>
  <c r="Q67" i="4"/>
  <c r="R67" i="4"/>
  <c r="R58" i="4"/>
  <c r="Q58" i="4"/>
  <c r="P59" i="4"/>
  <c r="P60" i="4"/>
  <c r="P61" i="4"/>
  <c r="P62" i="4"/>
  <c r="P63" i="4"/>
  <c r="P64" i="4"/>
  <c r="P65" i="4"/>
  <c r="P66" i="4"/>
  <c r="P67" i="4"/>
  <c r="W18" i="25"/>
  <c r="F33" i="8" s="1"/>
  <c r="C17" i="4"/>
  <c r="M61" i="5" s="1"/>
  <c r="B48" i="33" s="1"/>
  <c r="B48" i="34" s="1"/>
  <c r="C18" i="4"/>
  <c r="M62" i="5" s="1"/>
  <c r="B49" i="33" s="1"/>
  <c r="B49" i="34" s="1"/>
  <c r="C19" i="4"/>
  <c r="C20" i="4"/>
  <c r="M64" i="5" s="1"/>
  <c r="C21" i="4"/>
  <c r="M65" i="5" s="1"/>
  <c r="B52" i="33" s="1"/>
  <c r="B52" i="34" s="1"/>
  <c r="C22" i="4"/>
  <c r="M66" i="5" s="1"/>
  <c r="C16" i="4"/>
  <c r="C15" i="4"/>
  <c r="B46" i="33" s="1"/>
  <c r="B46" i="34" s="1"/>
  <c r="E61" i="5"/>
  <c r="AC61" i="5" s="1"/>
  <c r="E62" i="5"/>
  <c r="W62" i="5" s="1"/>
  <c r="C35" i="9"/>
  <c r="C55" i="9" s="1"/>
  <c r="C75" i="9" s="1"/>
  <c r="C95" i="9" s="1"/>
  <c r="C115" i="9" s="1"/>
  <c r="C135" i="9" s="1"/>
  <c r="C155" i="9" s="1"/>
  <c r="C152" i="33"/>
  <c r="B152" i="33"/>
  <c r="F54" i="8"/>
  <c r="Q87" i="8"/>
  <c r="Q86" i="8"/>
  <c r="G419" i="9"/>
  <c r="X9" i="22"/>
  <c r="X9" i="7"/>
  <c r="B231" i="34"/>
  <c r="C231" i="34"/>
  <c r="B232" i="34"/>
  <c r="C232" i="34"/>
  <c r="B233" i="34"/>
  <c r="C233" i="34"/>
  <c r="B234" i="34"/>
  <c r="C234" i="34"/>
  <c r="B235" i="34"/>
  <c r="C235" i="34"/>
  <c r="B236" i="34"/>
  <c r="C236" i="34"/>
  <c r="B237" i="34"/>
  <c r="C237" i="34"/>
  <c r="B238" i="34"/>
  <c r="C238" i="34"/>
  <c r="B239" i="34"/>
  <c r="C239" i="34"/>
  <c r="B240" i="34"/>
  <c r="C240" i="34"/>
  <c r="C228" i="33"/>
  <c r="C229" i="33"/>
  <c r="B228" i="33"/>
  <c r="B229" i="33"/>
  <c r="H135" i="17"/>
  <c r="C135" i="17"/>
  <c r="B135" i="17"/>
  <c r="H134" i="17"/>
  <c r="C134" i="17"/>
  <c r="K32" i="10"/>
  <c r="K31" i="10"/>
  <c r="K30" i="10"/>
  <c r="O29" i="8"/>
  <c r="F29" i="8"/>
  <c r="O25" i="8"/>
  <c r="C329" i="9"/>
  <c r="C38" i="9"/>
  <c r="C58" i="9" s="1"/>
  <c r="C78" i="9" s="1"/>
  <c r="C98" i="9" s="1"/>
  <c r="C118" i="9" s="1"/>
  <c r="C138" i="9" s="1"/>
  <c r="C158" i="9" s="1"/>
  <c r="E38" i="9"/>
  <c r="E58" i="9" s="1"/>
  <c r="E78" i="9" s="1"/>
  <c r="E98" i="9" s="1"/>
  <c r="E118" i="9" s="1"/>
  <c r="E138" i="9" s="1"/>
  <c r="E158" i="9" s="1"/>
  <c r="C39" i="9"/>
  <c r="C59" i="9" s="1"/>
  <c r="C79" i="9" s="1"/>
  <c r="C99" i="9" s="1"/>
  <c r="C119" i="9" s="1"/>
  <c r="C139" i="9" s="1"/>
  <c r="C159" i="9" s="1"/>
  <c r="E39" i="9"/>
  <c r="E59" i="9" s="1"/>
  <c r="E79" i="9" s="1"/>
  <c r="E99" i="9" s="1"/>
  <c r="E119" i="9" s="1"/>
  <c r="E139" i="9" s="1"/>
  <c r="E159" i="9" s="1"/>
  <c r="C40" i="9"/>
  <c r="C60" i="9" s="1"/>
  <c r="C80" i="9" s="1"/>
  <c r="C100" i="9" s="1"/>
  <c r="C120" i="9" s="1"/>
  <c r="C140" i="9" s="1"/>
  <c r="C160" i="9" s="1"/>
  <c r="E40" i="9"/>
  <c r="E60" i="9" s="1"/>
  <c r="E80" i="9" s="1"/>
  <c r="E100" i="9" s="1"/>
  <c r="E120" i="9" s="1"/>
  <c r="E140" i="9" s="1"/>
  <c r="E160" i="9" s="1"/>
  <c r="C41" i="9"/>
  <c r="C61" i="9" s="1"/>
  <c r="C81" i="9" s="1"/>
  <c r="C101" i="9" s="1"/>
  <c r="C121" i="9" s="1"/>
  <c r="C141" i="9" s="1"/>
  <c r="C161" i="9" s="1"/>
  <c r="E41" i="9"/>
  <c r="E61" i="9" s="1"/>
  <c r="E81" i="9" s="1"/>
  <c r="E101" i="9" s="1"/>
  <c r="E121" i="9" s="1"/>
  <c r="E141" i="9" s="1"/>
  <c r="E161" i="9" s="1"/>
  <c r="C42" i="9"/>
  <c r="C62" i="9" s="1"/>
  <c r="C82" i="9" s="1"/>
  <c r="C102" i="9" s="1"/>
  <c r="C122" i="9" s="1"/>
  <c r="C142" i="9" s="1"/>
  <c r="C162" i="9" s="1"/>
  <c r="E42" i="9"/>
  <c r="E62" i="9" s="1"/>
  <c r="E82" i="9" s="1"/>
  <c r="E102" i="9" s="1"/>
  <c r="E122" i="9" s="1"/>
  <c r="E142" i="9" s="1"/>
  <c r="E162" i="9" s="1"/>
  <c r="C43" i="9"/>
  <c r="C63" i="9" s="1"/>
  <c r="C83" i="9" s="1"/>
  <c r="C103" i="9" s="1"/>
  <c r="C123" i="9" s="1"/>
  <c r="C143" i="9" s="1"/>
  <c r="C163" i="9" s="1"/>
  <c r="E43" i="9"/>
  <c r="E63" i="9" s="1"/>
  <c r="E83" i="9" s="1"/>
  <c r="E103" i="9" s="1"/>
  <c r="E123" i="9" s="1"/>
  <c r="E143" i="9" s="1"/>
  <c r="E163" i="9" s="1"/>
  <c r="C44" i="9"/>
  <c r="C64" i="9" s="1"/>
  <c r="C84" i="9" s="1"/>
  <c r="C104" i="9" s="1"/>
  <c r="C124" i="9" s="1"/>
  <c r="C144" i="9" s="1"/>
  <c r="C164" i="9" s="1"/>
  <c r="E44" i="9"/>
  <c r="E64" i="9" s="1"/>
  <c r="E84" i="9" s="1"/>
  <c r="E104" i="9" s="1"/>
  <c r="E124" i="9" s="1"/>
  <c r="E144" i="9" s="1"/>
  <c r="E164" i="9" s="1"/>
  <c r="C45" i="9"/>
  <c r="C65" i="9" s="1"/>
  <c r="C85" i="9" s="1"/>
  <c r="C105" i="9" s="1"/>
  <c r="C125" i="9" s="1"/>
  <c r="C145" i="9" s="1"/>
  <c r="C165" i="9" s="1"/>
  <c r="E45" i="9"/>
  <c r="E65" i="9" s="1"/>
  <c r="E85" i="9" s="1"/>
  <c r="E105" i="9" s="1"/>
  <c r="E125" i="9" s="1"/>
  <c r="E145" i="9" s="1"/>
  <c r="E165" i="9" s="1"/>
  <c r="C46" i="9"/>
  <c r="C66" i="9" s="1"/>
  <c r="C86" i="9" s="1"/>
  <c r="C106" i="9" s="1"/>
  <c r="C126" i="9" s="1"/>
  <c r="C146" i="9" s="1"/>
  <c r="C166" i="9" s="1"/>
  <c r="E46" i="9"/>
  <c r="E66" i="9" s="1"/>
  <c r="E86" i="9" s="1"/>
  <c r="E106" i="9" s="1"/>
  <c r="E126" i="9" s="1"/>
  <c r="E146" i="9" s="1"/>
  <c r="E166" i="9" s="1"/>
  <c r="C47" i="9"/>
  <c r="C67" i="9" s="1"/>
  <c r="C87" i="9" s="1"/>
  <c r="C107" i="9" s="1"/>
  <c r="C127" i="9" s="1"/>
  <c r="C147" i="9" s="1"/>
  <c r="C167" i="9" s="1"/>
  <c r="E47" i="9"/>
  <c r="E67" i="9" s="1"/>
  <c r="E87" i="9" s="1"/>
  <c r="E107" i="9" s="1"/>
  <c r="E127" i="9" s="1"/>
  <c r="E147" i="9" s="1"/>
  <c r="E167" i="9" s="1"/>
  <c r="AF96" i="24"/>
  <c r="AF97" i="24"/>
  <c r="AF98" i="24"/>
  <c r="AF95" i="24"/>
  <c r="Z58" i="24"/>
  <c r="Z57" i="24"/>
  <c r="Z56" i="24"/>
  <c r="Z55" i="24"/>
  <c r="Z54" i="24"/>
  <c r="Z53" i="24"/>
  <c r="Z52" i="24"/>
  <c r="Z51" i="24"/>
  <c r="AC42" i="24"/>
  <c r="AC41" i="24"/>
  <c r="AC40" i="24"/>
  <c r="AC39" i="24"/>
  <c r="AC38" i="24"/>
  <c r="AC37" i="24"/>
  <c r="AC36" i="24"/>
  <c r="AC35" i="24"/>
  <c r="AF98" i="22"/>
  <c r="AF97" i="22"/>
  <c r="AF96" i="22"/>
  <c r="AF95" i="22"/>
  <c r="Z36" i="22"/>
  <c r="Z37" i="22"/>
  <c r="Z38" i="22"/>
  <c r="Z39" i="22"/>
  <c r="Z40" i="22"/>
  <c r="Z41" i="22"/>
  <c r="Z42" i="22"/>
  <c r="Z35" i="22"/>
  <c r="Z84" i="25"/>
  <c r="Z85" i="25"/>
  <c r="Z86" i="25"/>
  <c r="Z87" i="25"/>
  <c r="Z88" i="25"/>
  <c r="Z89" i="25"/>
  <c r="Z90" i="25"/>
  <c r="Z83" i="25"/>
  <c r="Z68" i="25"/>
  <c r="Z69" i="25"/>
  <c r="Z70" i="25"/>
  <c r="Z71" i="25"/>
  <c r="Z72" i="25"/>
  <c r="Z73" i="25"/>
  <c r="Z74" i="25"/>
  <c r="Z67" i="25"/>
  <c r="AF98" i="7"/>
  <c r="AF97" i="7"/>
  <c r="AF96" i="7"/>
  <c r="AF95" i="7"/>
  <c r="Z36" i="7"/>
  <c r="Z37" i="7"/>
  <c r="Z38" i="7"/>
  <c r="Z39" i="7"/>
  <c r="Z40" i="7"/>
  <c r="Z41" i="7"/>
  <c r="Z42" i="7"/>
  <c r="Z35" i="7"/>
  <c r="AI102" i="23"/>
  <c r="AI101" i="23"/>
  <c r="AI100" i="23"/>
  <c r="AF98" i="23"/>
  <c r="AF97" i="23"/>
  <c r="AF96" i="23"/>
  <c r="AF95" i="23"/>
  <c r="Z52" i="23"/>
  <c r="Z53" i="23"/>
  <c r="Z54" i="23"/>
  <c r="Z55" i="23"/>
  <c r="Z56" i="23"/>
  <c r="Z57" i="23"/>
  <c r="Z58" i="23"/>
  <c r="Z51" i="23"/>
  <c r="AG48" i="6"/>
  <c r="AG49" i="6"/>
  <c r="AG50" i="6"/>
  <c r="AG51" i="6"/>
  <c r="AG52" i="6"/>
  <c r="Y32" i="6"/>
  <c r="Y41" i="6" s="1"/>
  <c r="Y33" i="6"/>
  <c r="Y42" i="6" s="1"/>
  <c r="Y34" i="6"/>
  <c r="Y43" i="6" s="1"/>
  <c r="Y31" i="6"/>
  <c r="Y40" i="6" s="1"/>
  <c r="Y30" i="6"/>
  <c r="Y39" i="6" s="1"/>
  <c r="Q82" i="8"/>
  <c r="Q81" i="8"/>
  <c r="C226" i="33"/>
  <c r="C221" i="34" s="1"/>
  <c r="C227" i="33"/>
  <c r="C222" i="34" s="1"/>
  <c r="C230" i="33"/>
  <c r="C223" i="34" s="1"/>
  <c r="C231" i="33"/>
  <c r="C224" i="34" s="1"/>
  <c r="B226" i="33"/>
  <c r="B221" i="34" s="1"/>
  <c r="B227" i="33"/>
  <c r="B222" i="34" s="1"/>
  <c r="B230" i="33"/>
  <c r="B223" i="34" s="1"/>
  <c r="B231" i="33"/>
  <c r="B224" i="34" s="1"/>
  <c r="C224" i="33"/>
  <c r="C225" i="33"/>
  <c r="C220" i="34" s="1"/>
  <c r="B223" i="33"/>
  <c r="B218" i="34" s="1"/>
  <c r="B224" i="33"/>
  <c r="B219" i="34" s="1"/>
  <c r="B225" i="33"/>
  <c r="B220" i="34" s="1"/>
  <c r="C129" i="17"/>
  <c r="B129" i="17"/>
  <c r="H129" i="17"/>
  <c r="F20" i="8"/>
  <c r="C154" i="33"/>
  <c r="C154" i="34" s="1"/>
  <c r="C153" i="33"/>
  <c r="C153" i="34" s="1"/>
  <c r="B28" i="34"/>
  <c r="C28" i="34"/>
  <c r="B29" i="34"/>
  <c r="C29" i="34"/>
  <c r="B30" i="34"/>
  <c r="C30" i="34"/>
  <c r="B31" i="34"/>
  <c r="C31" i="34"/>
  <c r="B32" i="34"/>
  <c r="C32" i="34"/>
  <c r="C67" i="33"/>
  <c r="C67" i="34" s="1"/>
  <c r="C68" i="33"/>
  <c r="C68" i="34" s="1"/>
  <c r="C69" i="33"/>
  <c r="C69" i="34" s="1"/>
  <c r="C76" i="33"/>
  <c r="C76" i="34" s="1"/>
  <c r="C77" i="33"/>
  <c r="C77" i="34" s="1"/>
  <c r="C78" i="33"/>
  <c r="C78" i="34" s="1"/>
  <c r="C79" i="33"/>
  <c r="C79" i="34" s="1"/>
  <c r="C85" i="33"/>
  <c r="C85" i="34" s="1"/>
  <c r="C86" i="33"/>
  <c r="C86" i="34" s="1"/>
  <c r="C87" i="33"/>
  <c r="C87" i="34" s="1"/>
  <c r="C92" i="33"/>
  <c r="C92" i="34" s="1"/>
  <c r="C93" i="33"/>
  <c r="C93" i="34" s="1"/>
  <c r="C94" i="33"/>
  <c r="C94" i="34" s="1"/>
  <c r="C95" i="33"/>
  <c r="C95" i="34" s="1"/>
  <c r="C101" i="33"/>
  <c r="C101" i="34" s="1"/>
  <c r="C102" i="33"/>
  <c r="C102" i="34" s="1"/>
  <c r="C103" i="33"/>
  <c r="C103" i="34" s="1"/>
  <c r="C104" i="33"/>
  <c r="C104" i="34" s="1"/>
  <c r="B110" i="34"/>
  <c r="C110" i="34"/>
  <c r="B111" i="34"/>
  <c r="C111" i="34"/>
  <c r="B112" i="34"/>
  <c r="C112" i="34"/>
  <c r="B113" i="34"/>
  <c r="C113" i="34"/>
  <c r="B114" i="34"/>
  <c r="C114" i="34"/>
  <c r="B120" i="33"/>
  <c r="B120" i="34"/>
  <c r="C120" i="33"/>
  <c r="C120" i="34" s="1"/>
  <c r="B121" i="33"/>
  <c r="B121" i="34" s="1"/>
  <c r="C121" i="33"/>
  <c r="C121" i="34" s="1"/>
  <c r="B122" i="33"/>
  <c r="B122" i="34" s="1"/>
  <c r="C122" i="33"/>
  <c r="C122" i="34" s="1"/>
  <c r="B123" i="34"/>
  <c r="C123" i="34"/>
  <c r="B124" i="34"/>
  <c r="C124" i="34"/>
  <c r="B125" i="34"/>
  <c r="C125" i="34"/>
  <c r="B126" i="34"/>
  <c r="C126" i="34"/>
  <c r="B127" i="34"/>
  <c r="C127" i="34"/>
  <c r="B140" i="34"/>
  <c r="C140" i="34"/>
  <c r="B141" i="34"/>
  <c r="C141" i="34"/>
  <c r="B142" i="34"/>
  <c r="C142" i="34"/>
  <c r="B143" i="34"/>
  <c r="C143" i="34"/>
  <c r="B144" i="34"/>
  <c r="C144" i="34"/>
  <c r="C152" i="34"/>
  <c r="B155" i="34"/>
  <c r="C155" i="34"/>
  <c r="B156" i="34"/>
  <c r="C156" i="34"/>
  <c r="B157" i="34"/>
  <c r="C157" i="34"/>
  <c r="B158" i="34"/>
  <c r="C158" i="34"/>
  <c r="B159" i="34"/>
  <c r="C159" i="34"/>
  <c r="B203" i="34"/>
  <c r="C203" i="34"/>
  <c r="B204" i="34"/>
  <c r="C204" i="34"/>
  <c r="B205" i="34"/>
  <c r="C205" i="34"/>
  <c r="B206" i="34"/>
  <c r="C206" i="34"/>
  <c r="B207" i="34"/>
  <c r="C207" i="34"/>
  <c r="B225" i="34"/>
  <c r="C225" i="34"/>
  <c r="B226" i="34"/>
  <c r="C226" i="34"/>
  <c r="B227" i="34"/>
  <c r="C227" i="34"/>
  <c r="B228" i="34"/>
  <c r="C228" i="34"/>
  <c r="B229" i="34"/>
  <c r="C229" i="34"/>
  <c r="B230" i="34"/>
  <c r="C230" i="34"/>
  <c r="C148" i="33"/>
  <c r="C148" i="34" s="1"/>
  <c r="C147" i="33"/>
  <c r="C147" i="34" s="1"/>
  <c r="C215" i="33"/>
  <c r="C210" i="34" s="1"/>
  <c r="C216" i="33"/>
  <c r="C211" i="34" s="1"/>
  <c r="C214" i="33"/>
  <c r="C209" i="34" s="1"/>
  <c r="B215" i="33"/>
  <c r="B210" i="34" s="1"/>
  <c r="B216" i="33"/>
  <c r="B211" i="34" s="1"/>
  <c r="B214" i="33"/>
  <c r="B209" i="34" s="1"/>
  <c r="C213" i="33"/>
  <c r="C208" i="34" s="1"/>
  <c r="B213" i="33"/>
  <c r="B208" i="34" s="1"/>
  <c r="C217" i="33"/>
  <c r="C212" i="34" s="1"/>
  <c r="B217" i="33"/>
  <c r="B212" i="34" s="1"/>
  <c r="C55" i="33"/>
  <c r="C55" i="34" s="1"/>
  <c r="C56" i="33"/>
  <c r="C56" i="34" s="1"/>
  <c r="C57" i="33"/>
  <c r="C57" i="34" s="1"/>
  <c r="C58" i="33"/>
  <c r="C58" i="34" s="1"/>
  <c r="C59" i="33"/>
  <c r="C59" i="34" s="1"/>
  <c r="C60" i="33"/>
  <c r="C60" i="34" s="1"/>
  <c r="C61" i="33"/>
  <c r="C61" i="34" s="1"/>
  <c r="C54" i="33"/>
  <c r="C54" i="34" s="1"/>
  <c r="C42" i="33"/>
  <c r="C42" i="34" s="1"/>
  <c r="C43" i="33"/>
  <c r="C43" i="34" s="1"/>
  <c r="C44" i="33"/>
  <c r="C44" i="34" s="1"/>
  <c r="C45" i="33"/>
  <c r="C45" i="34" s="1"/>
  <c r="K119" i="5"/>
  <c r="K118" i="5"/>
  <c r="B219" i="33"/>
  <c r="B214" i="34" s="1"/>
  <c r="C219" i="33"/>
  <c r="C214" i="34" s="1"/>
  <c r="B220" i="33"/>
  <c r="B215" i="34" s="1"/>
  <c r="C220" i="33"/>
  <c r="C215" i="34" s="1"/>
  <c r="B221" i="33"/>
  <c r="B216" i="34" s="1"/>
  <c r="C221" i="33"/>
  <c r="C216" i="34" s="1"/>
  <c r="B222" i="33"/>
  <c r="B217" i="34" s="1"/>
  <c r="C222" i="33"/>
  <c r="C217" i="34" s="1"/>
  <c r="C223" i="33"/>
  <c r="C218" i="34" s="1"/>
  <c r="C219" i="34"/>
  <c r="C218" i="33"/>
  <c r="C213" i="34" s="1"/>
  <c r="B218" i="33"/>
  <c r="B213" i="34" s="1"/>
  <c r="C207" i="33"/>
  <c r="C202" i="34" s="1"/>
  <c r="C206" i="33"/>
  <c r="C201" i="34" s="1"/>
  <c r="C205" i="33"/>
  <c r="C200" i="34" s="1"/>
  <c r="C204" i="33"/>
  <c r="C199" i="34" s="1"/>
  <c r="C203" i="33"/>
  <c r="C198" i="34" s="1"/>
  <c r="C202" i="33"/>
  <c r="C197" i="34" s="1"/>
  <c r="C201" i="33"/>
  <c r="C196" i="34" s="1"/>
  <c r="C200" i="33"/>
  <c r="C195" i="34" s="1"/>
  <c r="C199" i="33"/>
  <c r="C194" i="34" s="1"/>
  <c r="C198" i="33"/>
  <c r="C193" i="34" s="1"/>
  <c r="B207" i="33"/>
  <c r="B202" i="34" s="1"/>
  <c r="B206" i="33"/>
  <c r="B201" i="34" s="1"/>
  <c r="B205" i="33"/>
  <c r="B200" i="34" s="1"/>
  <c r="B204" i="33"/>
  <c r="B199" i="34" s="1"/>
  <c r="B203" i="33"/>
  <c r="B198" i="34"/>
  <c r="B202" i="33"/>
  <c r="B197" i="34" s="1"/>
  <c r="B201" i="33"/>
  <c r="B196" i="34" s="1"/>
  <c r="B200" i="33"/>
  <c r="B195" i="34" s="1"/>
  <c r="B199" i="33"/>
  <c r="B194" i="34" s="1"/>
  <c r="B198" i="33"/>
  <c r="B193" i="34" s="1"/>
  <c r="C197" i="33"/>
  <c r="C192" i="34" s="1"/>
  <c r="C196" i="33"/>
  <c r="C191" i="34" s="1"/>
  <c r="C195" i="33"/>
  <c r="C190" i="34" s="1"/>
  <c r="C194" i="33"/>
  <c r="C189" i="34" s="1"/>
  <c r="C193" i="33"/>
  <c r="C188" i="34" s="1"/>
  <c r="C192" i="33"/>
  <c r="C187" i="34" s="1"/>
  <c r="C191" i="33"/>
  <c r="C186" i="34" s="1"/>
  <c r="C190" i="33"/>
  <c r="C185" i="34" s="1"/>
  <c r="C189" i="33"/>
  <c r="C184" i="34" s="1"/>
  <c r="C188" i="33"/>
  <c r="C183" i="34" s="1"/>
  <c r="B197" i="33"/>
  <c r="B192" i="34" s="1"/>
  <c r="B196" i="33"/>
  <c r="B191" i="34" s="1"/>
  <c r="B195" i="33"/>
  <c r="B190" i="34" s="1"/>
  <c r="B194" i="33"/>
  <c r="B189" i="34" s="1"/>
  <c r="B193" i="33"/>
  <c r="B188" i="34" s="1"/>
  <c r="B192" i="33"/>
  <c r="B187" i="34" s="1"/>
  <c r="B191" i="33"/>
  <c r="B186" i="34" s="1"/>
  <c r="B190" i="33"/>
  <c r="B185" i="34" s="1"/>
  <c r="B189" i="33"/>
  <c r="B184" i="34" s="1"/>
  <c r="B188" i="33"/>
  <c r="B183" i="34" s="1"/>
  <c r="C187" i="33"/>
  <c r="C182" i="34" s="1"/>
  <c r="C186" i="33"/>
  <c r="C181" i="34" s="1"/>
  <c r="C185" i="33"/>
  <c r="C180" i="34" s="1"/>
  <c r="C184" i="33"/>
  <c r="C179" i="34" s="1"/>
  <c r="C183" i="33"/>
  <c r="C178" i="34" s="1"/>
  <c r="B187" i="33"/>
  <c r="B182" i="34" s="1"/>
  <c r="B186" i="33"/>
  <c r="B181" i="34" s="1"/>
  <c r="B185" i="33"/>
  <c r="B180" i="34" s="1"/>
  <c r="B184" i="33"/>
  <c r="B179" i="34" s="1"/>
  <c r="B183" i="33"/>
  <c r="B178" i="34" s="1"/>
  <c r="C182" i="33"/>
  <c r="C177" i="34" s="1"/>
  <c r="C181" i="33"/>
  <c r="C176" i="34" s="1"/>
  <c r="C180" i="33"/>
  <c r="C175" i="34" s="1"/>
  <c r="C179" i="33"/>
  <c r="C174" i="34" s="1"/>
  <c r="C178" i="33"/>
  <c r="C173" i="34" s="1"/>
  <c r="B182" i="33"/>
  <c r="B177" i="34" s="1"/>
  <c r="B181" i="33"/>
  <c r="B176" i="34" s="1"/>
  <c r="B180" i="33"/>
  <c r="B175" i="34" s="1"/>
  <c r="B179" i="33"/>
  <c r="B174" i="34" s="1"/>
  <c r="B178" i="33"/>
  <c r="B173" i="34" s="1"/>
  <c r="C177" i="33"/>
  <c r="C172" i="34" s="1"/>
  <c r="C176" i="33"/>
  <c r="C171" i="34" s="1"/>
  <c r="C175" i="33"/>
  <c r="C170" i="34" s="1"/>
  <c r="C174" i="33"/>
  <c r="C169" i="34" s="1"/>
  <c r="C173" i="33"/>
  <c r="C168" i="34" s="1"/>
  <c r="B177" i="33"/>
  <c r="B172" i="34" s="1"/>
  <c r="B176" i="33"/>
  <c r="B171" i="34" s="1"/>
  <c r="B175" i="33"/>
  <c r="B170" i="34" s="1"/>
  <c r="B174" i="33"/>
  <c r="B169" i="34" s="1"/>
  <c r="B173" i="33"/>
  <c r="B168" i="34" s="1"/>
  <c r="C172" i="33"/>
  <c r="C167" i="34"/>
  <c r="C171" i="33"/>
  <c r="C166" i="34" s="1"/>
  <c r="C170" i="33"/>
  <c r="C165" i="34" s="1"/>
  <c r="C169" i="33"/>
  <c r="C164" i="34" s="1"/>
  <c r="C168" i="33"/>
  <c r="C163" i="34" s="1"/>
  <c r="B172" i="33"/>
  <c r="B167" i="34" s="1"/>
  <c r="B171" i="33"/>
  <c r="B166" i="34" s="1"/>
  <c r="B170" i="33"/>
  <c r="B165" i="34" s="1"/>
  <c r="B169" i="33"/>
  <c r="B164" i="34" s="1"/>
  <c r="B168" i="33"/>
  <c r="B163" i="34" s="1"/>
  <c r="C167" i="33"/>
  <c r="C162" i="34" s="1"/>
  <c r="B167" i="33"/>
  <c r="B162" i="34" s="1"/>
  <c r="C161" i="34"/>
  <c r="B161" i="34"/>
  <c r="C166" i="33"/>
  <c r="C160" i="34" s="1"/>
  <c r="C119" i="33"/>
  <c r="C119" i="34" s="1"/>
  <c r="B119" i="33"/>
  <c r="B119" i="34" s="1"/>
  <c r="C118" i="33"/>
  <c r="C118" i="34" s="1"/>
  <c r="C117" i="33"/>
  <c r="C117" i="34" s="1"/>
  <c r="B118" i="33"/>
  <c r="B118" i="34" s="1"/>
  <c r="B117" i="33"/>
  <c r="B117" i="34" s="1"/>
  <c r="C116" i="33"/>
  <c r="C116" i="34" s="1"/>
  <c r="C115" i="33"/>
  <c r="C115" i="34" s="1"/>
  <c r="B116" i="33"/>
  <c r="B116" i="34" s="1"/>
  <c r="B115" i="33"/>
  <c r="B115" i="34" s="1"/>
  <c r="B166" i="33"/>
  <c r="B160" i="34" s="1"/>
  <c r="B154" i="33"/>
  <c r="B154" i="34" s="1"/>
  <c r="B153" i="33"/>
  <c r="B153" i="34" s="1"/>
  <c r="B152" i="34"/>
  <c r="C133" i="33"/>
  <c r="C133" i="34" s="1"/>
  <c r="C134" i="33"/>
  <c r="C134" i="34" s="1"/>
  <c r="C135" i="33"/>
  <c r="C135" i="34" s="1"/>
  <c r="C136" i="33"/>
  <c r="C136" i="34" s="1"/>
  <c r="C137" i="33"/>
  <c r="C137" i="34" s="1"/>
  <c r="C138" i="33"/>
  <c r="C138" i="34" s="1"/>
  <c r="C139" i="33"/>
  <c r="C139" i="34" s="1"/>
  <c r="C132" i="33"/>
  <c r="C132" i="34" s="1"/>
  <c r="B133" i="33"/>
  <c r="B133" i="34" s="1"/>
  <c r="B134" i="33"/>
  <c r="B134" i="34" s="1"/>
  <c r="B135" i="33"/>
  <c r="B135" i="34" s="1"/>
  <c r="B136" i="33"/>
  <c r="B136" i="34" s="1"/>
  <c r="B137" i="33"/>
  <c r="B137" i="34" s="1"/>
  <c r="B138" i="33"/>
  <c r="B138" i="34"/>
  <c r="B139" i="33"/>
  <c r="B139" i="34" s="1"/>
  <c r="B132" i="33"/>
  <c r="B132" i="34" s="1"/>
  <c r="C130" i="33"/>
  <c r="C130" i="34" s="1"/>
  <c r="C131" i="33"/>
  <c r="C131" i="34" s="1"/>
  <c r="C129" i="33"/>
  <c r="C129" i="34" s="1"/>
  <c r="B129" i="33"/>
  <c r="B129" i="34" s="1"/>
  <c r="B130" i="33"/>
  <c r="B130" i="34" s="1"/>
  <c r="B131" i="33"/>
  <c r="B131" i="34" s="1"/>
  <c r="C128" i="33"/>
  <c r="C128" i="34" s="1"/>
  <c r="B128" i="33"/>
  <c r="B128" i="34" s="1"/>
  <c r="C107" i="33"/>
  <c r="C107" i="34" s="1"/>
  <c r="C108" i="33"/>
  <c r="C108" i="34"/>
  <c r="C109" i="33"/>
  <c r="C109" i="34" s="1"/>
  <c r="C106" i="33"/>
  <c r="C106" i="34" s="1"/>
  <c r="C105" i="33"/>
  <c r="C105" i="34" s="1"/>
  <c r="C98" i="33"/>
  <c r="C98" i="34" s="1"/>
  <c r="C99" i="33"/>
  <c r="C99" i="34" s="1"/>
  <c r="C100" i="33"/>
  <c r="C100" i="34" s="1"/>
  <c r="C97" i="33"/>
  <c r="C97" i="34" s="1"/>
  <c r="C96" i="33"/>
  <c r="C96" i="34" s="1"/>
  <c r="C89" i="33"/>
  <c r="C89" i="34" s="1"/>
  <c r="C90" i="33"/>
  <c r="C90" i="34" s="1"/>
  <c r="C91" i="33"/>
  <c r="C91" i="34" s="1"/>
  <c r="C88" i="33"/>
  <c r="C88" i="34" s="1"/>
  <c r="C82" i="33"/>
  <c r="C82" i="34" s="1"/>
  <c r="C83" i="33"/>
  <c r="C83" i="34" s="1"/>
  <c r="C84" i="33"/>
  <c r="C84" i="34" s="1"/>
  <c r="C81" i="33"/>
  <c r="C81" i="34" s="1"/>
  <c r="C80" i="33"/>
  <c r="C80" i="34" s="1"/>
  <c r="C73" i="33"/>
  <c r="C73" i="34" s="1"/>
  <c r="C74" i="33"/>
  <c r="C74" i="34" s="1"/>
  <c r="C75" i="33"/>
  <c r="C75" i="34" s="1"/>
  <c r="C72" i="33"/>
  <c r="C72" i="34" s="1"/>
  <c r="C71" i="33"/>
  <c r="C71" i="34" s="1"/>
  <c r="C64" i="33"/>
  <c r="C64" i="34" s="1"/>
  <c r="C65" i="33"/>
  <c r="C65" i="34" s="1"/>
  <c r="C66" i="33"/>
  <c r="C66" i="34" s="1"/>
  <c r="C70" i="33"/>
  <c r="C70" i="34" s="1"/>
  <c r="C63" i="33"/>
  <c r="C63" i="34" s="1"/>
  <c r="C62" i="33"/>
  <c r="C62" i="34" s="1"/>
  <c r="C51" i="17"/>
  <c r="C34" i="33"/>
  <c r="C34" i="34" s="1"/>
  <c r="C35" i="33"/>
  <c r="C35" i="34" s="1"/>
  <c r="C36" i="33"/>
  <c r="C36" i="34" s="1"/>
  <c r="C33" i="33"/>
  <c r="C33" i="34" s="1"/>
  <c r="C37" i="33"/>
  <c r="C37" i="34" s="1"/>
  <c r="B37" i="33"/>
  <c r="B37" i="34" s="1"/>
  <c r="C47" i="33"/>
  <c r="C47" i="34" s="1"/>
  <c r="C48" i="33"/>
  <c r="C48" i="34" s="1"/>
  <c r="C49" i="33"/>
  <c r="C49" i="34" s="1"/>
  <c r="C50" i="33"/>
  <c r="C50" i="34" s="1"/>
  <c r="C51" i="33"/>
  <c r="C51" i="34" s="1"/>
  <c r="C52" i="33"/>
  <c r="C52" i="34" s="1"/>
  <c r="C53" i="33"/>
  <c r="C53" i="34" s="1"/>
  <c r="C46" i="33"/>
  <c r="C46" i="34" s="1"/>
  <c r="C39" i="33"/>
  <c r="C39" i="34" s="1"/>
  <c r="C40" i="33"/>
  <c r="C40" i="34" s="1"/>
  <c r="C41" i="33"/>
  <c r="C41" i="34" s="1"/>
  <c r="C38" i="33"/>
  <c r="C38" i="34" s="1"/>
  <c r="C26" i="33"/>
  <c r="C26" i="34" s="1"/>
  <c r="C27" i="33"/>
  <c r="C27" i="34" s="1"/>
  <c r="C25" i="33"/>
  <c r="C25" i="34" s="1"/>
  <c r="C24" i="33"/>
  <c r="C24" i="34" s="1"/>
  <c r="C23" i="33"/>
  <c r="C23" i="34" s="1"/>
  <c r="C22" i="33"/>
  <c r="C22" i="34" s="1"/>
  <c r="C19" i="33"/>
  <c r="C19" i="34" s="1"/>
  <c r="C20" i="33"/>
  <c r="C20" i="34" s="1"/>
  <c r="C21" i="33"/>
  <c r="C21" i="34"/>
  <c r="C18" i="33"/>
  <c r="C18" i="34" s="1"/>
  <c r="C17" i="33"/>
  <c r="C17" i="34" s="1"/>
  <c r="C14" i="33"/>
  <c r="C14" i="34" s="1"/>
  <c r="C15" i="33"/>
  <c r="C15" i="34" s="1"/>
  <c r="C16" i="33"/>
  <c r="C16" i="34" s="1"/>
  <c r="C13" i="33"/>
  <c r="C13" i="34"/>
  <c r="C12" i="33"/>
  <c r="C12" i="34" s="1"/>
  <c r="C11" i="33"/>
  <c r="C11" i="34" s="1"/>
  <c r="C10" i="33"/>
  <c r="C10" i="34" s="1"/>
  <c r="C9" i="33"/>
  <c r="C9" i="34" s="1"/>
  <c r="L38" i="32"/>
  <c r="L39" i="32"/>
  <c r="L40" i="32"/>
  <c r="L37" i="32"/>
  <c r="U34" i="4"/>
  <c r="U33" i="4"/>
  <c r="U32" i="4"/>
  <c r="U31" i="4"/>
  <c r="U30" i="4"/>
  <c r="U29" i="4"/>
  <c r="F11" i="22"/>
  <c r="B69" i="17" s="1"/>
  <c r="F11" i="7"/>
  <c r="B53" i="17" s="1"/>
  <c r="F8" i="32"/>
  <c r="C84" i="17"/>
  <c r="C83" i="17"/>
  <c r="C82" i="17"/>
  <c r="C81" i="17"/>
  <c r="B84" i="17"/>
  <c r="B83" i="17"/>
  <c r="B82" i="17"/>
  <c r="B81" i="17"/>
  <c r="C80" i="17"/>
  <c r="C79" i="17"/>
  <c r="B80" i="17"/>
  <c r="B79" i="17"/>
  <c r="C78" i="17"/>
  <c r="B78" i="17"/>
  <c r="B77" i="17"/>
  <c r="C77" i="17"/>
  <c r="C176" i="9"/>
  <c r="X29" i="4"/>
  <c r="X30" i="4"/>
  <c r="X31" i="4"/>
  <c r="X32" i="4"/>
  <c r="X33" i="4"/>
  <c r="X34" i="4"/>
  <c r="X28" i="4"/>
  <c r="X27" i="4"/>
  <c r="U28" i="4"/>
  <c r="U27" i="4"/>
  <c r="R5" i="8"/>
  <c r="R5" i="32"/>
  <c r="R5" i="10"/>
  <c r="H136" i="17"/>
  <c r="C136" i="17"/>
  <c r="B136" i="17"/>
  <c r="C65" i="17"/>
  <c r="C66" i="17"/>
  <c r="C67" i="17"/>
  <c r="C68" i="17"/>
  <c r="C69" i="17"/>
  <c r="C70" i="17"/>
  <c r="C71" i="17"/>
  <c r="C64" i="17"/>
  <c r="E25" i="22"/>
  <c r="B25" i="22" s="1"/>
  <c r="B137" i="17"/>
  <c r="B133" i="17"/>
  <c r="B132" i="17"/>
  <c r="B131" i="17"/>
  <c r="B130" i="17"/>
  <c r="B128" i="17"/>
  <c r="B127" i="17"/>
  <c r="B126" i="17"/>
  <c r="B125" i="17"/>
  <c r="B124" i="17"/>
  <c r="B123" i="17"/>
  <c r="H133" i="17"/>
  <c r="H137" i="17"/>
  <c r="H132" i="17"/>
  <c r="H131" i="17"/>
  <c r="H130" i="17"/>
  <c r="H128" i="17"/>
  <c r="H127" i="17"/>
  <c r="H126" i="17"/>
  <c r="H125" i="17"/>
  <c r="H124" i="17"/>
  <c r="H123" i="17"/>
  <c r="C137" i="17"/>
  <c r="C133" i="17"/>
  <c r="C132" i="17"/>
  <c r="C131" i="17"/>
  <c r="C130" i="17"/>
  <c r="C128" i="17"/>
  <c r="C127" i="17"/>
  <c r="C126" i="17"/>
  <c r="C125" i="17"/>
  <c r="C124" i="17"/>
  <c r="C123" i="17"/>
  <c r="K27" i="10"/>
  <c r="K26" i="10"/>
  <c r="K25" i="10"/>
  <c r="C122" i="17"/>
  <c r="H122" i="17"/>
  <c r="B122" i="17"/>
  <c r="F21" i="8"/>
  <c r="O46" i="8"/>
  <c r="O49" i="8"/>
  <c r="C151" i="33" s="1"/>
  <c r="C151" i="34" s="1"/>
  <c r="Y73" i="4"/>
  <c r="Y74" i="4"/>
  <c r="Y75" i="4"/>
  <c r="Y72" i="4"/>
  <c r="V73" i="4"/>
  <c r="V74" i="4"/>
  <c r="V75" i="4"/>
  <c r="V72" i="4"/>
  <c r="C80" i="4"/>
  <c r="C59" i="17"/>
  <c r="C60" i="17"/>
  <c r="C61" i="17"/>
  <c r="C62" i="17"/>
  <c r="C63" i="17"/>
  <c r="C58" i="17"/>
  <c r="C108" i="17"/>
  <c r="C98" i="4"/>
  <c r="C647" i="9" s="1"/>
  <c r="C97" i="4"/>
  <c r="T97" i="4" s="1"/>
  <c r="C92" i="4"/>
  <c r="P22" i="2" s="1"/>
  <c r="F11" i="24"/>
  <c r="K31" i="24" s="1"/>
  <c r="C91" i="4"/>
  <c r="G342" i="9" s="1"/>
  <c r="C90" i="4"/>
  <c r="F46" i="8" s="1"/>
  <c r="B149" i="33" s="1"/>
  <c r="B149" i="34" s="1"/>
  <c r="G521" i="9"/>
  <c r="C277" i="9"/>
  <c r="M589" i="9" s="1"/>
  <c r="C55" i="17"/>
  <c r="C54" i="17"/>
  <c r="C53" i="17"/>
  <c r="C52" i="17"/>
  <c r="M25" i="25"/>
  <c r="B80" i="33" s="1"/>
  <c r="B80" i="34" s="1"/>
  <c r="M25" i="23"/>
  <c r="B71" i="33" s="1"/>
  <c r="B71" i="34" s="1"/>
  <c r="F11" i="23"/>
  <c r="K48" i="23" s="1"/>
  <c r="C81" i="4"/>
  <c r="S26" i="13" s="1"/>
  <c r="B6" i="24"/>
  <c r="F11" i="25"/>
  <c r="K31" i="25" s="1"/>
  <c r="B6" i="25"/>
  <c r="B6" i="23"/>
  <c r="B6" i="22"/>
  <c r="B6" i="7"/>
  <c r="C82" i="4"/>
  <c r="P15" i="2" s="1"/>
  <c r="C83" i="4"/>
  <c r="P16" i="2" s="1"/>
  <c r="E51" i="9"/>
  <c r="E71" i="9" s="1"/>
  <c r="E91" i="9" s="1"/>
  <c r="E111" i="9" s="1"/>
  <c r="E131" i="9" s="1"/>
  <c r="E151" i="9" s="1"/>
  <c r="E171" i="9" s="1"/>
  <c r="C51" i="9"/>
  <c r="C71" i="9" s="1"/>
  <c r="C91" i="9" s="1"/>
  <c r="C111" i="9" s="1"/>
  <c r="C131" i="9" s="1"/>
  <c r="C151" i="9" s="1"/>
  <c r="C171" i="9" s="1"/>
  <c r="E50" i="9"/>
  <c r="E70" i="9" s="1"/>
  <c r="E90" i="9" s="1"/>
  <c r="E110" i="9" s="1"/>
  <c r="E130" i="9" s="1"/>
  <c r="E150" i="9" s="1"/>
  <c r="E170" i="9" s="1"/>
  <c r="C50" i="9"/>
  <c r="C70" i="9" s="1"/>
  <c r="C90" i="9" s="1"/>
  <c r="C110" i="9" s="1"/>
  <c r="C130" i="9" s="1"/>
  <c r="C150" i="9" s="1"/>
  <c r="C170" i="9" s="1"/>
  <c r="E49" i="9"/>
  <c r="E69" i="9" s="1"/>
  <c r="E89" i="9" s="1"/>
  <c r="E109" i="9" s="1"/>
  <c r="E129" i="9" s="1"/>
  <c r="E149" i="9" s="1"/>
  <c r="E169" i="9" s="1"/>
  <c r="C49" i="9"/>
  <c r="C69" i="9" s="1"/>
  <c r="C89" i="9" s="1"/>
  <c r="C109" i="9" s="1"/>
  <c r="C129" i="9" s="1"/>
  <c r="C149" i="9" s="1"/>
  <c r="C169" i="9" s="1"/>
  <c r="E48" i="9"/>
  <c r="E68" i="9" s="1"/>
  <c r="E88" i="9" s="1"/>
  <c r="E108" i="9" s="1"/>
  <c r="E128" i="9" s="1"/>
  <c r="E148" i="9" s="1"/>
  <c r="E168" i="9" s="1"/>
  <c r="C48" i="9"/>
  <c r="C68" i="9" s="1"/>
  <c r="C88" i="9" s="1"/>
  <c r="C108" i="9" s="1"/>
  <c r="C128" i="9" s="1"/>
  <c r="C148" i="9" s="1"/>
  <c r="C168" i="9" s="1"/>
  <c r="E37" i="9"/>
  <c r="E57" i="9" s="1"/>
  <c r="E77" i="9" s="1"/>
  <c r="E97" i="9" s="1"/>
  <c r="E117" i="9" s="1"/>
  <c r="E137" i="9" s="1"/>
  <c r="E157" i="9" s="1"/>
  <c r="C37" i="9"/>
  <c r="C57" i="9" s="1"/>
  <c r="C77" i="9" s="1"/>
  <c r="C97" i="9" s="1"/>
  <c r="C117" i="9" s="1"/>
  <c r="C137" i="9" s="1"/>
  <c r="C157" i="9" s="1"/>
  <c r="E36" i="9"/>
  <c r="E56" i="9" s="1"/>
  <c r="E76" i="9" s="1"/>
  <c r="E96" i="9" s="1"/>
  <c r="E116" i="9" s="1"/>
  <c r="E136" i="9" s="1"/>
  <c r="E156" i="9" s="1"/>
  <c r="C36" i="9"/>
  <c r="C56" i="9" s="1"/>
  <c r="C76" i="9" s="1"/>
  <c r="C96" i="9" s="1"/>
  <c r="C116" i="9" s="1"/>
  <c r="C136" i="9" s="1"/>
  <c r="C156" i="9" s="1"/>
  <c r="E35" i="9"/>
  <c r="E55" i="9" s="1"/>
  <c r="E75" i="9" s="1"/>
  <c r="E95" i="9" s="1"/>
  <c r="E115" i="9" s="1"/>
  <c r="E135" i="9" s="1"/>
  <c r="E155" i="9" s="1"/>
  <c r="C57" i="17"/>
  <c r="C56" i="17"/>
  <c r="C50" i="17"/>
  <c r="F8" i="8"/>
  <c r="J81" i="24"/>
  <c r="J65" i="24"/>
  <c r="B69" i="24"/>
  <c r="Q69" i="24" s="1"/>
  <c r="J81" i="23"/>
  <c r="J65" i="23"/>
  <c r="J81" i="22"/>
  <c r="J65" i="22"/>
  <c r="J81" i="7"/>
  <c r="J65" i="7"/>
  <c r="E105" i="23"/>
  <c r="E103" i="23"/>
  <c r="J33" i="25"/>
  <c r="I12" i="25"/>
  <c r="J33" i="24"/>
  <c r="I12" i="24"/>
  <c r="J33" i="23"/>
  <c r="I12" i="23"/>
  <c r="J33" i="22"/>
  <c r="I12" i="22"/>
  <c r="J49" i="25"/>
  <c r="B54" i="25"/>
  <c r="E54" i="25" s="1"/>
  <c r="Q54" i="25" s="1"/>
  <c r="V12" i="25"/>
  <c r="T12" i="25"/>
  <c r="L12" i="25"/>
  <c r="R5" i="25"/>
  <c r="J49" i="24"/>
  <c r="J23" i="24"/>
  <c r="X12" i="24"/>
  <c r="L12" i="24"/>
  <c r="F12" i="24"/>
  <c r="R5" i="24"/>
  <c r="X12" i="23"/>
  <c r="T12" i="23"/>
  <c r="L12" i="23"/>
  <c r="R5" i="23"/>
  <c r="J49" i="22"/>
  <c r="J23" i="22"/>
  <c r="X12" i="22"/>
  <c r="V12" i="22"/>
  <c r="L12" i="22"/>
  <c r="F12" i="22"/>
  <c r="R5" i="22"/>
  <c r="C24" i="17"/>
  <c r="C23" i="17"/>
  <c r="C22" i="17"/>
  <c r="C21" i="17"/>
  <c r="C20" i="17"/>
  <c r="C19" i="17"/>
  <c r="C18" i="17"/>
  <c r="C17" i="17"/>
  <c r="C16" i="17"/>
  <c r="C15" i="17"/>
  <c r="C14" i="17"/>
  <c r="C13" i="17"/>
  <c r="B24" i="17"/>
  <c r="B23" i="17"/>
  <c r="B22" i="17"/>
  <c r="B21" i="17"/>
  <c r="B20" i="17"/>
  <c r="B19" i="17"/>
  <c r="B18" i="17"/>
  <c r="B17" i="17"/>
  <c r="B16" i="17"/>
  <c r="B15" i="17"/>
  <c r="B14" i="17"/>
  <c r="B13" i="17"/>
  <c r="J34" i="6"/>
  <c r="J43" i="6" s="1"/>
  <c r="I43" i="6"/>
  <c r="F43" i="6"/>
  <c r="C43" i="6"/>
  <c r="P34" i="6"/>
  <c r="P43" i="6" s="1"/>
  <c r="S34" i="6"/>
  <c r="S43" i="6" s="1"/>
  <c r="V34" i="6"/>
  <c r="V43" i="6" s="1"/>
  <c r="S3" i="2" a="1"/>
  <c r="S3" i="2" s="1"/>
  <c r="S4" i="2" s="1" a="1"/>
  <c r="S4" i="2" s="1"/>
  <c r="F23" i="3"/>
  <c r="P62" i="13" s="1"/>
  <c r="X12" i="7"/>
  <c r="V12" i="7"/>
  <c r="R5" i="7"/>
  <c r="R5" i="5"/>
  <c r="R5" i="6"/>
  <c r="K9" i="9"/>
  <c r="G669" i="9"/>
  <c r="G668" i="9"/>
  <c r="G667" i="9"/>
  <c r="G666" i="9"/>
  <c r="G665" i="9"/>
  <c r="G664" i="9"/>
  <c r="G663" i="9"/>
  <c r="G662" i="9"/>
  <c r="G613" i="9"/>
  <c r="G612" i="9"/>
  <c r="G611" i="9"/>
  <c r="G610" i="9"/>
  <c r="G609" i="9"/>
  <c r="G608" i="9"/>
  <c r="G607" i="9"/>
  <c r="G606" i="9"/>
  <c r="AA49" i="6"/>
  <c r="AA50" i="6"/>
  <c r="AA51" i="6"/>
  <c r="AA52" i="6"/>
  <c r="AA48" i="6"/>
  <c r="V33" i="6"/>
  <c r="V42" i="6" s="1"/>
  <c r="V32" i="6"/>
  <c r="V41" i="6" s="1"/>
  <c r="V30" i="6"/>
  <c r="P11" i="12" s="1"/>
  <c r="S11" i="12" s="1"/>
  <c r="V31" i="6"/>
  <c r="V40" i="6" s="1"/>
  <c r="S40" i="12"/>
  <c r="P40" i="12"/>
  <c r="S69" i="12"/>
  <c r="S70" i="12"/>
  <c r="S74" i="12"/>
  <c r="S73" i="12"/>
  <c r="S72" i="12"/>
  <c r="P67" i="12"/>
  <c r="S67" i="12" s="1"/>
  <c r="P75" i="12"/>
  <c r="S75" i="12" s="1"/>
  <c r="S68" i="12"/>
  <c r="S66" i="12"/>
  <c r="P98" i="13"/>
  <c r="P97" i="13"/>
  <c r="P96" i="13"/>
  <c r="P92" i="13"/>
  <c r="P45" i="13"/>
  <c r="P44" i="13"/>
  <c r="S79" i="13" s="1"/>
  <c r="P47" i="13"/>
  <c r="P48" i="13"/>
  <c r="P49" i="13"/>
  <c r="P50" i="13"/>
  <c r="P51" i="13"/>
  <c r="P52" i="13"/>
  <c r="P53" i="13"/>
  <c r="P46" i="13"/>
  <c r="I12" i="7"/>
  <c r="K8" i="9"/>
  <c r="K7" i="9"/>
  <c r="C9" i="9"/>
  <c r="C8" i="9"/>
  <c r="C7" i="9"/>
  <c r="L250" i="9"/>
  <c r="L251" i="9"/>
  <c r="L252" i="9"/>
  <c r="L249" i="9"/>
  <c r="L270" i="9"/>
  <c r="L271" i="9"/>
  <c r="L272" i="9"/>
  <c r="L269" i="9"/>
  <c r="L256" i="9"/>
  <c r="L236" i="9"/>
  <c r="P19" i="2"/>
  <c r="P18" i="2"/>
  <c r="L6" i="2"/>
  <c r="L7" i="2"/>
  <c r="L8" i="2"/>
  <c r="L9" i="2"/>
  <c r="P13" i="12" s="1"/>
  <c r="S13" i="12" s="1"/>
  <c r="C91" i="17"/>
  <c r="C92" i="17"/>
  <c r="C93" i="17"/>
  <c r="C94" i="17"/>
  <c r="C95" i="17"/>
  <c r="C96" i="17"/>
  <c r="C97" i="17"/>
  <c r="C90" i="17"/>
  <c r="C48" i="17"/>
  <c r="C49" i="17"/>
  <c r="C47" i="17"/>
  <c r="C40" i="17"/>
  <c r="C41" i="17"/>
  <c r="C42" i="17"/>
  <c r="C43" i="17"/>
  <c r="C44" i="17"/>
  <c r="C45" i="17"/>
  <c r="C46" i="17"/>
  <c r="C39" i="17"/>
  <c r="C12" i="17"/>
  <c r="C11" i="17"/>
  <c r="C10" i="17"/>
  <c r="C32" i="17"/>
  <c r="C33" i="17"/>
  <c r="C34" i="17"/>
  <c r="C35" i="17"/>
  <c r="C36" i="17"/>
  <c r="C37" i="17"/>
  <c r="C38" i="17"/>
  <c r="C31" i="17"/>
  <c r="C30" i="17"/>
  <c r="C9" i="17"/>
  <c r="O47" i="8"/>
  <c r="C149" i="33" s="1"/>
  <c r="C149" i="34" s="1"/>
  <c r="O48" i="8"/>
  <c r="C106" i="17" s="1"/>
  <c r="J31" i="6"/>
  <c r="J40" i="6" s="1"/>
  <c r="W88" i="4"/>
  <c r="V40" i="8" s="1"/>
  <c r="T88" i="4"/>
  <c r="V41" i="8" s="1"/>
  <c r="O37" i="10"/>
  <c r="X40" i="10"/>
  <c r="F40" i="10"/>
  <c r="Y39" i="10"/>
  <c r="W41" i="10" s="1"/>
  <c r="Q41" i="10"/>
  <c r="O38" i="10"/>
  <c r="X37" i="10"/>
  <c r="F37" i="10"/>
  <c r="Y36" i="10"/>
  <c r="T41" i="10" s="1"/>
  <c r="P36" i="10"/>
  <c r="K41" i="10" s="1"/>
  <c r="N41" i="10"/>
  <c r="AK76" i="13"/>
  <c r="AH76" i="13"/>
  <c r="AE76" i="13"/>
  <c r="AB76" i="13"/>
  <c r="AK71" i="13"/>
  <c r="AH71" i="13"/>
  <c r="AE71" i="13"/>
  <c r="AB71" i="13"/>
  <c r="L4" i="2"/>
  <c r="P42" i="12" s="1"/>
  <c r="S42" i="12" s="1"/>
  <c r="Y76" i="13"/>
  <c r="V76" i="13"/>
  <c r="S76" i="13"/>
  <c r="P76" i="13"/>
  <c r="S75" i="13"/>
  <c r="V75" i="13" s="1"/>
  <c r="Y75" i="13" s="1"/>
  <c r="AB75" i="13" s="1"/>
  <c r="AE75" i="13" s="1"/>
  <c r="AH75" i="13" s="1"/>
  <c r="AK75" i="13" s="1"/>
  <c r="Y71" i="13"/>
  <c r="V71" i="13"/>
  <c r="S71" i="13"/>
  <c r="S70" i="13"/>
  <c r="V70" i="13" s="1"/>
  <c r="Y70" i="13" s="1"/>
  <c r="AB70" i="13" s="1"/>
  <c r="AE70" i="13" s="1"/>
  <c r="AH70" i="13" s="1"/>
  <c r="AK70" i="13" s="1"/>
  <c r="P63" i="13"/>
  <c r="P64" i="13"/>
  <c r="P57" i="13"/>
  <c r="P56" i="13"/>
  <c r="P61" i="13"/>
  <c r="P60" i="13"/>
  <c r="P55" i="13"/>
  <c r="P54" i="13"/>
  <c r="P37" i="13"/>
  <c r="S37" i="13" s="1"/>
  <c r="P19" i="13"/>
  <c r="S19" i="13" s="1"/>
  <c r="P36" i="13"/>
  <c r="S36" i="13" s="1"/>
  <c r="P35" i="13"/>
  <c r="S35" i="13" s="1"/>
  <c r="P34" i="13"/>
  <c r="S34" i="13" s="1"/>
  <c r="P33" i="13"/>
  <c r="S33" i="13" s="1"/>
  <c r="P32" i="13"/>
  <c r="S32" i="13" s="1"/>
  <c r="P18" i="13"/>
  <c r="S18" i="13" s="1"/>
  <c r="P17" i="13"/>
  <c r="S17" i="13" s="1"/>
  <c r="P16" i="13"/>
  <c r="S16" i="13" s="1"/>
  <c r="P15" i="13"/>
  <c r="S15" i="13" s="1"/>
  <c r="P14" i="13"/>
  <c r="S14" i="13" s="1"/>
  <c r="V68" i="13"/>
  <c r="Y68" i="13" s="1"/>
  <c r="AB68" i="13" s="1"/>
  <c r="AE68" i="13" s="1"/>
  <c r="AH68" i="13" s="1"/>
  <c r="AK68" i="13" s="1"/>
  <c r="S74" i="13"/>
  <c r="V74" i="13" s="1"/>
  <c r="Y74" i="13" s="1"/>
  <c r="AB74" i="13" s="1"/>
  <c r="AE74" i="13" s="1"/>
  <c r="AH74" i="13" s="1"/>
  <c r="AK74" i="13" s="1"/>
  <c r="P64" i="12"/>
  <c r="S64" i="12" s="1"/>
  <c r="P62" i="12"/>
  <c r="S62" i="12" s="1"/>
  <c r="P55" i="12"/>
  <c r="S55" i="12" s="1"/>
  <c r="P54" i="12"/>
  <c r="S54" i="12" s="1"/>
  <c r="P53" i="12"/>
  <c r="S53" i="12" s="1"/>
  <c r="P58" i="12"/>
  <c r="S58" i="12" s="1"/>
  <c r="P47" i="12"/>
  <c r="S47" i="12" s="1"/>
  <c r="P46" i="12"/>
  <c r="S46" i="12" s="1"/>
  <c r="P36" i="12"/>
  <c r="S36" i="12" s="1"/>
  <c r="P43" i="12"/>
  <c r="S43" i="12" s="1"/>
  <c r="S61" i="12"/>
  <c r="S60" i="12"/>
  <c r="S59" i="12"/>
  <c r="S56" i="12"/>
  <c r="S52" i="12"/>
  <c r="S51" i="12"/>
  <c r="S48" i="12"/>
  <c r="S45" i="12"/>
  <c r="P37" i="12"/>
  <c r="S37" i="12" s="1"/>
  <c r="S35" i="12"/>
  <c r="S38" i="12"/>
  <c r="S39" i="12"/>
  <c r="S27" i="12"/>
  <c r="P27" i="12"/>
  <c r="P22" i="12"/>
  <c r="S22" i="12" s="1"/>
  <c r="P20" i="12"/>
  <c r="S20" i="12" s="1"/>
  <c r="P23" i="12"/>
  <c r="S23" i="12" s="1"/>
  <c r="P21" i="12"/>
  <c r="S21" i="12" s="1"/>
  <c r="P19" i="12"/>
  <c r="S19" i="12" s="1"/>
  <c r="P18" i="12"/>
  <c r="S18" i="12" s="1"/>
  <c r="S12" i="12"/>
  <c r="S16" i="12"/>
  <c r="S17" i="12"/>
  <c r="S24" i="12"/>
  <c r="S25" i="12"/>
  <c r="S26" i="12"/>
  <c r="S32" i="12"/>
  <c r="S33" i="12"/>
  <c r="S9" i="12"/>
  <c r="P15" i="12"/>
  <c r="S15" i="12" s="1"/>
  <c r="P31" i="12"/>
  <c r="S31" i="12" s="1"/>
  <c r="P30" i="12"/>
  <c r="S30" i="12" s="1"/>
  <c r="C31" i="12"/>
  <c r="N21" i="10"/>
  <c r="Q20" i="10"/>
  <c r="N20" i="10"/>
  <c r="B91" i="17"/>
  <c r="B95" i="17"/>
  <c r="B92" i="17"/>
  <c r="B96" i="17"/>
  <c r="B93" i="17"/>
  <c r="B97" i="17"/>
  <c r="B94" i="17"/>
  <c r="B90" i="17"/>
  <c r="O41" i="8"/>
  <c r="C104" i="17" s="1"/>
  <c r="O40" i="8"/>
  <c r="C145" i="33" s="1"/>
  <c r="C145" i="34" s="1"/>
  <c r="F39" i="8"/>
  <c r="B103" i="17" s="1"/>
  <c r="E34" i="5"/>
  <c r="J32" i="5" s="1"/>
  <c r="R30" i="5" s="1"/>
  <c r="L12" i="7"/>
  <c r="I40" i="6"/>
  <c r="J33" i="6"/>
  <c r="J42" i="6" s="1"/>
  <c r="R49" i="6"/>
  <c r="B24" i="33" s="1"/>
  <c r="B24" i="34" s="1"/>
  <c r="R50" i="6"/>
  <c r="B25" i="33" s="1"/>
  <c r="B25" i="34" s="1"/>
  <c r="R51" i="6"/>
  <c r="B26" i="33" s="1"/>
  <c r="B26" i="34" s="1"/>
  <c r="R52" i="6"/>
  <c r="B27" i="33" s="1"/>
  <c r="B27" i="34" s="1"/>
  <c r="R48" i="6"/>
  <c r="B23" i="33" s="1"/>
  <c r="B23" i="34" s="1"/>
  <c r="AD52" i="6"/>
  <c r="X52" i="6"/>
  <c r="AD51" i="6"/>
  <c r="X51" i="6"/>
  <c r="AD50" i="6"/>
  <c r="X50" i="6"/>
  <c r="AD49" i="6"/>
  <c r="X49" i="6"/>
  <c r="AD48" i="6"/>
  <c r="X48" i="6"/>
  <c r="F42" i="6"/>
  <c r="C42" i="6"/>
  <c r="F41" i="6"/>
  <c r="C41" i="6"/>
  <c r="F40" i="6"/>
  <c r="C40" i="6"/>
  <c r="C39" i="6"/>
  <c r="I42" i="6"/>
  <c r="I41" i="6"/>
  <c r="J32" i="6"/>
  <c r="J41" i="6" s="1"/>
  <c r="I39" i="6"/>
  <c r="J30" i="6"/>
  <c r="J39" i="6" s="1"/>
  <c r="S31" i="6"/>
  <c r="S40" i="6" s="1"/>
  <c r="P31" i="6"/>
  <c r="P40" i="6" s="1"/>
  <c r="S32" i="6"/>
  <c r="S41" i="6" s="1"/>
  <c r="P32" i="6"/>
  <c r="P41" i="6" s="1"/>
  <c r="S33" i="6"/>
  <c r="S42" i="6" s="1"/>
  <c r="P33" i="6"/>
  <c r="P42" i="6" s="1"/>
  <c r="P30" i="6"/>
  <c r="P39" i="6" s="1"/>
  <c r="S30" i="6"/>
  <c r="S39" i="6" s="1"/>
  <c r="G214" i="9"/>
  <c r="G197" i="9"/>
  <c r="W92" i="4"/>
  <c r="Q85" i="4"/>
  <c r="Q77" i="4"/>
  <c r="U15" i="4"/>
  <c r="P28" i="12" s="1"/>
  <c r="B57" i="7"/>
  <c r="E57" i="7" s="1"/>
  <c r="T57" i="7" s="1"/>
  <c r="J49" i="7"/>
  <c r="P20" i="2"/>
  <c r="M275" i="9"/>
  <c r="C107" i="17"/>
  <c r="E104" i="23"/>
  <c r="B40" i="7"/>
  <c r="E40" i="7" s="1"/>
  <c r="T40" i="7" s="1"/>
  <c r="B56" i="33"/>
  <c r="B56" i="34" s="1"/>
  <c r="E129" i="5"/>
  <c r="J129" i="5" s="1"/>
  <c r="B53" i="25"/>
  <c r="B85" i="23"/>
  <c r="B57" i="33"/>
  <c r="B57" i="34" s="1"/>
  <c r="E126" i="5"/>
  <c r="J126" i="5" s="1"/>
  <c r="B56" i="25"/>
  <c r="E56" i="25" s="1"/>
  <c r="B83" i="7"/>
  <c r="E106" i="23"/>
  <c r="B58" i="22"/>
  <c r="M58" i="22" s="1"/>
  <c r="B90" i="25"/>
  <c r="B41" i="33"/>
  <c r="B41" i="34" s="1"/>
  <c r="C150" i="33"/>
  <c r="C150" i="34" s="1"/>
  <c r="T89" i="4"/>
  <c r="W89" i="4"/>
  <c r="F40" i="8"/>
  <c r="B146" i="33" s="1"/>
  <c r="B146" i="34" s="1"/>
  <c r="G217" i="9"/>
  <c r="X21" i="4"/>
  <c r="AH78" i="13" s="1"/>
  <c r="E103" i="25"/>
  <c r="Y82" i="13"/>
  <c r="B45" i="17"/>
  <c r="M103" i="24"/>
  <c r="AK84" i="13"/>
  <c r="B74" i="7"/>
  <c r="E105" i="22"/>
  <c r="U22" i="4"/>
  <c r="AK77" i="13" s="1"/>
  <c r="AK83" i="13"/>
  <c r="E50" i="5"/>
  <c r="Q50" i="5" s="1"/>
  <c r="E103" i="22"/>
  <c r="E105" i="24"/>
  <c r="B90" i="24"/>
  <c r="AH83" i="13"/>
  <c r="P10" i="2"/>
  <c r="E106" i="25"/>
  <c r="B86" i="25"/>
  <c r="E86" i="25" s="1"/>
  <c r="T86" i="25" s="1"/>
  <c r="B73" i="22"/>
  <c r="M73" i="22" s="1"/>
  <c r="B38" i="7"/>
  <c r="E38" i="7" s="1"/>
  <c r="T38" i="7" s="1"/>
  <c r="M25" i="24"/>
  <c r="B105" i="33" s="1"/>
  <c r="B105" i="34" s="1"/>
  <c r="B54" i="7"/>
  <c r="E54" i="7" s="1"/>
  <c r="Z54" i="7" s="1"/>
  <c r="Y83" i="13"/>
  <c r="Y67" i="13"/>
  <c r="E104" i="25"/>
  <c r="B70" i="25"/>
  <c r="M70" i="25" s="1"/>
  <c r="B84" i="33" s="1"/>
  <c r="B84" i="34" s="1"/>
  <c r="B70" i="22"/>
  <c r="M70" i="22" s="1"/>
  <c r="B54" i="23"/>
  <c r="E49" i="5"/>
  <c r="Q49" i="5" s="1"/>
  <c r="B42" i="17"/>
  <c r="G198" i="9"/>
  <c r="AH84" i="13"/>
  <c r="B57" i="25"/>
  <c r="E57" i="25" s="1"/>
  <c r="Q57" i="25" s="1"/>
  <c r="B38" i="25"/>
  <c r="E38" i="25" s="1"/>
  <c r="T38" i="25" s="1"/>
  <c r="E105" i="25"/>
  <c r="E104" i="24"/>
  <c r="E106" i="24"/>
  <c r="B86" i="24"/>
  <c r="E86" i="24" s="1"/>
  <c r="P57" i="12"/>
  <c r="B37" i="7"/>
  <c r="E37" i="7" s="1"/>
  <c r="B56" i="7"/>
  <c r="E56" i="7" s="1"/>
  <c r="B53" i="7"/>
  <c r="G216" i="9"/>
  <c r="P50" i="12"/>
  <c r="B37" i="25"/>
  <c r="M37" i="25" s="1"/>
  <c r="B69" i="25"/>
  <c r="B72" i="7"/>
  <c r="Q72" i="7" s="1"/>
  <c r="B69" i="22"/>
  <c r="E69" i="22" s="1"/>
  <c r="K31" i="7"/>
  <c r="E104" i="7"/>
  <c r="E105" i="7"/>
  <c r="E103" i="7"/>
  <c r="E106" i="7"/>
  <c r="M25" i="7"/>
  <c r="B62" i="33" s="1"/>
  <c r="B62" i="34" s="1"/>
  <c r="AK79" i="13"/>
  <c r="C133" i="9"/>
  <c r="B73" i="23"/>
  <c r="B89" i="7"/>
  <c r="Q89" i="7" s="1"/>
  <c r="M25" i="22"/>
  <c r="B96" i="33" s="1"/>
  <c r="B96" i="34" s="1"/>
  <c r="E106" i="22"/>
  <c r="E104" i="22"/>
  <c r="B35" i="22"/>
  <c r="M35" i="22" s="1"/>
  <c r="B97" i="33" s="1"/>
  <c r="B97" i="34" s="1"/>
  <c r="B83" i="22"/>
  <c r="M83" i="22" s="1"/>
  <c r="C591" i="9"/>
  <c r="B62" i="5"/>
  <c r="AC62" i="5"/>
  <c r="W90" i="4" l="1"/>
  <c r="C146" i="33"/>
  <c r="C146" i="34" s="1"/>
  <c r="M103" i="25"/>
  <c r="F27" i="6"/>
  <c r="B11" i="17" s="1"/>
  <c r="B56" i="23"/>
  <c r="M56" i="23" s="1"/>
  <c r="B77" i="33" s="1"/>
  <c r="B77" i="34" s="1"/>
  <c r="P8" i="12"/>
  <c r="B88" i="7"/>
  <c r="B51" i="25"/>
  <c r="E51" i="25" s="1"/>
  <c r="W51" i="25" s="1"/>
  <c r="G226" i="9"/>
  <c r="M104" i="25"/>
  <c r="Z62" i="5"/>
  <c r="B58" i="23"/>
  <c r="M58" i="23" s="1"/>
  <c r="B79" i="33" s="1"/>
  <c r="B79" i="34" s="1"/>
  <c r="B58" i="7"/>
  <c r="M58" i="7" s="1"/>
  <c r="B53" i="33"/>
  <c r="B53" i="34" s="1"/>
  <c r="B42" i="22"/>
  <c r="B45" i="33"/>
  <c r="B45" i="34" s="1"/>
  <c r="T62" i="5"/>
  <c r="B89" i="24"/>
  <c r="E89" i="24" s="1"/>
  <c r="AH82" i="13"/>
  <c r="G201" i="9"/>
  <c r="B57" i="22"/>
  <c r="E57" i="22" s="1"/>
  <c r="Q57" i="22" s="1"/>
  <c r="B42" i="7"/>
  <c r="M42" i="7" s="1"/>
  <c r="B70" i="33" s="1"/>
  <c r="B70" i="34" s="1"/>
  <c r="B58" i="25"/>
  <c r="M58" i="25" s="1"/>
  <c r="B74" i="24"/>
  <c r="Q74" i="24" s="1"/>
  <c r="B46" i="17"/>
  <c r="B73" i="24"/>
  <c r="E73" i="24" s="1"/>
  <c r="T73" i="24" s="1"/>
  <c r="B42" i="24"/>
  <c r="E42" i="24" s="1"/>
  <c r="T42" i="24" s="1"/>
  <c r="B42" i="23"/>
  <c r="E42" i="23" s="1"/>
  <c r="Z42" i="23" s="1"/>
  <c r="B61" i="33"/>
  <c r="B61" i="34" s="1"/>
  <c r="B60" i="17"/>
  <c r="P4" i="2"/>
  <c r="B35" i="23"/>
  <c r="E35" i="23" s="1"/>
  <c r="W35" i="23" s="1"/>
  <c r="P83" i="13"/>
  <c r="M104" i="24"/>
  <c r="P63" i="12"/>
  <c r="B56" i="24"/>
  <c r="E56" i="24" s="1"/>
  <c r="T56" i="24" s="1"/>
  <c r="B88" i="22"/>
  <c r="Q88" i="22" s="1"/>
  <c r="U20" i="4"/>
  <c r="AE77" i="13" s="1"/>
  <c r="AE67" i="13"/>
  <c r="B40" i="22"/>
  <c r="M40" i="22" s="1"/>
  <c r="B102" i="33" s="1"/>
  <c r="B102" i="34" s="1"/>
  <c r="B83" i="25"/>
  <c r="Q83" i="25" s="1"/>
  <c r="B83" i="24"/>
  <c r="Q83" i="24" s="1"/>
  <c r="B35" i="24"/>
  <c r="AE84" i="13"/>
  <c r="P9" i="2"/>
  <c r="P82" i="13"/>
  <c r="B67" i="7"/>
  <c r="Q67" i="7" s="1"/>
  <c r="AE83" i="13"/>
  <c r="B83" i="23"/>
  <c r="M83" i="23" s="1"/>
  <c r="B51" i="23"/>
  <c r="M51" i="23" s="1"/>
  <c r="B72" i="33" s="1"/>
  <c r="B72" i="34" s="1"/>
  <c r="B88" i="24"/>
  <c r="G200" i="9"/>
  <c r="E123" i="5"/>
  <c r="B123" i="5" s="1"/>
  <c r="B43" i="33"/>
  <c r="B43" i="34" s="1"/>
  <c r="B88" i="25"/>
  <c r="B40" i="24"/>
  <c r="E40" i="24" s="1"/>
  <c r="Q40" i="24" s="1"/>
  <c r="B67" i="22"/>
  <c r="M67" i="22" s="1"/>
  <c r="B67" i="24"/>
  <c r="B51" i="24"/>
  <c r="C212" i="9"/>
  <c r="G210" i="9" s="1"/>
  <c r="B72" i="25"/>
  <c r="Q72" i="25" s="1"/>
  <c r="B40" i="23"/>
  <c r="E40" i="23" s="1"/>
  <c r="Z40" i="23" s="1"/>
  <c r="G195" i="9"/>
  <c r="X20" i="4"/>
  <c r="AE78" i="13" s="1"/>
  <c r="E48" i="5"/>
  <c r="B36" i="17" s="1"/>
  <c r="B72" i="23"/>
  <c r="Q72" i="23" s="1"/>
  <c r="M104" i="22"/>
  <c r="B39" i="17"/>
  <c r="B51" i="7"/>
  <c r="E51" i="7" s="1"/>
  <c r="K46" i="7" s="1"/>
  <c r="P84" i="13"/>
  <c r="M104" i="7"/>
  <c r="C113" i="9"/>
  <c r="G242" i="9" s="1"/>
  <c r="B44" i="17"/>
  <c r="B54" i="33"/>
  <c r="B54" i="34" s="1"/>
  <c r="E128" i="5"/>
  <c r="J128" i="5" s="1"/>
  <c r="W98" i="4"/>
  <c r="AE82" i="13"/>
  <c r="R12" i="4"/>
  <c r="B48" i="17"/>
  <c r="S8" i="13"/>
  <c r="B51" i="33"/>
  <c r="B51" i="34" s="1"/>
  <c r="B72" i="24"/>
  <c r="Q72" i="24" s="1"/>
  <c r="B67" i="23"/>
  <c r="Q67" i="23" s="1"/>
  <c r="C13" i="9"/>
  <c r="G237" i="9" s="1"/>
  <c r="M103" i="7"/>
  <c r="B56" i="22"/>
  <c r="M56" i="22" s="1"/>
  <c r="G219" i="9"/>
  <c r="E43" i="5"/>
  <c r="S73" i="13" s="1"/>
  <c r="V73" i="13" s="1"/>
  <c r="Y73" i="13" s="1"/>
  <c r="AB73" i="13" s="1"/>
  <c r="AE73" i="13" s="1"/>
  <c r="AH73" i="13" s="1"/>
  <c r="AK73" i="13" s="1"/>
  <c r="B72" i="22"/>
  <c r="Q72" i="22" s="1"/>
  <c r="B35" i="25"/>
  <c r="E35" i="25" s="1"/>
  <c r="X15" i="4"/>
  <c r="P29" i="12" s="1"/>
  <c r="M103" i="23"/>
  <c r="B51" i="22"/>
  <c r="E51" i="22" s="1"/>
  <c r="Z51" i="22" s="1"/>
  <c r="M104" i="23"/>
  <c r="P71" i="12"/>
  <c r="B35" i="7"/>
  <c r="B38" i="33"/>
  <c r="B38" i="34" s="1"/>
  <c r="B40" i="25"/>
  <c r="E40" i="25" s="1"/>
  <c r="B59" i="33"/>
  <c r="B59" i="34" s="1"/>
  <c r="S38" i="13"/>
  <c r="W81" i="4"/>
  <c r="T83" i="4"/>
  <c r="B88" i="23"/>
  <c r="E88" i="23" s="1"/>
  <c r="T88" i="23" s="1"/>
  <c r="M103" i="22"/>
  <c r="M69" i="24"/>
  <c r="M57" i="7"/>
  <c r="B34" i="33"/>
  <c r="B34" i="34" s="1"/>
  <c r="S20" i="13"/>
  <c r="T91" i="4"/>
  <c r="V49" i="8" s="1"/>
  <c r="T81" i="4"/>
  <c r="W97" i="4"/>
  <c r="B50" i="17"/>
  <c r="P14" i="2"/>
  <c r="C254" i="9"/>
  <c r="G251" i="9" s="1"/>
  <c r="S21" i="13"/>
  <c r="F47" i="8"/>
  <c r="B150" i="33" s="1"/>
  <c r="B150" i="34" s="1"/>
  <c r="C384" i="9"/>
  <c r="M382" i="9" s="1"/>
  <c r="B62" i="17"/>
  <c r="B145" i="33"/>
  <c r="B145" i="34" s="1"/>
  <c r="B148" i="33"/>
  <c r="B148" i="34" s="1"/>
  <c r="T98" i="4"/>
  <c r="T90" i="4"/>
  <c r="P21" i="13"/>
  <c r="E58" i="22"/>
  <c r="Z58" i="22" s="1"/>
  <c r="T57" i="25"/>
  <c r="C103" i="17"/>
  <c r="P41" i="12"/>
  <c r="S41" i="12" s="1"/>
  <c r="P31" i="13"/>
  <c r="S31" i="13" s="1"/>
  <c r="B105" i="17"/>
  <c r="E83" i="22"/>
  <c r="T83" i="22" s="1"/>
  <c r="B67" i="25"/>
  <c r="E35" i="22"/>
  <c r="K29" i="22" s="1"/>
  <c r="B71" i="17"/>
  <c r="P80" i="13"/>
  <c r="B67" i="17"/>
  <c r="M56" i="7"/>
  <c r="M37" i="7"/>
  <c r="B65" i="33" s="1"/>
  <c r="B65" i="34" s="1"/>
  <c r="P13" i="13"/>
  <c r="S13" i="13" s="1"/>
  <c r="W69" i="22"/>
  <c r="B64" i="17"/>
  <c r="B66" i="17"/>
  <c r="K31" i="22"/>
  <c r="B56" i="17"/>
  <c r="B63" i="17"/>
  <c r="B68" i="17"/>
  <c r="B54" i="17"/>
  <c r="B70" i="17"/>
  <c r="B65" i="17"/>
  <c r="P14" i="12"/>
  <c r="S14" i="12" s="1"/>
  <c r="E51" i="24"/>
  <c r="K46" i="24" s="1"/>
  <c r="B114" i="17"/>
  <c r="B58" i="17"/>
  <c r="E25" i="25"/>
  <c r="B25" i="25" s="1"/>
  <c r="E35" i="7"/>
  <c r="E25" i="23"/>
  <c r="J23" i="23" s="1"/>
  <c r="B104" i="17"/>
  <c r="E25" i="7"/>
  <c r="E25" i="24"/>
  <c r="K20" i="24" s="1"/>
  <c r="K31" i="23"/>
  <c r="B57" i="17"/>
  <c r="B61" i="17"/>
  <c r="B59" i="17"/>
  <c r="W86" i="24"/>
  <c r="F48" i="8"/>
  <c r="B108" i="17"/>
  <c r="W91" i="4"/>
  <c r="V48" i="8" s="1"/>
  <c r="P21" i="2"/>
  <c r="T92" i="4"/>
  <c r="M40" i="7"/>
  <c r="B68" i="33" s="1"/>
  <c r="B68" i="34" s="1"/>
  <c r="W49" i="5"/>
  <c r="Q83" i="22"/>
  <c r="Q69" i="22"/>
  <c r="M38" i="7"/>
  <c r="B66" i="33" s="1"/>
  <c r="B66" i="34" s="1"/>
  <c r="M88" i="23"/>
  <c r="Z49" i="5"/>
  <c r="M57" i="25"/>
  <c r="B37" i="17"/>
  <c r="M49" i="5"/>
  <c r="B41" i="22"/>
  <c r="B57" i="24"/>
  <c r="E69" i="24"/>
  <c r="W69" i="24" s="1"/>
  <c r="E88" i="22"/>
  <c r="T88" i="22" s="1"/>
  <c r="B69" i="7"/>
  <c r="Q69" i="7" s="1"/>
  <c r="U17" i="4"/>
  <c r="V77" i="13" s="1"/>
  <c r="C53" i="9"/>
  <c r="E45" i="5"/>
  <c r="B33" i="17" s="1"/>
  <c r="V82" i="13"/>
  <c r="B41" i="7"/>
  <c r="B73" i="7"/>
  <c r="E73" i="7" s="1"/>
  <c r="W73" i="7" s="1"/>
  <c r="B41" i="25"/>
  <c r="U21" i="4"/>
  <c r="AH77" i="13" s="1"/>
  <c r="B41" i="23"/>
  <c r="E41" i="23" s="1"/>
  <c r="B89" i="22"/>
  <c r="E89" i="22" s="1"/>
  <c r="B89" i="25"/>
  <c r="E89" i="25" s="1"/>
  <c r="T89" i="25" s="1"/>
  <c r="B37" i="22"/>
  <c r="M37" i="22" s="1"/>
  <c r="B99" i="33" s="1"/>
  <c r="B99" i="34" s="1"/>
  <c r="B37" i="24"/>
  <c r="B85" i="25"/>
  <c r="M85" i="25" s="1"/>
  <c r="B90" i="33" s="1"/>
  <c r="B90" i="34" s="1"/>
  <c r="B44" i="33"/>
  <c r="B44" i="34" s="1"/>
  <c r="V83" i="13"/>
  <c r="Q73" i="22"/>
  <c r="Z57" i="25"/>
  <c r="M69" i="22"/>
  <c r="B53" i="24"/>
  <c r="Q88" i="23"/>
  <c r="B89" i="23"/>
  <c r="B57" i="23"/>
  <c r="M54" i="25"/>
  <c r="B53" i="23"/>
  <c r="B85" i="7"/>
  <c r="M85" i="7" s="1"/>
  <c r="V84" i="13"/>
  <c r="B37" i="23"/>
  <c r="M37" i="23" s="1"/>
  <c r="P6" i="2"/>
  <c r="B73" i="25"/>
  <c r="E73" i="25" s="1"/>
  <c r="T73" i="25" s="1"/>
  <c r="AH67" i="13"/>
  <c r="B41" i="24"/>
  <c r="M41" i="24" s="1"/>
  <c r="B85" i="22"/>
  <c r="E85" i="22" s="1"/>
  <c r="E125" i="5"/>
  <c r="B85" i="24"/>
  <c r="M85" i="24" s="1"/>
  <c r="P77" i="13"/>
  <c r="V39" i="6"/>
  <c r="E65" i="5"/>
  <c r="Q65" i="5" s="1"/>
  <c r="E73" i="22"/>
  <c r="B52" i="7"/>
  <c r="E52" i="7" s="1"/>
  <c r="B84" i="24"/>
  <c r="E84" i="24" s="1"/>
  <c r="W84" i="24" s="1"/>
  <c r="Z86" i="24"/>
  <c r="T86" i="24"/>
  <c r="Q90" i="24"/>
  <c r="E90" i="24"/>
  <c r="W90" i="24" s="1"/>
  <c r="M90" i="24"/>
  <c r="T82" i="4"/>
  <c r="P20" i="13"/>
  <c r="C193" i="9"/>
  <c r="M191" i="9" s="1"/>
  <c r="W82" i="4"/>
  <c r="B35" i="33"/>
  <c r="B35" i="34" s="1"/>
  <c r="P8" i="13"/>
  <c r="B49" i="17"/>
  <c r="K21" i="22"/>
  <c r="K20" i="22"/>
  <c r="T25" i="22"/>
  <c r="Q25" i="22"/>
  <c r="E53" i="25"/>
  <c r="W53" i="25" s="1"/>
  <c r="M53" i="25"/>
  <c r="M35" i="24"/>
  <c r="B106" i="33" s="1"/>
  <c r="B106" i="34" s="1"/>
  <c r="E35" i="24"/>
  <c r="Z35" i="24" s="1"/>
  <c r="M42" i="22"/>
  <c r="B104" i="33" s="1"/>
  <c r="B104" i="34" s="1"/>
  <c r="E42" i="22"/>
  <c r="AE79" i="13"/>
  <c r="AH79" i="13"/>
  <c r="P79" i="13"/>
  <c r="V79" i="13"/>
  <c r="AB79" i="13"/>
  <c r="Y79" i="13"/>
  <c r="S69" i="13"/>
  <c r="V69" i="13" s="1"/>
  <c r="Y69" i="13" s="1"/>
  <c r="AB69" i="13" s="1"/>
  <c r="AE69" i="13" s="1"/>
  <c r="AH69" i="13" s="1"/>
  <c r="AK69" i="13" s="1"/>
  <c r="M88" i="25"/>
  <c r="B93" i="33" s="1"/>
  <c r="B93" i="34" s="1"/>
  <c r="Q88" i="25"/>
  <c r="E88" i="25"/>
  <c r="T88" i="25" s="1"/>
  <c r="M51" i="25"/>
  <c r="E88" i="24"/>
  <c r="Z88" i="24" s="1"/>
  <c r="M88" i="24"/>
  <c r="B70" i="24"/>
  <c r="M70" i="24" s="1"/>
  <c r="E46" i="5"/>
  <c r="B34" i="17" s="1"/>
  <c r="B86" i="23"/>
  <c r="M86" i="23" s="1"/>
  <c r="P7" i="2"/>
  <c r="B54" i="24"/>
  <c r="B86" i="7"/>
  <c r="E86" i="7" s="1"/>
  <c r="C153" i="9"/>
  <c r="AK67" i="13"/>
  <c r="AK82" i="13"/>
  <c r="B38" i="24"/>
  <c r="B74" i="23"/>
  <c r="M74" i="23" s="1"/>
  <c r="B70" i="7"/>
  <c r="M70" i="7" s="1"/>
  <c r="B74" i="22"/>
  <c r="Q62" i="5"/>
  <c r="B90" i="23"/>
  <c r="X22" i="4"/>
  <c r="AK78" i="13" s="1"/>
  <c r="G594" i="9"/>
  <c r="Q42" i="24"/>
  <c r="M51" i="24"/>
  <c r="B70" i="23"/>
  <c r="U18" i="4"/>
  <c r="Y77" i="13" s="1"/>
  <c r="B86" i="22"/>
  <c r="B38" i="23"/>
  <c r="M38" i="23" s="1"/>
  <c r="X18" i="4"/>
  <c r="Y78" i="13" s="1"/>
  <c r="B38" i="22"/>
  <c r="E38" i="22" s="1"/>
  <c r="C73" i="9"/>
  <c r="B74" i="25"/>
  <c r="G221" i="9"/>
  <c r="B90" i="22"/>
  <c r="Q90" i="22" s="1"/>
  <c r="G202" i="9"/>
  <c r="P11" i="2"/>
  <c r="B42" i="25"/>
  <c r="B90" i="7"/>
  <c r="M90" i="7" s="1"/>
  <c r="E130" i="5"/>
  <c r="B58" i="24"/>
  <c r="Y84" i="13"/>
  <c r="B54" i="22"/>
  <c r="E66" i="5"/>
  <c r="Z42" i="24"/>
  <c r="B55" i="17"/>
  <c r="Z88" i="23"/>
  <c r="K20" i="23"/>
  <c r="B52" i="17"/>
  <c r="M86" i="24"/>
  <c r="Q86" i="24"/>
  <c r="G262" i="9"/>
  <c r="E85" i="23"/>
  <c r="T85" i="23" s="1"/>
  <c r="M85" i="23"/>
  <c r="E74" i="7"/>
  <c r="T74" i="7" s="1"/>
  <c r="M74" i="7"/>
  <c r="Q74" i="7"/>
  <c r="M106" i="22"/>
  <c r="M105" i="24"/>
  <c r="P5" i="2"/>
  <c r="E127" i="5"/>
  <c r="J127" i="5" s="1"/>
  <c r="AB84" i="13"/>
  <c r="E72" i="7"/>
  <c r="W72" i="7" s="1"/>
  <c r="E67" i="22"/>
  <c r="Z67" i="22" s="1"/>
  <c r="Z69" i="22"/>
  <c r="T69" i="22"/>
  <c r="M72" i="7"/>
  <c r="M38" i="25"/>
  <c r="T40" i="24"/>
  <c r="G264" i="9"/>
  <c r="G244" i="9"/>
  <c r="Q73" i="7"/>
  <c r="B68" i="24"/>
  <c r="Q68" i="24" s="1"/>
  <c r="B55" i="24"/>
  <c r="M55" i="24" s="1"/>
  <c r="M42" i="24"/>
  <c r="Q88" i="24"/>
  <c r="W56" i="25"/>
  <c r="Q69" i="25"/>
  <c r="E69" i="25"/>
  <c r="T69" i="25" s="1"/>
  <c r="P38" i="13"/>
  <c r="G207" i="9"/>
  <c r="T80" i="4"/>
  <c r="W80" i="4"/>
  <c r="P13" i="2"/>
  <c r="B33" i="33"/>
  <c r="B33" i="34" s="1"/>
  <c r="C234" i="9"/>
  <c r="B47" i="33"/>
  <c r="B47" i="34" s="1"/>
  <c r="B39" i="33"/>
  <c r="B39" i="34" s="1"/>
  <c r="S57" i="12"/>
  <c r="B36" i="23"/>
  <c r="M106" i="23"/>
  <c r="B68" i="23"/>
  <c r="B36" i="24"/>
  <c r="S50" i="12"/>
  <c r="B68" i="25"/>
  <c r="C33" i="9"/>
  <c r="S8" i="12"/>
  <c r="S63" i="12"/>
  <c r="G196" i="9"/>
  <c r="M106" i="7"/>
  <c r="B84" i="25"/>
  <c r="M84" i="25" s="1"/>
  <c r="B89" i="33" s="1"/>
  <c r="B89" i="34" s="1"/>
  <c r="B40" i="17"/>
  <c r="F36" i="6"/>
  <c r="B18" i="33" s="1"/>
  <c r="B18" i="34" s="1"/>
  <c r="E44" i="5"/>
  <c r="M44" i="5" s="1"/>
  <c r="G215" i="9"/>
  <c r="M106" i="25"/>
  <c r="M106" i="24"/>
  <c r="M105" i="7"/>
  <c r="B36" i="22"/>
  <c r="S83" i="13"/>
  <c r="S84" i="13"/>
  <c r="M105" i="22"/>
  <c r="B55" i="33"/>
  <c r="B55" i="34" s="1"/>
  <c r="B52" i="22"/>
  <c r="S82" i="13"/>
  <c r="S71" i="12"/>
  <c r="B52" i="23"/>
  <c r="M105" i="23"/>
  <c r="B68" i="7"/>
  <c r="B52" i="24"/>
  <c r="X16" i="4"/>
  <c r="B52" i="25"/>
  <c r="M105" i="25"/>
  <c r="B84" i="7"/>
  <c r="M69" i="25"/>
  <c r="B83" i="33" s="1"/>
  <c r="B83" i="34" s="1"/>
  <c r="B43" i="5"/>
  <c r="AC43" i="5"/>
  <c r="M53" i="7"/>
  <c r="E53" i="7"/>
  <c r="Q53" i="7" s="1"/>
  <c r="P26" i="13"/>
  <c r="U16" i="4"/>
  <c r="B30" i="17"/>
  <c r="P88" i="13"/>
  <c r="Q85" i="24"/>
  <c r="M63" i="5"/>
  <c r="B50" i="33" s="1"/>
  <c r="B50" i="34" s="1"/>
  <c r="B43" i="17"/>
  <c r="B71" i="23"/>
  <c r="Q71" i="23" s="1"/>
  <c r="U19" i="4"/>
  <c r="AB77" i="13" s="1"/>
  <c r="X19" i="4"/>
  <c r="AB78" i="13" s="1"/>
  <c r="B39" i="25"/>
  <c r="B39" i="7"/>
  <c r="AB82" i="13"/>
  <c r="C93" i="9"/>
  <c r="G241" i="9" s="1"/>
  <c r="P8" i="2"/>
  <c r="B87" i="23"/>
  <c r="M87" i="23" s="1"/>
  <c r="E47" i="5"/>
  <c r="AC47" i="5" s="1"/>
  <c r="G199" i="9"/>
  <c r="B87" i="22"/>
  <c r="B42" i="33"/>
  <c r="B42" i="34" s="1"/>
  <c r="AB67" i="13"/>
  <c r="B71" i="7"/>
  <c r="B39" i="24"/>
  <c r="B39" i="23"/>
  <c r="B87" i="24"/>
  <c r="G218" i="9"/>
  <c r="B71" i="22"/>
  <c r="E71" i="22" s="1"/>
  <c r="B55" i="22"/>
  <c r="B39" i="22"/>
  <c r="B55" i="23"/>
  <c r="W57" i="25"/>
  <c r="B87" i="7"/>
  <c r="M35" i="7"/>
  <c r="B63" i="33" s="1"/>
  <c r="B63" i="34" s="1"/>
  <c r="E37" i="23"/>
  <c r="T37" i="23" s="1"/>
  <c r="E70" i="22"/>
  <c r="Q70" i="22"/>
  <c r="B36" i="25"/>
  <c r="B84" i="22"/>
  <c r="Q86" i="25"/>
  <c r="M86" i="25"/>
  <c r="B91" i="33" s="1"/>
  <c r="B91" i="34" s="1"/>
  <c r="B55" i="7"/>
  <c r="W88" i="23"/>
  <c r="E37" i="25"/>
  <c r="B71" i="24"/>
  <c r="M83" i="25"/>
  <c r="B88" i="33" s="1"/>
  <c r="B88" i="34" s="1"/>
  <c r="E83" i="25"/>
  <c r="J81" i="25" s="1"/>
  <c r="G263" i="9"/>
  <c r="G243" i="9"/>
  <c r="Q42" i="23"/>
  <c r="T42" i="23"/>
  <c r="E67" i="7"/>
  <c r="W67" i="7" s="1"/>
  <c r="M67" i="7"/>
  <c r="B36" i="7"/>
  <c r="B47" i="17"/>
  <c r="B87" i="25"/>
  <c r="B55" i="25"/>
  <c r="AB83" i="13"/>
  <c r="B51" i="17"/>
  <c r="T37" i="7"/>
  <c r="Q90" i="25"/>
  <c r="M90" i="25"/>
  <c r="B95" i="33" s="1"/>
  <c r="B95" i="34" s="1"/>
  <c r="M83" i="7"/>
  <c r="E83" i="7"/>
  <c r="K78" i="7" s="1"/>
  <c r="E40" i="22"/>
  <c r="E67" i="23"/>
  <c r="M67" i="23"/>
  <c r="G257" i="9"/>
  <c r="G596" i="9"/>
  <c r="M89" i="7"/>
  <c r="E89" i="7"/>
  <c r="E73" i="23"/>
  <c r="Q73" i="23"/>
  <c r="M73" i="23"/>
  <c r="Q83" i="7"/>
  <c r="E54" i="23"/>
  <c r="M54" i="23"/>
  <c r="B75" i="33" s="1"/>
  <c r="B75" i="34" s="1"/>
  <c r="Q83" i="23"/>
  <c r="E90" i="25"/>
  <c r="T90" i="25" s="1"/>
  <c r="E58" i="25"/>
  <c r="Q56" i="24"/>
  <c r="Z54" i="25"/>
  <c r="W54" i="25"/>
  <c r="T54" i="25"/>
  <c r="E88" i="7"/>
  <c r="M88" i="7"/>
  <c r="Q88" i="7"/>
  <c r="Z38" i="25"/>
  <c r="W38" i="25"/>
  <c r="E86" i="23"/>
  <c r="E70" i="25"/>
  <c r="Q70" i="25"/>
  <c r="Q56" i="7"/>
  <c r="W56" i="7"/>
  <c r="T56" i="7"/>
  <c r="B49" i="5"/>
  <c r="T49" i="5"/>
  <c r="T56" i="25"/>
  <c r="Q56" i="25"/>
  <c r="Z56" i="25"/>
  <c r="B41" i="17"/>
  <c r="B69" i="23"/>
  <c r="B71" i="25"/>
  <c r="J57" i="5"/>
  <c r="E64" i="5"/>
  <c r="B40" i="33"/>
  <c r="B40" i="34" s="1"/>
  <c r="B84" i="23"/>
  <c r="B60" i="33"/>
  <c r="B60" i="34" s="1"/>
  <c r="E124" i="5"/>
  <c r="J124" i="5" s="1"/>
  <c r="B58" i="33"/>
  <c r="B58" i="34" s="1"/>
  <c r="G220" i="9"/>
  <c r="B53" i="22"/>
  <c r="E63" i="5"/>
  <c r="X17" i="4"/>
  <c r="V78" i="13" s="1"/>
  <c r="V67" i="13"/>
  <c r="E103" i="24"/>
  <c r="B68" i="22"/>
  <c r="Z56" i="7"/>
  <c r="W50" i="5"/>
  <c r="T50" i="5"/>
  <c r="AC50" i="5"/>
  <c r="B38" i="17"/>
  <c r="M50" i="5"/>
  <c r="Z50" i="5"/>
  <c r="B129" i="5"/>
  <c r="B50" i="5"/>
  <c r="AC49" i="5"/>
  <c r="B61" i="5"/>
  <c r="B126" i="5"/>
  <c r="B34" i="5"/>
  <c r="Q61" i="5"/>
  <c r="B128" i="5"/>
  <c r="W61" i="5"/>
  <c r="T61" i="5"/>
  <c r="Z61" i="5"/>
  <c r="K39" i="5"/>
  <c r="R29" i="5"/>
  <c r="M34" i="5"/>
  <c r="Q34" i="5" s="1"/>
  <c r="K30" i="5"/>
  <c r="P58" i="13" s="1"/>
  <c r="K29" i="5"/>
  <c r="P59" i="13" s="1"/>
  <c r="M43" i="5"/>
  <c r="B31" i="17"/>
  <c r="W34" i="5"/>
  <c r="P81" i="13"/>
  <c r="L5" i="2"/>
  <c r="T4" i="2"/>
  <c r="S5" i="2" a="1"/>
  <c r="S5" i="2" s="1"/>
  <c r="Q54" i="7"/>
  <c r="W54" i="7"/>
  <c r="T54" i="7"/>
  <c r="W57" i="7"/>
  <c r="Z57" i="7"/>
  <c r="Q57" i="7"/>
  <c r="B36" i="33"/>
  <c r="B36" i="34" s="1"/>
  <c r="W83" i="4"/>
  <c r="G675" i="9"/>
  <c r="B147" i="33"/>
  <c r="B147" i="34" s="1"/>
  <c r="G674" i="9"/>
  <c r="M56" i="25"/>
  <c r="M54" i="7"/>
  <c r="B9" i="17"/>
  <c r="B14" i="33"/>
  <c r="B14" i="34" s="1"/>
  <c r="B16" i="33"/>
  <c r="B16" i="34" s="1"/>
  <c r="Q85" i="23"/>
  <c r="C105" i="17"/>
  <c r="G418" i="9"/>
  <c r="G341" i="9"/>
  <c r="G417" i="9"/>
  <c r="G340" i="9"/>
  <c r="G420" i="9"/>
  <c r="G333" i="9"/>
  <c r="G388" i="9"/>
  <c r="G361" i="9"/>
  <c r="G291" i="9"/>
  <c r="C486" i="9"/>
  <c r="G387" i="9"/>
  <c r="G360" i="9"/>
  <c r="G363" i="9"/>
  <c r="G343" i="9"/>
  <c r="G619" i="9"/>
  <c r="G618" i="9"/>
  <c r="B111" i="17"/>
  <c r="B112" i="17"/>
  <c r="B113" i="17"/>
  <c r="B110" i="17"/>
  <c r="G288" i="9"/>
  <c r="G362" i="9"/>
  <c r="G520" i="9"/>
  <c r="G281" i="9"/>
  <c r="G519" i="9"/>
  <c r="G280" i="9"/>
  <c r="G522" i="9"/>
  <c r="G510" i="9"/>
  <c r="G408" i="9"/>
  <c r="G289" i="9"/>
  <c r="G490" i="9"/>
  <c r="G311" i="9"/>
  <c r="G489" i="9"/>
  <c r="G310" i="9"/>
  <c r="G290" i="9"/>
  <c r="G309" i="9"/>
  <c r="G308" i="9"/>
  <c r="G407" i="9"/>
  <c r="G332" i="9"/>
  <c r="G509" i="9"/>
  <c r="Q53" i="8"/>
  <c r="Q54" i="8"/>
  <c r="B109" i="17"/>
  <c r="Q86" i="23" l="1"/>
  <c r="E58" i="7"/>
  <c r="Q58" i="7" s="1"/>
  <c r="M51" i="22"/>
  <c r="E56" i="23"/>
  <c r="T34" i="5"/>
  <c r="T43" i="5"/>
  <c r="Q74" i="23"/>
  <c r="G652" i="9"/>
  <c r="Q43" i="5"/>
  <c r="J123" i="5"/>
  <c r="B11" i="33"/>
  <c r="B11" i="34" s="1"/>
  <c r="G306" i="9"/>
  <c r="K29" i="23"/>
  <c r="Z35" i="23"/>
  <c r="B15" i="33"/>
  <c r="B15" i="34" s="1"/>
  <c r="K30" i="23"/>
  <c r="W42" i="23"/>
  <c r="M35" i="23"/>
  <c r="W43" i="5"/>
  <c r="M40" i="24"/>
  <c r="G650" i="9"/>
  <c r="T35" i="23"/>
  <c r="M51" i="7"/>
  <c r="Q35" i="23"/>
  <c r="B13" i="33"/>
  <c r="B13" i="34" s="1"/>
  <c r="B17" i="33"/>
  <c r="B17" i="34" s="1"/>
  <c r="E74" i="24"/>
  <c r="G358" i="9"/>
  <c r="B9" i="33"/>
  <c r="B9" i="34" s="1"/>
  <c r="B106" i="17"/>
  <c r="M56" i="24"/>
  <c r="G209" i="9"/>
  <c r="E83" i="23"/>
  <c r="M52" i="7"/>
  <c r="E85" i="24"/>
  <c r="T85" i="24" s="1"/>
  <c r="K78" i="22"/>
  <c r="W51" i="22"/>
  <c r="Z83" i="22"/>
  <c r="M89" i="24"/>
  <c r="M72" i="25"/>
  <c r="B86" i="33" s="1"/>
  <c r="B86" i="34" s="1"/>
  <c r="Q67" i="22"/>
  <c r="K79" i="22"/>
  <c r="M57" i="22"/>
  <c r="W83" i="22"/>
  <c r="M72" i="22"/>
  <c r="E72" i="24"/>
  <c r="Z72" i="24" s="1"/>
  <c r="G261" i="9"/>
  <c r="J41" i="5"/>
  <c r="Z43" i="5" s="1"/>
  <c r="G256" i="9"/>
  <c r="Q89" i="24"/>
  <c r="M73" i="24"/>
  <c r="Q73" i="24"/>
  <c r="E38" i="23"/>
  <c r="W38" i="23" s="1"/>
  <c r="W73" i="24"/>
  <c r="E72" i="22"/>
  <c r="W72" i="22" s="1"/>
  <c r="M74" i="24"/>
  <c r="E58" i="23"/>
  <c r="T58" i="23" s="1"/>
  <c r="E42" i="7"/>
  <c r="Q58" i="22"/>
  <c r="Z40" i="24"/>
  <c r="E56" i="22"/>
  <c r="Q56" i="22" s="1"/>
  <c r="Z73" i="24"/>
  <c r="M42" i="23"/>
  <c r="E72" i="25"/>
  <c r="T72" i="25" s="1"/>
  <c r="P78" i="13"/>
  <c r="Q48" i="5"/>
  <c r="AC48" i="5"/>
  <c r="T48" i="5"/>
  <c r="M48" i="5"/>
  <c r="K63" i="22"/>
  <c r="K47" i="22"/>
  <c r="Z48" i="5"/>
  <c r="W48" i="5"/>
  <c r="Q51" i="22"/>
  <c r="B48" i="5"/>
  <c r="K46" i="22"/>
  <c r="S27" i="13"/>
  <c r="P66" i="13"/>
  <c r="W35" i="25"/>
  <c r="K29" i="25"/>
  <c r="Z40" i="25"/>
  <c r="M35" i="25"/>
  <c r="M40" i="23"/>
  <c r="E72" i="23"/>
  <c r="E83" i="24"/>
  <c r="M67" i="24"/>
  <c r="Q67" i="24"/>
  <c r="T40" i="23"/>
  <c r="S9" i="13"/>
  <c r="M83" i="24"/>
  <c r="T40" i="25"/>
  <c r="E67" i="24"/>
  <c r="K62" i="24" s="1"/>
  <c r="E51" i="23"/>
  <c r="Q51" i="23" s="1"/>
  <c r="W40" i="25"/>
  <c r="T58" i="22"/>
  <c r="W40" i="23"/>
  <c r="T51" i="24"/>
  <c r="M72" i="23"/>
  <c r="M72" i="24"/>
  <c r="M88" i="22"/>
  <c r="T51" i="22"/>
  <c r="M40" i="25"/>
  <c r="M89" i="25"/>
  <c r="B94" i="33" s="1"/>
  <c r="B94" i="34" s="1"/>
  <c r="E37" i="22"/>
  <c r="Q37" i="22" s="1"/>
  <c r="G250" i="9"/>
  <c r="G249" i="9"/>
  <c r="Q71" i="22"/>
  <c r="G252" i="9"/>
  <c r="Q25" i="23"/>
  <c r="K21" i="23"/>
  <c r="Q44" i="5"/>
  <c r="Q25" i="24"/>
  <c r="W58" i="22"/>
  <c r="T67" i="22"/>
  <c r="Q70" i="7"/>
  <c r="T88" i="24"/>
  <c r="K30" i="22"/>
  <c r="T35" i="22"/>
  <c r="W88" i="24"/>
  <c r="E84" i="25"/>
  <c r="T84" i="25" s="1"/>
  <c r="Q35" i="22"/>
  <c r="Q84" i="24"/>
  <c r="K47" i="24"/>
  <c r="M84" i="24"/>
  <c r="Q84" i="25"/>
  <c r="Z84" i="24"/>
  <c r="T25" i="7"/>
  <c r="J23" i="7"/>
  <c r="K21" i="25"/>
  <c r="J23" i="25"/>
  <c r="M67" i="25"/>
  <c r="B81" i="33" s="1"/>
  <c r="B81" i="34" s="1"/>
  <c r="Q67" i="25"/>
  <c r="E67" i="25"/>
  <c r="K20" i="7"/>
  <c r="B25" i="7"/>
  <c r="T35" i="7"/>
  <c r="J33" i="7"/>
  <c r="Q73" i="25"/>
  <c r="T51" i="7"/>
  <c r="T72" i="7"/>
  <c r="E85" i="7"/>
  <c r="Z85" i="7" s="1"/>
  <c r="K47" i="7"/>
  <c r="E69" i="7"/>
  <c r="W69" i="7" s="1"/>
  <c r="Z53" i="7"/>
  <c r="Z72" i="7"/>
  <c r="W51" i="7"/>
  <c r="M69" i="7"/>
  <c r="G228" i="9"/>
  <c r="G229" i="9"/>
  <c r="G236" i="9"/>
  <c r="K29" i="7"/>
  <c r="T25" i="24"/>
  <c r="K30" i="7"/>
  <c r="T57" i="22"/>
  <c r="T53" i="7"/>
  <c r="B25" i="24"/>
  <c r="T84" i="24"/>
  <c r="W57" i="22"/>
  <c r="Z57" i="22"/>
  <c r="Q51" i="7"/>
  <c r="K21" i="24"/>
  <c r="W53" i="7"/>
  <c r="Q35" i="7"/>
  <c r="T72" i="24"/>
  <c r="K21" i="7"/>
  <c r="K30" i="25"/>
  <c r="T35" i="25"/>
  <c r="AC65" i="5"/>
  <c r="T65" i="5"/>
  <c r="B45" i="5"/>
  <c r="K20" i="25"/>
  <c r="Z51" i="7"/>
  <c r="Z35" i="25"/>
  <c r="B25" i="23"/>
  <c r="T25" i="23"/>
  <c r="AC45" i="5"/>
  <c r="Q25" i="7"/>
  <c r="T25" i="25"/>
  <c r="Q25" i="25"/>
  <c r="Z74" i="7"/>
  <c r="Q51" i="24"/>
  <c r="M45" i="5"/>
  <c r="Q35" i="25"/>
  <c r="B107" i="17"/>
  <c r="B151" i="33"/>
  <c r="B151" i="34" s="1"/>
  <c r="W41" i="23"/>
  <c r="Q41" i="23"/>
  <c r="Z85" i="23"/>
  <c r="M71" i="23"/>
  <c r="M73" i="25"/>
  <c r="B87" i="33" s="1"/>
  <c r="B87" i="34" s="1"/>
  <c r="Q87" i="23"/>
  <c r="M41" i="23"/>
  <c r="E55" i="24"/>
  <c r="Q55" i="24" s="1"/>
  <c r="E71" i="23"/>
  <c r="Z71" i="23" s="1"/>
  <c r="Q86" i="7"/>
  <c r="Z46" i="5"/>
  <c r="M71" i="22"/>
  <c r="W89" i="22"/>
  <c r="T89" i="22"/>
  <c r="Z89" i="22"/>
  <c r="E70" i="24"/>
  <c r="Z70" i="24" s="1"/>
  <c r="W65" i="5"/>
  <c r="Q45" i="5"/>
  <c r="Z45" i="5"/>
  <c r="Q85" i="25"/>
  <c r="E74" i="23"/>
  <c r="Z74" i="23" s="1"/>
  <c r="W37" i="23"/>
  <c r="Q70" i="24"/>
  <c r="Q89" i="25"/>
  <c r="Z73" i="7"/>
  <c r="T67" i="7"/>
  <c r="E68" i="24"/>
  <c r="W68" i="24" s="1"/>
  <c r="M68" i="24"/>
  <c r="W88" i="22"/>
  <c r="E41" i="24"/>
  <c r="Z41" i="24" s="1"/>
  <c r="Q89" i="22"/>
  <c r="W45" i="5"/>
  <c r="Z88" i="22"/>
  <c r="W72" i="24"/>
  <c r="W85" i="23"/>
  <c r="Z65" i="5"/>
  <c r="T45" i="5"/>
  <c r="B127" i="5"/>
  <c r="B65" i="5"/>
  <c r="E70" i="7"/>
  <c r="Z70" i="7" s="1"/>
  <c r="B47" i="5"/>
  <c r="Z37" i="23"/>
  <c r="E87" i="23"/>
  <c r="T87" i="23" s="1"/>
  <c r="T73" i="7"/>
  <c r="M89" i="22"/>
  <c r="E85" i="25"/>
  <c r="T85" i="25" s="1"/>
  <c r="M73" i="7"/>
  <c r="T52" i="7"/>
  <c r="Q52" i="7"/>
  <c r="M46" i="5"/>
  <c r="K79" i="7"/>
  <c r="M47" i="5"/>
  <c r="W47" i="5"/>
  <c r="E90" i="22"/>
  <c r="W90" i="22" s="1"/>
  <c r="W74" i="7"/>
  <c r="Z67" i="7"/>
  <c r="T90" i="24"/>
  <c r="Q85" i="22"/>
  <c r="M38" i="22"/>
  <c r="B100" i="33" s="1"/>
  <c r="B100" i="34" s="1"/>
  <c r="K29" i="24"/>
  <c r="J125" i="5"/>
  <c r="B125" i="5"/>
  <c r="M53" i="24"/>
  <c r="E53" i="24"/>
  <c r="M41" i="7"/>
  <c r="B69" i="33" s="1"/>
  <c r="B69" i="34" s="1"/>
  <c r="E41" i="7"/>
  <c r="G239" i="9"/>
  <c r="G259" i="9"/>
  <c r="Z69" i="24"/>
  <c r="T69" i="24"/>
  <c r="E57" i="23"/>
  <c r="M57" i="23"/>
  <c r="B78" i="33" s="1"/>
  <c r="B78" i="34" s="1"/>
  <c r="E57" i="24"/>
  <c r="M57" i="24"/>
  <c r="B124" i="5"/>
  <c r="Z47" i="5"/>
  <c r="M86" i="7"/>
  <c r="M90" i="22"/>
  <c r="Z90" i="24"/>
  <c r="Q85" i="7"/>
  <c r="M53" i="23"/>
  <c r="B74" i="33" s="1"/>
  <c r="B74" i="34" s="1"/>
  <c r="E53" i="23"/>
  <c r="M89" i="23"/>
  <c r="E89" i="23"/>
  <c r="Q89" i="23"/>
  <c r="Z72" i="22"/>
  <c r="T72" i="22"/>
  <c r="M41" i="25"/>
  <c r="E41" i="25"/>
  <c r="M41" i="22"/>
  <c r="B103" i="33" s="1"/>
  <c r="B103" i="34" s="1"/>
  <c r="E41" i="22"/>
  <c r="B46" i="5"/>
  <c r="Q47" i="5"/>
  <c r="K62" i="7"/>
  <c r="M85" i="22"/>
  <c r="E37" i="24"/>
  <c r="M37" i="24"/>
  <c r="B108" i="33" s="1"/>
  <c r="B108" i="34" s="1"/>
  <c r="P9" i="13"/>
  <c r="Z73" i="22"/>
  <c r="T73" i="22"/>
  <c r="W73" i="22"/>
  <c r="Z66" i="5"/>
  <c r="AC66" i="5"/>
  <c r="T66" i="5"/>
  <c r="W66" i="5"/>
  <c r="B66" i="5"/>
  <c r="Q66" i="5"/>
  <c r="J130" i="5"/>
  <c r="B130" i="5"/>
  <c r="G240" i="9"/>
  <c r="G260" i="9"/>
  <c r="Q86" i="22"/>
  <c r="E86" i="22"/>
  <c r="M86" i="22"/>
  <c r="E38" i="24"/>
  <c r="M38" i="24"/>
  <c r="B109" i="33" s="1"/>
  <c r="B109" i="34" s="1"/>
  <c r="T51" i="25"/>
  <c r="Q51" i="25"/>
  <c r="K46" i="25"/>
  <c r="Z51" i="25"/>
  <c r="K47" i="25"/>
  <c r="T53" i="25"/>
  <c r="Z53" i="25"/>
  <c r="Q53" i="25"/>
  <c r="M54" i="22"/>
  <c r="E54" i="22"/>
  <c r="E90" i="7"/>
  <c r="Q90" i="7"/>
  <c r="Q74" i="22"/>
  <c r="M74" i="22"/>
  <c r="E74" i="22"/>
  <c r="W46" i="5"/>
  <c r="Q46" i="5"/>
  <c r="AC46" i="5"/>
  <c r="T46" i="5"/>
  <c r="Q42" i="22"/>
  <c r="T42" i="22"/>
  <c r="K30" i="24"/>
  <c r="Q35" i="24"/>
  <c r="T35" i="24"/>
  <c r="M42" i="25"/>
  <c r="E42" i="25"/>
  <c r="M70" i="23"/>
  <c r="Q70" i="23"/>
  <c r="E70" i="23"/>
  <c r="E54" i="24"/>
  <c r="M54" i="24"/>
  <c r="E58" i="24"/>
  <c r="M58" i="24"/>
  <c r="Q74" i="25"/>
  <c r="E74" i="25"/>
  <c r="T74" i="25" s="1"/>
  <c r="M74" i="25"/>
  <c r="Q90" i="23"/>
  <c r="M90" i="23"/>
  <c r="E90" i="23"/>
  <c r="W56" i="22"/>
  <c r="Q56" i="23"/>
  <c r="T56" i="23"/>
  <c r="K63" i="24"/>
  <c r="Q42" i="7"/>
  <c r="T42" i="7"/>
  <c r="K62" i="22"/>
  <c r="W67" i="22"/>
  <c r="Z38" i="23"/>
  <c r="M71" i="24"/>
  <c r="E71" i="24"/>
  <c r="Q71" i="24"/>
  <c r="Z70" i="22"/>
  <c r="T70" i="22"/>
  <c r="W70" i="22"/>
  <c r="E87" i="7"/>
  <c r="M87" i="7"/>
  <c r="Q87" i="7"/>
  <c r="M39" i="22"/>
  <c r="B101" i="33" s="1"/>
  <c r="B101" i="34" s="1"/>
  <c r="E39" i="22"/>
  <c r="E87" i="24"/>
  <c r="M87" i="24"/>
  <c r="Q87" i="24"/>
  <c r="T47" i="5"/>
  <c r="B35" i="17"/>
  <c r="S28" i="12"/>
  <c r="S77" i="13"/>
  <c r="M84" i="7"/>
  <c r="Q84" i="7"/>
  <c r="E84" i="7"/>
  <c r="M52" i="24"/>
  <c r="E52" i="24"/>
  <c r="W44" i="5"/>
  <c r="T44" i="5"/>
  <c r="B44" i="5"/>
  <c r="B32" i="17"/>
  <c r="AC44" i="5"/>
  <c r="G359" i="9"/>
  <c r="G597" i="9"/>
  <c r="G651" i="9"/>
  <c r="G258" i="9"/>
  <c r="G653" i="9"/>
  <c r="G238" i="9"/>
  <c r="G595" i="9"/>
  <c r="G307" i="9"/>
  <c r="Q68" i="23"/>
  <c r="E68" i="23"/>
  <c r="M68" i="23"/>
  <c r="E36" i="7"/>
  <c r="M36" i="7"/>
  <c r="B64" i="33" s="1"/>
  <c r="B64" i="34" s="1"/>
  <c r="K78" i="25"/>
  <c r="K79" i="25"/>
  <c r="T83" i="25"/>
  <c r="E55" i="7"/>
  <c r="M55" i="7"/>
  <c r="M84" i="22"/>
  <c r="Q84" i="22"/>
  <c r="E84" i="22"/>
  <c r="M55" i="22"/>
  <c r="E55" i="22"/>
  <c r="E39" i="23"/>
  <c r="M39" i="23"/>
  <c r="E39" i="7"/>
  <c r="M39" i="7"/>
  <c r="B67" i="33" s="1"/>
  <c r="B67" i="34" s="1"/>
  <c r="M68" i="7"/>
  <c r="E68" i="7"/>
  <c r="Q68" i="7"/>
  <c r="B21" i="33"/>
  <c r="B21" i="34" s="1"/>
  <c r="B10" i="33"/>
  <c r="B10" i="34" s="1"/>
  <c r="B19" i="33"/>
  <c r="B19" i="34" s="1"/>
  <c r="B10" i="17"/>
  <c r="B12" i="17"/>
  <c r="B20" i="33"/>
  <c r="B20" i="34" s="1"/>
  <c r="B12" i="33"/>
  <c r="B12" i="34" s="1"/>
  <c r="B22" i="33"/>
  <c r="B22" i="34" s="1"/>
  <c r="Q68" i="25"/>
  <c r="M68" i="25"/>
  <c r="B82" i="33" s="1"/>
  <c r="B82" i="34" s="1"/>
  <c r="E68" i="25"/>
  <c r="T68" i="25" s="1"/>
  <c r="E55" i="25"/>
  <c r="M55" i="25"/>
  <c r="T89" i="24"/>
  <c r="Z89" i="24"/>
  <c r="W89" i="24"/>
  <c r="W37" i="25"/>
  <c r="Z37" i="25"/>
  <c r="T37" i="25"/>
  <c r="E36" i="25"/>
  <c r="M36" i="25"/>
  <c r="W71" i="22"/>
  <c r="Z71" i="22"/>
  <c r="T71" i="22"/>
  <c r="E39" i="24"/>
  <c r="M39" i="24"/>
  <c r="M87" i="22"/>
  <c r="Q87" i="22"/>
  <c r="E87" i="22"/>
  <c r="E39" i="25"/>
  <c r="M39" i="25"/>
  <c r="T85" i="22"/>
  <c r="Z85" i="22"/>
  <c r="W85" i="22"/>
  <c r="T38" i="22"/>
  <c r="Q38" i="22"/>
  <c r="M52" i="25"/>
  <c r="E52" i="25"/>
  <c r="E52" i="22"/>
  <c r="M52" i="22"/>
  <c r="M36" i="23"/>
  <c r="E36" i="23"/>
  <c r="G272" i="9"/>
  <c r="G271" i="9"/>
  <c r="M232" i="9"/>
  <c r="G270" i="9"/>
  <c r="G269" i="9"/>
  <c r="P27" i="13"/>
  <c r="M87" i="25"/>
  <c r="B92" i="33" s="1"/>
  <c r="B92" i="34" s="1"/>
  <c r="E87" i="25"/>
  <c r="T87" i="25" s="1"/>
  <c r="Q87" i="25"/>
  <c r="Z85" i="24"/>
  <c r="W85" i="24"/>
  <c r="E55" i="23"/>
  <c r="M55" i="23"/>
  <c r="B76" i="33" s="1"/>
  <c r="B76" i="34" s="1"/>
  <c r="E71" i="7"/>
  <c r="Q71" i="7"/>
  <c r="M71" i="7"/>
  <c r="Z41" i="23"/>
  <c r="T41" i="23"/>
  <c r="S29" i="12"/>
  <c r="S78" i="13"/>
  <c r="M52" i="23"/>
  <c r="B73" i="33" s="1"/>
  <c r="B73" i="34" s="1"/>
  <c r="E52" i="23"/>
  <c r="E36" i="22"/>
  <c r="M36" i="22"/>
  <c r="B98" i="33" s="1"/>
  <c r="B98" i="34" s="1"/>
  <c r="M36" i="24"/>
  <c r="B107" i="33" s="1"/>
  <c r="B107" i="34" s="1"/>
  <c r="E36" i="24"/>
  <c r="T58" i="7"/>
  <c r="W60" i="5"/>
  <c r="T60" i="5"/>
  <c r="B60" i="5"/>
  <c r="Q60" i="5"/>
  <c r="AC60" i="5"/>
  <c r="Z60" i="5"/>
  <c r="B59" i="5"/>
  <c r="W59" i="5"/>
  <c r="K54" i="5"/>
  <c r="Z59" i="5"/>
  <c r="AC59" i="5"/>
  <c r="K55" i="5"/>
  <c r="T59" i="5"/>
  <c r="Q59" i="5"/>
  <c r="Z86" i="7"/>
  <c r="T86" i="7"/>
  <c r="W86" i="7"/>
  <c r="T86" i="23"/>
  <c r="W86" i="23"/>
  <c r="Z86" i="23"/>
  <c r="W58" i="25"/>
  <c r="Z58" i="25"/>
  <c r="T58" i="25"/>
  <c r="Q58" i="25"/>
  <c r="Z83" i="23"/>
  <c r="K79" i="23"/>
  <c r="W83" i="23"/>
  <c r="K78" i="23"/>
  <c r="T83" i="23"/>
  <c r="Z73" i="23"/>
  <c r="W73" i="23"/>
  <c r="T73" i="23"/>
  <c r="M53" i="22"/>
  <c r="E53" i="22"/>
  <c r="Q71" i="25"/>
  <c r="M71" i="25"/>
  <c r="B85" i="33" s="1"/>
  <c r="B85" i="34" s="1"/>
  <c r="E71" i="25"/>
  <c r="T71" i="25" s="1"/>
  <c r="W52" i="7"/>
  <c r="Z52" i="7"/>
  <c r="Z89" i="7"/>
  <c r="T89" i="7"/>
  <c r="W89" i="7"/>
  <c r="M69" i="23"/>
  <c r="E69" i="23"/>
  <c r="Q69" i="23"/>
  <c r="T70" i="25"/>
  <c r="T88" i="7"/>
  <c r="W88" i="7"/>
  <c r="Z88" i="7"/>
  <c r="K62" i="23"/>
  <c r="Z67" i="23"/>
  <c r="W67" i="23"/>
  <c r="T67" i="23"/>
  <c r="Q40" i="22"/>
  <c r="T40" i="22"/>
  <c r="Q68" i="22"/>
  <c r="M68" i="22"/>
  <c r="E68" i="22"/>
  <c r="W63" i="5"/>
  <c r="Z63" i="5"/>
  <c r="T63" i="5"/>
  <c r="AC63" i="5"/>
  <c r="Q63" i="5"/>
  <c r="B63" i="5"/>
  <c r="E84" i="23"/>
  <c r="Q84" i="23"/>
  <c r="M84" i="23"/>
  <c r="W64" i="5"/>
  <c r="Q64" i="5"/>
  <c r="T64" i="5"/>
  <c r="Z64" i="5"/>
  <c r="B64" i="5"/>
  <c r="AC64" i="5"/>
  <c r="W74" i="24"/>
  <c r="Z74" i="24"/>
  <c r="T74" i="24"/>
  <c r="W58" i="7"/>
  <c r="Z58" i="7"/>
  <c r="T54" i="23"/>
  <c r="Q54" i="23"/>
  <c r="Z83" i="7"/>
  <c r="W83" i="7"/>
  <c r="T83" i="7"/>
  <c r="S72" i="13"/>
  <c r="V72" i="13" s="1"/>
  <c r="Y72" i="13" s="1"/>
  <c r="AB72" i="13" s="1"/>
  <c r="AE72" i="13" s="1"/>
  <c r="AH72" i="13" s="1"/>
  <c r="AK72" i="13" s="1"/>
  <c r="P65" i="13"/>
  <c r="P12" i="13"/>
  <c r="S12" i="13" s="1"/>
  <c r="P29" i="13"/>
  <c r="S29" i="13" s="1"/>
  <c r="P11" i="13"/>
  <c r="S11" i="13" s="1"/>
  <c r="P30" i="13"/>
  <c r="S30" i="13" s="1"/>
  <c r="S6" i="2" a="1"/>
  <c r="S6" i="2" s="1"/>
  <c r="T6" i="2" s="1"/>
  <c r="T5" i="2"/>
  <c r="Q58" i="23" l="1"/>
  <c r="Z44" i="5"/>
  <c r="Z56" i="22"/>
  <c r="T56" i="22"/>
  <c r="T38" i="23"/>
  <c r="T37" i="22"/>
  <c r="K47" i="23"/>
  <c r="J49" i="23"/>
  <c r="T72" i="23"/>
  <c r="Z72" i="23"/>
  <c r="W72" i="23"/>
  <c r="T67" i="24"/>
  <c r="W67" i="24"/>
  <c r="Z67" i="24"/>
  <c r="K46" i="23"/>
  <c r="T51" i="23"/>
  <c r="T83" i="24"/>
  <c r="Z83" i="24"/>
  <c r="K78" i="24"/>
  <c r="W83" i="24"/>
  <c r="K79" i="24"/>
  <c r="T71" i="23"/>
  <c r="T70" i="24"/>
  <c r="J65" i="25"/>
  <c r="K62" i="25"/>
  <c r="T67" i="25"/>
  <c r="T85" i="7"/>
  <c r="Z69" i="7"/>
  <c r="T69" i="7"/>
  <c r="W85" i="7"/>
  <c r="T74" i="23"/>
  <c r="W74" i="23"/>
  <c r="W71" i="23"/>
  <c r="T55" i="24"/>
  <c r="T90" i="22"/>
  <c r="W70" i="7"/>
  <c r="T70" i="7"/>
  <c r="Z87" i="23"/>
  <c r="Z90" i="22"/>
  <c r="W87" i="23"/>
  <c r="Z68" i="24"/>
  <c r="T68" i="24"/>
  <c r="W70" i="24"/>
  <c r="X12" i="25"/>
  <c r="Q41" i="24"/>
  <c r="T12" i="22"/>
  <c r="T41" i="24"/>
  <c r="T53" i="23"/>
  <c r="Q53" i="23"/>
  <c r="Q41" i="7"/>
  <c r="T41" i="7"/>
  <c r="T41" i="25"/>
  <c r="Z41" i="25"/>
  <c r="Q41" i="25"/>
  <c r="W41" i="25"/>
  <c r="Q57" i="24"/>
  <c r="T57" i="24"/>
  <c r="T37" i="24"/>
  <c r="Q37" i="24"/>
  <c r="Z37" i="24"/>
  <c r="Z89" i="23"/>
  <c r="T89" i="23"/>
  <c r="W89" i="23"/>
  <c r="Q53" i="24"/>
  <c r="T53" i="24"/>
  <c r="V12" i="23"/>
  <c r="Q41" i="22"/>
  <c r="T41" i="22"/>
  <c r="Q57" i="23"/>
  <c r="T57" i="23"/>
  <c r="T70" i="23"/>
  <c r="W70" i="23"/>
  <c r="Z70" i="23"/>
  <c r="T86" i="22"/>
  <c r="Z86" i="22"/>
  <c r="W86" i="22"/>
  <c r="T58" i="24"/>
  <c r="Q58" i="24"/>
  <c r="T90" i="23"/>
  <c r="W90" i="23"/>
  <c r="Z90" i="23"/>
  <c r="T74" i="22"/>
  <c r="W74" i="22"/>
  <c r="Z74" i="22"/>
  <c r="T90" i="7"/>
  <c r="W90" i="7"/>
  <c r="Z90" i="7"/>
  <c r="Z38" i="24"/>
  <c r="Q38" i="24"/>
  <c r="T38" i="24"/>
  <c r="T54" i="24"/>
  <c r="Q54" i="24"/>
  <c r="Q42" i="25"/>
  <c r="T42" i="25"/>
  <c r="Z42" i="25"/>
  <c r="W42" i="25"/>
  <c r="Q54" i="22"/>
  <c r="Z54" i="22"/>
  <c r="W54" i="22"/>
  <c r="T54" i="22"/>
  <c r="Z36" i="25"/>
  <c r="W36" i="25"/>
  <c r="T36" i="25"/>
  <c r="Q36" i="25"/>
  <c r="T68" i="7"/>
  <c r="Z68" i="7"/>
  <c r="W68" i="7"/>
  <c r="T87" i="24"/>
  <c r="W87" i="24"/>
  <c r="Z87" i="24"/>
  <c r="T55" i="23"/>
  <c r="Q55" i="23"/>
  <c r="W52" i="22"/>
  <c r="T52" i="22"/>
  <c r="Q52" i="22"/>
  <c r="Z52" i="22"/>
  <c r="Q55" i="25"/>
  <c r="Z55" i="25"/>
  <c r="T55" i="25"/>
  <c r="W55" i="25"/>
  <c r="Q39" i="23"/>
  <c r="T39" i="23"/>
  <c r="Z39" i="23"/>
  <c r="W39" i="23"/>
  <c r="Z68" i="23"/>
  <c r="W68" i="23"/>
  <c r="T68" i="23"/>
  <c r="Q52" i="24"/>
  <c r="T52" i="24"/>
  <c r="V12" i="24"/>
  <c r="Q39" i="22"/>
  <c r="T39" i="22"/>
  <c r="T87" i="7"/>
  <c r="W87" i="7"/>
  <c r="Z87" i="7"/>
  <c r="T36" i="22"/>
  <c r="Q36" i="22"/>
  <c r="W36" i="23"/>
  <c r="Z36" i="23"/>
  <c r="T36" i="23"/>
  <c r="Q36" i="23"/>
  <c r="W52" i="25"/>
  <c r="Z52" i="25"/>
  <c r="T52" i="25"/>
  <c r="Q52" i="25"/>
  <c r="T39" i="25"/>
  <c r="Z39" i="25"/>
  <c r="Q39" i="25"/>
  <c r="W39" i="25"/>
  <c r="Q55" i="22"/>
  <c r="T55" i="22"/>
  <c r="W55" i="22"/>
  <c r="Z55" i="22"/>
  <c r="Z84" i="22"/>
  <c r="T84" i="22"/>
  <c r="W84" i="22"/>
  <c r="Q55" i="7"/>
  <c r="Z55" i="7"/>
  <c r="W55" i="7"/>
  <c r="T55" i="7"/>
  <c r="Z71" i="24"/>
  <c r="W71" i="24"/>
  <c r="T71" i="24"/>
  <c r="Q36" i="24"/>
  <c r="T36" i="24"/>
  <c r="T12" i="24"/>
  <c r="Z36" i="24"/>
  <c r="Q52" i="23"/>
  <c r="T52" i="23"/>
  <c r="Z71" i="7"/>
  <c r="T71" i="7"/>
  <c r="W71" i="7"/>
  <c r="Z87" i="22"/>
  <c r="W87" i="22"/>
  <c r="T87" i="22"/>
  <c r="Z39" i="24"/>
  <c r="T39" i="24"/>
  <c r="Q39" i="24"/>
  <c r="Q39" i="7"/>
  <c r="T39" i="7"/>
  <c r="Q36" i="7"/>
  <c r="T36" i="7"/>
  <c r="T12" i="7"/>
  <c r="Z84" i="7"/>
  <c r="W84" i="7"/>
  <c r="T84" i="7"/>
  <c r="W69" i="23"/>
  <c r="Z69" i="23"/>
  <c r="T69" i="23"/>
  <c r="Z68" i="22"/>
  <c r="W68" i="22"/>
  <c r="T68" i="22"/>
  <c r="W84" i="23"/>
  <c r="T84" i="23"/>
  <c r="Z84" i="23"/>
  <c r="Z53" i="22"/>
  <c r="T53" i="22"/>
  <c r="W53" i="22"/>
  <c r="Q53" i="22"/>
  <c r="S7" i="2" a="1"/>
  <c r="S7" i="2" s="1"/>
  <c r="Y31" i="27"/>
  <c r="V31" i="16"/>
  <c r="AH32" i="29"/>
  <c r="Y32" i="29"/>
  <c r="P23" i="16"/>
  <c r="AE32" i="26"/>
  <c r="P18" i="26"/>
  <c r="AE29" i="26"/>
  <c r="S29" i="26"/>
  <c r="P45" i="28"/>
  <c r="Y29" i="29"/>
  <c r="Y32" i="28"/>
  <c r="S26" i="26"/>
  <c r="P32" i="27"/>
  <c r="S31" i="29"/>
  <c r="AE32" i="29"/>
  <c r="P20" i="29"/>
  <c r="Y28" i="28"/>
  <c r="P24" i="16"/>
  <c r="P24" i="28"/>
  <c r="P31" i="27"/>
  <c r="S32" i="27"/>
  <c r="P20" i="26"/>
  <c r="Y31" i="29"/>
  <c r="S26" i="27"/>
  <c r="S28" i="28"/>
  <c r="AE31" i="26"/>
  <c r="AB31" i="16"/>
  <c r="AB31" i="27"/>
  <c r="P35" i="16"/>
  <c r="P13" i="27"/>
  <c r="P22" i="26"/>
  <c r="AE29" i="27"/>
  <c r="P13" i="28"/>
  <c r="Y28" i="16"/>
  <c r="AH26" i="26"/>
  <c r="V28" i="16"/>
  <c r="AH28" i="26"/>
  <c r="P23" i="27"/>
  <c r="P36" i="16"/>
  <c r="AB30" i="28"/>
  <c r="Y30" i="28"/>
  <c r="V29" i="29"/>
  <c r="AB28" i="16"/>
  <c r="AB29" i="29"/>
  <c r="P10" i="26"/>
  <c r="AB32" i="16"/>
  <c r="AB30" i="26"/>
  <c r="P29" i="28"/>
  <c r="AE28" i="29"/>
  <c r="Y26" i="16"/>
  <c r="V26" i="26"/>
  <c r="P45" i="16"/>
  <c r="AB32" i="27"/>
  <c r="AH28" i="29"/>
  <c r="AE30" i="28"/>
  <c r="AH30" i="16"/>
  <c r="AB29" i="27"/>
  <c r="AH31" i="16"/>
  <c r="P31" i="29"/>
  <c r="P10" i="16"/>
  <c r="V31" i="27"/>
  <c r="AH32" i="27"/>
  <c r="P35" i="26"/>
  <c r="AH29" i="27"/>
  <c r="Y30" i="27"/>
  <c r="P24" i="27"/>
  <c r="S29" i="29"/>
  <c r="AH29" i="16"/>
  <c r="P44" i="27"/>
  <c r="Y31" i="26"/>
  <c r="V32" i="29"/>
  <c r="AB26" i="28"/>
  <c r="AB28" i="27"/>
  <c r="V29" i="27"/>
  <c r="S30" i="16"/>
  <c r="AH26" i="28"/>
  <c r="AH32" i="28"/>
  <c r="AB30" i="27"/>
  <c r="P18" i="16"/>
  <c r="AE28" i="28"/>
  <c r="P36" i="27"/>
  <c r="P23" i="28"/>
  <c r="AB30" i="29"/>
  <c r="S28" i="26"/>
  <c r="P44" i="26"/>
  <c r="S30" i="26"/>
  <c r="AH30" i="27"/>
  <c r="S32" i="16"/>
  <c r="Y29" i="16"/>
  <c r="P38" i="27"/>
  <c r="AE26" i="28"/>
  <c r="S29" i="28"/>
  <c r="P22" i="29"/>
  <c r="P31" i="16"/>
  <c r="AB28" i="28"/>
  <c r="AE30" i="26"/>
  <c r="AE26" i="16"/>
  <c r="P35" i="28"/>
  <c r="P11" i="28"/>
  <c r="V31" i="28"/>
  <c r="P20" i="28"/>
  <c r="AB32" i="28"/>
  <c r="P26" i="29"/>
  <c r="AB29" i="26"/>
  <c r="V31" i="26"/>
  <c r="P24" i="26"/>
  <c r="AB31" i="28"/>
  <c r="AH28" i="27"/>
  <c r="P32" i="16"/>
  <c r="V28" i="29"/>
  <c r="P11" i="27"/>
  <c r="P32" i="29"/>
  <c r="P46" i="16"/>
  <c r="AE30" i="16"/>
  <c r="P46" i="27"/>
  <c r="P44" i="28"/>
  <c r="AE31" i="27"/>
  <c r="V29" i="16"/>
  <c r="P28" i="27"/>
  <c r="S29" i="16"/>
  <c r="Y29" i="27"/>
  <c r="AB26" i="16"/>
  <c r="P32" i="26"/>
  <c r="P28" i="16"/>
  <c r="P31" i="28"/>
  <c r="V32" i="26"/>
  <c r="P46" i="26"/>
  <c r="P18" i="27"/>
  <c r="AE30" i="29"/>
  <c r="AB29" i="28"/>
  <c r="P38" i="26"/>
  <c r="Y31" i="28"/>
  <c r="S30" i="27"/>
  <c r="P22" i="28"/>
  <c r="P30" i="27"/>
  <c r="P26" i="26"/>
  <c r="Y26" i="29"/>
  <c r="AH26" i="29"/>
  <c r="P38" i="29"/>
  <c r="AH31" i="27"/>
  <c r="AH26" i="16"/>
  <c r="S32" i="26"/>
  <c r="Y32" i="16"/>
  <c r="Y28" i="29"/>
  <c r="S31" i="16"/>
  <c r="AH32" i="26"/>
  <c r="V30" i="28"/>
  <c r="S31" i="28"/>
  <c r="P32" i="28"/>
  <c r="AB32" i="29"/>
  <c r="Y32" i="26"/>
  <c r="AE29" i="29"/>
  <c r="V28" i="28"/>
  <c r="V29" i="28"/>
  <c r="V29" i="26"/>
  <c r="S32" i="29"/>
  <c r="AH28" i="28"/>
  <c r="P22" i="27"/>
  <c r="P21" i="27"/>
  <c r="Y30" i="29"/>
  <c r="AH31" i="29"/>
  <c r="V30" i="26"/>
  <c r="AH29" i="26"/>
  <c r="Y30" i="26"/>
  <c r="P13" i="29"/>
  <c r="P29" i="26"/>
  <c r="P38" i="16"/>
  <c r="AB26" i="27"/>
  <c r="P28" i="29"/>
  <c r="P45" i="26"/>
  <c r="AE32" i="27"/>
  <c r="AE29" i="16"/>
  <c r="P24" i="29"/>
  <c r="V28" i="27"/>
  <c r="P28" i="28"/>
  <c r="AB29" i="16"/>
  <c r="P28" i="26"/>
  <c r="AB26" i="29"/>
  <c r="P29" i="29"/>
  <c r="V32" i="28"/>
  <c r="P26" i="16"/>
  <c r="P21" i="16"/>
  <c r="V30" i="29"/>
  <c r="P26" i="27"/>
  <c r="AH28" i="16"/>
  <c r="P36" i="29"/>
  <c r="P29" i="16"/>
  <c r="AB30" i="16"/>
  <c r="V32" i="16"/>
  <c r="AE31" i="16"/>
  <c r="P46" i="28"/>
  <c r="Y28" i="26"/>
  <c r="V28" i="26"/>
  <c r="V32" i="27"/>
  <c r="P11" i="29"/>
  <c r="AE30" i="27"/>
  <c r="AH31" i="26"/>
  <c r="P10" i="28"/>
  <c r="P31" i="26"/>
  <c r="S28" i="27"/>
  <c r="V26" i="27"/>
  <c r="AH29" i="28"/>
  <c r="P30" i="29"/>
  <c r="AH32" i="16"/>
  <c r="V30" i="27"/>
  <c r="AB31" i="26"/>
  <c r="AH29" i="29"/>
  <c r="V30" i="16"/>
  <c r="P23" i="26"/>
  <c r="AE31" i="28"/>
  <c r="P11" i="16"/>
  <c r="P44" i="29"/>
  <c r="AH30" i="28"/>
  <c r="P21" i="29"/>
  <c r="P18" i="28"/>
  <c r="P13" i="16"/>
  <c r="S29" i="27"/>
  <c r="Y31" i="16"/>
  <c r="AE26" i="29"/>
  <c r="Y26" i="27"/>
  <c r="AE28" i="26"/>
  <c r="P18" i="29"/>
  <c r="Y26" i="28"/>
  <c r="AE32" i="16"/>
  <c r="P30" i="16"/>
  <c r="AE26" i="27"/>
  <c r="P11" i="26"/>
  <c r="S32" i="28"/>
  <c r="AH30" i="26"/>
  <c r="P35" i="29"/>
  <c r="S28" i="16"/>
  <c r="Y26" i="26"/>
  <c r="Y28" i="27"/>
  <c r="AH31" i="28"/>
  <c r="P30" i="26"/>
  <c r="P35" i="27"/>
  <c r="P13" i="26"/>
  <c r="AH26" i="27"/>
  <c r="AH30" i="29"/>
  <c r="P36" i="26"/>
  <c r="AE32" i="28"/>
  <c r="S28" i="29"/>
  <c r="S31" i="26"/>
  <c r="AE29" i="28"/>
  <c r="V26" i="16"/>
  <c r="P10" i="27"/>
  <c r="S26" i="16"/>
  <c r="P23" i="29"/>
  <c r="AE28" i="27"/>
  <c r="AE26" i="26"/>
  <c r="AB28" i="29"/>
  <c r="S26" i="28"/>
  <c r="S26" i="29"/>
  <c r="P45" i="29"/>
  <c r="Y30" i="16"/>
  <c r="V26" i="28"/>
  <c r="P38" i="28"/>
  <c r="AB31" i="29"/>
  <c r="P36" i="28"/>
  <c r="AB26" i="26"/>
  <c r="S30" i="28"/>
  <c r="V26" i="29"/>
  <c r="P21" i="26"/>
  <c r="P46" i="29"/>
  <c r="P20" i="16"/>
  <c r="P22" i="16"/>
  <c r="Y32" i="27"/>
  <c r="P26" i="28"/>
  <c r="AB32" i="26"/>
  <c r="S30" i="29"/>
  <c r="P20" i="27"/>
  <c r="AE28" i="16"/>
  <c r="AB28" i="26"/>
  <c r="P44" i="16"/>
  <c r="AE31" i="29"/>
  <c r="V31" i="29"/>
  <c r="P10" i="29"/>
  <c r="P29" i="27"/>
  <c r="S31" i="27"/>
  <c r="Y29" i="28"/>
  <c r="P21" i="28"/>
  <c r="P45" i="27"/>
  <c r="Y29" i="26"/>
  <c r="P30" i="28"/>
  <c r="AE25" i="27" l="1"/>
  <c r="AH25" i="16"/>
  <c r="V25" i="16"/>
  <c r="V25" i="27"/>
  <c r="AE25" i="28"/>
  <c r="Y25" i="28"/>
  <c r="Y25" i="27"/>
  <c r="S25" i="16"/>
  <c r="P39" i="26"/>
  <c r="AE25" i="29"/>
  <c r="AB25" i="28"/>
  <c r="AB25" i="26"/>
  <c r="AB25" i="16"/>
  <c r="S25" i="29"/>
  <c r="Y25" i="26"/>
  <c r="S25" i="28"/>
  <c r="AB25" i="29"/>
  <c r="V25" i="28"/>
  <c r="Y25" i="29"/>
  <c r="V25" i="29"/>
  <c r="AH25" i="27"/>
  <c r="P39" i="27"/>
  <c r="Y25" i="16"/>
  <c r="V25" i="26"/>
  <c r="AH25" i="29"/>
  <c r="P39" i="28"/>
  <c r="AE25" i="16"/>
  <c r="AB25" i="27"/>
  <c r="AH25" i="26"/>
  <c r="AE25" i="26"/>
  <c r="S25" i="26"/>
  <c r="S25" i="27"/>
  <c r="P39" i="29"/>
  <c r="P39" i="16"/>
  <c r="AH25" i="28"/>
  <c r="T7" i="2"/>
  <c r="S8" i="2" a="1"/>
  <c r="S8" i="2" s="1"/>
  <c r="T8" i="2" s="1"/>
  <c r="S9" i="2" l="1" a="1"/>
  <c r="S9" i="2" s="1"/>
  <c r="T9" i="2" s="1"/>
  <c r="S10" i="2" l="1" a="1"/>
  <c r="S10" i="2" s="1"/>
  <c r="T10" i="2" l="1"/>
  <c r="S11" i="2" a="1"/>
  <c r="S11" i="2" s="1"/>
  <c r="T11" i="2" s="1"/>
  <c r="S12" i="2" l="1" a="1"/>
  <c r="S12" i="2" s="1"/>
  <c r="T12" i="2" s="1"/>
  <c r="S13" i="2" l="1" a="1"/>
  <c r="S13" i="2" s="1"/>
  <c r="T13" i="2" s="1"/>
  <c r="S14" i="2" l="1" a="1"/>
  <c r="S14" i="2" s="1"/>
  <c r="T14" i="2" s="1"/>
  <c r="S15" i="2" l="1" a="1"/>
  <c r="S15" i="2" s="1"/>
  <c r="T15" i="2" s="1"/>
  <c r="S16" i="2" l="1" a="1"/>
  <c r="S16" i="2" s="1"/>
  <c r="T16" i="2" s="1"/>
  <c r="S17" i="2" l="1" a="1"/>
  <c r="S17" i="2" s="1"/>
  <c r="T17" i="2" s="1"/>
  <c r="S18" i="2" l="1" a="1"/>
  <c r="S18" i="2" s="1"/>
  <c r="T18" i="2" s="1"/>
  <c r="S19" i="2" l="1" a="1"/>
  <c r="S19" i="2" s="1"/>
  <c r="T19" i="2" s="1"/>
  <c r="S20" i="2" l="1" a="1"/>
  <c r="S20" i="2" s="1"/>
  <c r="T20" i="2" s="1"/>
  <c r="S21" i="2" l="1" a="1"/>
  <c r="S21" i="2" s="1"/>
  <c r="T21" i="2" s="1"/>
  <c r="S22" i="2" l="1" a="1"/>
  <c r="S22" i="2" s="1"/>
  <c r="T22" i="2" s="1"/>
  <c r="S23" i="2" l="1" a="1"/>
  <c r="S23" i="2" s="1"/>
  <c r="T23" i="2" s="1"/>
  <c r="S24" i="2" l="1" a="1"/>
  <c r="S24" i="2" s="1"/>
  <c r="T24" i="2" s="1"/>
  <c r="S25" i="2" l="1" a="1"/>
  <c r="S25" i="2" s="1"/>
  <c r="T25" i="2" s="1"/>
  <c r="S26" i="2" l="1" a="1"/>
  <c r="S26" i="2" s="1"/>
  <c r="T26" i="2" s="1"/>
  <c r="S27" i="2" l="1" a="1"/>
  <c r="S27" i="2" s="1"/>
  <c r="T27" i="2" s="1"/>
  <c r="S28" i="2" l="1" a="1"/>
  <c r="S28" i="2" s="1"/>
  <c r="T28" i="2" s="1"/>
  <c r="S29" i="2" l="1" a="1"/>
  <c r="S29" i="2" s="1"/>
  <c r="T2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Brandon Jackson</author>
    <author>Thomas J Lasswell</author>
  </authors>
  <commentList>
    <comment ref="F18" authorId="0" shapeId="0" xr:uid="{00000000-0006-0000-0100-000001000000}">
      <text>
        <r>
          <rPr>
            <sz val="9"/>
            <color indexed="81"/>
            <rFont val="Tahoma"/>
            <family val="2"/>
          </rPr>
          <t>If using Cluster Interconnect/Management switches, the email address cannot have underscores ("_") or hyphens ("-") in it.  If the email address contains these characters, create an email alias for that Distribution list without those characters.
Example:
Email Address - netapp-alerts@company.com
Email Alias - netappalerts@company.com</t>
        </r>
      </text>
    </comment>
    <comment ref="F23" authorId="1" shapeId="0" xr:uid="{00000000-0006-0000-0100-000002000000}">
      <text>
        <r>
          <rPr>
            <sz val="9"/>
            <color indexed="81"/>
            <rFont val="Tahoma"/>
            <family val="2"/>
          </rPr>
          <t xml:space="preserve">A description of the physical location of the controller. 
Use the physical address of the NetApp system in this field.
</t>
        </r>
      </text>
    </comment>
    <comment ref="F25" authorId="1" shapeId="0" xr:uid="{00000000-0006-0000-0100-000003000000}">
      <text>
        <r>
          <rPr>
            <sz val="9"/>
            <color indexed="81"/>
            <rFont val="Tahoma"/>
            <family val="2"/>
          </rPr>
          <t xml:space="preserve">The name of your network's DNS domain.
The domain name must consist of alphanumeric characters. 
Please enter only one domain here.
</t>
        </r>
      </text>
    </comment>
    <comment ref="B26" authorId="1" shapeId="0" xr:uid="{00000000-0006-0000-0100-000004000000}">
      <text>
        <r>
          <rPr>
            <sz val="9"/>
            <color indexed="81"/>
            <rFont val="Tahoma"/>
            <family val="2"/>
          </rPr>
          <t>The IP addresses of the DNS name servers.</t>
        </r>
      </text>
    </comment>
    <comment ref="B28" authorId="1" shapeId="0" xr:uid="{00000000-0006-0000-0100-000005000000}">
      <text>
        <r>
          <rPr>
            <sz val="9"/>
            <color indexed="81"/>
            <rFont val="Tahoma"/>
            <family val="2"/>
          </rPr>
          <t xml:space="preserve">The IP address(es) of the Network Time Protocol (NTP) server at your site. This server is used to synchronize the time.
</t>
        </r>
      </text>
    </comment>
    <comment ref="H34" authorId="1" shapeId="0" xr:uid="{00000000-0006-0000-0100-000006000000}">
      <text>
        <r>
          <rPr>
            <sz val="9"/>
            <color indexed="81"/>
            <rFont val="Tahoma"/>
            <family val="2"/>
          </rPr>
          <t xml:space="preserve">The modern standard form of specification of the network prefix is CIDR notation, used for both IPv4 and IPv6. 
It counts the number of bits in the prefix and appends that number to the address after a slash (/) character separator:
192.168.0.0, netmask 255.255.255.0 is written as </t>
        </r>
        <r>
          <rPr>
            <b/>
            <sz val="9"/>
            <color indexed="81"/>
            <rFont val="Tahoma"/>
            <family val="2"/>
          </rPr>
          <t>192.168.0.0/24</t>
        </r>
        <r>
          <rPr>
            <sz val="9"/>
            <color indexed="81"/>
            <rFont val="Tahoma"/>
            <family val="2"/>
          </rPr>
          <t xml:space="preserve">
</t>
        </r>
      </text>
    </comment>
    <comment ref="H48" authorId="1" shapeId="0" xr:uid="{00000000-0006-0000-0100-000007000000}">
      <text>
        <r>
          <rPr>
            <sz val="9"/>
            <color indexed="81"/>
            <rFont val="Tahoma"/>
            <family val="2"/>
          </rPr>
          <t xml:space="preserve">The modern standard form of specification of the network prefix is CIDR notation, used for both IPv4 and IPv6. 
It counts the number of bits in the prefix and appends that number to the address after a slash (/) character separator:
192.168.0.0, netmask 255.255.255.0 is written as </t>
        </r>
        <r>
          <rPr>
            <b/>
            <sz val="9"/>
            <color indexed="81"/>
            <rFont val="Tahoma"/>
            <family val="2"/>
          </rPr>
          <t>192.168.0.0/24</t>
        </r>
        <r>
          <rPr>
            <sz val="9"/>
            <color indexed="81"/>
            <rFont val="Tahoma"/>
            <family val="2"/>
          </rPr>
          <t xml:space="preserve">
</t>
        </r>
      </text>
    </comment>
    <comment ref="H62" authorId="1" shapeId="0" xr:uid="{00000000-0006-0000-0100-000008000000}">
      <text>
        <r>
          <rPr>
            <sz val="9"/>
            <color indexed="81"/>
            <rFont val="Tahoma"/>
            <family val="2"/>
          </rPr>
          <t xml:space="preserve">The modern standard form of specification of the network prefix is CIDR notation, used for both IPv4 and IPv6. 
It counts the number of bits in the prefix and appends that number to the address after a slash (/) character separator:
192.168.0.0, netmask 255.255.255.0 is written as </t>
        </r>
        <r>
          <rPr>
            <b/>
            <sz val="9"/>
            <color indexed="81"/>
            <rFont val="Tahoma"/>
            <family val="2"/>
          </rPr>
          <t>192.168.0.0/24</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Thomas J Lasswell</author>
  </authors>
  <commentList>
    <comment ref="K29" authorId="0" shapeId="0" xr:uid="{00000000-0006-0000-0400-000001000000}">
      <text>
        <r>
          <rPr>
            <sz val="9"/>
            <color indexed="81"/>
            <rFont val="Tahoma"/>
            <family val="2"/>
          </rPr>
          <t>The IP address for the router on the cluster management network.</t>
        </r>
      </text>
    </comment>
    <comment ref="F30" authorId="0" shapeId="0" xr:uid="{00000000-0006-0000-0400-000002000000}">
      <text>
        <r>
          <rPr>
            <sz val="9"/>
            <color indexed="81"/>
            <rFont val="Tahoma"/>
            <family val="2"/>
          </rPr>
          <t xml:space="preserve">The physical port that is connected to the data network and enables the cluster
administrator to manage the cluster. 
Because the cluster management interface can fail over to any node in the cluster, the cluster management interface port should have a port role of </t>
        </r>
        <r>
          <rPr>
            <b/>
            <sz val="9"/>
            <color indexed="81"/>
            <rFont val="Tahoma"/>
            <family val="2"/>
          </rPr>
          <t>data.</t>
        </r>
        <r>
          <rPr>
            <sz val="9"/>
            <color indexed="81"/>
            <rFont val="Tahoma"/>
            <family val="2"/>
          </rPr>
          <t xml:space="preserve">
For more information about the default Ethernet port roles for each platform, see the </t>
        </r>
        <r>
          <rPr>
            <i/>
            <sz val="9"/>
            <color indexed="81"/>
            <rFont val="Tahoma"/>
            <family val="2"/>
          </rPr>
          <t>Data ONTAP Network Management Guide for Cluster-Mode</t>
        </r>
        <r>
          <rPr>
            <sz val="9"/>
            <color indexed="81"/>
            <rFont val="Tahoma"/>
            <family val="2"/>
          </rPr>
          <t xml:space="preserve">.
</t>
        </r>
      </text>
    </comment>
    <comment ref="K30" authorId="0" shapeId="0" xr:uid="{00000000-0006-0000-0400-000003000000}">
      <text>
        <r>
          <rPr>
            <sz val="9"/>
            <color indexed="81"/>
            <rFont val="Tahoma"/>
            <family val="2"/>
          </rPr>
          <t xml:space="preserve">The subnet mask that defines the range of valid IP addresses on the cluster management network.
Example: 255.255.255.0
</t>
        </r>
      </text>
    </comment>
    <comment ref="J34" authorId="0" shapeId="0" xr:uid="{00000000-0006-0000-0400-000004000000}">
      <text>
        <r>
          <rPr>
            <sz val="9"/>
            <color indexed="81"/>
            <rFont val="Tahoma"/>
            <family val="2"/>
          </rPr>
          <t xml:space="preserve">A unique IP address for the cluster management interface. The cluster administrator uses this address to access the admin Vserver and manage the cluster. 
Typically, this address should be on the </t>
        </r>
        <r>
          <rPr>
            <b/>
            <sz val="9"/>
            <color indexed="81"/>
            <rFont val="Tahoma"/>
            <family val="2"/>
          </rPr>
          <t>data</t>
        </r>
        <r>
          <rPr>
            <sz val="9"/>
            <color indexed="81"/>
            <rFont val="Tahoma"/>
            <family val="2"/>
          </rPr>
          <t xml:space="preserve"> network. 
You can obtain this IP address from the administrator responsible for assigning IP addresses in your organization.
Example: 192.0.2.66
</t>
        </r>
      </text>
    </comment>
    <comment ref="K38" authorId="0" shapeId="0" xr:uid="{00000000-0006-0000-0400-000005000000}">
      <text>
        <r>
          <rPr>
            <sz val="9"/>
            <color indexed="81"/>
            <rFont val="Tahoma"/>
            <family val="2"/>
          </rPr>
          <t>The IP address for the router on the node management network.</t>
        </r>
      </text>
    </comment>
    <comment ref="F39" authorId="0" shapeId="0" xr:uid="{00000000-0006-0000-0400-000006000000}">
      <text>
        <r>
          <rPr>
            <sz val="9"/>
            <color indexed="81"/>
            <rFont val="Tahoma"/>
            <family val="2"/>
          </rPr>
          <t xml:space="preserve">The physical port that is connected to the node management network and enables the cluster administrator to manage the node. 
Because the node management interface does not fail over, the node management interface port should typically have a port role of </t>
        </r>
        <r>
          <rPr>
            <b/>
            <sz val="9"/>
            <color indexed="81"/>
            <rFont val="Tahoma"/>
            <family val="2"/>
          </rPr>
          <t>node management</t>
        </r>
        <r>
          <rPr>
            <sz val="9"/>
            <color indexed="81"/>
            <rFont val="Tahoma"/>
            <family val="2"/>
          </rPr>
          <t xml:space="preserve">; however, if necessary, it can reside on a </t>
        </r>
        <r>
          <rPr>
            <b/>
            <sz val="9"/>
            <color indexed="81"/>
            <rFont val="Tahoma"/>
            <family val="2"/>
          </rPr>
          <t>data</t>
        </r>
        <r>
          <rPr>
            <sz val="9"/>
            <color indexed="81"/>
            <rFont val="Tahoma"/>
            <family val="2"/>
          </rPr>
          <t xml:space="preserve"> port.
For more information about the default Ethernet port roles for each platform, see the </t>
        </r>
        <r>
          <rPr>
            <i/>
            <sz val="9"/>
            <color indexed="81"/>
            <rFont val="Tahoma"/>
            <family val="2"/>
          </rPr>
          <t>Data ONTAP Network Management Guide for Cluster-Mode</t>
        </r>
        <r>
          <rPr>
            <sz val="9"/>
            <color indexed="81"/>
            <rFont val="Tahoma"/>
            <family val="2"/>
          </rPr>
          <t xml:space="preserve">.
</t>
        </r>
      </text>
    </comment>
    <comment ref="K39" authorId="0" shapeId="0" xr:uid="{00000000-0006-0000-0400-000007000000}">
      <text>
        <r>
          <rPr>
            <sz val="9"/>
            <color indexed="81"/>
            <rFont val="Tahoma"/>
            <family val="2"/>
          </rPr>
          <t xml:space="preserve">The subnet mask that defines the range of valid IP addresses on the node management network.
Example: 255.255.255.0
</t>
        </r>
      </text>
    </comment>
    <comment ref="J42" authorId="0" shapeId="0" xr:uid="{00000000-0006-0000-0400-000008000000}">
      <text>
        <r>
          <rPr>
            <sz val="9"/>
            <color indexed="81"/>
            <rFont val="Tahoma"/>
            <family val="2"/>
          </rPr>
          <t xml:space="preserve">A unique IP address for the node management interface on the management network. If you defined the node management interface port to be a data port, then this IP address should be a unique IP address on the </t>
        </r>
        <r>
          <rPr>
            <b/>
            <sz val="9"/>
            <color indexed="81"/>
            <rFont val="Tahoma"/>
            <family val="2"/>
          </rPr>
          <t>data</t>
        </r>
        <r>
          <rPr>
            <sz val="9"/>
            <color indexed="81"/>
            <rFont val="Tahoma"/>
            <family val="2"/>
          </rPr>
          <t xml:space="preserve"> network.
You can obtain this IP address from the administrator responsible for assigning IP addresses in your organization.
Example: 192.0.2.66
</t>
        </r>
      </text>
    </comment>
    <comment ref="K54" authorId="0" shapeId="0" xr:uid="{00000000-0006-0000-0400-000009000000}">
      <text>
        <r>
          <rPr>
            <sz val="9"/>
            <color indexed="81"/>
            <rFont val="Tahoma"/>
            <family val="2"/>
          </rPr>
          <t>The IP address for the router on the cluster management network.</t>
        </r>
      </text>
    </comment>
    <comment ref="K55" authorId="0" shapeId="0" xr:uid="{00000000-0006-0000-0400-00000A000000}">
      <text>
        <r>
          <rPr>
            <sz val="9"/>
            <color indexed="81"/>
            <rFont val="Tahoma"/>
            <family val="2"/>
          </rPr>
          <t xml:space="preserve">The subnet mask that defines the range of valid IP addresses on the cluster management network.
Example: 255.255.255.0
</t>
        </r>
      </text>
    </comment>
    <comment ref="K118" authorId="0" shapeId="0" xr:uid="{00000000-0006-0000-0400-00000B000000}">
      <text>
        <r>
          <rPr>
            <sz val="9"/>
            <color indexed="81"/>
            <rFont val="Tahoma"/>
            <family val="2"/>
          </rPr>
          <t>The IP address for the router on the cluster management network.</t>
        </r>
      </text>
    </comment>
    <comment ref="K119" authorId="0" shapeId="0" xr:uid="{00000000-0006-0000-0400-00000C000000}">
      <text>
        <r>
          <rPr>
            <sz val="9"/>
            <color indexed="81"/>
            <rFont val="Tahoma"/>
            <family val="2"/>
          </rPr>
          <t xml:space="preserve">The subnet mask that defines the range of valid IP addresses on the cluster management network.
Example: 255.255.255.0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Thomas J Lasswell</author>
  </authors>
  <commentList>
    <comment ref="K8" authorId="0" shapeId="0" xr:uid="{00000000-0006-0000-0600-000001000000}">
      <text>
        <r>
          <rPr>
            <sz val="9"/>
            <color indexed="81"/>
            <rFont val="Tahoma"/>
            <family val="2"/>
          </rPr>
          <t>The name of a Vserver (SVM) can contain alphanumeric characters and the following special characters: ".", "-", and "_". However, the name of a SVM must not start with a number or a special character. 
The maximum number of characters allowed in a SVM name is 47.</t>
        </r>
      </text>
    </comment>
    <comment ref="K9" authorId="0" shapeId="0" xr:uid="{00000000-0006-0000-0600-000002000000}">
      <text>
        <r>
          <rPr>
            <sz val="9"/>
            <color indexed="81"/>
            <rFont val="Tahoma"/>
            <family val="2"/>
          </rPr>
          <t xml:space="preserve">The name of a Vserver (SVM) can contain alphanumeric characters and the following special characters: ".", "-", and "_". However, the name of a SVM must not start with a number or a special character. 
The maximum number of characters allowed in a SVM name is 47.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Thomas J Lasswell</author>
  </authors>
  <commentList>
    <comment ref="K8" authorId="0" shapeId="0" xr:uid="{00000000-0006-0000-0700-000001000000}">
      <text>
        <r>
          <rPr>
            <sz val="9"/>
            <color indexed="81"/>
            <rFont val="Tahoma"/>
            <family val="2"/>
          </rPr>
          <t xml:space="preserve">The name of a Vserver (SVM) can contain alphanumeric characters and the following special characters: ".", "-", and "_". However, the name of a SVM must not start with a number or a special character. 
The maximum number of characters allowed in a SVM name is 47.
</t>
        </r>
      </text>
    </comment>
    <comment ref="K9" authorId="0" shapeId="0" xr:uid="{00000000-0006-0000-0700-000002000000}">
      <text>
        <r>
          <rPr>
            <sz val="9"/>
            <color indexed="81"/>
            <rFont val="Tahoma"/>
            <family val="2"/>
          </rPr>
          <t xml:space="preserve">The name of a Vserver (SVM) can contain alphanumeric characters and the following special characters: ".", "-", and "_". However, the name of a SVM must not start with a number or a special character. 
The maximum number of characters allowed in a SVM name is 47.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Thomas J Lasswell</author>
  </authors>
  <commentList>
    <comment ref="K8" authorId="0" shapeId="0" xr:uid="{00000000-0006-0000-0800-000001000000}">
      <text>
        <r>
          <rPr>
            <sz val="9"/>
            <color indexed="81"/>
            <rFont val="Tahoma"/>
            <family val="2"/>
          </rPr>
          <t xml:space="preserve">The name of a Vserver (SVM) can contain alphanumeric characters and the following special characters: ".", "-", and "_". However, the name of a SVM must not start with a number or a special character. 
The maximum number of characters allowed in a SVM name is 47.
</t>
        </r>
      </text>
    </comment>
    <comment ref="K9" authorId="0" shapeId="0" xr:uid="{00000000-0006-0000-0800-000002000000}">
      <text>
        <r>
          <rPr>
            <sz val="9"/>
            <color indexed="81"/>
            <rFont val="Tahoma"/>
            <family val="2"/>
          </rPr>
          <t>The name of a Vserver (SVM) can contain alphanumeric characters and the following special characters: ".", "-", and "_". However, the name of a SVM must not start with a number or a special character. 
The maximum number of characters allowed in a SVM name is 47.</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Thomas J Lasswell</author>
  </authors>
  <commentList>
    <comment ref="K8" authorId="0" shapeId="0" xr:uid="{00000000-0006-0000-0900-000001000000}">
      <text>
        <r>
          <rPr>
            <sz val="9"/>
            <color indexed="81"/>
            <rFont val="Tahoma"/>
            <family val="2"/>
          </rPr>
          <t xml:space="preserve">The name of a Vserver (SVM) can contain alphanumeric characters and the following special characters: ".", "-", and "_". However, the name of a SVM must not start with a number or a special character. 
The maximum number of characters allowed in a SVM name is 47.
</t>
        </r>
      </text>
    </comment>
    <comment ref="K9" authorId="0" shapeId="0" xr:uid="{00000000-0006-0000-0900-000002000000}">
      <text>
        <r>
          <rPr>
            <sz val="9"/>
            <color indexed="81"/>
            <rFont val="Tahoma"/>
            <family val="2"/>
          </rPr>
          <t xml:space="preserve">The name of a Vserver (SVM) can contain alphanumeric characters and the following special characters: ".", "-", and "_". However, the name of a SVM must not start with a number or a special character. 
The maximum number of characters allowed in a SVM name is 47.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Thomas J Lasswell</author>
  </authors>
  <commentList>
    <comment ref="K8" authorId="0" shapeId="0" xr:uid="{00000000-0006-0000-0A00-000001000000}">
      <text>
        <r>
          <rPr>
            <sz val="9"/>
            <color indexed="81"/>
            <rFont val="Tahoma"/>
            <family val="2"/>
          </rPr>
          <t xml:space="preserve">The name of a Vserver (SVM) can contain alphanumeric characters and the following special characters: ".", "-", and "_". However, the name of a SVM must not start with a number or a special character. 
The maximum number of characters allowed in a SVM name is 47.
</t>
        </r>
      </text>
    </comment>
    <comment ref="K9" authorId="0" shapeId="0" xr:uid="{00000000-0006-0000-0A00-000002000000}">
      <text>
        <r>
          <rPr>
            <sz val="9"/>
            <color indexed="81"/>
            <rFont val="Tahoma"/>
            <family val="2"/>
          </rPr>
          <t xml:space="preserve">The name of a Vserver (SVM) can contain alphanumeric characters and the following special characters: ".", "-", and "_". However, the name of a SVM must not start with a number or a special character. 
The maximum number of characters allowed in a SVM name is 47.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Brandon Jackson</author>
  </authors>
  <commentList>
    <comment ref="O20" authorId="0" shapeId="0" xr:uid="{00000000-0006-0000-0C00-000001000000}">
      <text>
        <r>
          <rPr>
            <sz val="9"/>
            <color indexed="81"/>
            <rFont val="Calibri"/>
            <family val="2"/>
          </rPr>
          <t xml:space="preserve">Datacenter ID is used as a counter to help identify and use unique names for address pools.  If this is the first UCS datacenter in the client's environment, use "1", and so on.  This nmber is used as a values in these pools accordingly (the 4th octet in MAC address pools, for example)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Thomas J Lasswell</author>
  </authors>
  <commentList>
    <comment ref="L194" authorId="0" shapeId="0" xr:uid="{00000000-0006-0000-0F00-000001000000}">
      <text>
        <r>
          <rPr>
            <sz val="9"/>
            <color indexed="81"/>
            <rFont val="Tahoma"/>
            <family val="2"/>
          </rPr>
          <t xml:space="preserve">Prefilled ports are typical port configurations. These can be changed according to your environment. </t>
        </r>
      </text>
    </comment>
    <comment ref="L213" authorId="0" shapeId="0" xr:uid="{00000000-0006-0000-0F00-000002000000}">
      <text>
        <r>
          <rPr>
            <sz val="9"/>
            <color indexed="81"/>
            <rFont val="Tahoma"/>
            <family val="2"/>
          </rPr>
          <t xml:space="preserve">Prefilled ports are typical port configurations. These can be changed according to your environment. </t>
        </r>
      </text>
    </comment>
    <comment ref="L235" authorId="0" shapeId="0" xr:uid="{00000000-0006-0000-0F00-000003000000}">
      <text>
        <r>
          <rPr>
            <sz val="9"/>
            <color indexed="81"/>
            <rFont val="Tahoma"/>
            <family val="2"/>
          </rPr>
          <t xml:space="preserve">Prefilled ports are typical port configurations. These can be changed according to your environment. </t>
        </r>
      </text>
    </comment>
    <comment ref="L255" authorId="0" shapeId="0" xr:uid="{00000000-0006-0000-0F00-000004000000}">
      <text>
        <r>
          <rPr>
            <sz val="9"/>
            <color indexed="81"/>
            <rFont val="Tahoma"/>
            <family val="2"/>
          </rPr>
          <t xml:space="preserve">Prefilled ports are typical port configurations. These can be changed according to your environment. </t>
        </r>
      </text>
    </comment>
    <comment ref="L278" authorId="0" shapeId="0" xr:uid="{00000000-0006-0000-0F00-000005000000}">
      <text>
        <r>
          <rPr>
            <sz val="9"/>
            <color indexed="81"/>
            <rFont val="Tahoma"/>
            <family val="2"/>
          </rPr>
          <t xml:space="preserve">Prefilled ports are typical port configurations. These can be changed according to your environment. </t>
        </r>
      </text>
    </comment>
    <comment ref="L330" authorId="0" shapeId="0" xr:uid="{00000000-0006-0000-0F00-000006000000}">
      <text>
        <r>
          <rPr>
            <sz val="9"/>
            <color indexed="81"/>
            <rFont val="Tahoma"/>
            <family val="2"/>
          </rPr>
          <t xml:space="preserve">Prefilled ports are typical port configurations. These can be changed according to your environment. </t>
        </r>
      </text>
    </comment>
    <comment ref="L385" authorId="0" shapeId="0" xr:uid="{00000000-0006-0000-0F00-000007000000}">
      <text>
        <r>
          <rPr>
            <sz val="9"/>
            <color indexed="81"/>
            <rFont val="Tahoma"/>
            <family val="2"/>
          </rPr>
          <t xml:space="preserve">Prefilled ports are typical port configurations. These can be changed according to your environment. </t>
        </r>
      </text>
    </comment>
    <comment ref="L487" authorId="0" shapeId="0" xr:uid="{00000000-0006-0000-0F00-000008000000}">
      <text>
        <r>
          <rPr>
            <sz val="9"/>
            <color indexed="81"/>
            <rFont val="Tahoma"/>
            <family val="2"/>
          </rPr>
          <t xml:space="preserve">Prefilled ports are typical port configurations. These can be changed according to your environment. </t>
        </r>
      </text>
    </comment>
    <comment ref="L592" authorId="0" shapeId="0" xr:uid="{00000000-0006-0000-0F00-000009000000}">
      <text>
        <r>
          <rPr>
            <sz val="9"/>
            <color indexed="81"/>
            <rFont val="Tahoma"/>
            <family val="2"/>
          </rPr>
          <t xml:space="preserve">Prefilled ports are typical port configurations. These can be changed according to your environment. </t>
        </r>
      </text>
    </comment>
    <comment ref="L648" authorId="0" shapeId="0" xr:uid="{00000000-0006-0000-0F00-00000A000000}">
      <text>
        <r>
          <rPr>
            <sz val="9"/>
            <color indexed="81"/>
            <rFont val="Tahoma"/>
            <family val="2"/>
          </rPr>
          <t xml:space="preserve">Prefilled ports are typical port configurations. These can be changed according to your environment.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Brandon Jackson</author>
  </authors>
  <commentList>
    <comment ref="B53" authorId="0" shapeId="0" xr:uid="{00000000-0006-0000-1000-000001000000}">
      <text>
        <r>
          <rPr>
            <sz val="9"/>
            <color indexed="81"/>
            <rFont val="Calibri"/>
            <family val="2"/>
          </rPr>
          <t xml:space="preserve">For SnapDrive, the DNS entry must use the IP address of the administration LIF, but use the SVM name for name resolution - it cannot use the "admin" suffix.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Thomas J Lasswell</author>
  </authors>
  <commentList>
    <comment ref="B9" authorId="0" shapeId="0" xr:uid="{00000000-0006-0000-1800-000001000000}">
      <text>
        <r>
          <rPr>
            <sz val="9"/>
            <color indexed="81"/>
            <rFont val="Tahoma"/>
            <family val="2"/>
          </rPr>
          <t>ensure that the non-negotiate option is configured for trunk links between external physical switches and virtual switches in VST mode</t>
        </r>
      </text>
    </comment>
    <comment ref="B10" authorId="0" shapeId="0" xr:uid="{00000000-0006-0000-1800-000002000000}">
      <text>
        <r>
          <rPr>
            <sz val="9"/>
            <color indexed="81"/>
            <rFont val="Tahoma"/>
            <family val="2"/>
          </rPr>
          <t>verify that VLAN trunk links are connected only to physcial switch ports that function as trunk links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Brandon Jackson</author>
  </authors>
  <commentList>
    <comment ref="D9" authorId="0" shapeId="0" xr:uid="{00000000-0006-0000-1A00-000001000000}">
      <text>
        <r>
          <rPr>
            <sz val="9"/>
            <color indexed="81"/>
            <rFont val="Tahoma"/>
            <family val="2"/>
          </rPr>
          <t>Highlight from cell B8 to bottom of list in "C" column.  Choose to sort by "IP Address" column.  You can then hide all of the rows that contain blanks or "0" values, leaving you with a sorted IP summary list across all subnets.
This is looking at the cell values in the "IP Summary" tab all the way down to row 230.  If you have entries extending beyond that, simply extend the formatting on this tab to match the end row before sorting.
Delete this line in final version before giving to customer.</t>
        </r>
      </text>
    </comment>
  </commentList>
</comments>
</file>

<file path=xl/sharedStrings.xml><?xml version="1.0" encoding="utf-8"?>
<sst xmlns="http://schemas.openxmlformats.org/spreadsheetml/2006/main" count="4291" uniqueCount="1415">
  <si>
    <t xml:space="preserve">    </t>
  </si>
  <si>
    <t>CDW - Site Information Worksheet</t>
  </si>
  <si>
    <t>Email Address Information</t>
  </si>
  <si>
    <t>Worksheet Template</t>
  </si>
  <si>
    <t>This worksheet is to build additional worksheets against, hide this sheet when you're publishing this spreadsheet. This section is meant to describe what this sheet is for.</t>
  </si>
  <si>
    <t xml:space="preserve">Side Description Line: </t>
  </si>
  <si>
    <t>*CDW fill line, 3 columns</t>
  </si>
  <si>
    <t>*Customer fill line, 3 columns</t>
  </si>
  <si>
    <t>*CDW fill line, 4 columns</t>
  </si>
  <si>
    <t>*Customer fill line, 4 columns</t>
  </si>
  <si>
    <t>*CDW fill line, 6 columns</t>
  </si>
  <si>
    <t>*Customer fill line, 6 columns</t>
  </si>
  <si>
    <t>*CDW fill line, 5 columns</t>
  </si>
  <si>
    <t>*Customer fill line, 5 columns</t>
  </si>
  <si>
    <t xml:space="preserve">Yes/No Dropdown: </t>
  </si>
  <si>
    <t>Yes/No</t>
  </si>
  <si>
    <t>Yes</t>
  </si>
  <si>
    <t>No</t>
  </si>
  <si>
    <t>*CDW</t>
  </si>
  <si>
    <t>*Customer</t>
  </si>
  <si>
    <t>*IP Addresses are: 3 columns</t>
  </si>
  <si>
    <t>*DNS &amp; Hostnames are: 5 columns</t>
  </si>
  <si>
    <t>*IP Ranges are: 5 columns</t>
  </si>
  <si>
    <t>ADHEAR TO THESE COPY/PASTE GUIDELINES:</t>
  </si>
  <si>
    <t>Time Zone</t>
  </si>
  <si>
    <t>Type</t>
  </si>
  <si>
    <t>L</t>
  </si>
  <si>
    <t>m</t>
  </si>
  <si>
    <t>s</t>
  </si>
  <si>
    <t>Primary / CIFS</t>
  </si>
  <si>
    <t>Alias</t>
  </si>
  <si>
    <t>e0M</t>
  </si>
  <si>
    <t xml:space="preserve">SMTP Server Hostname: </t>
  </si>
  <si>
    <t xml:space="preserve">SMTP Server IP Address: </t>
  </si>
  <si>
    <t>Infrastructure Information</t>
  </si>
  <si>
    <t xml:space="preserve">DNS IP Addresses: </t>
  </si>
  <si>
    <t xml:space="preserve">DNS Domain Name: </t>
  </si>
  <si>
    <t xml:space="preserve">NTP Servers (IP): </t>
  </si>
  <si>
    <t xml:space="preserve">RADIUS / TACACS / LDAP (IP): </t>
  </si>
  <si>
    <t xml:space="preserve">Syslog Servers (IP): </t>
  </si>
  <si>
    <t>Networking Information</t>
  </si>
  <si>
    <t>Storage VLANs:</t>
  </si>
  <si>
    <t>Purpose</t>
  </si>
  <si>
    <t>VLAN</t>
  </si>
  <si>
    <t>IP Range</t>
  </si>
  <si>
    <t>Netmask</t>
  </si>
  <si>
    <t>Gateway</t>
  </si>
  <si>
    <t>Comment(s)</t>
  </si>
  <si>
    <t>Management</t>
  </si>
  <si>
    <t>VMware VLANs:</t>
  </si>
  <si>
    <t>vMotion</t>
  </si>
  <si>
    <t>UCS VLANs:</t>
  </si>
  <si>
    <t>Native VLAN</t>
  </si>
  <si>
    <t>CIFS (Default Route)</t>
  </si>
  <si>
    <t>Inventory</t>
  </si>
  <si>
    <t>This worksheet is to collect information about the equipment that has been received and collect general setup information.</t>
  </si>
  <si>
    <t>NetApp Storage Controllers</t>
  </si>
  <si>
    <t xml:space="preserve"># of Controllers: </t>
  </si>
  <si>
    <t xml:space="preserve">Site Location (for SNMP): </t>
  </si>
  <si>
    <t xml:space="preserve">Data OnTap Version: </t>
  </si>
  <si>
    <t xml:space="preserve">Data OnTap Mode: </t>
  </si>
  <si>
    <t xml:space="preserve">Time Zone: </t>
  </si>
  <si>
    <t xml:space="preserve">Language: </t>
  </si>
  <si>
    <t>Name</t>
  </si>
  <si>
    <t>Serial Number</t>
  </si>
  <si>
    <t>System ID</t>
  </si>
  <si>
    <t>Model</t>
  </si>
  <si>
    <t xml:space="preserve">Email Domain: </t>
  </si>
  <si>
    <t>SP IP Address</t>
  </si>
  <si>
    <t>SP Netmask</t>
  </si>
  <si>
    <t>SP Gateway</t>
  </si>
  <si>
    <t>IP Address</t>
  </si>
  <si>
    <t xml:space="preserve">Controller Prefix (Cluster Name): </t>
  </si>
  <si>
    <t xml:space="preserve">Service Processor (SP) VLAN: </t>
  </si>
  <si>
    <t>Interconnect</t>
  </si>
  <si>
    <t>Network Switches (NetApp Clustered OnTap only):</t>
  </si>
  <si>
    <t xml:space="preserve">Management VLAN: </t>
  </si>
  <si>
    <t>SAN / LAN Switch</t>
  </si>
  <si>
    <t xml:space="preserve">UCS Cluster Name: </t>
  </si>
  <si>
    <t>UCS (FlexPod only):</t>
  </si>
  <si>
    <t>Fabric Interconnects</t>
  </si>
  <si>
    <t>Node Network Configuration</t>
  </si>
  <si>
    <t>Controller Ports</t>
  </si>
  <si>
    <t>VLANs</t>
  </si>
  <si>
    <t>Cluster Management Configuration</t>
  </si>
  <si>
    <t xml:space="preserve">cluster mgmt VLAN: </t>
  </si>
  <si>
    <t xml:space="preserve">cluster gateway: </t>
  </si>
  <si>
    <t xml:space="preserve">cluster routing group: </t>
  </si>
  <si>
    <t xml:space="preserve">cluster destination: </t>
  </si>
  <si>
    <t xml:space="preserve">cluster subnet mask: </t>
  </si>
  <si>
    <t xml:space="preserve">cluster mgmt interface: </t>
  </si>
  <si>
    <t xml:space="preserve">interface trunked? </t>
  </si>
  <si>
    <t>Description</t>
  </si>
  <si>
    <t>LIF Name</t>
  </si>
  <si>
    <t>Role</t>
  </si>
  <si>
    <t>Home Node</t>
  </si>
  <si>
    <t>Home Port</t>
  </si>
  <si>
    <t>Controller / DNS Name</t>
  </si>
  <si>
    <t>Node Management Configuration</t>
  </si>
  <si>
    <t xml:space="preserve">node mgmt VLAN: </t>
  </si>
  <si>
    <t xml:space="preserve">node mgmt interface: </t>
  </si>
  <si>
    <t xml:space="preserve">intercluster gateway: </t>
  </si>
  <si>
    <t xml:space="preserve">intercluster subnet mask: </t>
  </si>
  <si>
    <t>Routing Group</t>
  </si>
  <si>
    <t>Destination</t>
  </si>
  <si>
    <t xml:space="preserve">node destination metric:  </t>
  </si>
  <si>
    <t xml:space="preserve">intercluster destination metric:  </t>
  </si>
  <si>
    <t xml:space="preserve">cluster destination metric:  </t>
  </si>
  <si>
    <t>InterCluster (SnapMirror) Configuration</t>
  </si>
  <si>
    <t>7-Mode</t>
  </si>
  <si>
    <t>Clustered OnTap</t>
  </si>
  <si>
    <t>OnTap Mode</t>
  </si>
  <si>
    <t>UCS Cluster IP</t>
  </si>
  <si>
    <t>InterCluster DNS Name</t>
  </si>
  <si>
    <t>Client Site Information</t>
  </si>
  <si>
    <t>ifGrp Name</t>
  </si>
  <si>
    <t>Mode</t>
  </si>
  <si>
    <t>Media</t>
  </si>
  <si>
    <t>Trunk?</t>
  </si>
  <si>
    <t>Protocol IP Addresses</t>
  </si>
  <si>
    <t>Controller Port(s)</t>
  </si>
  <si>
    <t>Interface Name</t>
  </si>
  <si>
    <t>Custom Ports &amp; IP Addresses</t>
  </si>
  <si>
    <t>Controller</t>
  </si>
  <si>
    <t>This worksheet is to collect information for the network information required to setup a NetApp running in a 7-mode configuration.</t>
  </si>
  <si>
    <t>Assigned VLANs</t>
  </si>
  <si>
    <t>This worksheet is to collect information for the network information required to setup a NetApp Cluster running in a Clustered OnTap configuration.</t>
  </si>
  <si>
    <t>CIFS Protocol Configuration</t>
  </si>
  <si>
    <t xml:space="preserve">cifs gateway: </t>
  </si>
  <si>
    <t xml:space="preserve">cifs destination metric:  </t>
  </si>
  <si>
    <t xml:space="preserve">cifs subnet mask: </t>
  </si>
  <si>
    <t xml:space="preserve">cifs VLAN: </t>
  </si>
  <si>
    <t xml:space="preserve">cifs interface: </t>
  </si>
  <si>
    <t>CIFS DNS Name (per Controller)</t>
  </si>
  <si>
    <t xml:space="preserve">cifs global dns name: </t>
  </si>
  <si>
    <t>NFS Protocol Configuration</t>
  </si>
  <si>
    <t xml:space="preserve">nfs VLAN: </t>
  </si>
  <si>
    <t xml:space="preserve">nfs gateway: </t>
  </si>
  <si>
    <t xml:space="preserve">nfs destination metric:  </t>
  </si>
  <si>
    <t xml:space="preserve">nfs interface: </t>
  </si>
  <si>
    <t xml:space="preserve">nfs subnet mask: </t>
  </si>
  <si>
    <t xml:space="preserve">nfs global dns name: </t>
  </si>
  <si>
    <t>NFS DNS Name (per Controller)</t>
  </si>
  <si>
    <t>*do not add rows to this section*</t>
  </si>
  <si>
    <t>iSCSI #1 Protocol Configuration</t>
  </si>
  <si>
    <t>iSCSI #2 Protocol Configuration</t>
  </si>
  <si>
    <t>iSCSI DNS Name (per Controller)</t>
  </si>
  <si>
    <t xml:space="preserve">iscsi VLAN: </t>
  </si>
  <si>
    <t xml:space="preserve">iscsi gateway: </t>
  </si>
  <si>
    <t xml:space="preserve">iscsi destination metric:  </t>
  </si>
  <si>
    <t xml:space="preserve">iscsi interface: </t>
  </si>
  <si>
    <t xml:space="preserve">iscsi subnet mask: </t>
  </si>
  <si>
    <t>UCS Configuration</t>
  </si>
  <si>
    <t>UCS General Information</t>
  </si>
  <si>
    <t>UCS Switch Information</t>
  </si>
  <si>
    <t xml:space="preserve">5k mgmt gateway: </t>
  </si>
  <si>
    <t xml:space="preserve">5k mgmt subnet mask: </t>
  </si>
  <si>
    <t xml:space="preserve">switch a name: </t>
  </si>
  <si>
    <t xml:space="preserve">switch b name: </t>
  </si>
  <si>
    <t xml:space="preserve">ucs cluster name: </t>
  </si>
  <si>
    <t>Nexus 5k Switches</t>
  </si>
  <si>
    <t xml:space="preserve">interconnect mgmt gateway: </t>
  </si>
  <si>
    <t xml:space="preserve">interconnect mgmt subnet mask: </t>
  </si>
  <si>
    <t>UCS Pools and Blocks</t>
  </si>
  <si>
    <t>→</t>
  </si>
  <si>
    <t xml:space="preserve">gateway: </t>
  </si>
  <si>
    <t xml:space="preserve">subnet mask: </t>
  </si>
  <si>
    <t>KVM IP Pool</t>
  </si>
  <si>
    <t>MAC Address Pool</t>
  </si>
  <si>
    <t>IQN Pools for iSCSI Boot</t>
  </si>
  <si>
    <t>iqn.1992-08.com.cisco</t>
  </si>
  <si>
    <t>UUID Suffix Pool</t>
  </si>
  <si>
    <t>WWNN Pool</t>
  </si>
  <si>
    <t>WWPN Pools</t>
  </si>
  <si>
    <t>Boot Type</t>
  </si>
  <si>
    <t>iSCSI</t>
  </si>
  <si>
    <t>FCP</t>
  </si>
  <si>
    <t xml:space="preserve">vlan: </t>
  </si>
  <si>
    <t xml:space="preserve">pool size: </t>
  </si>
  <si>
    <t xml:space="preserve">name: </t>
  </si>
  <si>
    <t xml:space="preserve">target type: </t>
  </si>
  <si>
    <t xml:space="preserve">lun id: </t>
  </si>
  <si>
    <t xml:space="preserve">mgmt vlan: </t>
  </si>
  <si>
    <t xml:space="preserve">org name: </t>
  </si>
  <si>
    <t xml:space="preserve">intercluster VLAN: </t>
  </si>
  <si>
    <t xml:space="preserve">intercluster interface: </t>
  </si>
  <si>
    <t>Local Port</t>
  </si>
  <si>
    <t>Connection</t>
  </si>
  <si>
    <t>Remote Device</t>
  </si>
  <si>
    <t>Remote Port</t>
  </si>
  <si>
    <t>100MbE</t>
  </si>
  <si>
    <t>10GbE</t>
  </si>
  <si>
    <t>1GbE</t>
  </si>
  <si>
    <t>Eth1/1</t>
  </si>
  <si>
    <t>Eth1/2</t>
  </si>
  <si>
    <t>Eth1/13</t>
  </si>
  <si>
    <t>Eth1/14</t>
  </si>
  <si>
    <t>Eth1/15</t>
  </si>
  <si>
    <t>Eth1/16</t>
  </si>
  <si>
    <t>Eth1/17</t>
  </si>
  <si>
    <t>Eth1/18</t>
  </si>
  <si>
    <t>e1a</t>
  </si>
  <si>
    <t>e1b</t>
  </si>
  <si>
    <t>e2a</t>
  </si>
  <si>
    <t>L1</t>
  </si>
  <si>
    <t>L2</t>
  </si>
  <si>
    <t>Eth1/3</t>
  </si>
  <si>
    <t>Eth1/4</t>
  </si>
  <si>
    <t>UCS Chassis 1 FEX A</t>
  </si>
  <si>
    <t>Port 1</t>
  </si>
  <si>
    <t>Port 2</t>
  </si>
  <si>
    <t>Port 3</t>
  </si>
  <si>
    <t>Port 4</t>
  </si>
  <si>
    <t>UCS Chassis 1 FEX B</t>
  </si>
  <si>
    <t>Cabling Information</t>
  </si>
  <si>
    <t>8GbFC</t>
  </si>
  <si>
    <t>4GbFC</t>
  </si>
  <si>
    <t>2GbFC</t>
  </si>
  <si>
    <t>ESXi General Information</t>
  </si>
  <si>
    <t xml:space="preserve">vSphere Edition: </t>
  </si>
  <si>
    <t xml:space="preserve">ESXi version: </t>
  </si>
  <si>
    <t>DNS Servers:</t>
  </si>
  <si>
    <t xml:space="preserve">Doman Name Suffix: </t>
  </si>
  <si>
    <t xml:space="preserve">linked vcenter server: </t>
  </si>
  <si>
    <t>ESXi Host General Information</t>
  </si>
  <si>
    <t xml:space="preserve">vmotion vlan / ip range: </t>
  </si>
  <si>
    <t xml:space="preserve">vmotion subnet mask: </t>
  </si>
  <si>
    <t xml:space="preserve">nfs vlan / ip range: </t>
  </si>
  <si>
    <t xml:space="preserve">management vlan / ip range: </t>
  </si>
  <si>
    <t>Host Name</t>
  </si>
  <si>
    <t>FCP?</t>
  </si>
  <si>
    <t>SBOOT?</t>
  </si>
  <si>
    <t># NICS</t>
  </si>
  <si>
    <t>Mgmt IP Address</t>
  </si>
  <si>
    <t>vMotion IP Address</t>
  </si>
  <si>
    <t>NFS IP Address</t>
  </si>
  <si>
    <t>VMware Configuration</t>
  </si>
  <si>
    <t>Setup - 7-mode</t>
  </si>
  <si>
    <t>Section: Controller OS Configuration</t>
  </si>
  <si>
    <t>Value Name</t>
  </si>
  <si>
    <t>Value Controller #1</t>
  </si>
  <si>
    <t>Value Controller #2</t>
  </si>
  <si>
    <t xml:space="preserve">Do you want to configure interface groups? [n]: </t>
  </si>
  <si>
    <t>y</t>
  </si>
  <si>
    <t xml:space="preserve">Please enter the new hostname []: </t>
  </si>
  <si>
    <t xml:space="preserve">Please enter the name or IP address of the default gateway [X.X.X.X]: </t>
  </si>
  <si>
    <t xml:space="preserve">Please enter the name or IP address of the administration host: </t>
  </si>
  <si>
    <t xml:space="preserve">Where is the filer located? []: </t>
  </si>
  <si>
    <t xml:space="preserve">What language will be used for multi-protocol files (Type ? for list)?: </t>
  </si>
  <si>
    <t xml:space="preserve">Enter the root directory for HTTP files [/home/http]: </t>
  </si>
  <si>
    <t xml:space="preserve">Do you want to run DNS resolver? [n]: </t>
  </si>
  <si>
    <t xml:space="preserve">Please enter the IP address for first nameserver [X.X.X.X]: </t>
  </si>
  <si>
    <t xml:space="preserve">Do you want another nameserver? [n]: </t>
  </si>
  <si>
    <t xml:space="preserve">Please enter the IP address for alternate nameserver [X.X.X.X]: </t>
  </si>
  <si>
    <t xml:space="preserve">Do you want to run NIS client? [n]: </t>
  </si>
  <si>
    <t>n</t>
  </si>
  <si>
    <t xml:space="preserve">Would you like to enable DHCP on the SP LAN interface [y]: </t>
  </si>
  <si>
    <t xml:space="preserve">Would you like to configure the SP LAN interface [y]: </t>
  </si>
  <si>
    <t xml:space="preserve">Please enter the IP address for the SP []: </t>
  </si>
  <si>
    <t xml:space="preserve">Please enter the netmask for the SP []: </t>
  </si>
  <si>
    <t xml:space="preserve">Please enter the IP address for the SP gateway []: </t>
  </si>
  <si>
    <t xml:space="preserve">Please enter the name or IP address of the mail host: </t>
  </si>
  <si>
    <t xml:space="preserve">New password: </t>
  </si>
  <si>
    <t xml:space="preserve">Retype new password: </t>
  </si>
  <si>
    <t>&lt;none&gt;</t>
  </si>
  <si>
    <t xml:space="preserve">Please enter DNS domain name []: </t>
  </si>
  <si>
    <t>Row #</t>
  </si>
  <si>
    <t xml:space="preserve">multiprotocol access Selection (1-2)? [1]: </t>
  </si>
  <si>
    <t xml:space="preserve">Enter the password for the root user []: </t>
  </si>
  <si>
    <t xml:space="preserve">Retype the password: </t>
  </si>
  <si>
    <t xml:space="preserve">Would you like to change this name? [n]: </t>
  </si>
  <si>
    <t>***IF CIFS IS LICENSED CIFS SETUP WILL RUN***</t>
  </si>
  <si>
    <t>***FINISH CIFS SETUP WITH CLIENT***</t>
  </si>
  <si>
    <t>***DETERMINE ifGrps based on 7-Networking tab***</t>
  </si>
  <si>
    <t xml:space="preserve">licenses: </t>
  </si>
  <si>
    <t xml:space="preserve">options timed.servers: </t>
  </si>
  <si>
    <t>***IF CIFS IS LICENSED RUN CIFS SETUP***</t>
  </si>
  <si>
    <t xml:space="preserve">date (this will update on any cell change): </t>
  </si>
  <si>
    <t xml:space="preserve">SSL Setup has already been done before. Do you want to proceed? [no]: </t>
  </si>
  <si>
    <t xml:space="preserve">Country Name (2 letter code) [US]: </t>
  </si>
  <si>
    <t xml:space="preserve">State or Province Name (full name) [California]: </t>
  </si>
  <si>
    <t xml:space="preserve">Locality Name (city, town, etc.) [Santa Clara]: </t>
  </si>
  <si>
    <t xml:space="preserve">Organization Name (company) [Your Company]: </t>
  </si>
  <si>
    <t xml:space="preserve">Organization Unit Name (division): </t>
  </si>
  <si>
    <t xml:space="preserve">Administrator email: </t>
  </si>
  <si>
    <t xml:space="preserve">Days until expires [5475]: </t>
  </si>
  <si>
    <t xml:space="preserve">Key length (bits) [512]: </t>
  </si>
  <si>
    <t xml:space="preserve">Common Name (fully qualified domain name) [xxx]: </t>
  </si>
  <si>
    <t>IT</t>
  </si>
  <si>
    <t>Company Information (for SSL Certificates)</t>
  </si>
  <si>
    <t xml:space="preserve">State: </t>
  </si>
  <si>
    <t xml:space="preserve">Organization Name: </t>
  </si>
  <si>
    <t>US</t>
  </si>
  <si>
    <t xml:space="preserve">options autosupport.to: </t>
  </si>
  <si>
    <t xml:space="preserve">options autosupport.from: </t>
  </si>
  <si>
    <t xml:space="preserve">options autosupport.mailhost: </t>
  </si>
  <si>
    <t>/home/http</t>
  </si>
  <si>
    <t>Setup - Clustered OnTap</t>
  </si>
  <si>
    <t>Section: Cluster Management Switch Configuration (NetApp switch)</t>
  </si>
  <si>
    <t xml:space="preserve">hostname: </t>
  </si>
  <si>
    <t>Switch #1 Value</t>
  </si>
  <si>
    <t>Switch #2 Value</t>
  </si>
  <si>
    <t xml:space="preserve">network parms X.X.X.X Y.Y.Y.Y Z.Z.Z.Z: </t>
  </si>
  <si>
    <t xml:space="preserve">clock set hh:mm:ss: </t>
  </si>
  <si>
    <t xml:space="preserve">clock set mm/dd/yyyy: </t>
  </si>
  <si>
    <t>**ENSURE YOUR COMPUTER CLOCK IS SET TO THE TIMEZONE SET ON THIS SHEET**</t>
  </si>
  <si>
    <t xml:space="preserve">clock timezone -X zone XXX: </t>
  </si>
  <si>
    <t xml:space="preserve">sntp server #1: </t>
  </si>
  <si>
    <t xml:space="preserve">sntp server #2: </t>
  </si>
  <si>
    <t xml:space="preserve">ip domain name: </t>
  </si>
  <si>
    <t xml:space="preserve">ip name server: </t>
  </si>
  <si>
    <t xml:space="preserve">logging email from-addr: </t>
  </si>
  <si>
    <t xml:space="preserve">logging email message-type both subject: </t>
  </si>
  <si>
    <t xml:space="preserve">mail-server X.X.X.X: </t>
  </si>
  <si>
    <t>Section: Cluster Interconnect Switch Configuration (NetApp switch)</t>
  </si>
  <si>
    <t xml:space="preserve">logging email message-type both to-addr: </t>
  </si>
  <si>
    <t>Section: Cluster Controller Configuration</t>
  </si>
  <si>
    <t xml:space="preserve">Do you want to create a new cluster or join an existing cluster? {create, join}: </t>
  </si>
  <si>
    <t>create</t>
  </si>
  <si>
    <t>Controller #1 Value</t>
  </si>
  <si>
    <t>Controller #2 Value</t>
  </si>
  <si>
    <t>Controller #4 Value</t>
  </si>
  <si>
    <t>Controller #3 Value</t>
  </si>
  <si>
    <t xml:space="preserve">Enter the cluster name: </t>
  </si>
  <si>
    <t xml:space="preserve">Enter the cluster base license key: </t>
  </si>
  <si>
    <t xml:space="preserve">Enter an additional license key []: </t>
  </si>
  <si>
    <t xml:space="preserve">Enter the cluster administrator’s (username “admin”) password: </t>
  </si>
  <si>
    <t xml:space="preserve">Enter the cluster management interface IP address: </t>
  </si>
  <si>
    <t xml:space="preserve">Enter the cluster management interface netmask: </t>
  </si>
  <si>
    <t xml:space="preserve">Enter the cluster management interface default gateway: </t>
  </si>
  <si>
    <t xml:space="preserve">Enter the cluster management interface port []: </t>
  </si>
  <si>
    <t xml:space="preserve">Enter the DNS domain name: </t>
  </si>
  <si>
    <t xml:space="preserve">Enter the name server IP address (x.x.x.x,y.y.y.y,z.z.z.z): </t>
  </si>
  <si>
    <t xml:space="preserve">Where is the controller located []: </t>
  </si>
  <si>
    <t xml:space="preserve">Enter the node management interface port [e0b]: </t>
  </si>
  <si>
    <t xml:space="preserve">Enter the node management interface IP: </t>
  </si>
  <si>
    <t xml:space="preserve">Enter the node interface netmask: </t>
  </si>
  <si>
    <t xml:space="preserve">Enter the node management interface default gateway: </t>
  </si>
  <si>
    <t>join</t>
  </si>
  <si>
    <t xml:space="preserve">Enter the name of the cluster you would like to join []: </t>
  </si>
  <si>
    <t xml:space="preserve">Do you want to use these defaults {yes, no} [yes]: </t>
  </si>
  <si>
    <t>yes</t>
  </si>
  <si>
    <t xml:space="preserve">Would you like to configure the SP?: </t>
  </si>
  <si>
    <t xml:space="preserve">Would you like to enable DHCP on the SP LAN interface?: </t>
  </si>
  <si>
    <t xml:space="preserve">Please enter the IP address of the SP []: </t>
  </si>
  <si>
    <t xml:space="preserve">Please enter the netmask of the SP []: </t>
  </si>
  <si>
    <t xml:space="preserve"> </t>
  </si>
  <si>
    <t xml:space="preserve">root aggregate rename: </t>
  </si>
  <si>
    <t xml:space="preserve">Set Time Zone: </t>
  </si>
  <si>
    <t xml:space="preserve">Set Date: </t>
  </si>
  <si>
    <t>Dates:</t>
  </si>
  <si>
    <t>Current:</t>
  </si>
  <si>
    <t>Offset:</t>
  </si>
  <si>
    <t>UTC:</t>
  </si>
  <si>
    <t>Zone:</t>
  </si>
  <si>
    <t xml:space="preserve">system services ntp server create: </t>
  </si>
  <si>
    <t xml:space="preserve">autosupport configure: </t>
  </si>
  <si>
    <t>**press "del" on an empty cell to update times**</t>
  </si>
  <si>
    <t>CIFS</t>
  </si>
  <si>
    <t>NFS</t>
  </si>
  <si>
    <t>Cluster</t>
  </si>
  <si>
    <t>Other</t>
  </si>
  <si>
    <t>Protocol</t>
  </si>
  <si>
    <t>Controller #5 Value</t>
  </si>
  <si>
    <t>Controller #6 Value</t>
  </si>
  <si>
    <t>Controller #7 Value</t>
  </si>
  <si>
    <t>Controller #8 Value</t>
  </si>
  <si>
    <t xml:space="preserve"> -----&gt;&gt;&gt; Controllers 2-8 this way</t>
  </si>
  <si>
    <t xml:space="preserve">NetApp Sales Order #: </t>
  </si>
  <si>
    <t>Make</t>
  </si>
  <si>
    <t>Switch OS</t>
  </si>
  <si>
    <t>IP Pool (for iSCSI Boot) A</t>
  </si>
  <si>
    <t>IP Pool (for iSCSI Boot) B</t>
  </si>
  <si>
    <t>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</si>
  <si>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</si>
  <si>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</si>
  <si>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</si>
  <si>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</si>
  <si>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</si>
  <si>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</si>
  <si>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</si>
  <si>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</si>
  <si>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</si>
  <si>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</si>
  <si>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</si>
  <si>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</si>
  <si>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</si>
  <si>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</si>
  <si>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</si>
  <si>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</si>
  <si>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</si>
  <si>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</si>
  <si>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</si>
  <si>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</si>
  <si>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</si>
  <si>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</si>
  <si>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</si>
  <si>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</si>
  <si>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</si>
  <si>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</si>
  <si>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</si>
  <si>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</si>
  <si>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</si>
  <si>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</si>
  <si>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</si>
  <si>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</si>
  <si>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</si>
  <si>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</si>
  <si>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</si>
  <si>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</si>
  <si>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</si>
  <si>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</si>
  <si>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</si>
  <si>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</si>
  <si>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</si>
  <si>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</si>
  <si>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</si>
  <si>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</si>
  <si>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</si>
  <si>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</si>
  <si>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</si>
  <si>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</si>
  <si>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</si>
  <si>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</si>
  <si>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</si>
  <si>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Shelf Types</t>
  </si>
  <si>
    <t>DS4243</t>
  </si>
  <si>
    <t>DS4246</t>
  </si>
  <si>
    <t>DS2246</t>
  </si>
  <si>
    <t>DS4486</t>
  </si>
  <si>
    <t>SSD: 100GB</t>
  </si>
  <si>
    <t>SAS: 450GB</t>
  </si>
  <si>
    <t>SAS: 600GB</t>
  </si>
  <si>
    <t>SAS: 300GB</t>
  </si>
  <si>
    <t>SATA: 1TB</t>
  </si>
  <si>
    <t>SATA: 2TB</t>
  </si>
  <si>
    <t>SATA: 3TB</t>
  </si>
  <si>
    <t>#SSD</t>
  </si>
  <si>
    <t>#SATA</t>
  </si>
  <si>
    <t>#SAS</t>
  </si>
  <si>
    <t>#Shelf</t>
  </si>
  <si>
    <t>This worksheet documents repeatable data such as DNS servers, mail servers, VLAN information, etc.</t>
  </si>
  <si>
    <t xml:space="preserve">Please enter time zone [GMT]: </t>
  </si>
  <si>
    <t xml:space="preserve">time zone: </t>
  </si>
  <si>
    <t xml:space="preserve">ucs cluster ip address: </t>
  </si>
  <si>
    <t xml:space="preserve">Data Protocols: </t>
  </si>
  <si>
    <t xml:space="preserve">CIFS? </t>
  </si>
  <si>
    <t xml:space="preserve">NFS? </t>
  </si>
  <si>
    <t xml:space="preserve">FCP? </t>
  </si>
  <si>
    <t xml:space="preserve">iSCSI? </t>
  </si>
  <si>
    <t>LDAP Configuration</t>
  </si>
  <si>
    <t xml:space="preserve">ldap ip address: </t>
  </si>
  <si>
    <t xml:space="preserve">ldap server port number: </t>
  </si>
  <si>
    <t xml:space="preserve">ldap min bind level: </t>
  </si>
  <si>
    <t xml:space="preserve">base domain name: </t>
  </si>
  <si>
    <t>NIS Configuration</t>
  </si>
  <si>
    <t xml:space="preserve">nis domain name: </t>
  </si>
  <si>
    <t xml:space="preserve">nis server ip addresses: </t>
  </si>
  <si>
    <t xml:space="preserve">bind user name &amp; password: </t>
  </si>
  <si>
    <t>DNS Entries</t>
  </si>
  <si>
    <t>Provide this sheet to the client once complete to have the following FQDNs be added to DNS.</t>
  </si>
  <si>
    <t>NetApp : 7-Mode DNS Entries</t>
  </si>
  <si>
    <t>*delete any blank lines*</t>
  </si>
  <si>
    <t>Interconnect Switches</t>
  </si>
  <si>
    <t>Management Switches</t>
  </si>
  <si>
    <t>Service Processors</t>
  </si>
  <si>
    <t>Nodes</t>
  </si>
  <si>
    <t>NetApp : Cluster-Mode DNS Entries (Cluster &amp; Nodes)</t>
  </si>
  <si>
    <t>VMware: ESXi Host DNS Entries</t>
  </si>
  <si>
    <t>UCS: DNS Entries</t>
  </si>
  <si>
    <t xml:space="preserve">dns domain: </t>
  </si>
  <si>
    <t>5k Switches</t>
  </si>
  <si>
    <t>MTU Size:</t>
  </si>
  <si>
    <t>MTU</t>
  </si>
  <si>
    <t>Kerberos Configuration</t>
  </si>
  <si>
    <t>Volume Name</t>
  </si>
  <si>
    <t>Volume IP Addresses (NFS &amp; CIFS)</t>
  </si>
  <si>
    <t>Subnet Mask</t>
  </si>
  <si>
    <t>America/New_York - Eastern</t>
  </si>
  <si>
    <t>America/Chicago - Central</t>
  </si>
  <si>
    <t>America/Denver - Mountain</t>
  </si>
  <si>
    <t>America/Los_Angeles - Pacific</t>
  </si>
  <si>
    <t>America/Arizona - Arizona</t>
  </si>
  <si>
    <t>Estimated # of IP Addresses Needed</t>
  </si>
  <si>
    <t>SAS: 900GB</t>
  </si>
  <si>
    <t>e0a</t>
  </si>
  <si>
    <t>e0b</t>
  </si>
  <si>
    <t>Devices:</t>
  </si>
  <si>
    <t>--NetApp Controllers--</t>
  </si>
  <si>
    <t>--NetApp Switches--</t>
  </si>
  <si>
    <t>--UCS Switches--</t>
  </si>
  <si>
    <t>*hide unused sections*</t>
  </si>
  <si>
    <t>NetApp Controller Cabling</t>
  </si>
  <si>
    <t>NetApp Management Switch Cabling (cDOT Only)</t>
  </si>
  <si>
    <t>0/1</t>
  </si>
  <si>
    <t>0/2</t>
  </si>
  <si>
    <t>0/3</t>
  </si>
  <si>
    <t>0/4</t>
  </si>
  <si>
    <t>0/5</t>
  </si>
  <si>
    <t>0/6</t>
  </si>
  <si>
    <t>0/7</t>
  </si>
  <si>
    <t>0/8</t>
  </si>
  <si>
    <t>0/9</t>
  </si>
  <si>
    <t>0/10</t>
  </si>
  <si>
    <t>0/11</t>
  </si>
  <si>
    <t>0/12</t>
  </si>
  <si>
    <t>0/13</t>
  </si>
  <si>
    <t>0/14</t>
  </si>
  <si>
    <t>0/15</t>
  </si>
  <si>
    <t>0/16</t>
  </si>
  <si>
    <t>mgmt</t>
  </si>
  <si>
    <t>*hide unused ports*</t>
  </si>
  <si>
    <t>**client switch**</t>
  </si>
  <si>
    <t>NetApp Cluster Interconnect Switch Cabling (cDOT Only)</t>
  </si>
  <si>
    <t>Eth1/5</t>
  </si>
  <si>
    <t>Eth1/6</t>
  </si>
  <si>
    <t>Eth1/7</t>
  </si>
  <si>
    <t>Eth1/8</t>
  </si>
  <si>
    <t>Eth1/9</t>
  </si>
  <si>
    <t>Eth1/10</t>
  </si>
  <si>
    <t>Eth1/11</t>
  </si>
  <si>
    <t>Eth1/12</t>
  </si>
  <si>
    <t>Eth1/19</t>
  </si>
  <si>
    <t xml:space="preserve">Quick Links: </t>
  </si>
  <si>
    <t xml:space="preserve">Critical Alerts Email Address: </t>
  </si>
  <si>
    <t>Local</t>
  </si>
  <si>
    <t>SQL</t>
  </si>
  <si>
    <t>Auth Type</t>
  </si>
  <si>
    <t>Active Directory</t>
  </si>
  <si>
    <t>**It is recommended to have different VLANs for every protocol type, and two VLANs for iSCSI networks**</t>
  </si>
  <si>
    <t>typically this is a non-routed network</t>
  </si>
  <si>
    <t xml:space="preserve">Would you like to enable Remote Support Agent? [yes]: </t>
  </si>
  <si>
    <t xml:space="preserve">Do you use a proxy to connect to the internet? [no]: </t>
  </si>
  <si>
    <t>yes/no</t>
  </si>
  <si>
    <t xml:space="preserve">Enter the cluster management IP address of your storage cluster []: </t>
  </si>
  <si>
    <t xml:space="preserve">Do you want to use HTTP with SSL? [yes]: </t>
  </si>
  <si>
    <t xml:space="preserve">Enter HTTPS port number [443]: </t>
  </si>
  <si>
    <t xml:space="preserve">Enter HTTP username []: </t>
  </si>
  <si>
    <t xml:space="preserve">Enter HTTP password: </t>
  </si>
  <si>
    <t>rsa</t>
  </si>
  <si>
    <t xml:space="preserve">o you want to commit configuration changes entered above? [yes]: </t>
  </si>
  <si>
    <t xml:space="preserve">Do you want to test current configuration? [yes]: </t>
  </si>
  <si>
    <t xml:space="preserve">enable remote web access to root vol: </t>
  </si>
  <si>
    <t>vs ser w m -n spi|ontapi|compat -v * -e true</t>
  </si>
  <si>
    <t xml:space="preserve">vserver setup: </t>
  </si>
  <si>
    <t>vserver setup</t>
  </si>
  <si>
    <t>Value vServer</t>
  </si>
  <si>
    <t>Section: Vserver Configuration</t>
  </si>
  <si>
    <t xml:space="preserve">vServer Worksheet: </t>
  </si>
  <si>
    <t xml:space="preserve">Enter the vServer name: </t>
  </si>
  <si>
    <t xml:space="preserve">Choose the Vserver data protocols to be configured: </t>
  </si>
  <si>
    <t xml:space="preserve">Choose the Vserver client services to be configured {ldap, nis, dns}: </t>
  </si>
  <si>
    <t>dns</t>
  </si>
  <si>
    <t xml:space="preserve">Enter the Vserver's root volume aggregate: </t>
  </si>
  <si>
    <t xml:space="preserve">Enter the Vserver language setting, or "help" to see all languages [C]: </t>
  </si>
  <si>
    <t>en_US</t>
  </si>
  <si>
    <t xml:space="preserve">Enter the Vserver root volume's security style {unix, ntfs, mixed} [unix]: </t>
  </si>
  <si>
    <t>unix</t>
  </si>
  <si>
    <t xml:space="preserve">Do you want to create a data volume? {yes, no} [yes]: </t>
  </si>
  <si>
    <t>no</t>
  </si>
  <si>
    <t xml:space="preserve">Do you want to create a logical interface? {yes, no} [yes]: </t>
  </si>
  <si>
    <t xml:space="preserve">Enter the LIF name [lif1]: </t>
  </si>
  <si>
    <t xml:space="preserve">Which protocols can use this interface [cifs]: </t>
  </si>
  <si>
    <t>cifs</t>
  </si>
  <si>
    <t xml:space="preserve">Enter the home node {cl1-01, cl1-02} [xxx]: </t>
  </si>
  <si>
    <t xml:space="preserve">Enter the home port {a0a, a0a-15, e6c, e6d} [a0a]: </t>
  </si>
  <si>
    <t xml:space="preserve">Enter the IP address: </t>
  </si>
  <si>
    <t xml:space="preserve">Enter the network mask: </t>
  </si>
  <si>
    <t xml:space="preserve">Enter the default gateway IP address: </t>
  </si>
  <si>
    <t xml:space="preserve">Do you want to create an additional LIF now? {yes, no} [no]: </t>
  </si>
  <si>
    <t xml:space="preserve">Enter the LIF name [lif2]: </t>
  </si>
  <si>
    <t xml:space="preserve">Do you want to configure DNS? {yes, no} [yes]: </t>
  </si>
  <si>
    <t xml:space="preserve">Enter the comma separated DNS domain names: </t>
  </si>
  <si>
    <t xml:space="preserve">Enter the comma separated DNS server IP addresses: </t>
  </si>
  <si>
    <t xml:space="preserve">Do you want to configure CIFS? {yes, no} [yes]: </t>
  </si>
  <si>
    <t xml:space="preserve">Enter the CIFS server name [xxx]: </t>
  </si>
  <si>
    <t xml:space="preserve">Enter the Active Directory domain name [xxx]: </t>
  </si>
  <si>
    <t xml:space="preserve">Enter the username: </t>
  </si>
  <si>
    <t xml:space="preserve">Enter the password: </t>
  </si>
  <si>
    <t>&lt;need ad admin login&gt;</t>
  </si>
  <si>
    <t xml:space="preserve">Do you want to share a data volume with CIFS clients? {yes, no} [yes]: </t>
  </si>
  <si>
    <t>**Update Failover Groups**</t>
  </si>
  <si>
    <t xml:space="preserve">root volume rename: </t>
  </si>
  <si>
    <t xml:space="preserve">set vServer root vol size: </t>
  </si>
  <si>
    <t xml:space="preserve">Set Permission on Vserver Root Volume: </t>
  </si>
  <si>
    <t>Setup - vServer</t>
  </si>
  <si>
    <t>&lt;follow back up to line 25&gt;</t>
  </si>
  <si>
    <t xml:space="preserve">useradmin user add rsa -g administrators: </t>
  </si>
  <si>
    <t>useradmin user add rsa -g administrators</t>
  </si>
  <si>
    <t xml:space="preserve">rsa password: </t>
  </si>
  <si>
    <t>&lt;ctrl+d&gt; to exit to sp prompt</t>
  </si>
  <si>
    <t xml:space="preserve">sp prompt: </t>
  </si>
  <si>
    <t xml:space="preserve">Enter HTTP username [rsa]: </t>
  </si>
  <si>
    <t xml:space="preserve">Enter the HTTP host name or ip-address of your storage controller [xxx]: </t>
  </si>
  <si>
    <t>yes/no (usually no)</t>
  </si>
  <si>
    <t>**configure rsa**</t>
  </si>
  <si>
    <t>**configure autosupport**</t>
  </si>
  <si>
    <t>**configure secureadmin settings**</t>
  </si>
  <si>
    <t>netapp123 &lt;temp passwd as cifs setup requires a change&gt;</t>
  </si>
  <si>
    <t>**RSA SETUP** (perform on every controller)</t>
  </si>
  <si>
    <t xml:space="preserve">interface name: </t>
  </si>
  <si>
    <t xml:space="preserve">service principal name: </t>
  </si>
  <si>
    <t xml:space="preserve">realm: </t>
  </si>
  <si>
    <t xml:space="preserve">keytab uri: </t>
  </si>
  <si>
    <t>Nexus 5k Switch Cabling (FlexPod / UCS Only)</t>
  </si>
  <si>
    <t>SAN Switches</t>
  </si>
  <si>
    <t xml:space="preserve">SSL - All in One Config: </t>
  </si>
  <si>
    <t xml:space="preserve">Site/Location Name: </t>
  </si>
  <si>
    <t xml:space="preserve">Street Number &amp; Name: </t>
  </si>
  <si>
    <t xml:space="preserve">City, Town, etc.: </t>
  </si>
  <si>
    <t>e0c</t>
  </si>
  <si>
    <t>Eth1/20</t>
  </si>
  <si>
    <t>Eth1/21</t>
  </si>
  <si>
    <t>Eth1/22</t>
  </si>
  <si>
    <t>Eth1/23</t>
  </si>
  <si>
    <t>Eth1/24</t>
  </si>
  <si>
    <t>Eth1/25</t>
  </si>
  <si>
    <t>Eth1/26</t>
  </si>
  <si>
    <t>Eth1/27</t>
  </si>
  <si>
    <t>Eth1/28</t>
  </si>
  <si>
    <t>Eth1/29</t>
  </si>
  <si>
    <t>Eth1/30</t>
  </si>
  <si>
    <t>Eth1/31</t>
  </si>
  <si>
    <t>Eth1/32</t>
  </si>
  <si>
    <t>Eth1/33</t>
  </si>
  <si>
    <t>Eth1/34</t>
  </si>
  <si>
    <t>Eth1/35</t>
  </si>
  <si>
    <t>Eth1/36</t>
  </si>
  <si>
    <t>Eth1/37</t>
  </si>
  <si>
    <t>Eth1/38</t>
  </si>
  <si>
    <t>Eth1/39</t>
  </si>
  <si>
    <t>Eth1/40</t>
  </si>
  <si>
    <t>Eth1/41</t>
  </si>
  <si>
    <t>Eth1/42</t>
  </si>
  <si>
    <t>Eth1/43</t>
  </si>
  <si>
    <t>Eth1/44</t>
  </si>
  <si>
    <t>Eth1/45</t>
  </si>
  <si>
    <t>e0d</t>
  </si>
  <si>
    <t>Nexus 3048 Switch Cabling (ExpressPod Only)</t>
  </si>
  <si>
    <t>Solution Type:</t>
  </si>
  <si>
    <t>Solution</t>
  </si>
  <si>
    <t>NetApp 7-Mode</t>
  </si>
  <si>
    <t>Version</t>
  </si>
  <si>
    <t xml:space="preserve">Site Information Worksheet Version: </t>
  </si>
  <si>
    <t>Date Modified</t>
  </si>
  <si>
    <t>Modified By</t>
  </si>
  <si>
    <t>Tom Lasswell</t>
  </si>
  <si>
    <t>Modified Description</t>
  </si>
  <si>
    <t>Initial Client Release, Major Modifications to workbook</t>
  </si>
  <si>
    <t xml:space="preserve">Zip Code: </t>
  </si>
  <si>
    <t>FlexPod (7-Mode)</t>
  </si>
  <si>
    <t>ExpressPod (7-Mode)</t>
  </si>
  <si>
    <t>Flexpod (cDOT)</t>
  </si>
  <si>
    <t>ExpressPod (cDOT)</t>
  </si>
  <si>
    <t>SAS: 1.2TB</t>
  </si>
  <si>
    <t>SATA: 4TB</t>
  </si>
  <si>
    <t>SSD: 200GB</t>
  </si>
  <si>
    <t>SSD: 800GB</t>
  </si>
  <si>
    <t>Server OS</t>
  </si>
  <si>
    <t>NetApp VSC Plugin Server</t>
  </si>
  <si>
    <t>Accounts (NetApp Only)</t>
  </si>
  <si>
    <t>Account Name</t>
  </si>
  <si>
    <t>Description of Account</t>
  </si>
  <si>
    <t>Unique VLANs</t>
  </si>
  <si>
    <t>cDOT Role</t>
  </si>
  <si>
    <t>NetApp Clustered OnTap (cDOT)</t>
  </si>
  <si>
    <t>Operation / Configuration</t>
  </si>
  <si>
    <t>Net</t>
  </si>
  <si>
    <t>S1</t>
  </si>
  <si>
    <t>S2</t>
  </si>
  <si>
    <t>S3</t>
  </si>
  <si>
    <t>S4</t>
  </si>
  <si>
    <t>T</t>
  </si>
  <si>
    <t>VC</t>
  </si>
  <si>
    <t>SSO</t>
  </si>
  <si>
    <t>Configuration Parameter</t>
  </si>
  <si>
    <t>Desired Value</t>
  </si>
  <si>
    <t>*L = Legacy VM, T=Windows 2008 Template</t>
  </si>
  <si>
    <t xml:space="preserve">Disable Spanning Tree: </t>
  </si>
  <si>
    <t xml:space="preserve">set-non-negotiate: </t>
  </si>
  <si>
    <t xml:space="preserve">verify-vlan-trunk: </t>
  </si>
  <si>
    <t xml:space="preserve">BIOS-updated to latest version: </t>
  </si>
  <si>
    <t xml:space="preserve">BIOS-enable all sockets &amp; all cores: </t>
  </si>
  <si>
    <t xml:space="preserve">BIOS Config: </t>
  </si>
  <si>
    <t>turbo mode</t>
  </si>
  <si>
    <t>enabled</t>
  </si>
  <si>
    <t>hyperthreading</t>
  </si>
  <si>
    <t xml:space="preserve">BIOS(NUMA) Config: </t>
  </si>
  <si>
    <t>node interleaving</t>
  </si>
  <si>
    <t>disabled</t>
  </si>
  <si>
    <t>virt features (VT-x, AMD-V, EPT, RVI)</t>
  </si>
  <si>
    <t>C1E halt state</t>
  </si>
  <si>
    <t>power-saving modes</t>
  </si>
  <si>
    <t>unneeded devices (serial, USB, etc)</t>
  </si>
  <si>
    <t>removed/disabled</t>
  </si>
  <si>
    <t xml:space="preserve">RAID-Setup RAID: </t>
  </si>
  <si>
    <t xml:space="preserve">Install ESXi OS: </t>
  </si>
  <si>
    <t xml:space="preserve">Set static IP: </t>
  </si>
  <si>
    <t xml:space="preserve">UCS-recreate mgmt switch (reset MAC): </t>
  </si>
  <si>
    <t xml:space="preserve">Install OS: </t>
  </si>
  <si>
    <t>Windows 2008, C:\(40G), D:\(40G)</t>
  </si>
  <si>
    <t xml:space="preserve">Install VMware tools: </t>
  </si>
  <si>
    <t xml:space="preserve">Patch system: </t>
  </si>
  <si>
    <t xml:space="preserve">Uninstall/disable IIS: </t>
  </si>
  <si>
    <t xml:space="preserve">NTP setting changes for Windows KB 1318: </t>
  </si>
  <si>
    <t>vmware kb 1318</t>
  </si>
  <si>
    <t xml:space="preserve">Clone Template for vCenter: </t>
  </si>
  <si>
    <t>vmkfstools -i &lt;input&gt; &lt;output&gt; -d &lt;format&gt;</t>
  </si>
  <si>
    <t xml:space="preserve">Clone Template for SQL: </t>
  </si>
  <si>
    <t xml:space="preserve">Clone Template for SSO: </t>
  </si>
  <si>
    <t xml:space="preserve">Install SQL 2008 Standard: </t>
  </si>
  <si>
    <t xml:space="preserve">Setup Windows Integrated and SQL auth: </t>
  </si>
  <si>
    <t xml:space="preserve">create vcenter service account: </t>
  </si>
  <si>
    <t xml:space="preserve">create vcenter security group: </t>
  </si>
  <si>
    <t>vmadmins</t>
  </si>
  <si>
    <t xml:space="preserve">add security logins for SQL server: </t>
  </si>
  <si>
    <t xml:space="preserve">create databases: </t>
  </si>
  <si>
    <t xml:space="preserve">add vcenter svc account to sysadmin: </t>
  </si>
  <si>
    <t xml:space="preserve">add svc accnt to "Act as part of the OS": </t>
  </si>
  <si>
    <t xml:space="preserve">create primary node for SSO: </t>
  </si>
  <si>
    <t>first option, next</t>
  </si>
  <si>
    <t>second option, next</t>
  </si>
  <si>
    <t>enter password admin@System-Domain</t>
  </si>
  <si>
    <t xml:space="preserve">install inventory service: </t>
  </si>
  <si>
    <t xml:space="preserve">Setup ODBC connector for vCenter: </t>
  </si>
  <si>
    <t>PS: Set-ExecutionPolicy unrestricted</t>
  </si>
  <si>
    <t>PS Set-ExecutionPolicy restricted</t>
  </si>
  <si>
    <t xml:space="preserve">Install vCenter with service account: </t>
  </si>
  <si>
    <t xml:space="preserve">Setup ODBC connector for Update Manager: </t>
  </si>
  <si>
    <t xml:space="preserve">Install Update Manager: </t>
  </si>
  <si>
    <t xml:space="preserve">Install syslog collector: </t>
  </si>
  <si>
    <t>esxcli system syslog config set –loghost=x.x.x.x</t>
  </si>
  <si>
    <t xml:space="preserve">Install esxi dump collector: </t>
  </si>
  <si>
    <t xml:space="preserve">Replace default certificates: </t>
  </si>
  <si>
    <t xml:space="preserve">Add ESXi hosts to vCenter: </t>
  </si>
  <si>
    <t xml:space="preserve">Cluster Config: </t>
  </si>
  <si>
    <t>enable host monitoring</t>
  </si>
  <si>
    <t>Do not power on VMs that violate availability constraints</t>
  </si>
  <si>
    <t>% of cluster resources reserved as a failover (20%) or related to cluster size</t>
  </si>
  <si>
    <t>Default virtual machine restart priority Medium</t>
  </si>
  <si>
    <t>virtual machine monitoring disabled</t>
  </si>
  <si>
    <t>Datastore heartbeating select appropriate datastore</t>
  </si>
  <si>
    <t>Enable EVC compatibility mode</t>
  </si>
  <si>
    <t>configure to first host</t>
  </si>
  <si>
    <t>to ensure DB first, SSO second, then vCenter</t>
  </si>
  <si>
    <t xml:space="preserve">no-self-signed-certs: </t>
  </si>
  <si>
    <t xml:space="preserve">restrict-vcs-db-user: </t>
  </si>
  <si>
    <t xml:space="preserve">use-supported-system: </t>
  </si>
  <si>
    <t xml:space="preserve">avoid-vum-self-management: </t>
  </si>
  <si>
    <t xml:space="preserve">isolate-vum-proxy: </t>
  </si>
  <si>
    <t xml:space="preserve">no-vum-self-signed-certs: </t>
  </si>
  <si>
    <t xml:space="preserve">restrict-vum-db-user: </t>
  </si>
  <si>
    <t xml:space="preserve">Create custom vSwitches: </t>
  </si>
  <si>
    <t>vSwitchmgmt, vSwitchvmotion, vSwitchnfs, vswitchiscsi1, vswitchft, etc.</t>
  </si>
  <si>
    <t xml:space="preserve">isolate-mgmt-network-vlan: </t>
  </si>
  <si>
    <t xml:space="preserve">isolate-storage-network-vlan: </t>
  </si>
  <si>
    <t xml:space="preserve">isolate-vmotion-network-vlan: </t>
  </si>
  <si>
    <t xml:space="preserve">restrict-mgmt-network-access-jumpbox: </t>
  </si>
  <si>
    <t xml:space="preserve">reject-forged-transmit-dvportgroup: </t>
  </si>
  <si>
    <t xml:space="preserve">reject-mac-change-dvportgroup: </t>
  </si>
  <si>
    <t xml:space="preserve">reject-promiscuous-mode-dvportgroup: </t>
  </si>
  <si>
    <t xml:space="preserve">no-native-vlan-1: </t>
  </si>
  <si>
    <t xml:space="preserve">no-reserved-vlans: </t>
  </si>
  <si>
    <t xml:space="preserve">no-vgt-vlan-4095: </t>
  </si>
  <si>
    <t xml:space="preserve">reject-forged-transmit: </t>
  </si>
  <si>
    <t xml:space="preserve">reject-mac-changes: </t>
  </si>
  <si>
    <t xml:space="preserve">reject-promiscuous-mode: </t>
  </si>
  <si>
    <t xml:space="preserve">Join domain: </t>
  </si>
  <si>
    <t xml:space="preserve">disable-intervm-vmci: </t>
  </si>
  <si>
    <t>vmci0.unrestricted</t>
  </si>
  <si>
    <t xml:space="preserve">limit-console-connections-two: </t>
  </si>
  <si>
    <t>RemoteDisplay.maxConnections</t>
  </si>
  <si>
    <t xml:space="preserve">limit-setinfo-size: </t>
  </si>
  <si>
    <t>tools.setInfo.sizeLimit</t>
  </si>
  <si>
    <t xml:space="preserve">prevent-device-interaction-connect: </t>
  </si>
  <si>
    <t>isolation.device.connectable.disable</t>
  </si>
  <si>
    <t xml:space="preserve">prevent-device-interaction-edit: </t>
  </si>
  <si>
    <t>isolation.device.edit.disable</t>
  </si>
  <si>
    <t xml:space="preserve">disable-console-copy: </t>
  </si>
  <si>
    <t>isolation.tools.copy.disable</t>
  </si>
  <si>
    <t xml:space="preserve">disable-console-dnd: </t>
  </si>
  <si>
    <t>isolation.tools.dnd.disable</t>
  </si>
  <si>
    <t xml:space="preserve">disable-console-gui-options: </t>
  </si>
  <si>
    <t>isolation.tools.setGUIOptions.enable</t>
  </si>
  <si>
    <t xml:space="preserve">disable-console-paste: </t>
  </si>
  <si>
    <t>isolation.tools.paste.disable</t>
  </si>
  <si>
    <t xml:space="preserve">verify-network-filter: </t>
  </si>
  <si>
    <t>ethernetn.filtern.name = filtername</t>
  </si>
  <si>
    <t>undefined unless using dvfilter</t>
  </si>
  <si>
    <t xml:space="preserve">verify-vmsafe-cpumem-agentaddress: </t>
  </si>
  <si>
    <t>vmsafe.agentAddress</t>
  </si>
  <si>
    <t>not present, or site-specific</t>
  </si>
  <si>
    <t xml:space="preserve">verify-vmsafe-cpumem-agentport: </t>
  </si>
  <si>
    <t>vmsafe.agentPort</t>
  </si>
  <si>
    <t xml:space="preserve">verify-vmsafe-cpumem-enable: </t>
  </si>
  <si>
    <t>vmsafe.enable</t>
  </si>
  <si>
    <t>FALSE or not present</t>
  </si>
  <si>
    <t xml:space="preserve">disable-disk-shrinking-shrink: </t>
  </si>
  <si>
    <t xml:space="preserve"> isolation.tools.diskShrink.disable</t>
  </si>
  <si>
    <t xml:space="preserve">disable-disk-shrinking-wiper: </t>
  </si>
  <si>
    <t xml:space="preserve">isolation.tools.diskWiper.disable </t>
  </si>
  <si>
    <t xml:space="preserve">limit-log-number: </t>
  </si>
  <si>
    <t>log.keepOld</t>
  </si>
  <si>
    <t xml:space="preserve">limit-log-size: </t>
  </si>
  <si>
    <t xml:space="preserve">log.rotateSize </t>
  </si>
  <si>
    <t xml:space="preserve">Set screen saver to blank w/ password: </t>
  </si>
  <si>
    <t xml:space="preserve">iSCSI timeout settings: </t>
  </si>
  <si>
    <t xml:space="preserve">NTP setup for ESXi hosts: </t>
  </si>
  <si>
    <t xml:space="preserve">Configure persistent logging for hosts: </t>
  </si>
  <si>
    <t xml:space="preserve">enable-ad-auth: </t>
  </si>
  <si>
    <t>N/A</t>
  </si>
  <si>
    <t>set-password-complexity</t>
  </si>
  <si>
    <t xml:space="preserve">password requisite /lib/security/$ISA/pam_passwdqc.so (site specific) </t>
  </si>
  <si>
    <t xml:space="preserve">verify-admin-group: </t>
  </si>
  <si>
    <t>vpxuser-password-age</t>
  </si>
  <si>
    <t>VirtualCenter.VimPasswordExpirationInDays</t>
  </si>
  <si>
    <t>Site Specific</t>
  </si>
  <si>
    <t>vpxuser-password-length</t>
  </si>
  <si>
    <t>vpxd.hostPasswordLength</t>
  </si>
  <si>
    <t>config-firewall-access</t>
  </si>
  <si>
    <t>disable-mob</t>
  </si>
  <si>
    <t>Remove Service</t>
  </si>
  <si>
    <t>enable-auth-proxy</t>
  </si>
  <si>
    <t>esxi-no-self-signed-certs</t>
  </si>
  <si>
    <t>verify-dvfilter-bind</t>
  </si>
  <si>
    <t>Net.DVFilterBindIpAddress</t>
  </si>
  <si>
    <t>empty</t>
  </si>
  <si>
    <t xml:space="preserve">disable-ssh: </t>
  </si>
  <si>
    <t>Stopped</t>
  </si>
  <si>
    <t xml:space="preserve">limit-cim-access: </t>
  </si>
  <si>
    <t>remove-authorized-keys</t>
  </si>
  <si>
    <t>set-shell-timeout</t>
  </si>
  <si>
    <t>UserVars.ESXiShellTimeout</t>
  </si>
  <si>
    <t xml:space="preserve">apply-patches: </t>
  </si>
  <si>
    <t xml:space="preserve">verify-install-media: </t>
  </si>
  <si>
    <t>verify-kernel-modules</t>
  </si>
  <si>
    <t xml:space="preserve">config-persistent-logs: </t>
  </si>
  <si>
    <t>Syslog.global.logDir</t>
  </si>
  <si>
    <t xml:space="preserve">enable-remote-syslog: </t>
  </si>
  <si>
    <t>Syslog.global.logHost</t>
  </si>
  <si>
    <t xml:space="preserve">enable-chap-auth: </t>
  </si>
  <si>
    <t>Use Chap, Name, Secret</t>
  </si>
  <si>
    <t xml:space="preserve">mask-zone-san: </t>
  </si>
  <si>
    <t xml:space="preserve">unique-chap-secrets: </t>
  </si>
  <si>
    <t>Secret</t>
  </si>
  <si>
    <t>site-dependent</t>
  </si>
  <si>
    <t xml:space="preserve">Configure SNMP: </t>
  </si>
  <si>
    <t xml:space="preserve">Disable DCUI: </t>
  </si>
  <si>
    <t>(after setup is complete)</t>
  </si>
  <si>
    <t xml:space="preserve">Disable SSH shell: </t>
  </si>
  <si>
    <t xml:space="preserve">Configure AD authentication: </t>
  </si>
  <si>
    <t xml:space="preserve">Enable lockdown mode: </t>
  </si>
  <si>
    <t>(only after AD is in place with VM Admins group created)</t>
  </si>
  <si>
    <t xml:space="preserve">vSwitch-management port cap: </t>
  </si>
  <si>
    <t xml:space="preserve">Change root password: </t>
  </si>
  <si>
    <t xml:space="preserve">Setup email alerts for host outage: </t>
  </si>
  <si>
    <t xml:space="preserve">Setup email alerts for Host CPU usage: </t>
  </si>
  <si>
    <t xml:space="preserve">Setup email alerts for Host Memory usage: </t>
  </si>
  <si>
    <t xml:space="preserve">Setup email alerts for datastore usage: </t>
  </si>
  <si>
    <t xml:space="preserve">HA functional testing: </t>
  </si>
  <si>
    <t xml:space="preserve">DRS functional testing: </t>
  </si>
  <si>
    <t xml:space="preserve">Clone testing: </t>
  </si>
  <si>
    <t xml:space="preserve">Template deployment test: </t>
  </si>
  <si>
    <t>FT Functional testing</t>
  </si>
  <si>
    <t xml:space="preserve">Network failover functional testing: </t>
  </si>
  <si>
    <t xml:space="preserve">Storage network failover functional testing: </t>
  </si>
  <si>
    <t xml:space="preserve"> -----&gt;&gt;&gt; Additional LIFS to create</t>
  </si>
  <si>
    <t>Modifications for accounts, vlan dropdown, other various modifications</t>
  </si>
  <si>
    <t>Accounts (UCS Only)</t>
  </si>
  <si>
    <t>Accounts (VMware Only)</t>
  </si>
  <si>
    <t xml:space="preserve">Setup - VMware          </t>
  </si>
  <si>
    <t>Application Servers</t>
  </si>
  <si>
    <t>Important URLs</t>
  </si>
  <si>
    <t xml:space="preserve">NetApp OnCommand Core: </t>
  </si>
  <si>
    <t xml:space="preserve">Login With: </t>
  </si>
  <si>
    <t xml:space="preserve">NetApp OnCommand Balance: </t>
  </si>
  <si>
    <t xml:space="preserve">UCS Site: </t>
  </si>
  <si>
    <t>CDW - NetApp Storage Implementation - Site Information Survey</t>
  </si>
  <si>
    <t>MetroCluster Information Sheet</t>
  </si>
  <si>
    <t>This section is used to collect MetroCluster Specific Configuration Information.</t>
  </si>
  <si>
    <t>MetroCluster FC Switch Information</t>
  </si>
  <si>
    <t>Switch Number</t>
  </si>
  <si>
    <t>Site</t>
  </si>
  <si>
    <t>Management IP</t>
  </si>
  <si>
    <t>Domain ID</t>
  </si>
  <si>
    <t>A</t>
  </si>
  <si>
    <t>B</t>
  </si>
  <si>
    <t>MetroCluster SAS Bridge Information</t>
  </si>
  <si>
    <t>Stack Number</t>
  </si>
  <si>
    <t>Bridge</t>
  </si>
  <si>
    <t>MetroCluster Switch Port to Device Port Information for Site A Switch 1</t>
  </si>
  <si>
    <t>MetroCluster Switch Port to Device Port Information for Site A Switch 2</t>
  </si>
  <si>
    <t>Switch Port</t>
  </si>
  <si>
    <t>Port Speed</t>
  </si>
  <si>
    <t>Port Type</t>
  </si>
  <si>
    <t>Device</t>
  </si>
  <si>
    <t>Adapter</t>
  </si>
  <si>
    <t>Adapter Port</t>
  </si>
  <si>
    <t>MetroCluster Switch Port to Device Port Information for Site B Switch 3</t>
  </si>
  <si>
    <t>MetroCluster Switch Port to Device Port Information for Site B Switch 4</t>
  </si>
  <si>
    <t>MetroCluster Site A Shelf Ownership</t>
  </si>
  <si>
    <t>MetroCluster Site B Shelf Ownership</t>
  </si>
  <si>
    <t>Shelf ID</t>
  </si>
  <si>
    <t>Pool</t>
  </si>
  <si>
    <t>Kyle Payne</t>
  </si>
  <si>
    <t>Added MetroCluster back in to this sheet</t>
  </si>
  <si>
    <t>MetroCluster Switches</t>
  </si>
  <si>
    <t>MetroCluster Bridges</t>
  </si>
  <si>
    <t>Added Serial Number and DNS Information For MetroCluster</t>
  </si>
  <si>
    <t>Added Vserver Short Name field and created more than one Vserver Sheet</t>
  </si>
  <si>
    <t>hyperv</t>
  </si>
  <si>
    <t>nfs</t>
  </si>
  <si>
    <t>infinitevol</t>
  </si>
  <si>
    <t>block</t>
  </si>
  <si>
    <t>c-vServer-CIFS</t>
  </si>
  <si>
    <t>c-vServer-HyperV</t>
  </si>
  <si>
    <t>c-vServer-NFS</t>
  </si>
  <si>
    <t>c-vServer-InfiniteVol</t>
  </si>
  <si>
    <t>c-vServer-Block</t>
  </si>
  <si>
    <t>ntfs</t>
  </si>
  <si>
    <t>Test Plan</t>
  </si>
  <si>
    <t>Device/Process Tested</t>
  </si>
  <si>
    <t>Date Tested</t>
  </si>
  <si>
    <t>Result</t>
  </si>
  <si>
    <t>NetApp Reboot/Halt</t>
  </si>
  <si>
    <t>NetApp Power Off/On</t>
  </si>
  <si>
    <t>NetApp CF Takeover</t>
  </si>
  <si>
    <t>Nexus Switch Fail</t>
  </si>
  <si>
    <t>UCS FI Failover</t>
  </si>
  <si>
    <t>UCS Service Profile Mobility (boot from SAN only)</t>
  </si>
  <si>
    <t>Brandon Jackson</t>
  </si>
  <si>
    <t>Added "Test Plan" tab for FlexPod Test Plan deliverable</t>
  </si>
  <si>
    <t>Version:</t>
  </si>
  <si>
    <t>SnapMirror/Intercluster</t>
  </si>
  <si>
    <t>FC Protocol Configuration</t>
  </si>
  <si>
    <t>FC LIF Name (per controller)</t>
  </si>
  <si>
    <t>WWPN</t>
  </si>
  <si>
    <t>Home Node (does not migrate)</t>
  </si>
  <si>
    <t>Home Port (does not migrate)</t>
  </si>
  <si>
    <t>FC - Node 1</t>
  </si>
  <si>
    <t>20:00:00:a0:98:43:d0:22</t>
  </si>
  <si>
    <t>3a</t>
  </si>
  <si>
    <t>20:01:00:a0:98:43:d0:22</t>
  </si>
  <si>
    <t>4a</t>
  </si>
  <si>
    <t>FC - Node 2</t>
  </si>
  <si>
    <t>20:02:00:a0:98:43:d0:22</t>
  </si>
  <si>
    <t>20:03:00:a0:98:43:d0:22</t>
  </si>
  <si>
    <t>iSCSI IQN Name:</t>
  </si>
  <si>
    <t xml:space="preserve">Fabric "A" boot target (primary): </t>
  </si>
  <si>
    <t xml:space="preserve">Fabric "A" boot target (secondary): </t>
  </si>
  <si>
    <t xml:space="preserve">Fabric "B" boot target (primary): </t>
  </si>
  <si>
    <t xml:space="preserve">Fabric "B" boot target (secondary): </t>
  </si>
  <si>
    <t xml:space="preserve">NetApp Node 01 Log URL: </t>
  </si>
  <si>
    <t>Pool Description</t>
  </si>
  <si>
    <t>UUID prefix:</t>
  </si>
  <si>
    <t>VM vMotion and HA functionality</t>
  </si>
  <si>
    <t>UCS Chassis 2 FEX A</t>
  </si>
  <si>
    <t>UCS Chassis 2 FEX B</t>
  </si>
  <si>
    <t>FCoE - A</t>
  </si>
  <si>
    <t>FCoE - B</t>
  </si>
  <si>
    <t>Nexus 1000v Control</t>
  </si>
  <si>
    <t>n/a</t>
  </si>
  <si>
    <t>Default Administration Account</t>
  </si>
  <si>
    <t>admin</t>
  </si>
  <si>
    <t>Administrator</t>
  </si>
  <si>
    <t>DCNM-SAN Administration Account</t>
  </si>
  <si>
    <t>dcnm-san</t>
  </si>
  <si>
    <t>Default Administrator</t>
  </si>
  <si>
    <t>Cluster Account</t>
  </si>
  <si>
    <t>oncmd</t>
  </si>
  <si>
    <t>vSphere Web Client URL</t>
  </si>
  <si>
    <t>CIFS DNS Entries (Round Robin)</t>
  </si>
  <si>
    <t>e3a</t>
  </si>
  <si>
    <t>e4a</t>
  </si>
  <si>
    <t>Added additional UCS and cDOT tables, fixed formulas, edited cabling info</t>
  </si>
  <si>
    <t xml:space="preserve">SVM Name: </t>
  </si>
  <si>
    <t xml:space="preserve">SVM #: </t>
  </si>
  <si>
    <t xml:space="preserve">SVM root aggregate: </t>
  </si>
  <si>
    <t xml:space="preserve">SVM gateway: </t>
  </si>
  <si>
    <t xml:space="preserve">SVM subnet mask: </t>
  </si>
  <si>
    <t xml:space="preserve">SVM destination metric:  </t>
  </si>
  <si>
    <t>SVM Management DNS</t>
  </si>
  <si>
    <t xml:space="preserve">SVM Admin VLAN: </t>
  </si>
  <si>
    <t xml:space="preserve">SVM Admin interface: </t>
  </si>
  <si>
    <t>SVM Administration Interface Configuration</t>
  </si>
  <si>
    <t xml:space="preserve">SVM Short Name: </t>
  </si>
  <si>
    <t>*copy this sheet to add additional SVMs*</t>
  </si>
  <si>
    <t xml:space="preserve">SVM DNS Domain: </t>
  </si>
  <si>
    <t xml:space="preserve">SVM DNS Servers (IP): </t>
  </si>
  <si>
    <t>CIFS - Hyper-V</t>
  </si>
  <si>
    <t>Administration</t>
  </si>
  <si>
    <t>SVM Administration DNS</t>
  </si>
  <si>
    <t>7-mode: Information &amp; Network</t>
  </si>
  <si>
    <t>Clustered OnTap: Information &amp; Network</t>
  </si>
  <si>
    <t>SVM Administration Interface Addresses</t>
  </si>
  <si>
    <t>Block uses SVM name for SnapDrive Connectivity</t>
  </si>
  <si>
    <t>UCS (ExpressPod only):</t>
  </si>
  <si>
    <t>Nexus 3048</t>
  </si>
  <si>
    <t>Eth1/46</t>
  </si>
  <si>
    <t>Eth1/47</t>
  </si>
  <si>
    <t>Eth1/48</t>
  </si>
  <si>
    <t>Eth2/1</t>
  </si>
  <si>
    <t>Eth2/2</t>
  </si>
  <si>
    <t>Eth2/3</t>
  </si>
  <si>
    <t>Eth2/4</t>
  </si>
  <si>
    <t>1/0</t>
  </si>
  <si>
    <t>1/1</t>
  </si>
  <si>
    <t>Core Uplink - **client switch**</t>
  </si>
  <si>
    <t>Updated DCO standards, SVM config tabs</t>
  </si>
  <si>
    <t>Nexus 3048 Switches (ExpressPod Only)</t>
  </si>
  <si>
    <t>Virtual Appliance</t>
  </si>
  <si>
    <t>cDOT Application</t>
  </si>
  <si>
    <t>All (default admin)</t>
  </si>
  <si>
    <t>Virtual Storage Console Account</t>
  </si>
  <si>
    <t>vsc</t>
  </si>
  <si>
    <t>ontapi</t>
  </si>
  <si>
    <t>Fixed DNS Coding for cDOT CIFS, added application info</t>
  </si>
  <si>
    <t>Physical Interfaces or Interface Groups (Both Controllers)</t>
  </si>
  <si>
    <t>UCS Fabric Interconnect Switches</t>
  </si>
  <si>
    <t xml:space="preserve">Fabric Interconnect A name: </t>
  </si>
  <si>
    <t xml:space="preserve">Fabric Interconnect B name: </t>
  </si>
  <si>
    <t xml:space="preserve">switch b IP address: </t>
  </si>
  <si>
    <t xml:space="preserve">iSCSI A subnet mask: </t>
  </si>
  <si>
    <t xml:space="preserve">iSCSI A vlan / ip range: </t>
  </si>
  <si>
    <t xml:space="preserve">iSCSI B vlan / ip range: </t>
  </si>
  <si>
    <t xml:space="preserve">iSCSI B subnet mask: </t>
  </si>
  <si>
    <t>iSCSI A IP Address</t>
  </si>
  <si>
    <t>iSCSI B IP Address</t>
  </si>
  <si>
    <t>iSCSI-A</t>
  </si>
  <si>
    <t>iSCSI-B</t>
  </si>
  <si>
    <t>host-a</t>
  </si>
  <si>
    <t>host-b</t>
  </si>
  <si>
    <t xml:space="preserve">starting number: </t>
  </si>
  <si>
    <t>UUID suffix:</t>
  </si>
  <si>
    <t xml:space="preserve">Peer Keep Alive VPC ID: </t>
  </si>
  <si>
    <t>Virtual Machine and Servers: DNS Entries</t>
  </si>
  <si>
    <t>Server Function</t>
  </si>
  <si>
    <t>derived</t>
  </si>
  <si>
    <t>Various UCS tab updates for DCO conformity, VLAN cell algorithm updates</t>
  </si>
  <si>
    <t xml:space="preserve">SSO server name (fqdn/ip): </t>
  </si>
  <si>
    <t>*optional - not compatible with NetApp VSC implementations</t>
  </si>
  <si>
    <t>Database User Information</t>
  </si>
  <si>
    <t>SQL SA Account</t>
  </si>
  <si>
    <t>sa</t>
  </si>
  <si>
    <t>dbo</t>
  </si>
  <si>
    <t>SQL DB User - VCDB</t>
  </si>
  <si>
    <t>vpxuser</t>
  </si>
  <si>
    <t>SQL DB User - VUMDB</t>
  </si>
  <si>
    <t>vumuser</t>
  </si>
  <si>
    <t>SSO System user</t>
  </si>
  <si>
    <t>Admin</t>
  </si>
  <si>
    <t>Host Name (not FQDN)</t>
  </si>
  <si>
    <t>Cisco Fabric Interconnect Switch Cabling (FlexPod / UCS Only)</t>
  </si>
  <si>
    <t>Added servers to Application Servers section</t>
  </si>
  <si>
    <t>NFS-2</t>
  </si>
  <si>
    <t>VM Data - Production</t>
  </si>
  <si>
    <t>VM Data - Development</t>
  </si>
  <si>
    <t>VM Data - DMZ</t>
  </si>
  <si>
    <t>VM Data - Other</t>
  </si>
  <si>
    <t>VLANs - Network Purpose</t>
  </si>
  <si>
    <t>Changed NetApp VLAN information to drop down lists</t>
  </si>
  <si>
    <t>Hyper-V CIFS DNS Entries (Round Robin)</t>
  </si>
  <si>
    <t>Added CIFS Hyper-V DNS Entry logic</t>
  </si>
  <si>
    <t>NetApp E-Series Controllers</t>
  </si>
  <si>
    <t>E-Series Controllers</t>
  </si>
  <si>
    <t>E-Series: Storage Layout Information</t>
  </si>
  <si>
    <t>Storage Layout</t>
  </si>
  <si>
    <t>Disk Collection Type</t>
  </si>
  <si>
    <t>E-Series Disk Collection Type</t>
  </si>
  <si>
    <t>Volume Group</t>
  </si>
  <si>
    <t>Dynamic Disk Pool</t>
  </si>
  <si>
    <t>RAID Group</t>
  </si>
  <si>
    <t># Disks</t>
  </si>
  <si>
    <t>RAID Level</t>
  </si>
  <si>
    <t>Usable Space</t>
  </si>
  <si>
    <t>DE1600</t>
  </si>
  <si>
    <t>DE5600</t>
  </si>
  <si>
    <t>DE6600</t>
  </si>
  <si>
    <t>NetApp : E-Series DNS Entries</t>
  </si>
  <si>
    <t>Firmware Version</t>
  </si>
  <si>
    <t>SANtricity Version:</t>
  </si>
  <si>
    <t>NetApp E-Series Controller Cabling</t>
  </si>
  <si>
    <t>E-Series</t>
  </si>
  <si>
    <t>E-Series FlexPod</t>
  </si>
  <si>
    <t>RAID 3</t>
  </si>
  <si>
    <t>RAID 0</t>
  </si>
  <si>
    <t>RAID 1</t>
  </si>
  <si>
    <t>RAID 5</t>
  </si>
  <si>
    <t>RAID 6</t>
  </si>
  <si>
    <t>RAID 1+0</t>
  </si>
  <si>
    <t>Controller A IP Address</t>
  </si>
  <si>
    <t>Controller B IP Address</t>
  </si>
  <si>
    <t xml:space="preserve">SVM Domain Account Name: </t>
  </si>
  <si>
    <t>Storage Protocol</t>
  </si>
  <si>
    <t>E-Series Storage Protocol</t>
  </si>
  <si>
    <t>FC</t>
  </si>
  <si>
    <t>Direct SAS</t>
  </si>
  <si>
    <t>A - Mgmt Port 1</t>
  </si>
  <si>
    <t>A - Mgmt Port 2</t>
  </si>
  <si>
    <t>*** not used - for Tech Support Only ***</t>
  </si>
  <si>
    <t>B - Mgmt Port 1</t>
  </si>
  <si>
    <t>B - Mgmt Port 2</t>
  </si>
  <si>
    <t xml:space="preserve"> (each controller will have 2 IP Addresses)</t>
  </si>
  <si>
    <t>Added E-Series tab and logic for E-Series controllers and additional CIFS Domain Account Name</t>
  </si>
  <si>
    <t>Default Account</t>
  </si>
  <si>
    <t>n/a (password only)</t>
  </si>
  <si>
    <t>Protocol Layout - FC</t>
  </si>
  <si>
    <t>Port</t>
  </si>
  <si>
    <t>Protocol Layout - iSCSI</t>
  </si>
  <si>
    <t>DDP</t>
  </si>
  <si>
    <t>vsphere.local\Administrator</t>
  </si>
  <si>
    <t>iSCSI IP Address</t>
  </si>
  <si>
    <t>VLAN Trunking?</t>
  </si>
  <si>
    <t>Added E-Series iSCSI Info and updates for Vmware 5.5</t>
  </si>
  <si>
    <t>cDOT: Information &amp; Network: Storage Virtual Machine (SVM)</t>
  </si>
  <si>
    <t>Proxy Server Hostname/IP:</t>
  </si>
  <si>
    <t>Proxy Server Port:</t>
  </si>
  <si>
    <t>Credentials Needed?</t>
  </si>
  <si>
    <t>16GbFC</t>
  </si>
  <si>
    <t>IP Summary</t>
  </si>
  <si>
    <t>* For AutoSupport/RSA Connection to NetApp</t>
  </si>
  <si>
    <t>SANtricity Management Server:</t>
  </si>
  <si>
    <t>This worksheet is to collect information for the E-Series implementation.</t>
  </si>
  <si>
    <t>This tab details all of the IP addresses used for the project, in a single, concise location</t>
  </si>
  <si>
    <t>NetApp : 7-Mode Entries</t>
  </si>
  <si>
    <t>NetApp : cDOT Entries</t>
  </si>
  <si>
    <t>Host/Interface</t>
  </si>
  <si>
    <t>Host/LIF</t>
  </si>
  <si>
    <t>Interface or Int. Group</t>
  </si>
  <si>
    <t>NetApp : MultiStore Entries</t>
  </si>
  <si>
    <t>Engineer Comments</t>
  </si>
  <si>
    <t>Cisco : UCS Entries</t>
  </si>
  <si>
    <t>NetApp : E-Series Entries</t>
  </si>
  <si>
    <t>VMware Entries</t>
  </si>
  <si>
    <t>IP Summary - Sorted by VLAN/Subnet</t>
  </si>
  <si>
    <t>Sorted IP Summary</t>
  </si>
  <si>
    <t>Jumbo Frames?</t>
  </si>
  <si>
    <t>A - HIC Port 1</t>
  </si>
  <si>
    <t>A - HIC Port 2</t>
  </si>
  <si>
    <t>A - HIC Port 3</t>
  </si>
  <si>
    <t>A - HIC Port 4</t>
  </si>
  <si>
    <t>B - HIC Port 1</t>
  </si>
  <si>
    <t>B - HIC Port 2</t>
  </si>
  <si>
    <t>B - HIC Port 3</t>
  </si>
  <si>
    <t>B - HIC Port 4</t>
  </si>
  <si>
    <t>NetApp Storage Encryption (NSE) Communication Configuration</t>
  </si>
  <si>
    <t xml:space="preserve">NSE VLAN: </t>
  </si>
  <si>
    <t xml:space="preserve">NSE interface: </t>
  </si>
  <si>
    <t>Node Name</t>
  </si>
  <si>
    <t>***trunking not allowed</t>
  </si>
  <si>
    <t>NSE Interface</t>
  </si>
  <si>
    <t>e0i</t>
  </si>
  <si>
    <t>NSE IP Address</t>
  </si>
  <si>
    <t>Infrastructure Entries</t>
  </si>
  <si>
    <t>updated Formatting, Proxy Config, IP Summary, NSE</t>
  </si>
  <si>
    <t>MAC Address Start</t>
  </si>
  <si>
    <t># Addresses</t>
  </si>
  <si>
    <t>NetApp VASA Provider Virtual Appliance</t>
  </si>
  <si>
    <t>vCenter DataCenter Name:</t>
  </si>
  <si>
    <t xml:space="preserve">vCenter Cluster Name: </t>
  </si>
  <si>
    <t>Data Aggregate Layout Information (does not take into account hot spares or root aggregate disks)</t>
  </si>
  <si>
    <t>Node</t>
  </si>
  <si>
    <t>Aggregate Name</t>
  </si>
  <si>
    <t>Size (TiB)</t>
  </si>
  <si>
    <t>FlashPool Size</t>
  </si>
  <si>
    <t>Notes (Disk Size)</t>
  </si>
  <si>
    <t>Local Disk Boot Type:</t>
  </si>
  <si>
    <t>UCS Boot Order</t>
  </si>
  <si>
    <t>n/a (SAN Boot)</t>
  </si>
  <si>
    <t>HDD</t>
  </si>
  <si>
    <t>SD</t>
  </si>
  <si>
    <t>RAID Type:</t>
  </si>
  <si>
    <t>Pool Name:</t>
  </si>
  <si>
    <t>QoS System Class and Policy Usage</t>
  </si>
  <si>
    <t>QoS Policy Name</t>
  </si>
  <si>
    <t>System Class Priority</t>
  </si>
  <si>
    <t>Weight %</t>
  </si>
  <si>
    <t>Note: Only applies to FCoE traffic during network contention</t>
  </si>
  <si>
    <t>Black Hole VLAN for untagged traffic</t>
  </si>
  <si>
    <t>for FCoE identification</t>
  </si>
  <si>
    <t>CIFS (Hyper-V) Protocol Configuration</t>
  </si>
  <si>
    <t xml:space="preserve">cifs (HV) VLAN: </t>
  </si>
  <si>
    <t xml:space="preserve">cifs (HV) interface: </t>
  </si>
  <si>
    <t xml:space="preserve">cifs (HV) gateway: </t>
  </si>
  <si>
    <t xml:space="preserve">cifs (HV) subnet mask: </t>
  </si>
  <si>
    <t xml:space="preserve">cifs (HV) global dns name: </t>
  </si>
  <si>
    <t>vCenter General Information</t>
  </si>
  <si>
    <t>e0e</t>
  </si>
  <si>
    <t>e0f</t>
  </si>
  <si>
    <t>e0g</t>
  </si>
  <si>
    <t>e0h</t>
  </si>
  <si>
    <t>e0j</t>
  </si>
  <si>
    <t>e0k</t>
  </si>
  <si>
    <t>e0l</t>
  </si>
  <si>
    <t>Updated UCS tab for DCO standards, added aggregate tables, MTU rows</t>
  </si>
  <si>
    <t>Pool Size:</t>
  </si>
  <si>
    <t xml:space="preserve">KVM/Management IP Pool: </t>
  </si>
  <si>
    <t>Eth1/49</t>
  </si>
  <si>
    <t>Eth1/50</t>
  </si>
  <si>
    <t>Eth1/51</t>
  </si>
  <si>
    <t>Eth1/52</t>
  </si>
  <si>
    <t>Eth1/53</t>
  </si>
  <si>
    <t>Eth1/54</t>
  </si>
  <si>
    <t>Eth1/55</t>
  </si>
  <si>
    <t>Eth1/56</t>
  </si>
  <si>
    <t>Eth1/57</t>
  </si>
  <si>
    <t>Eth1/58</t>
  </si>
  <si>
    <t>Eth1/59</t>
  </si>
  <si>
    <t>Eth1/60</t>
  </si>
  <si>
    <t>Eth1/61</t>
  </si>
  <si>
    <t>Eth1/62</t>
  </si>
  <si>
    <t>Eth1/63</t>
  </si>
  <si>
    <t>Eth1/64</t>
  </si>
  <si>
    <t>Eth1/65</t>
  </si>
  <si>
    <t>Eth1/66</t>
  </si>
  <si>
    <t>Eth1/67</t>
  </si>
  <si>
    <t>Eth1/68</t>
  </si>
  <si>
    <t>Eth1/69</t>
  </si>
  <si>
    <t>Eth1/70</t>
  </si>
  <si>
    <t>Eth1/71</t>
  </si>
  <si>
    <t>Eth1/72</t>
  </si>
  <si>
    <t>Eth1/73</t>
  </si>
  <si>
    <t>Eth1/74</t>
  </si>
  <si>
    <t>Eth1/75</t>
  </si>
  <si>
    <t>Eth1/76</t>
  </si>
  <si>
    <t>Eth1/77</t>
  </si>
  <si>
    <t>Eth1/78</t>
  </si>
  <si>
    <t>Eth1/79</t>
  </si>
  <si>
    <t>Eth1/80</t>
  </si>
  <si>
    <t>Eth1/81</t>
  </si>
  <si>
    <t>Eth1/82</t>
  </si>
  <si>
    <t>Eth1/83</t>
  </si>
  <si>
    <t>Eth1/84</t>
  </si>
  <si>
    <t>Eth1/85</t>
  </si>
  <si>
    <t>Eth1/86</t>
  </si>
  <si>
    <t>Eth1/87</t>
  </si>
  <si>
    <t>Eth1/88</t>
  </si>
  <si>
    <t>Eth1/89</t>
  </si>
  <si>
    <t>Eth1/90</t>
  </si>
  <si>
    <t>Eth1/91</t>
  </si>
  <si>
    <t>Eth1/92</t>
  </si>
  <si>
    <t>Eth1/93</t>
  </si>
  <si>
    <t>Eth1/94</t>
  </si>
  <si>
    <t>Eth1/95</t>
  </si>
  <si>
    <t>Eth1/96</t>
  </si>
  <si>
    <t xml:space="preserve">FI-a IP address: </t>
  </si>
  <si>
    <t>first WWNN:</t>
  </si>
  <si>
    <t xml:space="preserve">First WWPN (A): </t>
  </si>
  <si>
    <t xml:space="preserve">First WWPN (B): </t>
  </si>
  <si>
    <t xml:space="preserve">name (A): </t>
  </si>
  <si>
    <t xml:space="preserve">iqn prefix (A): </t>
  </si>
  <si>
    <t xml:space="preserve">iqn suffix (A): </t>
  </si>
  <si>
    <t xml:space="preserve">name (B): </t>
  </si>
  <si>
    <t xml:space="preserve">iqn prefix (B): </t>
  </si>
  <si>
    <t xml:space="preserve">iqn suffix (B): </t>
  </si>
  <si>
    <t>BIOS Policy (only shows values that are changed from Platform Defaults)</t>
  </si>
  <si>
    <t>Policy Name:</t>
  </si>
  <si>
    <t>Configuration Option</t>
  </si>
  <si>
    <t>Value</t>
  </si>
  <si>
    <t>Quiet Boot</t>
  </si>
  <si>
    <t>Disabled</t>
  </si>
  <si>
    <t>VMware vCenter Operations Analytics VM</t>
  </si>
  <si>
    <t>vCOPS Analytics (no host name)</t>
  </si>
  <si>
    <t xml:space="preserve">vCenter Operations Server: </t>
  </si>
  <si>
    <t xml:space="preserve">vCenter Operations Analytics VM: </t>
  </si>
  <si>
    <t>no host name required</t>
  </si>
  <si>
    <t xml:space="preserve">VMware Data Recovery Appliance: </t>
  </si>
  <si>
    <t>No DNS Needed</t>
  </si>
  <si>
    <t>Notes (Disk Size, using ADP)</t>
  </si>
  <si>
    <t>Cluster Subnet</t>
  </si>
  <si>
    <t>Network Object Tables for cDOT</t>
  </si>
  <si>
    <t>IPspace Name</t>
  </si>
  <si>
    <t>IPspace Purpose</t>
  </si>
  <si>
    <t>Cluster Interconnect Connectivity</t>
  </si>
  <si>
    <t>Default</t>
  </si>
  <si>
    <t>Cluster and Node Management LIFs</t>
  </si>
  <si>
    <t>Broadcast Domains</t>
  </si>
  <si>
    <t>IPspaces</t>
  </si>
  <si>
    <t>Broadcast Domain</t>
  </si>
  <si>
    <t>Network Ports</t>
  </si>
  <si>
    <t>Subnet Name</t>
  </si>
  <si>
    <t>IP Subnet Range</t>
  </si>
  <si>
    <t>Subnets</t>
  </si>
  <si>
    <t>IP Address Range</t>
  </si>
  <si>
    <t xml:space="preserve">SVM IPspace: </t>
  </si>
  <si>
    <t>8.3 Additions, VMware and UCS tab improvments, various other fixes</t>
  </si>
  <si>
    <t>NetApp Storage Shelves (per HA Pair)</t>
  </si>
  <si>
    <t>Local ESXi Administrator</t>
  </si>
  <si>
    <t>root</t>
  </si>
  <si>
    <t>IP Subnet and Mask</t>
  </si>
  <si>
    <t>Subnet Mask Address</t>
  </si>
  <si>
    <t xml:space="preserve">NetApp OnCommand UM: </t>
  </si>
  <si>
    <t>Added Comments to Email address cell on "Site Info" tab for CI switches</t>
  </si>
  <si>
    <t xml:space="preserve">IP iscsi-a block: </t>
  </si>
  <si>
    <t xml:space="preserve">IP iscsi-b block: </t>
  </si>
  <si>
    <t>Note: Used for both NFS and iscsi vNIC traffic</t>
  </si>
  <si>
    <t>Minor formatting revisions to UCS and Cabling tabs</t>
  </si>
  <si>
    <t>SSD: 400 GB</t>
  </si>
  <si>
    <t xml:space="preserve">iSCSI SAN Boot IQN Target: </t>
  </si>
  <si>
    <t>Note: for iSCSI SAN Boot Implementations only</t>
  </si>
  <si>
    <t>Updates to Cluster, Inventory, and UCS tabs - additional fields</t>
  </si>
  <si>
    <t>HDD Disk Size</t>
  </si>
  <si>
    <t>SSD Disk Size</t>
  </si>
  <si>
    <t>HDD Disk Sizes:</t>
  </si>
  <si>
    <t>SSD Disk Sizes</t>
  </si>
  <si>
    <t>SAS: 1.8TB</t>
  </si>
  <si>
    <t>SATA: 6TB</t>
  </si>
  <si>
    <t>Mixed Shelf</t>
  </si>
  <si>
    <t>Maintenance Policy</t>
  </si>
  <si>
    <t>Reboot</t>
  </si>
  <si>
    <t>User Ack</t>
  </si>
  <si>
    <t>UCS Policy Information</t>
  </si>
  <si>
    <t>Local Disk Config Policy</t>
  </si>
  <si>
    <t>Updates to Inventory (Disk), and UCS tabs (additional policies</t>
  </si>
  <si>
    <t>Internal</t>
  </si>
  <si>
    <t xml:space="preserve">Unique Identifier: </t>
  </si>
  <si>
    <t>Note: use a 2-digit number</t>
  </si>
  <si>
    <t>UCS C240 Service Profile/Host Information</t>
  </si>
  <si>
    <t>Note: Listing of both Direct-Attached and Stand-alone C240 Servers</t>
  </si>
  <si>
    <t>Storage VSANs:</t>
  </si>
  <si>
    <t>VSAN</t>
  </si>
  <si>
    <t>Fabric A</t>
  </si>
  <si>
    <t>Fabric B</t>
  </si>
  <si>
    <t>VSAN ID:</t>
  </si>
  <si>
    <t>FC/FCoE vHBA Name:</t>
  </si>
  <si>
    <t>01</t>
  </si>
  <si>
    <t>Boot Policy</t>
  </si>
  <si>
    <t>Boot Order/Option</t>
  </si>
  <si>
    <t>Remote CD/DVD</t>
  </si>
  <si>
    <t>UCS C240 Servers (non-VMware)</t>
  </si>
  <si>
    <t>Service Profile/Host Name</t>
  </si>
  <si>
    <t>not part of VMware tab</t>
  </si>
  <si>
    <t>Updates to UCS tab and SVM formatting</t>
  </si>
  <si>
    <t>http, ssh, ontapi</t>
  </si>
  <si>
    <t>DS224C</t>
  </si>
  <si>
    <t>SSD:15.3TB</t>
  </si>
  <si>
    <t>SSD: 3.84TB</t>
  </si>
  <si>
    <t>SSD: 1.6TB</t>
  </si>
  <si>
    <t>Vmware vCenter Server (PCS role) Appliance</t>
  </si>
  <si>
    <t>OnCommand Unified Monitoring Account</t>
  </si>
  <si>
    <t xml:space="preserve">vCSA name (fqdn/ip): </t>
  </si>
  <si>
    <t xml:space="preserve">vPSC name (fqdn/ip): </t>
  </si>
  <si>
    <t>Vmware vCenter Server Appliance</t>
  </si>
  <si>
    <t>Cisco UCS Performance Manager</t>
  </si>
  <si>
    <t>VMware vCenter Operations Manager</t>
  </si>
  <si>
    <t>Vmware Update Manager</t>
  </si>
  <si>
    <t>SATA: 8TB</t>
  </si>
  <si>
    <t>Yasir Jahangiri</t>
  </si>
  <si>
    <t>Updates to vmware &amp; inventory tabs, SVM name updated</t>
  </si>
  <si>
    <t>255.255.255.0</t>
  </si>
  <si>
    <t>Replication traffic</t>
  </si>
  <si>
    <t>NFS traffic for ESX Datastores</t>
  </si>
  <si>
    <t>CIFS traffic for file sharing</t>
  </si>
  <si>
    <t xml:space="preserve">Node and cluster Management </t>
  </si>
  <si>
    <t>Node mgmt</t>
  </si>
  <si>
    <t>a0a</t>
  </si>
  <si>
    <t>e0c e0d</t>
  </si>
  <si>
    <t>sub_vlan12</t>
  </si>
  <si>
    <t>z_cl1_01_root</t>
  </si>
  <si>
    <t>192.168.12.13</t>
  </si>
  <si>
    <t>192.168.30.11</t>
  </si>
  <si>
    <t>192.168.30.12</t>
  </si>
  <si>
    <t>192.168.20.11</t>
  </si>
  <si>
    <t>192.168.20.12</t>
  </si>
  <si>
    <t>192.168.21.11</t>
  </si>
  <si>
    <t>192.168.21.12</t>
  </si>
  <si>
    <t>Speedcast</t>
  </si>
  <si>
    <t>4400 S Sam Houston Pkwy E</t>
  </si>
  <si>
    <t>Houston</t>
  </si>
  <si>
    <t>SHP</t>
  </si>
  <si>
    <t>exchange.speedcast.com</t>
  </si>
  <si>
    <t>dl-it-alerts@speedcast.com</t>
  </si>
  <si>
    <t>speedcast.com</t>
  </si>
  <si>
    <t>175.176.252.12</t>
  </si>
  <si>
    <t>10.126.131.11</t>
  </si>
  <si>
    <t>175.176.252.8</t>
  </si>
  <si>
    <t>10.126.131.20</t>
  </si>
  <si>
    <t>10.126.131.0/24</t>
  </si>
  <si>
    <t>10.126.131.1</t>
  </si>
  <si>
    <t>192.245.70.0/24</t>
  </si>
  <si>
    <t>192.245.70.1</t>
  </si>
  <si>
    <t>9.6P3</t>
  </si>
  <si>
    <t>0538022337</t>
  </si>
  <si>
    <t>AFF-A300</t>
  </si>
  <si>
    <t>10.126.131.169</t>
  </si>
  <si>
    <t>0538022324</t>
  </si>
  <si>
    <t>10.126.131.170</t>
  </si>
  <si>
    <t>shpsan</t>
  </si>
  <si>
    <t>10.126.131.171</t>
  </si>
  <si>
    <t>10.126.131.172</t>
  </si>
  <si>
    <t>10.126.131.173</t>
  </si>
  <si>
    <t>bd_vlan1852</t>
  </si>
  <si>
    <t>a0a-1852</t>
  </si>
  <si>
    <t>sub_vlan1852</t>
  </si>
  <si>
    <t>1852</t>
  </si>
  <si>
    <t>CIFS &amp; NFS</t>
  </si>
  <si>
    <t>0e, 0f, 0g, 0h</t>
  </si>
  <si>
    <t>fc traffic</t>
  </si>
  <si>
    <t>none</t>
  </si>
  <si>
    <t>shpsan-cifs-01</t>
  </si>
  <si>
    <t>nas</t>
  </si>
  <si>
    <t>shpsan-01</t>
  </si>
  <si>
    <t>shpsan-02</t>
  </si>
  <si>
    <t>z_shpsan_01_root</t>
  </si>
  <si>
    <t>z_shpsan_02_root</t>
  </si>
  <si>
    <t>368.24GB</t>
  </si>
  <si>
    <t>aggr1_shpsan_01</t>
  </si>
  <si>
    <t>aggr1_shpsan_02</t>
  </si>
  <si>
    <t>9.86TB</t>
  </si>
  <si>
    <t>ADP</t>
  </si>
  <si>
    <t>?</t>
  </si>
  <si>
    <t>Nexus 2232</t>
  </si>
  <si>
    <t>10.126.131.179</t>
  </si>
  <si>
    <t>10.126.131.177</t>
  </si>
  <si>
    <t>10.126.131.178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</si>
</sst>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hhmm"/>
  </numFmts>
  <fonts count="33" x14ac:knownFonts="1">
    <font>
      <sz val="11"/>
      <color theme="1"/>
      <name val="Calibri"/>
      <family val="2"/>
      <scheme val="minor"/>
    </font>
    <font>
      <b/>
      <sz val="11"/>
      <color theme="1"/>
      <name val="Calibri"/>
      <family val="2"/>
      <scheme val="minor"/>
    </font>
    <font>
      <sz val="24"/>
      <color theme="1"/>
      <name val="Calibri Light"/>
      <family val="2"/>
      <scheme val="major"/>
    </font>
    <font>
      <sz val="14"/>
      <color theme="1"/>
      <name val="Verdana"/>
      <family val="2"/>
    </font>
    <font>
      <sz val="11"/>
      <color theme="1"/>
      <name val="Verdana"/>
      <family val="2"/>
    </font>
    <font>
      <sz val="8"/>
      <color theme="1"/>
      <name val="Verdana"/>
      <family val="2"/>
    </font>
    <font>
      <b/>
      <sz val="8"/>
      <color theme="1"/>
      <name val="Verdana"/>
      <family val="2"/>
    </font>
    <font>
      <i/>
      <sz val="8"/>
      <color theme="1"/>
      <name val="Verdana"/>
      <family val="2"/>
    </font>
    <font>
      <sz val="8"/>
      <color theme="0"/>
      <name val="Verdana"/>
      <family val="2"/>
    </font>
    <font>
      <b/>
      <sz val="11"/>
      <color theme="1"/>
      <name val="Verdana"/>
      <family val="2"/>
    </font>
    <font>
      <sz val="8"/>
      <color theme="5" tint="-0.249977111117893"/>
      <name val="Verdana"/>
      <family val="2"/>
    </font>
    <font>
      <sz val="10"/>
      <color theme="1"/>
      <name val="Verdana"/>
      <family val="2"/>
    </font>
    <font>
      <sz val="8"/>
      <color theme="1"/>
      <name val="Calibri"/>
      <family val="2"/>
    </font>
    <font>
      <sz val="8"/>
      <name val="Verdana"/>
      <family val="2"/>
    </font>
    <font>
      <b/>
      <sz val="8"/>
      <name val="Verdana"/>
      <family val="2"/>
    </font>
    <font>
      <b/>
      <i/>
      <sz val="8"/>
      <color theme="1"/>
      <name val="Verdana"/>
      <family val="2"/>
    </font>
    <font>
      <u/>
      <sz val="11"/>
      <color theme="10"/>
      <name val="Calibri"/>
      <family val="2"/>
      <scheme val="minor"/>
    </font>
    <font>
      <b/>
      <sz val="8"/>
      <color theme="5" tint="-0.249977111117893"/>
      <name val="Verdana"/>
      <family val="2"/>
    </font>
    <font>
      <sz val="9"/>
      <color indexed="81"/>
      <name val="Tahoma"/>
      <family val="2"/>
    </font>
    <font>
      <b/>
      <sz val="9"/>
      <color indexed="81"/>
      <name val="Tahoma"/>
      <family val="2"/>
    </font>
    <font>
      <i/>
      <sz val="9"/>
      <color indexed="81"/>
      <name val="Tahoma"/>
      <family val="2"/>
    </font>
    <font>
      <b/>
      <sz val="11"/>
      <color rgb="FFC00000"/>
      <name val="Verdana"/>
      <family val="2"/>
    </font>
    <font>
      <sz val="8"/>
      <color rgb="FFC00000"/>
      <name val="Verdana"/>
      <family val="2"/>
    </font>
    <font>
      <b/>
      <sz val="12"/>
      <color theme="5"/>
      <name val="Verdana"/>
      <family val="2"/>
    </font>
    <font>
      <sz val="6"/>
      <color theme="1"/>
      <name val="Verdana"/>
      <family val="2"/>
    </font>
    <font>
      <sz val="16"/>
      <color theme="1"/>
      <name val="Verdana"/>
      <family val="2"/>
    </font>
    <font>
      <sz val="8"/>
      <color theme="1"/>
      <name val="Calibri"/>
      <family val="2"/>
      <scheme val="minor"/>
    </font>
    <font>
      <u/>
      <sz val="11"/>
      <color theme="11"/>
      <name val="Calibri"/>
      <family val="2"/>
      <scheme val="minor"/>
    </font>
    <font>
      <sz val="11"/>
      <color rgb="FF000000"/>
      <name val="Verdana"/>
      <family val="2"/>
    </font>
    <font>
      <sz val="8"/>
      <color rgb="FF000000"/>
      <name val="Verdana"/>
      <family val="2"/>
    </font>
    <font>
      <sz val="9"/>
      <color indexed="81"/>
      <name val="Calibri"/>
      <family val="2"/>
    </font>
    <font>
      <sz val="8"/>
      <name val="Calibri"/>
      <family val="2"/>
      <scheme val="minor"/>
    </font>
    <font>
      <sz val="8"/>
      <color rgb="FFFF0000"/>
      <name val="Verdana"/>
      <family val="2"/>
    </font>
  </fonts>
  <fills count="13">
    <fill>
      <patternFill patternType="none"/>
    </fill>
    <fill>
      <patternFill patternType="gray125"/>
    </fill>
    <fill>
      <patternFill patternType="solid">
        <fgColor theme="0"/>
        <bgColor indexed="64"/>
      </patternFill>
    </fill>
    <fill>
      <patternFill patternType="solid">
        <fgColor theme="2" tint="-0.499984740745262"/>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rgb="FF7030A0"/>
        <bgColor indexed="64"/>
      </patternFill>
    </fill>
    <fill>
      <patternFill patternType="solid">
        <fgColor theme="5"/>
        <bgColor indexed="64"/>
      </patternFill>
    </fill>
    <fill>
      <patternFill patternType="solid">
        <fgColor theme="1"/>
        <bgColor indexed="64"/>
      </patternFill>
    </fill>
    <fill>
      <patternFill patternType="solid">
        <fgColor rgb="FFFFFF7D"/>
        <bgColor indexed="64"/>
      </patternFill>
    </fill>
    <fill>
      <patternFill patternType="solid">
        <fgColor rgb="FFFFFFFF"/>
        <bgColor rgb="FF000000"/>
      </patternFill>
    </fill>
    <fill>
      <patternFill patternType="solid">
        <fgColor rgb="FFFFFF00"/>
        <bgColor indexed="64"/>
      </patternFill>
    </fill>
  </fills>
  <borders count="7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right/>
      <top style="thin">
        <color auto="1"/>
      </top>
      <bottom/>
      <diagonal/>
    </border>
    <border>
      <left style="thin">
        <color auto="1"/>
      </left>
      <right/>
      <top style="medium">
        <color auto="1"/>
      </top>
      <bottom/>
      <diagonal/>
    </border>
    <border>
      <left/>
      <right/>
      <top style="medium">
        <color auto="1"/>
      </top>
      <bottom/>
      <diagonal/>
    </border>
    <border>
      <left style="medium">
        <color auto="1"/>
      </left>
      <right/>
      <top style="thin">
        <color auto="1"/>
      </top>
      <bottom style="thin">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thin">
        <color auto="1"/>
      </left>
      <right/>
      <top/>
      <bottom style="medium">
        <color auto="1"/>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medium">
        <color auto="1"/>
      </left>
      <right/>
      <top style="medium">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bottom/>
      <diagonal/>
    </border>
    <border>
      <left style="dotted">
        <color theme="0" tint="-0.14996795556505021"/>
      </left>
      <right style="dotted">
        <color theme="0" tint="-0.14996795556505021"/>
      </right>
      <top/>
      <bottom/>
      <diagonal/>
    </border>
    <border>
      <left style="dotted">
        <color theme="0" tint="-0.14996795556505021"/>
      </left>
      <right style="dotted">
        <color theme="0" tint="-0.14996795556505021"/>
      </right>
      <top style="thin">
        <color auto="1"/>
      </top>
      <bottom/>
      <diagonal/>
    </border>
    <border>
      <left style="dotted">
        <color theme="0" tint="-0.14996795556505021"/>
      </left>
      <right style="dotted">
        <color theme="0" tint="-0.14996795556505021"/>
      </right>
      <top style="thin">
        <color auto="1"/>
      </top>
      <bottom style="thin">
        <color auto="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dotted">
        <color theme="0" tint="-0.14993743705557422"/>
      </top>
      <bottom style="dotted">
        <color theme="0" tint="-0.14993743705557422"/>
      </bottom>
      <diagonal/>
    </border>
    <border>
      <left style="dotted">
        <color theme="0" tint="-0.14996795556505021"/>
      </left>
      <right style="dotted">
        <color theme="0" tint="-0.14996795556505021"/>
      </right>
      <top style="dotted">
        <color theme="0" tint="-0.14993743705557422"/>
      </top>
      <bottom style="dotted">
        <color theme="0" tint="-0.14993743705557422"/>
      </bottom>
      <diagonal/>
    </border>
    <border>
      <left style="dotted">
        <color theme="0" tint="-0.14996795556505021"/>
      </left>
      <right style="dotted">
        <color theme="0" tint="-0.14996795556505021"/>
      </right>
      <top style="dotted">
        <color theme="0" tint="-0.14993743705557422"/>
      </top>
      <bottom/>
      <diagonal/>
    </border>
    <border>
      <left style="thin">
        <color theme="8"/>
      </left>
      <right style="thin">
        <color theme="8"/>
      </right>
      <top style="thin">
        <color theme="8"/>
      </top>
      <bottom style="thin">
        <color theme="8"/>
      </bottom>
      <diagonal/>
    </border>
    <border>
      <left/>
      <right/>
      <top style="dotted">
        <color theme="0" tint="-0.14993743705557422"/>
      </top>
      <bottom/>
      <diagonal/>
    </border>
    <border>
      <left/>
      <right/>
      <top/>
      <bottom style="dotted">
        <color theme="0" tint="-0.14993743705557422"/>
      </bottom>
      <diagonal/>
    </border>
    <border>
      <left style="dotted">
        <color theme="0" tint="-0.14996795556505021"/>
      </left>
      <right style="dotted">
        <color theme="0" tint="-0.14996795556505021"/>
      </right>
      <top/>
      <bottom style="dotted">
        <color theme="0" tint="-0.14993743705557422"/>
      </bottom>
      <diagonal/>
    </border>
    <border>
      <left style="thin">
        <color theme="9"/>
      </left>
      <right style="thin">
        <color theme="9"/>
      </right>
      <top style="thin">
        <color theme="9"/>
      </top>
      <bottom style="thin">
        <color theme="9"/>
      </bottom>
      <diagonal/>
    </border>
    <border>
      <left/>
      <right style="dotted">
        <color theme="0" tint="-0.14996795556505021"/>
      </right>
      <top style="dotted">
        <color theme="0" tint="-0.14993743705557422"/>
      </top>
      <bottom style="dotted">
        <color theme="0" tint="-0.14993743705557422"/>
      </bottom>
      <diagonal/>
    </border>
    <border>
      <left/>
      <right/>
      <top style="thin">
        <color auto="1"/>
      </top>
      <bottom style="dotted">
        <color theme="0" tint="-0.14993743705557422"/>
      </bottom>
      <diagonal/>
    </border>
    <border>
      <left/>
      <right style="dotted">
        <color theme="0" tint="-0.14996795556505021"/>
      </right>
      <top style="dotted">
        <color theme="0" tint="-0.14993743705557422"/>
      </top>
      <bottom/>
      <diagonal/>
    </border>
    <border>
      <left style="dotted">
        <color theme="0" tint="-0.14996795556505021"/>
      </left>
      <right/>
      <top/>
      <bottom style="dotted">
        <color theme="0" tint="-0.14993743705557422"/>
      </bottom>
      <diagonal/>
    </border>
    <border>
      <left style="thin">
        <color theme="7"/>
      </left>
      <right style="thin">
        <color theme="7"/>
      </right>
      <top style="thin">
        <color theme="7"/>
      </top>
      <bottom style="thin">
        <color theme="7"/>
      </bottom>
      <diagonal/>
    </border>
    <border>
      <left style="thin">
        <color rgb="FF7030A0"/>
      </left>
      <right style="thin">
        <color rgb="FF7030A0"/>
      </right>
      <top style="thin">
        <color rgb="FF7030A0"/>
      </top>
      <bottom style="thin">
        <color rgb="FF7030A0"/>
      </bottom>
      <diagonal/>
    </border>
    <border>
      <left style="thin">
        <color theme="5"/>
      </left>
      <right style="thin">
        <color theme="5"/>
      </right>
      <top style="thin">
        <color theme="5"/>
      </top>
      <bottom style="thin">
        <color theme="5"/>
      </bottom>
      <diagonal/>
    </border>
    <border>
      <left style="dotted">
        <color theme="0" tint="-0.14996795556505021"/>
      </left>
      <right/>
      <top style="dotted">
        <color theme="0" tint="-0.14993743705557422"/>
      </top>
      <bottom style="dotted">
        <color theme="0" tint="-0.14993743705557422"/>
      </bottom>
      <diagonal/>
    </border>
    <border>
      <left/>
      <right style="dotted">
        <color theme="0" tint="-0.14996795556505021"/>
      </right>
      <top/>
      <bottom style="dotted">
        <color theme="0" tint="-0.14993743705557422"/>
      </bottom>
      <diagonal/>
    </border>
    <border>
      <left/>
      <right/>
      <top style="dotted">
        <color theme="0" tint="-0.14993743705557422"/>
      </top>
      <bottom style="thin">
        <color auto="1"/>
      </bottom>
      <diagonal/>
    </border>
    <border>
      <left style="thin">
        <color auto="1"/>
      </left>
      <right style="thin">
        <color auto="1"/>
      </right>
      <top style="dotted">
        <color theme="0" tint="-0.14993743705557422"/>
      </top>
      <bottom style="dotted">
        <color theme="0" tint="-0.14993743705557422"/>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thin">
        <color auto="1"/>
      </right>
      <top style="medium">
        <color auto="1"/>
      </top>
      <bottom style="medium">
        <color auto="1"/>
      </bottom>
      <diagonal/>
    </border>
    <border>
      <left/>
      <right style="thin">
        <color rgb="FF000000"/>
      </right>
      <top style="thin">
        <color auto="1"/>
      </top>
      <bottom style="medium">
        <color auto="1"/>
      </bottom>
      <diagonal/>
    </border>
    <border>
      <left/>
      <right style="thin">
        <color rgb="FF000000"/>
      </right>
      <top style="medium">
        <color auto="1"/>
      </top>
      <bottom style="thin">
        <color auto="1"/>
      </bottom>
      <diagonal/>
    </border>
    <border>
      <left/>
      <right style="thin">
        <color rgb="FF000000"/>
      </right>
      <top style="thin">
        <color auto="1"/>
      </top>
      <bottom style="thin">
        <color auto="1"/>
      </bottom>
      <diagonal/>
    </border>
    <border>
      <left style="thin">
        <color rgb="FF000000"/>
      </left>
      <right/>
      <top style="thin">
        <color auto="1"/>
      </top>
      <bottom style="medium">
        <color auto="1"/>
      </bottom>
      <diagonal/>
    </border>
    <border>
      <left style="thin">
        <color rgb="FF000000"/>
      </left>
      <right/>
      <top style="medium">
        <color auto="1"/>
      </top>
      <bottom style="thin">
        <color auto="1"/>
      </bottom>
      <diagonal/>
    </border>
    <border>
      <left style="thin">
        <color rgb="FF000000"/>
      </left>
      <right/>
      <top style="thin">
        <color auto="1"/>
      </top>
      <bottom style="thin">
        <color auto="1"/>
      </bottom>
      <diagonal/>
    </border>
    <border>
      <left/>
      <right style="thin">
        <color auto="1"/>
      </right>
      <top style="medium">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s>
  <cellStyleXfs count="77">
    <xf numFmtId="0" fontId="0" fillId="0" borderId="0"/>
    <xf numFmtId="0" fontId="1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478">
    <xf numFmtId="0" fontId="0" fillId="0" borderId="0" xfId="0"/>
    <xf numFmtId="0" fontId="3" fillId="2" borderId="0" xfId="0" applyFont="1" applyFill="1" applyAlignment="1">
      <alignment horizontal="right"/>
    </xf>
    <xf numFmtId="0" fontId="2" fillId="2"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0" fillId="0" borderId="0" xfId="0" applyAlignment="1">
      <alignment vertical="center"/>
    </xf>
    <xf numFmtId="0" fontId="5" fillId="2" borderId="0" xfId="0" applyFont="1" applyFill="1" applyAlignment="1">
      <alignment horizontal="center" vertical="center"/>
    </xf>
    <xf numFmtId="0" fontId="5" fillId="2" borderId="0" xfId="0" applyFont="1" applyFill="1" applyAlignment="1">
      <alignment horizontal="right" vertical="center"/>
    </xf>
    <xf numFmtId="0" fontId="5" fillId="2" borderId="1" xfId="0" applyFont="1" applyFill="1" applyBorder="1" applyAlignment="1">
      <alignment vertical="center"/>
    </xf>
    <xf numFmtId="0" fontId="5" fillId="2" borderId="1" xfId="0" applyFont="1" applyFill="1" applyBorder="1" applyAlignment="1">
      <alignment horizontal="center" vertical="center"/>
    </xf>
    <xf numFmtId="0" fontId="0" fillId="0" borderId="0" xfId="0" applyAlignment="1">
      <alignment horizontal="center"/>
    </xf>
    <xf numFmtId="0" fontId="6" fillId="2" borderId="0" xfId="0" applyFont="1" applyFill="1" applyAlignment="1">
      <alignment vertical="center"/>
    </xf>
    <xf numFmtId="0" fontId="1" fillId="0" borderId="0" xfId="0" applyFont="1" applyAlignment="1">
      <alignment horizontal="center"/>
    </xf>
    <xf numFmtId="0" fontId="5" fillId="2" borderId="0" xfId="0" applyFont="1" applyFill="1" applyBorder="1" applyAlignment="1">
      <alignment horizontal="center" vertical="center"/>
    </xf>
    <xf numFmtId="0" fontId="5" fillId="2" borderId="1" xfId="0" applyFont="1" applyFill="1" applyBorder="1" applyAlignment="1">
      <alignment horizontal="center" vertical="center"/>
    </xf>
    <xf numFmtId="0" fontId="6"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6" fillId="2" borderId="0" xfId="0" applyFont="1" applyFill="1" applyAlignment="1">
      <alignment horizontal="center" vertical="center"/>
    </xf>
    <xf numFmtId="0" fontId="5" fillId="2" borderId="1" xfId="0" applyFont="1" applyFill="1" applyBorder="1" applyAlignment="1">
      <alignment horizontal="center" vertical="center"/>
    </xf>
    <xf numFmtId="0" fontId="7" fillId="2" borderId="0" xfId="0" applyFont="1" applyFill="1" applyAlignment="1">
      <alignment horizontal="right" vertical="center"/>
    </xf>
    <xf numFmtId="0" fontId="5"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5" xfId="0" applyFont="1" applyFill="1" applyBorder="1" applyAlignment="1">
      <alignment horizontal="center" vertical="center"/>
    </xf>
    <xf numFmtId="0" fontId="0" fillId="2" borderId="0" xfId="0" applyFill="1"/>
    <xf numFmtId="0" fontId="8" fillId="2" borderId="0" xfId="0" applyFont="1" applyFill="1" applyAlignment="1">
      <alignment vertical="center"/>
    </xf>
    <xf numFmtId="0" fontId="5" fillId="2" borderId="0" xfId="0" applyFont="1" applyFill="1" applyAlignment="1">
      <alignment vertical="center"/>
    </xf>
    <xf numFmtId="0" fontId="9" fillId="2" borderId="0" xfId="0" applyFont="1" applyFill="1" applyAlignment="1">
      <alignment horizontal="left" vertical="center"/>
    </xf>
    <xf numFmtId="0" fontId="5" fillId="2" borderId="0" xfId="0" applyFont="1" applyFill="1" applyAlignment="1">
      <alignment vertical="center"/>
    </xf>
    <xf numFmtId="0" fontId="5" fillId="2" borderId="6"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0" xfId="0" applyFont="1" applyFill="1" applyAlignment="1">
      <alignment horizontal="right" vertical="center"/>
    </xf>
    <xf numFmtId="0" fontId="5" fillId="2" borderId="1" xfId="0" applyFont="1" applyFill="1" applyBorder="1" applyAlignment="1">
      <alignment horizontal="center" vertical="center"/>
    </xf>
    <xf numFmtId="0" fontId="5" fillId="2" borderId="0" xfId="0" applyFont="1" applyFill="1" applyAlignment="1">
      <alignment vertical="center"/>
    </xf>
    <xf numFmtId="0" fontId="5" fillId="2" borderId="0" xfId="0" applyFont="1" applyFill="1" applyAlignment="1">
      <alignment vertical="center"/>
    </xf>
    <xf numFmtId="0" fontId="10" fillId="2" borderId="0" xfId="0" applyFont="1" applyFill="1" applyAlignment="1">
      <alignment horizontal="right" vertical="center"/>
    </xf>
    <xf numFmtId="0" fontId="12" fillId="2" borderId="0" xfId="0" applyFont="1" applyFill="1" applyAlignment="1">
      <alignment horizontal="center" vertical="center"/>
    </xf>
    <xf numFmtId="0" fontId="11" fillId="2" borderId="0" xfId="0" applyFont="1" applyFill="1" applyAlignment="1">
      <alignment horizontal="left" vertical="center"/>
    </xf>
    <xf numFmtId="0" fontId="5" fillId="2" borderId="0" xfId="0" applyFont="1" applyFill="1" applyBorder="1" applyAlignment="1">
      <alignment horizontal="right" vertical="center"/>
    </xf>
    <xf numFmtId="49" fontId="5" fillId="2" borderId="1" xfId="0" applyNumberFormat="1" applyFont="1" applyFill="1" applyBorder="1" applyAlignment="1">
      <alignment horizontal="center" vertical="center"/>
    </xf>
    <xf numFmtId="0" fontId="5" fillId="2" borderId="0" xfId="0" applyFont="1" applyFill="1" applyAlignment="1">
      <alignment horizontal="right" vertical="center"/>
    </xf>
    <xf numFmtId="0" fontId="5" fillId="2" borderId="6"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6" xfId="0" applyFont="1" applyFill="1" applyBorder="1" applyAlignment="1">
      <alignment vertical="center"/>
    </xf>
    <xf numFmtId="0" fontId="6" fillId="2" borderId="0" xfId="0" applyFont="1" applyFill="1" applyAlignment="1">
      <alignment horizontal="center" vertical="center"/>
    </xf>
    <xf numFmtId="0" fontId="5" fillId="2" borderId="6" xfId="0" applyFont="1" applyFill="1" applyBorder="1" applyAlignment="1">
      <alignment vertical="center"/>
    </xf>
    <xf numFmtId="0" fontId="6" fillId="2" borderId="0" xfId="0" applyFont="1" applyFill="1" applyAlignment="1">
      <alignment horizontal="center" vertical="center"/>
    </xf>
    <xf numFmtId="0" fontId="5" fillId="2" borderId="0" xfId="0" applyFont="1" applyFill="1" applyAlignment="1">
      <alignment horizontal="left" vertical="center"/>
    </xf>
    <xf numFmtId="0" fontId="5" fillId="2" borderId="16" xfId="0" applyFont="1" applyFill="1" applyBorder="1" applyAlignment="1">
      <alignment horizontal="left" vertical="center"/>
    </xf>
    <xf numFmtId="0" fontId="5" fillId="2" borderId="0" xfId="0" applyFont="1" applyFill="1" applyBorder="1" applyAlignment="1">
      <alignment horizontal="left" vertical="center"/>
    </xf>
    <xf numFmtId="0" fontId="5" fillId="2" borderId="8" xfId="0" applyFont="1" applyFill="1" applyBorder="1" applyAlignment="1">
      <alignment horizontal="left" vertical="center"/>
    </xf>
    <xf numFmtId="0" fontId="5" fillId="2" borderId="3" xfId="0" applyFont="1" applyFill="1" applyBorder="1" applyAlignment="1">
      <alignment horizontal="left" vertical="center"/>
    </xf>
    <xf numFmtId="164" fontId="5" fillId="2" borderId="3" xfId="0" applyNumberFormat="1" applyFont="1" applyFill="1" applyBorder="1" applyAlignment="1">
      <alignment horizontal="left" vertical="center"/>
    </xf>
    <xf numFmtId="22" fontId="5" fillId="2" borderId="3" xfId="0" applyNumberFormat="1" applyFont="1" applyFill="1" applyBorder="1" applyAlignment="1">
      <alignment horizontal="left" vertical="center"/>
    </xf>
    <xf numFmtId="0" fontId="13" fillId="2" borderId="0" xfId="0" applyFont="1" applyFill="1" applyAlignment="1">
      <alignment vertical="center"/>
    </xf>
    <xf numFmtId="0" fontId="13" fillId="2" borderId="0" xfId="0" applyFont="1" applyFill="1" applyAlignment="1">
      <alignment horizontal="right" vertical="center"/>
    </xf>
    <xf numFmtId="22" fontId="13" fillId="2" borderId="0" xfId="0" applyNumberFormat="1" applyFont="1" applyFill="1" applyAlignment="1">
      <alignment vertical="center"/>
    </xf>
    <xf numFmtId="0" fontId="13" fillId="2" borderId="0" xfId="0" applyFont="1" applyFill="1" applyBorder="1" applyAlignment="1">
      <alignment vertical="center"/>
    </xf>
    <xf numFmtId="0" fontId="5" fillId="2" borderId="17" xfId="0" applyFont="1" applyFill="1" applyBorder="1" applyAlignment="1">
      <alignment horizontal="left" vertical="center"/>
    </xf>
    <xf numFmtId="22" fontId="0" fillId="0" borderId="0" xfId="0" applyNumberFormat="1" applyAlignment="1">
      <alignment horizontal="center"/>
    </xf>
    <xf numFmtId="0" fontId="1" fillId="0" borderId="0" xfId="0" applyFont="1" applyAlignment="1">
      <alignment horizontal="right"/>
    </xf>
    <xf numFmtId="0" fontId="14" fillId="2" borderId="0" xfId="0" applyFont="1" applyFill="1" applyAlignment="1">
      <alignment horizontal="center" vertical="center"/>
    </xf>
    <xf numFmtId="0" fontId="5" fillId="2" borderId="0" xfId="0" applyFont="1" applyFill="1" applyAlignment="1">
      <alignment horizontal="right" vertical="center"/>
    </xf>
    <xf numFmtId="0" fontId="5" fillId="2" borderId="1" xfId="0" applyFont="1" applyFill="1" applyBorder="1" applyAlignment="1">
      <alignment horizontal="center" vertical="center"/>
    </xf>
    <xf numFmtId="0" fontId="5" fillId="2" borderId="0" xfId="0" applyFont="1" applyFill="1" applyBorder="1" applyAlignment="1">
      <alignment horizontal="center" vertical="center"/>
    </xf>
    <xf numFmtId="0" fontId="15" fillId="2" borderId="0" xfId="0" applyFont="1" applyFill="1" applyAlignment="1">
      <alignment horizontal="center" vertical="center"/>
    </xf>
    <xf numFmtId="0" fontId="5" fillId="2" borderId="0" xfId="0" applyFont="1" applyFill="1" applyAlignment="1">
      <alignment horizontal="right" vertical="center"/>
    </xf>
    <xf numFmtId="0" fontId="5" fillId="2" borderId="1"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5" xfId="0" applyFont="1" applyFill="1" applyBorder="1" applyAlignment="1">
      <alignment horizontal="center" vertical="center"/>
    </xf>
    <xf numFmtId="0" fontId="6" fillId="2" borderId="0" xfId="0" applyFont="1" applyFill="1" applyAlignment="1">
      <alignment horizontal="center" vertical="center"/>
    </xf>
    <xf numFmtId="0" fontId="5" fillId="2" borderId="16" xfId="0" applyFont="1" applyFill="1" applyBorder="1" applyAlignment="1">
      <alignment vertical="center"/>
    </xf>
    <xf numFmtId="0" fontId="5" fillId="2" borderId="0" xfId="0" applyFont="1" applyFill="1" applyAlignment="1">
      <alignment horizontal="left" vertical="center"/>
    </xf>
    <xf numFmtId="0" fontId="0" fillId="0" borderId="0" xfId="0" applyAlignment="1">
      <alignment horizontal="left"/>
    </xf>
    <xf numFmtId="0" fontId="17" fillId="2" borderId="0" xfId="0" applyFont="1" applyFill="1" applyAlignment="1" applyProtection="1">
      <alignment horizontal="right" vertical="center"/>
      <protection hidden="1"/>
    </xf>
    <xf numFmtId="0" fontId="5" fillId="2" borderId="7" xfId="0" applyFont="1" applyFill="1" applyBorder="1" applyAlignment="1">
      <alignment horizontal="left" vertical="center"/>
    </xf>
    <xf numFmtId="0" fontId="5" fillId="2" borderId="23" xfId="0" applyFont="1" applyFill="1" applyBorder="1" applyAlignment="1">
      <alignment vertical="center"/>
    </xf>
    <xf numFmtId="0" fontId="5" fillId="2" borderId="24" xfId="0" applyFont="1" applyFill="1" applyBorder="1" applyAlignment="1">
      <alignment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Border="1" applyAlignment="1">
      <alignment vertical="center"/>
    </xf>
    <xf numFmtId="0" fontId="1" fillId="0" borderId="0" xfId="0" applyFont="1"/>
    <xf numFmtId="0" fontId="5" fillId="2" borderId="1" xfId="0" applyFont="1" applyFill="1" applyBorder="1" applyAlignment="1">
      <alignment horizontal="center" vertical="center"/>
    </xf>
    <xf numFmtId="0" fontId="5" fillId="2" borderId="0" xfId="0" applyFont="1" applyFill="1" applyAlignment="1">
      <alignment horizontal="left" vertical="center"/>
    </xf>
    <xf numFmtId="0" fontId="5" fillId="2" borderId="27" xfId="0" applyFont="1" applyFill="1" applyBorder="1" applyAlignment="1">
      <alignment vertical="center"/>
    </xf>
    <xf numFmtId="0" fontId="5" fillId="2" borderId="28" xfId="0" applyFont="1" applyFill="1" applyBorder="1" applyAlignment="1">
      <alignment vertical="center"/>
    </xf>
    <xf numFmtId="0" fontId="5" fillId="2" borderId="29" xfId="0" applyFont="1" applyFill="1" applyBorder="1" applyAlignment="1">
      <alignment vertical="center"/>
    </xf>
    <xf numFmtId="0" fontId="5" fillId="2" borderId="30" xfId="0" applyFont="1" applyFill="1" applyBorder="1" applyAlignment="1">
      <alignment vertical="center"/>
    </xf>
    <xf numFmtId="0" fontId="5" fillId="2" borderId="1" xfId="0" applyFont="1" applyFill="1" applyBorder="1" applyAlignment="1">
      <alignment horizontal="center" vertical="center"/>
    </xf>
    <xf numFmtId="0" fontId="5" fillId="2" borderId="0" xfId="0" applyFont="1" applyFill="1" applyAlignment="1">
      <alignment horizontal="left" vertical="center"/>
    </xf>
    <xf numFmtId="0" fontId="0" fillId="0" borderId="0" xfId="0" quotePrefix="1" applyAlignment="1">
      <alignment horizontal="center"/>
    </xf>
    <xf numFmtId="0" fontId="6" fillId="2" borderId="0" xfId="0" applyFont="1" applyFill="1" applyAlignment="1">
      <alignment horizontal="right" vertical="center"/>
    </xf>
    <xf numFmtId="0" fontId="21" fillId="2" borderId="0" xfId="0" applyFont="1" applyFill="1" applyAlignment="1">
      <alignment vertical="center"/>
    </xf>
    <xf numFmtId="0" fontId="22" fillId="2" borderId="0" xfId="0" applyFont="1" applyFill="1" applyAlignment="1">
      <alignment vertical="center"/>
    </xf>
    <xf numFmtId="0" fontId="5" fillId="2" borderId="1" xfId="0" applyFont="1" applyFill="1" applyBorder="1" applyAlignment="1">
      <alignment horizontal="center" vertical="center"/>
    </xf>
    <xf numFmtId="0" fontId="5" fillId="2" borderId="0" xfId="0" applyFont="1" applyFill="1" applyAlignment="1">
      <alignment horizontal="left" vertical="center"/>
    </xf>
    <xf numFmtId="0" fontId="5" fillId="2" borderId="1" xfId="0" applyFont="1" applyFill="1" applyBorder="1" applyAlignment="1">
      <alignment horizontal="center" vertical="center"/>
    </xf>
    <xf numFmtId="0" fontId="5" fillId="2" borderId="0" xfId="0" applyFont="1" applyFill="1" applyAlignment="1">
      <alignment horizontal="left" vertical="center"/>
    </xf>
    <xf numFmtId="0" fontId="5" fillId="2" borderId="1"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 xfId="0" applyFont="1" applyFill="1" applyBorder="1" applyAlignment="1">
      <alignment horizontal="center" vertical="center"/>
    </xf>
    <xf numFmtId="0" fontId="24" fillId="2" borderId="0" xfId="0" applyFont="1" applyFill="1" applyAlignment="1">
      <alignment vertical="center"/>
    </xf>
    <xf numFmtId="0" fontId="5" fillId="2" borderId="0" xfId="0" applyFont="1" applyFill="1" applyAlignment="1">
      <alignment horizontal="right" vertical="center"/>
    </xf>
    <xf numFmtId="0" fontId="5"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Border="1" applyAlignment="1">
      <alignment horizontal="center" vertical="center"/>
    </xf>
    <xf numFmtId="0" fontId="4" fillId="2" borderId="0" xfId="0" applyFont="1" applyFill="1" applyBorder="1" applyAlignment="1">
      <alignment vertical="center"/>
    </xf>
    <xf numFmtId="0" fontId="6" fillId="2" borderId="0" xfId="0" applyFont="1" applyFill="1" applyAlignment="1">
      <alignment horizontal="left" vertical="center"/>
    </xf>
    <xf numFmtId="0" fontId="4" fillId="2" borderId="0" xfId="0" applyFont="1" applyFill="1" applyAlignment="1">
      <alignment horizontal="right" vertical="center"/>
    </xf>
    <xf numFmtId="0" fontId="5" fillId="3" borderId="37" xfId="0" applyFont="1" applyFill="1" applyBorder="1" applyAlignment="1">
      <alignment horizontal="center" vertical="center"/>
    </xf>
    <xf numFmtId="0" fontId="5" fillId="4" borderId="37" xfId="0" applyFont="1" applyFill="1" applyBorder="1" applyAlignment="1">
      <alignment horizontal="center" vertical="center"/>
    </xf>
    <xf numFmtId="0" fontId="5" fillId="5" borderId="37" xfId="0" applyFont="1" applyFill="1" applyBorder="1" applyAlignment="1">
      <alignment horizontal="center" vertical="center"/>
    </xf>
    <xf numFmtId="0" fontId="5" fillId="6" borderId="37" xfId="0" applyFont="1" applyFill="1" applyBorder="1" applyAlignment="1">
      <alignment horizontal="center" vertical="center"/>
    </xf>
    <xf numFmtId="0" fontId="5" fillId="7" borderId="37" xfId="0" applyFont="1" applyFill="1" applyBorder="1" applyAlignment="1">
      <alignment horizontal="center" vertical="center"/>
    </xf>
    <xf numFmtId="0" fontId="5" fillId="8" borderId="37" xfId="0" applyFont="1" applyFill="1" applyBorder="1" applyAlignment="1">
      <alignment horizontal="center" vertical="center"/>
    </xf>
    <xf numFmtId="0" fontId="5" fillId="2" borderId="38"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37" xfId="0" applyFont="1" applyFill="1" applyBorder="1" applyAlignment="1">
      <alignment horizontal="center" vertical="center"/>
    </xf>
    <xf numFmtId="0" fontId="5" fillId="3" borderId="0" xfId="0" applyFont="1" applyFill="1" applyAlignment="1">
      <alignment vertical="center"/>
    </xf>
    <xf numFmtId="0" fontId="5" fillId="2" borderId="40" xfId="0" applyFont="1" applyFill="1" applyBorder="1" applyAlignment="1">
      <alignment horizontal="center" vertical="center"/>
    </xf>
    <xf numFmtId="0" fontId="0" fillId="2" borderId="41" xfId="0" applyFill="1" applyBorder="1"/>
    <xf numFmtId="0" fontId="5" fillId="2" borderId="42" xfId="0" applyFont="1" applyFill="1" applyBorder="1" applyAlignment="1">
      <alignment horizontal="center" vertical="center"/>
    </xf>
    <xf numFmtId="0" fontId="5" fillId="2" borderId="41" xfId="0" applyFont="1" applyFill="1" applyBorder="1" applyAlignment="1">
      <alignment horizontal="center" vertical="center"/>
    </xf>
    <xf numFmtId="0" fontId="5" fillId="2" borderId="41" xfId="0" applyFont="1" applyFill="1" applyBorder="1" applyAlignment="1">
      <alignment vertical="center"/>
    </xf>
    <xf numFmtId="0" fontId="5" fillId="2" borderId="43" xfId="0" applyFont="1" applyFill="1" applyBorder="1" applyAlignment="1">
      <alignment horizontal="center" vertical="center"/>
    </xf>
    <xf numFmtId="0" fontId="5" fillId="4" borderId="0" xfId="0" applyFont="1" applyFill="1" applyAlignment="1">
      <alignment vertical="center"/>
    </xf>
    <xf numFmtId="0" fontId="5" fillId="2" borderId="44" xfId="0" applyFont="1" applyFill="1" applyBorder="1" applyAlignment="1">
      <alignment horizontal="center" vertical="center"/>
    </xf>
    <xf numFmtId="0" fontId="5" fillId="2" borderId="45" xfId="0" applyFont="1" applyFill="1" applyBorder="1" applyAlignment="1">
      <alignment horizontal="center" vertical="center"/>
    </xf>
    <xf numFmtId="0" fontId="5" fillId="2" borderId="45" xfId="0" applyFont="1" applyFill="1" applyBorder="1" applyAlignment="1">
      <alignment vertical="center"/>
    </xf>
    <xf numFmtId="0" fontId="5" fillId="2" borderId="46" xfId="0" applyFont="1" applyFill="1" applyBorder="1" applyAlignment="1">
      <alignment horizontal="center" vertical="center"/>
    </xf>
    <xf numFmtId="0" fontId="5" fillId="2" borderId="46" xfId="0" applyFont="1" applyFill="1" applyBorder="1" applyAlignment="1">
      <alignment vertical="center"/>
    </xf>
    <xf numFmtId="0" fontId="5" fillId="5" borderId="0" xfId="0" applyFont="1" applyFill="1" applyAlignment="1">
      <alignment horizontal="center" vertical="center"/>
    </xf>
    <xf numFmtId="0" fontId="5" fillId="2" borderId="47" xfId="0" applyFont="1" applyFill="1" applyBorder="1" applyAlignment="1">
      <alignment horizontal="center" vertical="center"/>
    </xf>
    <xf numFmtId="0" fontId="5" fillId="2" borderId="48" xfId="0" applyFont="1" applyFill="1" applyBorder="1" applyAlignment="1">
      <alignment horizontal="center" vertical="center"/>
    </xf>
    <xf numFmtId="0" fontId="5" fillId="2" borderId="49" xfId="0" applyFont="1" applyFill="1" applyBorder="1" applyAlignment="1">
      <alignment horizontal="center" vertical="center"/>
    </xf>
    <xf numFmtId="0" fontId="5" fillId="2" borderId="50" xfId="0" applyFont="1" applyFill="1" applyBorder="1" applyAlignment="1">
      <alignment horizontal="center" vertical="center"/>
    </xf>
    <xf numFmtId="0" fontId="5" fillId="2" borderId="50" xfId="0" applyFont="1" applyFill="1" applyBorder="1" applyAlignment="1">
      <alignment vertical="center"/>
    </xf>
    <xf numFmtId="0" fontId="5" fillId="2" borderId="49" xfId="0" applyFont="1" applyFill="1" applyBorder="1" applyAlignment="1">
      <alignment vertical="center"/>
    </xf>
    <xf numFmtId="0" fontId="5" fillId="2" borderId="51" xfId="0" applyFont="1" applyFill="1" applyBorder="1" applyAlignment="1">
      <alignment horizontal="center" vertical="center"/>
    </xf>
    <xf numFmtId="0" fontId="16" fillId="2" borderId="41" xfId="1" applyFill="1" applyBorder="1" applyAlignment="1">
      <alignment horizontal="center" vertical="center"/>
    </xf>
    <xf numFmtId="0" fontId="5" fillId="6" borderId="0" xfId="0" applyFont="1" applyFill="1" applyAlignment="1">
      <alignment horizontal="center" vertical="center"/>
    </xf>
    <xf numFmtId="0" fontId="5" fillId="2" borderId="52" xfId="0" applyFont="1" applyFill="1" applyBorder="1" applyAlignment="1">
      <alignment horizontal="center" vertical="center"/>
    </xf>
    <xf numFmtId="0" fontId="5" fillId="2" borderId="53" xfId="0" applyFont="1" applyFill="1" applyBorder="1" applyAlignment="1">
      <alignment horizontal="center" vertical="center"/>
    </xf>
    <xf numFmtId="0" fontId="5" fillId="7" borderId="0" xfId="0" applyFont="1" applyFill="1" applyAlignment="1">
      <alignment horizontal="center" vertical="center"/>
    </xf>
    <xf numFmtId="0" fontId="5" fillId="2" borderId="52" xfId="0" applyFont="1" applyFill="1" applyBorder="1" applyAlignment="1">
      <alignment vertical="center"/>
    </xf>
    <xf numFmtId="0" fontId="5" fillId="2" borderId="54" xfId="0" applyFont="1" applyFill="1" applyBorder="1" applyAlignment="1">
      <alignment horizontal="center" vertical="center"/>
    </xf>
    <xf numFmtId="0" fontId="5" fillId="8" borderId="0" xfId="0" applyFont="1" applyFill="1" applyAlignment="1">
      <alignment horizontal="center" vertical="center"/>
    </xf>
    <xf numFmtId="0" fontId="5" fillId="2" borderId="42" xfId="0" applyFont="1" applyFill="1" applyBorder="1" applyAlignment="1">
      <alignment vertical="center"/>
    </xf>
    <xf numFmtId="0" fontId="5" fillId="2" borderId="55" xfId="0" applyFont="1" applyFill="1" applyBorder="1" applyAlignment="1">
      <alignment horizontal="center" vertical="center"/>
    </xf>
    <xf numFmtId="0" fontId="5" fillId="2" borderId="56" xfId="0" applyFont="1" applyFill="1" applyBorder="1" applyAlignment="1">
      <alignment horizontal="center" vertical="center"/>
    </xf>
    <xf numFmtId="0" fontId="5" fillId="2" borderId="57" xfId="0" applyFont="1" applyFill="1" applyBorder="1" applyAlignment="1">
      <alignment horizontal="center" vertical="center"/>
    </xf>
    <xf numFmtId="0" fontId="5" fillId="2" borderId="58" xfId="0" applyFont="1" applyFill="1" applyBorder="1" applyAlignment="1">
      <alignment horizontal="center" vertical="center"/>
    </xf>
    <xf numFmtId="0" fontId="5" fillId="2" borderId="58" xfId="0" applyFont="1" applyFill="1" applyBorder="1" applyAlignment="1">
      <alignment vertical="center"/>
    </xf>
    <xf numFmtId="0" fontId="5" fillId="9" borderId="53" xfId="0" applyFont="1" applyFill="1" applyBorder="1" applyAlignment="1">
      <alignment horizontal="center" vertical="center"/>
    </xf>
    <xf numFmtId="0" fontId="5" fillId="9" borderId="59" xfId="0" applyFont="1" applyFill="1" applyBorder="1" applyAlignment="1">
      <alignment horizontal="center" vertical="center"/>
    </xf>
    <xf numFmtId="0" fontId="5" fillId="9" borderId="44" xfId="0" applyFont="1" applyFill="1" applyBorder="1" applyAlignment="1">
      <alignment horizontal="center" vertical="center"/>
    </xf>
    <xf numFmtId="0" fontId="5" fillId="9" borderId="48" xfId="0" applyFont="1" applyFill="1" applyBorder="1" applyAlignment="1">
      <alignment horizontal="center" vertical="center"/>
    </xf>
    <xf numFmtId="0" fontId="5" fillId="9" borderId="54" xfId="0" applyFont="1" applyFill="1" applyBorder="1" applyAlignment="1">
      <alignment horizontal="center" vertical="center"/>
    </xf>
    <xf numFmtId="0" fontId="5" fillId="9" borderId="55" xfId="0" applyFont="1" applyFill="1" applyBorder="1" applyAlignment="1">
      <alignment horizontal="center" vertical="center"/>
    </xf>
    <xf numFmtId="0" fontId="25" fillId="2" borderId="0" xfId="0" applyFont="1" applyFill="1" applyProtection="1"/>
    <xf numFmtId="0" fontId="4" fillId="2" borderId="0" xfId="0" applyFont="1" applyFill="1" applyProtection="1"/>
    <xf numFmtId="0" fontId="3" fillId="2" borderId="0" xfId="0" applyFont="1" applyFill="1" applyAlignment="1" applyProtection="1">
      <alignment horizontal="right"/>
    </xf>
    <xf numFmtId="0" fontId="5" fillId="2" borderId="0" xfId="0" applyFont="1" applyFill="1" applyProtection="1">
      <protection locked="0"/>
    </xf>
    <xf numFmtId="0" fontId="5" fillId="2" borderId="0" xfId="0" applyFont="1" applyFill="1" applyProtection="1"/>
    <xf numFmtId="0" fontId="5" fillId="2" borderId="1" xfId="0" applyFont="1" applyFill="1" applyBorder="1" applyAlignment="1">
      <alignment horizontal="center" vertical="center"/>
    </xf>
    <xf numFmtId="2" fontId="5" fillId="2"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right" vertical="center"/>
    </xf>
    <xf numFmtId="0" fontId="5" fillId="2" borderId="5" xfId="0" applyFont="1" applyFill="1" applyBorder="1" applyAlignment="1">
      <alignment horizontal="center" vertical="center"/>
    </xf>
    <xf numFmtId="0" fontId="5" fillId="2" borderId="0" xfId="0" applyFont="1" applyFill="1" applyAlignment="1">
      <alignment horizontal="left" vertical="center"/>
    </xf>
    <xf numFmtId="0" fontId="6" fillId="2" borderId="0" xfId="0" applyFont="1" applyFill="1" applyAlignment="1">
      <alignment horizontal="center" vertical="center"/>
    </xf>
    <xf numFmtId="0" fontId="5" fillId="2" borderId="0" xfId="0" applyFont="1" applyFill="1" applyBorder="1" applyAlignment="1">
      <alignment horizontal="center" vertical="center"/>
    </xf>
    <xf numFmtId="0" fontId="3" fillId="2" borderId="0" xfId="0" applyFont="1" applyFill="1" applyAlignment="1">
      <alignment vertical="center"/>
    </xf>
    <xf numFmtId="0" fontId="6" fillId="2" borderId="15" xfId="0" applyFont="1" applyFill="1" applyBorder="1" applyAlignment="1">
      <alignment vertical="center"/>
    </xf>
    <xf numFmtId="2" fontId="6" fillId="2" borderId="1" xfId="0" applyNumberFormat="1" applyFont="1" applyFill="1" applyBorder="1" applyAlignment="1">
      <alignment horizontal="center" vertical="center"/>
    </xf>
    <xf numFmtId="0" fontId="5" fillId="2" borderId="0" xfId="0" applyFont="1" applyFill="1" applyAlignment="1">
      <alignment horizontal="right" vertical="center"/>
    </xf>
    <xf numFmtId="0" fontId="5" fillId="2" borderId="1" xfId="0" applyFont="1" applyFill="1" applyBorder="1" applyAlignment="1">
      <alignment horizontal="center" vertical="center"/>
    </xf>
    <xf numFmtId="0" fontId="5" fillId="2" borderId="0" xfId="0" applyFont="1" applyFill="1" applyBorder="1" applyAlignment="1">
      <alignment horizontal="center" vertical="center"/>
    </xf>
    <xf numFmtId="0" fontId="28" fillId="11" borderId="0" xfId="0" applyFont="1" applyFill="1" applyAlignment="1">
      <alignment vertical="center"/>
    </xf>
    <xf numFmtId="0" fontId="29" fillId="11" borderId="0" xfId="0" applyFont="1" applyFill="1" applyAlignment="1">
      <alignment vertical="center"/>
    </xf>
    <xf numFmtId="0" fontId="29" fillId="11" borderId="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 xfId="0" applyFont="1" applyFill="1" applyBorder="1" applyAlignment="1">
      <alignment vertical="center"/>
    </xf>
    <xf numFmtId="0" fontId="5" fillId="2" borderId="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1" xfId="0" applyFont="1" applyFill="1" applyBorder="1" applyAlignment="1">
      <alignment vertical="center"/>
    </xf>
    <xf numFmtId="0" fontId="4" fillId="2" borderId="0" xfId="0" applyFont="1" applyFill="1" applyAlignment="1">
      <alignment vertical="center"/>
    </xf>
    <xf numFmtId="0" fontId="5" fillId="2" borderId="0"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1" xfId="0" applyFont="1" applyFill="1" applyBorder="1" applyAlignment="1">
      <alignment horizontal="center" vertical="center"/>
    </xf>
    <xf numFmtId="0" fontId="4" fillId="2" borderId="0" xfId="0" applyFont="1" applyFill="1" applyAlignment="1">
      <alignment horizontal="left" vertical="center"/>
    </xf>
    <xf numFmtId="0" fontId="5" fillId="2" borderId="36" xfId="0" applyFont="1" applyFill="1" applyBorder="1" applyAlignment="1">
      <alignment horizontal="center" vertical="center"/>
    </xf>
    <xf numFmtId="0" fontId="32" fillId="2" borderId="1" xfId="0" applyFont="1" applyFill="1" applyBorder="1" applyAlignment="1">
      <alignment vertical="center"/>
    </xf>
    <xf numFmtId="0" fontId="3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4" fillId="2" borderId="0" xfId="0" applyFont="1" applyFill="1" applyAlignment="1">
      <alignment vertical="center"/>
    </xf>
    <xf numFmtId="0" fontId="5" fillId="2" borderId="0" xfId="0" applyFont="1" applyFill="1" applyBorder="1" applyAlignment="1">
      <alignment horizontal="center" vertical="center"/>
    </xf>
    <xf numFmtId="0" fontId="4" fillId="2" borderId="0" xfId="0" applyFont="1" applyFill="1" applyAlignment="1">
      <alignment vertical="center"/>
    </xf>
    <xf numFmtId="0" fontId="5" fillId="2" borderId="7"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vertical="center"/>
    </xf>
    <xf numFmtId="0" fontId="5" fillId="2" borderId="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 xfId="0" applyFont="1" applyFill="1" applyBorder="1" applyAlignment="1">
      <alignment vertical="center"/>
    </xf>
    <xf numFmtId="0" fontId="4" fillId="2" borderId="0" xfId="0" applyFont="1" applyFill="1" applyAlignment="1">
      <alignment vertical="center"/>
    </xf>
    <xf numFmtId="0" fontId="5" fillId="2" borderId="0" xfId="0" applyFont="1" applyFill="1" applyBorder="1" applyAlignment="1">
      <alignment horizontal="center" vertical="center"/>
    </xf>
    <xf numFmtId="0" fontId="5" fillId="2" borderId="5" xfId="0" applyFont="1" applyFill="1" applyBorder="1" applyAlignment="1">
      <alignment vertical="center"/>
    </xf>
    <xf numFmtId="0" fontId="5" fillId="2" borderId="72" xfId="0" applyFont="1" applyFill="1" applyBorder="1" applyAlignment="1">
      <alignment vertical="center"/>
    </xf>
    <xf numFmtId="1" fontId="5" fillId="2" borderId="0" xfId="0" applyNumberFormat="1" applyFont="1" applyFill="1" applyBorder="1" applyAlignment="1">
      <alignment vertical="center"/>
    </xf>
    <xf numFmtId="0" fontId="5" fillId="2" borderId="5" xfId="0" applyFont="1" applyFill="1" applyBorder="1" applyAlignment="1">
      <alignment horizontal="center" vertical="center"/>
    </xf>
    <xf numFmtId="0" fontId="5" fillId="2" borderId="13" xfId="0" applyFont="1" applyFill="1" applyBorder="1" applyAlignment="1">
      <alignment horizontal="left" vertical="center"/>
    </xf>
    <xf numFmtId="0" fontId="5" fillId="2" borderId="1" xfId="0" applyFont="1" applyFill="1" applyBorder="1" applyAlignment="1">
      <alignment vertical="center"/>
    </xf>
    <xf numFmtId="2" fontId="5" fillId="2" borderId="1" xfId="0" applyNumberFormat="1" applyFont="1" applyFill="1" applyBorder="1" applyAlignment="1">
      <alignment vertical="center"/>
    </xf>
    <xf numFmtId="0" fontId="5" fillId="2" borderId="5" xfId="0" applyFont="1" applyFill="1" applyBorder="1" applyAlignment="1">
      <alignment horizontal="center" vertical="center"/>
    </xf>
    <xf numFmtId="0" fontId="4" fillId="2" borderId="0" xfId="0" applyFont="1" applyFill="1" applyAlignment="1">
      <alignment vertical="center"/>
    </xf>
    <xf numFmtId="0" fontId="5" fillId="2" borderId="5" xfId="0" applyFont="1" applyFill="1" applyBorder="1" applyAlignment="1">
      <alignment horizontal="center" vertical="center"/>
    </xf>
    <xf numFmtId="0" fontId="5" fillId="0" borderId="72" xfId="0" applyFont="1" applyFill="1" applyBorder="1" applyAlignment="1">
      <alignment vertical="center"/>
    </xf>
    <xf numFmtId="0" fontId="5" fillId="0" borderId="1" xfId="0" applyFont="1" applyFill="1" applyBorder="1" applyAlignment="1">
      <alignment vertical="center"/>
    </xf>
    <xf numFmtId="0" fontId="5" fillId="2" borderId="5" xfId="0" applyFont="1" applyFill="1" applyBorder="1" applyAlignment="1">
      <alignment horizontal="center" vertical="center"/>
    </xf>
    <xf numFmtId="0" fontId="5" fillId="2" borderId="1" xfId="0" applyFont="1" applyFill="1" applyBorder="1" applyAlignment="1">
      <alignment vertical="center"/>
    </xf>
    <xf numFmtId="0" fontId="4" fillId="2" borderId="0" xfId="0" applyFont="1" applyFill="1" applyAlignment="1">
      <alignment vertical="center"/>
    </xf>
    <xf numFmtId="0" fontId="5"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4" fillId="2" borderId="0" xfId="0" applyFont="1" applyFill="1" applyAlignment="1">
      <alignment vertical="center"/>
    </xf>
    <xf numFmtId="0" fontId="5" fillId="2" borderId="36" xfId="0" applyFont="1" applyFill="1" applyBorder="1" applyAlignment="1">
      <alignment vertical="center"/>
    </xf>
    <xf numFmtId="0" fontId="5"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0" xfId="0" applyFont="1" applyFill="1" applyBorder="1" applyAlignment="1">
      <alignment horizontal="center" vertical="center"/>
    </xf>
    <xf numFmtId="0" fontId="4" fillId="2" borderId="0" xfId="0" applyFont="1" applyFill="1" applyAlignment="1">
      <alignment vertical="center"/>
    </xf>
    <xf numFmtId="0" fontId="5" fillId="2" borderId="6" xfId="0" applyFont="1" applyFill="1" applyBorder="1" applyAlignment="1">
      <alignment horizontal="left" vertical="center"/>
    </xf>
    <xf numFmtId="0" fontId="5" fillId="2" borderId="7" xfId="0" quotePrefix="1" applyFont="1" applyFill="1" applyBorder="1" applyAlignment="1">
      <alignment horizontal="left" vertical="center"/>
    </xf>
    <xf numFmtId="2" fontId="5" fillId="2" borderId="6" xfId="0" applyNumberFormat="1" applyFont="1" applyFill="1" applyBorder="1" applyAlignment="1">
      <alignment horizontal="center" vertical="center"/>
    </xf>
    <xf numFmtId="2" fontId="5" fillId="2" borderId="0" xfId="0" applyNumberFormat="1" applyFont="1" applyFill="1" applyBorder="1" applyAlignment="1">
      <alignment vertical="center"/>
    </xf>
    <xf numFmtId="0" fontId="0" fillId="0" borderId="0" xfId="0" applyBorder="1"/>
    <xf numFmtId="0" fontId="5" fillId="2" borderId="72" xfId="0" applyFont="1" applyFill="1" applyBorder="1" applyAlignment="1">
      <alignment horizontal="left" vertical="center"/>
    </xf>
    <xf numFmtId="0" fontId="5" fillId="2" borderId="72" xfId="0" applyFont="1" applyFill="1" applyBorder="1" applyAlignment="1">
      <alignment horizontal="center" vertical="center"/>
    </xf>
    <xf numFmtId="0" fontId="5" fillId="2" borderId="6" xfId="0" applyNumberFormat="1" applyFont="1" applyFill="1" applyBorder="1" applyAlignment="1">
      <alignment horizontal="center" vertical="center"/>
    </xf>
    <xf numFmtId="0" fontId="5" fillId="0" borderId="0" xfId="0" applyFont="1" applyFill="1" applyAlignment="1">
      <alignment vertical="center"/>
    </xf>
    <xf numFmtId="0" fontId="5" fillId="2" borderId="0" xfId="0" applyFont="1" applyFill="1" applyBorder="1" applyAlignment="1">
      <alignment horizontal="center" vertical="center"/>
    </xf>
    <xf numFmtId="0" fontId="6" fillId="2" borderId="5"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0" xfId="0" applyFont="1" applyFill="1" applyAlignment="1">
      <alignment horizontal="right" vertical="center"/>
    </xf>
    <xf numFmtId="0" fontId="5" fillId="2" borderId="8"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0" xfId="0" applyFont="1" applyFill="1" applyBorder="1" applyAlignment="1">
      <alignment horizontal="center" vertical="center"/>
    </xf>
    <xf numFmtId="0" fontId="4" fillId="2" borderId="0" xfId="0" applyFont="1" applyFill="1" applyAlignment="1">
      <alignment vertical="center"/>
    </xf>
    <xf numFmtId="0" fontId="5" fillId="2" borderId="6" xfId="0" applyFont="1" applyFill="1" applyBorder="1" applyAlignment="1">
      <alignment horizontal="left" vertical="center"/>
    </xf>
    <xf numFmtId="0" fontId="5" fillId="2" borderId="1" xfId="0" applyFont="1" applyFill="1" applyBorder="1" applyAlignment="1">
      <alignment vertical="center"/>
    </xf>
    <xf numFmtId="0" fontId="32" fillId="2" borderId="0" xfId="0" applyFont="1" applyFill="1" applyAlignment="1">
      <alignment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 xfId="0" applyFont="1" applyFill="1" applyBorder="1" applyAlignment="1">
      <alignment vertical="center"/>
    </xf>
    <xf numFmtId="0" fontId="4" fillId="2" borderId="0" xfId="0" applyFont="1" applyFill="1" applyAlignment="1">
      <alignment vertical="center"/>
    </xf>
    <xf numFmtId="0" fontId="5" fillId="2" borderId="6"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vertical="center"/>
    </xf>
    <xf numFmtId="0" fontId="5" fillId="2" borderId="0"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11" fillId="2" borderId="0" xfId="0" applyFont="1" applyFill="1" applyAlignment="1">
      <alignment vertical="center"/>
    </xf>
    <xf numFmtId="0" fontId="9" fillId="2" borderId="0" xfId="0" applyFont="1" applyFill="1" applyAlignment="1">
      <alignment vertical="center"/>
    </xf>
    <xf numFmtId="0" fontId="5"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6"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1" xfId="0" applyFont="1" applyFill="1" applyBorder="1" applyAlignment="1">
      <alignment vertical="center"/>
    </xf>
    <xf numFmtId="0" fontId="5" fillId="2" borderId="0" xfId="0" applyFont="1" applyFill="1" applyBorder="1" applyAlignment="1">
      <alignment horizontal="center" vertical="center"/>
    </xf>
    <xf numFmtId="0" fontId="6" fillId="2" borderId="0" xfId="0" applyFont="1" applyFill="1" applyAlignment="1">
      <alignment horizontal="center" vertical="center"/>
    </xf>
    <xf numFmtId="0" fontId="5" fillId="2" borderId="6" xfId="0" applyFont="1" applyFill="1" applyBorder="1" applyAlignment="1">
      <alignment horizontal="left" vertical="center"/>
    </xf>
    <xf numFmtId="0" fontId="13"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6"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0" xfId="0" applyFont="1" applyFill="1" applyAlignment="1">
      <alignment horizontal="right" vertical="center"/>
    </xf>
    <xf numFmtId="0" fontId="5" fillId="2" borderId="0" xfId="0" applyFont="1" applyFill="1" applyBorder="1" applyAlignment="1">
      <alignment horizontal="right" vertical="center"/>
    </xf>
    <xf numFmtId="0" fontId="5" fillId="2" borderId="1" xfId="0" applyFont="1" applyFill="1" applyBorder="1" applyAlignment="1">
      <alignment horizontal="left" vertical="center"/>
    </xf>
    <xf numFmtId="0" fontId="4" fillId="2" borderId="0" xfId="0" applyFont="1" applyFill="1" applyBorder="1" applyAlignment="1">
      <alignment horizontal="center" vertical="center"/>
    </xf>
    <xf numFmtId="0" fontId="16" fillId="2" borderId="2" xfId="1" applyFill="1" applyBorder="1" applyAlignment="1">
      <alignment horizontal="center" vertical="center"/>
    </xf>
    <xf numFmtId="0" fontId="16" fillId="2" borderId="3" xfId="1" applyFill="1" applyBorder="1" applyAlignment="1">
      <alignment horizontal="center" vertical="center"/>
    </xf>
    <xf numFmtId="0" fontId="16" fillId="2" borderId="4" xfId="1" applyFill="1" applyBorder="1" applyAlignment="1">
      <alignment horizontal="center" vertical="center"/>
    </xf>
    <xf numFmtId="0" fontId="5" fillId="2" borderId="36" xfId="0" applyFont="1" applyFill="1" applyBorder="1" applyAlignment="1">
      <alignment horizontal="right" vertical="center"/>
    </xf>
    <xf numFmtId="0" fontId="5" fillId="2" borderId="5"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5" xfId="0" applyFont="1" applyFill="1" applyBorder="1" applyAlignment="1">
      <alignment horizontal="center" vertical="center"/>
    </xf>
    <xf numFmtId="1" fontId="5" fillId="2" borderId="7" xfId="0" applyNumberFormat="1" applyFont="1" applyFill="1" applyBorder="1" applyAlignment="1">
      <alignment horizontal="center" vertical="center"/>
    </xf>
    <xf numFmtId="1" fontId="5" fillId="2" borderId="8" xfId="0" applyNumberFormat="1" applyFont="1" applyFill="1" applyBorder="1" applyAlignment="1">
      <alignment horizontal="center" vertical="center"/>
    </xf>
    <xf numFmtId="1" fontId="5" fillId="2" borderId="9" xfId="0" applyNumberFormat="1" applyFont="1" applyFill="1" applyBorder="1" applyAlignment="1">
      <alignment horizontal="center" vertical="center"/>
    </xf>
    <xf numFmtId="1" fontId="5" fillId="2" borderId="2" xfId="0" applyNumberFormat="1" applyFont="1" applyFill="1" applyBorder="1" applyAlignment="1">
      <alignment vertical="center"/>
    </xf>
    <xf numFmtId="1" fontId="5" fillId="2" borderId="4" xfId="0" applyNumberFormat="1" applyFont="1" applyFill="1" applyBorder="1" applyAlignment="1">
      <alignment vertical="center"/>
    </xf>
    <xf numFmtId="2" fontId="5" fillId="2" borderId="2" xfId="0" applyNumberFormat="1" applyFont="1" applyFill="1" applyBorder="1" applyAlignment="1">
      <alignment vertical="center"/>
    </xf>
    <xf numFmtId="2" fontId="5" fillId="2" borderId="4" xfId="0" applyNumberFormat="1" applyFont="1" applyFill="1" applyBorder="1" applyAlignment="1">
      <alignment vertical="center"/>
    </xf>
    <xf numFmtId="0" fontId="5" fillId="2" borderId="14" xfId="0" applyFont="1" applyFill="1" applyBorder="1" applyAlignment="1">
      <alignment horizontal="center" vertical="center"/>
    </xf>
    <xf numFmtId="0" fontId="0" fillId="2" borderId="1"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5" fillId="2" borderId="0" xfId="0" applyFont="1" applyFill="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49" fontId="5" fillId="2" borderId="2"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0" fontId="4" fillId="2" borderId="0" xfId="0" applyFont="1" applyFill="1" applyAlignment="1">
      <alignment horizontal="right" vertical="center"/>
    </xf>
    <xf numFmtId="1" fontId="5" fillId="2" borderId="10" xfId="0" applyNumberFormat="1" applyFont="1" applyFill="1" applyBorder="1" applyAlignment="1">
      <alignment vertical="center"/>
    </xf>
    <xf numFmtId="1" fontId="5" fillId="2" borderId="12" xfId="0" applyNumberFormat="1" applyFont="1" applyFill="1" applyBorder="1" applyAlignment="1">
      <alignment vertical="center"/>
    </xf>
    <xf numFmtId="2" fontId="5" fillId="2" borderId="10" xfId="0" applyNumberFormat="1" applyFont="1" applyFill="1" applyBorder="1" applyAlignment="1">
      <alignment vertical="center"/>
    </xf>
    <xf numFmtId="2" fontId="5" fillId="2" borderId="12" xfId="0" applyNumberFormat="1" applyFont="1" applyFill="1" applyBorder="1" applyAlignment="1">
      <alignment vertical="center"/>
    </xf>
    <xf numFmtId="1" fontId="5" fillId="2" borderId="2" xfId="0" applyNumberFormat="1" applyFont="1" applyFill="1" applyBorder="1" applyAlignment="1">
      <alignment horizontal="center" vertical="center"/>
    </xf>
    <xf numFmtId="1" fontId="5" fillId="2" borderId="3" xfId="0" applyNumberFormat="1" applyFont="1" applyFill="1" applyBorder="1" applyAlignment="1">
      <alignment horizontal="center" vertical="center"/>
    </xf>
    <xf numFmtId="1" fontId="5" fillId="2" borderId="4" xfId="0" applyNumberFormat="1" applyFont="1" applyFill="1" applyBorder="1" applyAlignment="1">
      <alignment horizontal="center" vertical="center"/>
    </xf>
    <xf numFmtId="49" fontId="5" fillId="2" borderId="7" xfId="0" applyNumberFormat="1" applyFont="1" applyFill="1" applyBorder="1" applyAlignment="1">
      <alignment horizontal="center" vertical="center"/>
    </xf>
    <xf numFmtId="49" fontId="5" fillId="2" borderId="8" xfId="0" applyNumberFormat="1" applyFont="1" applyFill="1" applyBorder="1" applyAlignment="1">
      <alignment horizontal="center" vertical="center"/>
    </xf>
    <xf numFmtId="49" fontId="5" fillId="2" borderId="9" xfId="0" applyNumberFormat="1" applyFont="1" applyFill="1" applyBorder="1" applyAlignment="1">
      <alignment horizontal="center" vertical="center"/>
    </xf>
    <xf numFmtId="0" fontId="5" fillId="2" borderId="70" xfId="0" applyFont="1" applyFill="1" applyBorder="1" applyAlignment="1">
      <alignment horizontal="center" vertical="center"/>
    </xf>
    <xf numFmtId="0" fontId="5" fillId="2" borderId="17" xfId="0" applyFont="1" applyFill="1" applyBorder="1" applyAlignment="1">
      <alignment horizontal="center" vertical="center"/>
    </xf>
    <xf numFmtId="0" fontId="0" fillId="0" borderId="17" xfId="0" applyBorder="1" applyAlignment="1">
      <alignment horizontal="center" vertical="center"/>
    </xf>
    <xf numFmtId="0" fontId="0" fillId="0" borderId="71" xfId="0" applyBorder="1" applyAlignment="1">
      <alignment horizontal="center" vertical="center"/>
    </xf>
    <xf numFmtId="0" fontId="23" fillId="2" borderId="0" xfId="0" applyFont="1" applyFill="1" applyAlignment="1">
      <alignment horizontal="center" vertical="center"/>
    </xf>
    <xf numFmtId="0" fontId="5" fillId="2" borderId="6" xfId="0" applyFont="1" applyFill="1" applyBorder="1" applyAlignment="1">
      <alignment vertical="center"/>
    </xf>
    <xf numFmtId="0" fontId="5" fillId="2" borderId="1" xfId="0" applyFont="1" applyFill="1" applyBorder="1" applyAlignment="1">
      <alignment vertical="center"/>
    </xf>
    <xf numFmtId="49" fontId="5" fillId="2" borderId="10" xfId="0" applyNumberFormat="1" applyFont="1" applyFill="1" applyBorder="1" applyAlignment="1">
      <alignment horizontal="center" vertical="center"/>
    </xf>
    <xf numFmtId="49" fontId="5" fillId="2" borderId="11" xfId="0" applyNumberFormat="1" applyFont="1" applyFill="1" applyBorder="1" applyAlignment="1">
      <alignment horizontal="center" vertical="center"/>
    </xf>
    <xf numFmtId="49" fontId="5" fillId="2" borderId="12" xfId="0" applyNumberFormat="1" applyFont="1" applyFill="1" applyBorder="1" applyAlignment="1">
      <alignment horizontal="center" vertical="center"/>
    </xf>
    <xf numFmtId="0" fontId="5" fillId="2" borderId="16" xfId="0" applyFont="1" applyFill="1" applyBorder="1" applyAlignment="1">
      <alignment horizontal="right" vertical="center"/>
    </xf>
    <xf numFmtId="0" fontId="5" fillId="2" borderId="18"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69" xfId="0" applyFont="1" applyFill="1" applyBorder="1" applyAlignment="1">
      <alignment horizontal="center"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5" fillId="2" borderId="4" xfId="0" applyFont="1" applyFill="1" applyBorder="1" applyAlignment="1">
      <alignment vertical="center"/>
    </xf>
    <xf numFmtId="0" fontId="5" fillId="2" borderId="10" xfId="0" applyFont="1" applyFill="1" applyBorder="1" applyAlignment="1">
      <alignment vertical="center"/>
    </xf>
    <xf numFmtId="0" fontId="5" fillId="2" borderId="11" xfId="0" applyFont="1" applyFill="1" applyBorder="1" applyAlignment="1">
      <alignment vertical="center"/>
    </xf>
    <xf numFmtId="0" fontId="5" fillId="2" borderId="12" xfId="0" applyFont="1" applyFill="1" applyBorder="1" applyAlignment="1">
      <alignment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2" xfId="0" applyFont="1" applyFill="1" applyBorder="1" applyAlignment="1">
      <alignment vertical="center"/>
    </xf>
    <xf numFmtId="0" fontId="5" fillId="0" borderId="3" xfId="0" applyFont="1" applyFill="1" applyBorder="1" applyAlignment="1">
      <alignment vertical="center"/>
    </xf>
    <xf numFmtId="0" fontId="5" fillId="0" borderId="4" xfId="0" applyFont="1" applyFill="1" applyBorder="1" applyAlignment="1">
      <alignment vertical="center"/>
    </xf>
    <xf numFmtId="0" fontId="5" fillId="0" borderId="10" xfId="0" applyFont="1" applyFill="1" applyBorder="1" applyAlignment="1">
      <alignment vertical="center"/>
    </xf>
    <xf numFmtId="0" fontId="5" fillId="0" borderId="11" xfId="0" applyFont="1" applyFill="1" applyBorder="1" applyAlignment="1">
      <alignment vertical="center"/>
    </xf>
    <xf numFmtId="0" fontId="5" fillId="0" borderId="12" xfId="0" applyFont="1" applyFill="1" applyBorder="1" applyAlignment="1">
      <alignment vertical="center"/>
    </xf>
    <xf numFmtId="0" fontId="5" fillId="2" borderId="7" xfId="0" applyFont="1" applyFill="1" applyBorder="1" applyAlignment="1">
      <alignment vertical="center"/>
    </xf>
    <xf numFmtId="0" fontId="5" fillId="2" borderId="8" xfId="0" applyFont="1" applyFill="1" applyBorder="1" applyAlignment="1">
      <alignment vertical="center"/>
    </xf>
    <xf numFmtId="0" fontId="5" fillId="2" borderId="9" xfId="0" applyFont="1" applyFill="1" applyBorder="1" applyAlignment="1">
      <alignment vertical="center"/>
    </xf>
    <xf numFmtId="0" fontId="5" fillId="0" borderId="7" xfId="0" applyFont="1" applyFill="1" applyBorder="1" applyAlignment="1">
      <alignment vertical="center"/>
    </xf>
    <xf numFmtId="0" fontId="5" fillId="0" borderId="8" xfId="0" applyFont="1" applyFill="1" applyBorder="1" applyAlignment="1">
      <alignment vertical="center"/>
    </xf>
    <xf numFmtId="0" fontId="5" fillId="0" borderId="9" xfId="0" applyFont="1" applyFill="1" applyBorder="1" applyAlignment="1">
      <alignment vertical="center"/>
    </xf>
    <xf numFmtId="0" fontId="5" fillId="2" borderId="0" xfId="0" applyFont="1" applyFill="1" applyBorder="1" applyAlignment="1">
      <alignment horizontal="center" vertical="center"/>
    </xf>
    <xf numFmtId="0" fontId="6" fillId="2" borderId="25" xfId="0" applyFont="1" applyFill="1" applyBorder="1" applyAlignment="1">
      <alignment horizontal="center" vertical="top"/>
    </xf>
    <xf numFmtId="0" fontId="6" fillId="2" borderId="19" xfId="0" applyFont="1" applyFill="1" applyBorder="1" applyAlignment="1">
      <alignment horizontal="center" vertical="top"/>
    </xf>
    <xf numFmtId="0" fontId="6" fillId="2" borderId="26" xfId="0" applyFont="1" applyFill="1" applyBorder="1" applyAlignment="1">
      <alignment horizontal="center" vertical="top"/>
    </xf>
    <xf numFmtId="0" fontId="29" fillId="11" borderId="13" xfId="0" applyFont="1" applyFill="1" applyBorder="1" applyAlignment="1">
      <alignment horizontal="center" vertical="center"/>
    </xf>
    <xf numFmtId="0" fontId="29" fillId="11" borderId="14" xfId="0" applyFont="1" applyFill="1" applyBorder="1" applyAlignment="1">
      <alignment horizontal="center" vertical="center"/>
    </xf>
    <xf numFmtId="0" fontId="29" fillId="11" borderId="63" xfId="0" applyFont="1" applyFill="1" applyBorder="1" applyAlignment="1">
      <alignment horizontal="center" vertical="center"/>
    </xf>
    <xf numFmtId="0" fontId="29" fillId="11" borderId="66" xfId="0" applyFont="1" applyFill="1" applyBorder="1" applyAlignment="1">
      <alignment horizontal="center" vertical="center"/>
    </xf>
    <xf numFmtId="0" fontId="29" fillId="11" borderId="10" xfId="0" applyFont="1" applyFill="1" applyBorder="1" applyAlignment="1">
      <alignment horizontal="center" vertical="center"/>
    </xf>
    <xf numFmtId="0" fontId="29" fillId="11" borderId="11" xfId="0" applyFont="1" applyFill="1" applyBorder="1" applyAlignment="1">
      <alignment horizontal="center" vertical="center"/>
    </xf>
    <xf numFmtId="0" fontId="29" fillId="11" borderId="64" xfId="0" applyFont="1" applyFill="1" applyBorder="1" applyAlignment="1">
      <alignment horizontal="center" vertical="center"/>
    </xf>
    <xf numFmtId="0" fontId="29" fillId="11" borderId="67" xfId="0" applyFont="1" applyFill="1" applyBorder="1" applyAlignment="1">
      <alignment horizontal="center" vertical="center"/>
    </xf>
    <xf numFmtId="0" fontId="29" fillId="11" borderId="2" xfId="0" applyFont="1" applyFill="1" applyBorder="1" applyAlignment="1">
      <alignment horizontal="center" vertical="center"/>
    </xf>
    <xf numFmtId="0" fontId="29" fillId="11" borderId="3" xfId="0" applyFont="1" applyFill="1" applyBorder="1" applyAlignment="1">
      <alignment horizontal="center" vertical="center"/>
    </xf>
    <xf numFmtId="0" fontId="29" fillId="11" borderId="65" xfId="0" applyFont="1" applyFill="1" applyBorder="1" applyAlignment="1">
      <alignment horizontal="center" vertical="center"/>
    </xf>
    <xf numFmtId="0" fontId="29" fillId="11" borderId="68" xfId="0" applyFont="1" applyFill="1" applyBorder="1" applyAlignment="1">
      <alignment horizontal="center" vertical="center"/>
    </xf>
    <xf numFmtId="0" fontId="4" fillId="2" borderId="0" xfId="0" applyFont="1" applyFill="1" applyAlignment="1">
      <alignment vertical="center"/>
    </xf>
    <xf numFmtId="0" fontId="5" fillId="2" borderId="21" xfId="0" applyFont="1" applyFill="1" applyBorder="1" applyAlignment="1" applyProtection="1">
      <alignment horizontal="center"/>
    </xf>
    <xf numFmtId="0" fontId="26" fillId="0" borderId="35" xfId="0" applyFont="1" applyBorder="1" applyAlignment="1" applyProtection="1">
      <alignment horizontal="center"/>
    </xf>
    <xf numFmtId="0" fontId="5" fillId="2" borderId="6" xfId="0" applyFont="1" applyFill="1" applyBorder="1" applyAlignment="1" applyProtection="1">
      <alignment horizontal="center"/>
    </xf>
    <xf numFmtId="0" fontId="26" fillId="0" borderId="6" xfId="0" applyFont="1" applyBorder="1" applyAlignment="1" applyProtection="1">
      <alignment horizontal="center"/>
    </xf>
    <xf numFmtId="0" fontId="5" fillId="2" borderId="34" xfId="0" applyFont="1" applyFill="1" applyBorder="1" applyAlignment="1" applyProtection="1">
      <alignment horizontal="center"/>
    </xf>
    <xf numFmtId="0" fontId="26" fillId="0" borderId="22" xfId="0" applyFont="1" applyBorder="1" applyAlignment="1" applyProtection="1">
      <alignment horizontal="center"/>
    </xf>
    <xf numFmtId="0" fontId="26" fillId="0" borderId="62" xfId="0" applyFont="1" applyBorder="1" applyAlignment="1" applyProtection="1">
      <alignment horizontal="center"/>
    </xf>
    <xf numFmtId="0" fontId="5" fillId="2" borderId="1" xfId="0" applyFont="1" applyFill="1" applyBorder="1" applyAlignment="1" applyProtection="1">
      <alignment horizontal="center"/>
    </xf>
    <xf numFmtId="0" fontId="26" fillId="0" borderId="1" xfId="0" applyFont="1" applyBorder="1" applyAlignment="1" applyProtection="1">
      <alignment horizont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4" xfId="0" applyFont="1" applyFill="1" applyBorder="1" applyAlignment="1">
      <alignment horizontal="center" vertical="center"/>
    </xf>
    <xf numFmtId="0" fontId="5" fillId="2" borderId="6" xfId="0" applyFont="1" applyFill="1" applyBorder="1" applyAlignment="1" applyProtection="1">
      <alignment horizontal="center"/>
      <protection locked="0"/>
    </xf>
    <xf numFmtId="0" fontId="26" fillId="0" borderId="6" xfId="0" applyFont="1" applyBorder="1" applyAlignment="1" applyProtection="1">
      <alignment horizontal="center"/>
      <protection locked="0"/>
    </xf>
    <xf numFmtId="0" fontId="5" fillId="2" borderId="1" xfId="0" applyFont="1" applyFill="1" applyBorder="1" applyAlignment="1" applyProtection="1">
      <alignment horizontal="center"/>
      <protection locked="0"/>
    </xf>
    <xf numFmtId="0" fontId="26" fillId="0" borderId="1" xfId="0" applyFont="1" applyBorder="1" applyAlignment="1" applyProtection="1">
      <alignment horizontal="center"/>
      <protection locked="0"/>
    </xf>
    <xf numFmtId="0" fontId="5" fillId="2" borderId="1" xfId="0" applyFont="1" applyFill="1" applyBorder="1" applyAlignment="1" applyProtection="1">
      <protection locked="0"/>
    </xf>
    <xf numFmtId="0" fontId="26" fillId="0" borderId="1" xfId="0" applyFont="1" applyBorder="1" applyAlignment="1" applyProtection="1">
      <protection locked="0"/>
    </xf>
    <xf numFmtId="0" fontId="5" fillId="2" borderId="6" xfId="0" applyFont="1" applyFill="1" applyBorder="1" applyAlignment="1" applyProtection="1">
      <protection locked="0"/>
    </xf>
    <xf numFmtId="0" fontId="26" fillId="0" borderId="6" xfId="0" applyFont="1" applyBorder="1" applyAlignment="1" applyProtection="1">
      <protection locked="0"/>
    </xf>
    <xf numFmtId="0" fontId="32" fillId="2" borderId="36" xfId="0" applyFont="1" applyFill="1" applyBorder="1" applyAlignment="1">
      <alignment vertical="center"/>
    </xf>
    <xf numFmtId="0" fontId="32" fillId="2" borderId="0" xfId="0" applyFont="1" applyFill="1" applyAlignment="1">
      <alignment vertical="center"/>
    </xf>
    <xf numFmtId="0" fontId="32" fillId="2" borderId="70" xfId="0" applyFont="1" applyFill="1" applyBorder="1" applyAlignment="1">
      <alignment vertical="center"/>
    </xf>
    <xf numFmtId="0" fontId="32" fillId="2" borderId="17" xfId="0" applyFont="1" applyFill="1" applyBorder="1" applyAlignment="1">
      <alignment vertical="center"/>
    </xf>
    <xf numFmtId="0" fontId="32" fillId="2" borderId="71" xfId="0" applyFont="1" applyFill="1" applyBorder="1" applyAlignment="1">
      <alignment vertical="center"/>
    </xf>
    <xf numFmtId="0" fontId="32" fillId="2" borderId="7" xfId="0" applyFont="1" applyFill="1" applyBorder="1" applyAlignment="1">
      <alignment vertical="center"/>
    </xf>
    <xf numFmtId="0" fontId="32" fillId="2" borderId="8" xfId="0" applyFont="1" applyFill="1" applyBorder="1" applyAlignment="1">
      <alignment vertical="center"/>
    </xf>
    <xf numFmtId="0" fontId="32" fillId="2" borderId="9" xfId="0" applyFont="1" applyFill="1" applyBorder="1" applyAlignment="1">
      <alignment vertical="center"/>
    </xf>
    <xf numFmtId="0" fontId="5" fillId="2" borderId="0" xfId="0" applyFont="1" applyFill="1" applyAlignment="1">
      <alignment horizontal="left" vertical="center"/>
    </xf>
    <xf numFmtId="0" fontId="5" fillId="2" borderId="16" xfId="0" applyFont="1" applyFill="1" applyBorder="1" applyAlignment="1">
      <alignment horizontal="left" vertical="center"/>
    </xf>
    <xf numFmtId="0" fontId="5" fillId="2" borderId="1" xfId="0" applyFont="1" applyFill="1" applyBorder="1" applyAlignment="1">
      <alignment horizontal="right" vertical="center"/>
    </xf>
    <xf numFmtId="0" fontId="6" fillId="2" borderId="0" xfId="0" applyFont="1" applyFill="1" applyAlignment="1">
      <alignment horizontal="center" vertical="center"/>
    </xf>
    <xf numFmtId="0" fontId="5" fillId="2" borderId="8" xfId="0" applyFont="1" applyFill="1" applyBorder="1" applyAlignment="1">
      <alignment horizontal="center"/>
    </xf>
    <xf numFmtId="0" fontId="5" fillId="2" borderId="0" xfId="0" applyFont="1" applyFill="1" applyBorder="1" applyAlignment="1">
      <alignment horizontal="center"/>
    </xf>
    <xf numFmtId="0" fontId="0" fillId="0" borderId="0" xfId="0" applyFill="1"/>
    <xf numFmtId="14" fontId="5" fillId="2" borderId="10" xfId="0" applyNumberFormat="1" applyFont="1" applyFill="1" applyBorder="1" applyAlignment="1">
      <alignment horizontal="left" vertical="center"/>
    </xf>
    <xf numFmtId="14" fontId="5" fillId="2" borderId="11" xfId="0" applyNumberFormat="1" applyFont="1" applyFill="1" applyBorder="1" applyAlignment="1">
      <alignment horizontal="left" vertical="center"/>
    </xf>
    <xf numFmtId="14" fontId="5" fillId="2" borderId="12" xfId="0" applyNumberFormat="1" applyFont="1" applyFill="1" applyBorder="1" applyAlignment="1">
      <alignment horizontal="left" vertical="center"/>
    </xf>
    <xf numFmtId="14" fontId="5" fillId="2" borderId="2" xfId="0" applyNumberFormat="1" applyFont="1" applyFill="1" applyBorder="1" applyAlignment="1">
      <alignment horizontal="left" vertical="center"/>
    </xf>
    <xf numFmtId="14" fontId="5" fillId="2" borderId="3" xfId="0" applyNumberFormat="1" applyFont="1" applyFill="1" applyBorder="1" applyAlignment="1">
      <alignment horizontal="left" vertical="center"/>
    </xf>
    <xf numFmtId="14" fontId="5" fillId="2" borderId="4" xfId="0" applyNumberFormat="1" applyFont="1" applyFill="1" applyBorder="1" applyAlignment="1">
      <alignment horizontal="left" vertical="center"/>
    </xf>
    <xf numFmtId="0" fontId="5" fillId="2" borderId="2" xfId="0" applyFont="1" applyFill="1" applyBorder="1" applyAlignment="1">
      <alignment horizontal="left" vertical="center"/>
    </xf>
    <xf numFmtId="0" fontId="5" fillId="2" borderId="3" xfId="0" applyFont="1" applyFill="1" applyBorder="1" applyAlignment="1">
      <alignment horizontal="left" vertical="center"/>
    </xf>
    <xf numFmtId="0" fontId="5" fillId="2" borderId="4" xfId="0" applyFont="1" applyFill="1" applyBorder="1" applyAlignment="1">
      <alignment horizontal="left" vertical="center"/>
    </xf>
    <xf numFmtId="14" fontId="5" fillId="2" borderId="2" xfId="0" applyNumberFormat="1" applyFont="1" applyFill="1" applyBorder="1" applyAlignment="1">
      <alignment vertical="center"/>
    </xf>
    <xf numFmtId="14" fontId="5" fillId="2" borderId="4" xfId="0" applyNumberFormat="1" applyFont="1" applyFill="1" applyBorder="1" applyAlignment="1">
      <alignment vertical="center"/>
    </xf>
    <xf numFmtId="14" fontId="5" fillId="2" borderId="10" xfId="0" applyNumberFormat="1" applyFont="1" applyFill="1" applyBorder="1" applyAlignment="1">
      <alignment vertical="center"/>
    </xf>
    <xf numFmtId="14" fontId="5" fillId="2" borderId="12" xfId="0" applyNumberFormat="1" applyFont="1" applyFill="1" applyBorder="1" applyAlignment="1">
      <alignment vertical="center"/>
    </xf>
    <xf numFmtId="49" fontId="5" fillId="2" borderId="6" xfId="0" applyNumberFormat="1" applyFont="1" applyFill="1" applyBorder="1" applyAlignment="1">
      <alignment horizontal="center" vertical="center"/>
    </xf>
    <xf numFmtId="0" fontId="5" fillId="2" borderId="32" xfId="0" applyFont="1" applyFill="1" applyBorder="1" applyAlignment="1">
      <alignment horizontal="center" vertical="center"/>
    </xf>
    <xf numFmtId="0" fontId="5" fillId="2" borderId="20" xfId="0" applyFont="1" applyFill="1" applyBorder="1" applyAlignment="1">
      <alignment horizontal="center" vertical="center"/>
    </xf>
    <xf numFmtId="0" fontId="5" fillId="2" borderId="61" xfId="0" applyFont="1" applyFill="1" applyBorder="1" applyAlignment="1">
      <alignment horizontal="center" vertical="center"/>
    </xf>
    <xf numFmtId="0" fontId="5" fillId="2" borderId="31" xfId="0" applyFont="1" applyFill="1" applyBorder="1" applyAlignment="1">
      <alignment horizontal="center" vertical="center"/>
    </xf>
    <xf numFmtId="0" fontId="16" fillId="2" borderId="0" xfId="1" applyFill="1" applyAlignment="1">
      <alignment vertical="center"/>
    </xf>
    <xf numFmtId="0" fontId="5" fillId="2" borderId="25" xfId="0" applyFont="1" applyFill="1" applyBorder="1" applyAlignment="1">
      <alignment horizontal="center" vertical="center"/>
    </xf>
    <xf numFmtId="0" fontId="5" fillId="2" borderId="26" xfId="0" applyFont="1" applyFill="1" applyBorder="1" applyAlignment="1">
      <alignment horizontal="center" vertical="center"/>
    </xf>
    <xf numFmtId="0" fontId="5" fillId="2" borderId="73" xfId="0" applyFont="1" applyFill="1" applyBorder="1" applyAlignment="1">
      <alignment horizontal="center" vertical="center"/>
    </xf>
    <xf numFmtId="0" fontId="5" fillId="2" borderId="74" xfId="0" applyFont="1" applyFill="1" applyBorder="1" applyAlignment="1">
      <alignment horizontal="center" vertical="center"/>
    </xf>
    <xf numFmtId="0" fontId="5" fillId="2" borderId="33" xfId="0" applyFont="1" applyFill="1" applyBorder="1" applyAlignment="1">
      <alignment horizontal="center" vertical="center"/>
    </xf>
    <xf numFmtId="0" fontId="5" fillId="2" borderId="60" xfId="0" applyFont="1" applyFill="1" applyBorder="1" applyAlignment="1">
      <alignment horizontal="center" vertical="center"/>
    </xf>
    <xf numFmtId="0" fontId="5" fillId="2" borderId="36" xfId="0" applyFont="1" applyFill="1" applyBorder="1" applyAlignment="1">
      <alignment horizontal="center" vertical="center"/>
    </xf>
    <xf numFmtId="0" fontId="32" fillId="2" borderId="36" xfId="0" applyFont="1" applyFill="1" applyBorder="1" applyAlignment="1">
      <alignment horizontal="center" vertical="center"/>
    </xf>
    <xf numFmtId="0" fontId="32" fillId="2" borderId="0"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6" xfId="0" applyFont="1" applyFill="1" applyBorder="1" applyAlignment="1">
      <alignment horizontal="left" vertical="center"/>
    </xf>
    <xf numFmtId="0" fontId="6" fillId="2" borderId="1" xfId="0" applyFont="1" applyFill="1" applyBorder="1" applyAlignment="1">
      <alignment horizontal="center" vertical="center"/>
    </xf>
    <xf numFmtId="0" fontId="5" fillId="2" borderId="2" xfId="0" applyFont="1" applyFill="1" applyBorder="1" applyAlignment="1">
      <alignment horizontal="right" vertical="center"/>
    </xf>
    <xf numFmtId="0" fontId="5" fillId="2" borderId="3" xfId="0" applyFont="1" applyFill="1" applyBorder="1" applyAlignment="1">
      <alignment horizontal="right" vertical="center"/>
    </xf>
    <xf numFmtId="0" fontId="5" fillId="2" borderId="4" xfId="0" applyFont="1" applyFill="1" applyBorder="1" applyAlignment="1">
      <alignment horizontal="right" vertical="center"/>
    </xf>
    <xf numFmtId="0" fontId="5" fillId="2" borderId="1" xfId="0" applyFont="1" applyFill="1" applyBorder="1" applyAlignment="1">
      <alignment horizontal="right" vertical="center" wrapText="1"/>
    </xf>
    <xf numFmtId="0" fontId="5" fillId="2" borderId="34"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41" xfId="0" applyFont="1" applyFill="1" applyBorder="1" applyAlignment="1">
      <alignment horizontal="center" vertical="center"/>
    </xf>
    <xf numFmtId="0" fontId="6" fillId="12" borderId="0" xfId="0" applyFont="1" applyFill="1" applyBorder="1" applyAlignment="1">
      <alignment horizontal="center" vertical="center"/>
    </xf>
    <xf numFmtId="14" fontId="5" fillId="2" borderId="2" xfId="0" applyNumberFormat="1" applyFont="1" applyFill="1" applyBorder="1" applyAlignment="1">
      <alignment horizontal="center" vertical="center"/>
    </xf>
    <xf numFmtId="14" fontId="5" fillId="2" borderId="1" xfId="0" applyNumberFormat="1" applyFont="1" applyFill="1" applyBorder="1" applyAlignment="1">
      <alignment horizontal="center" vertical="center"/>
    </xf>
    <xf numFmtId="14" fontId="5" fillId="2" borderId="6" xfId="0" applyNumberFormat="1" applyFont="1" applyFill="1" applyBorder="1" applyAlignment="1">
      <alignment horizontal="center" vertical="center"/>
    </xf>
  </cellXfs>
  <cellStyles count="7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1" builtinId="8"/>
    <cellStyle name="Normal" xfId="0" builtinId="0"/>
  </cellStyles>
  <dxfs count="893">
    <dxf>
      <fill>
        <patternFill>
          <bgColor rgb="FFFFFF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ont>
        <color auto="1"/>
      </font>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ont>
        <color auto="1"/>
      </font>
      <fill>
        <patternFill patternType="solid">
          <fgColor indexed="64"/>
          <bgColor rgb="FFFFFF66"/>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E17D"/>
        </patternFill>
      </fill>
    </dxf>
    <dxf>
      <fill>
        <patternFill>
          <bgColor rgb="FFFFFF7D"/>
        </patternFill>
      </fill>
    </dxf>
    <dxf>
      <fill>
        <patternFill>
          <bgColor rgb="FFFFFF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FF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E17D"/>
        </patternFill>
      </fill>
    </dxf>
    <dxf>
      <font>
        <color auto="1"/>
      </font>
      <fill>
        <patternFill>
          <bgColor rgb="FFFFEB9C"/>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E17D"/>
        </patternFill>
      </fill>
    </dxf>
    <dxf>
      <fill>
        <patternFill>
          <bgColor rgb="FFFFE17D"/>
        </patternFill>
      </fill>
    </dxf>
    <dxf>
      <fill>
        <patternFill>
          <bgColor rgb="FFFFE1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E1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
      <fill>
        <patternFill>
          <bgColor rgb="FFFFFF7D"/>
        </patternFill>
      </fill>
    </dxf>
  </dxfs>
  <tableStyles count="0" defaultTableStyle="TableStyleMedium2" defaultPivotStyle="PivotStyleLight16"/>
  <colors>
    <mruColors>
      <color rgb="FFFFE17D"/>
      <color rgb="FFF09252"/>
      <color rgb="FFFFFF7D"/>
      <color rgb="FFF2A3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147954</xdr:colOff>
      <xdr:row>1</xdr:row>
      <xdr:rowOff>65405</xdr:rowOff>
    </xdr:to>
    <xdr:sp macro="" textlink="">
      <xdr:nvSpPr>
        <xdr:cNvPr id="2" name="Rectangle 1">
          <a:extLst>
            <a:ext uri="{FF2B5EF4-FFF2-40B4-BE49-F238E27FC236}">
              <a16:creationId xmlns:a16="http://schemas.microsoft.com/office/drawing/2014/main" id="{00000000-0008-0000-01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82233</xdr:colOff>
      <xdr:row>1</xdr:row>
      <xdr:rowOff>66548</xdr:rowOff>
    </xdr:to>
    <xdr:sp macro="" textlink="">
      <xdr:nvSpPr>
        <xdr:cNvPr id="3" name="Rectangle 2">
          <a:extLst>
            <a:ext uri="{FF2B5EF4-FFF2-40B4-BE49-F238E27FC236}">
              <a16:creationId xmlns:a16="http://schemas.microsoft.com/office/drawing/2014/main" id="{00000000-0008-0000-01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4445</xdr:rowOff>
    </xdr:from>
    <xdr:to>
      <xdr:col>25</xdr:col>
      <xdr:colOff>294005</xdr:colOff>
      <xdr:row>3</xdr:row>
      <xdr:rowOff>60960</xdr:rowOff>
    </xdr:to>
    <xdr:pic>
      <xdr:nvPicPr>
        <xdr:cNvPr id="4" name="Picture 3" descr="http://www.aboutcdw.com/wp-content/uploads/2012/10/cdwlogo_transparent.png">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1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3809</xdr:colOff>
      <xdr:row>1</xdr:row>
      <xdr:rowOff>68580</xdr:rowOff>
    </xdr:to>
    <xdr:sp macro="" textlink="">
      <xdr:nvSpPr>
        <xdr:cNvPr id="2" name="Rectangle 1">
          <a:extLst>
            <a:ext uri="{FF2B5EF4-FFF2-40B4-BE49-F238E27FC236}">
              <a16:creationId xmlns:a16="http://schemas.microsoft.com/office/drawing/2014/main" id="{00000000-0008-0000-02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217805</xdr:colOff>
      <xdr:row>0</xdr:row>
      <xdr:rowOff>0</xdr:rowOff>
    </xdr:from>
    <xdr:to>
      <xdr:col>21</xdr:col>
      <xdr:colOff>466408</xdr:colOff>
      <xdr:row>1</xdr:row>
      <xdr:rowOff>69723</xdr:rowOff>
    </xdr:to>
    <xdr:sp macro="" textlink="">
      <xdr:nvSpPr>
        <xdr:cNvPr id="3" name="Rectangle 2">
          <a:extLst>
            <a:ext uri="{FF2B5EF4-FFF2-40B4-BE49-F238E27FC236}">
              <a16:creationId xmlns:a16="http://schemas.microsoft.com/office/drawing/2014/main" id="{00000000-0008-0000-02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163195</xdr:colOff>
      <xdr:row>0</xdr:row>
      <xdr:rowOff>27305</xdr:rowOff>
    </xdr:from>
    <xdr:to>
      <xdr:col>25</xdr:col>
      <xdr:colOff>231775</xdr:colOff>
      <xdr:row>3</xdr:row>
      <xdr:rowOff>73025</xdr:rowOff>
    </xdr:to>
    <xdr:pic>
      <xdr:nvPicPr>
        <xdr:cNvPr id="4" name="Picture 3" descr="http://www.aboutcdw.com/wp-content/uploads/2012/10/cdwlogo_transparent.png">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12600" y="25400"/>
          <a:ext cx="1704975" cy="682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2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03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87313</xdr:colOff>
      <xdr:row>1</xdr:row>
      <xdr:rowOff>67818</xdr:rowOff>
    </xdr:to>
    <xdr:sp macro="" textlink="">
      <xdr:nvSpPr>
        <xdr:cNvPr id="3" name="Rectangle 2">
          <a:extLst>
            <a:ext uri="{FF2B5EF4-FFF2-40B4-BE49-F238E27FC236}">
              <a16:creationId xmlns:a16="http://schemas.microsoft.com/office/drawing/2014/main" id="{00000000-0008-0000-03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9525</xdr:rowOff>
    </xdr:from>
    <xdr:to>
      <xdr:col>25</xdr:col>
      <xdr:colOff>438150</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3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146049</xdr:colOff>
      <xdr:row>1</xdr:row>
      <xdr:rowOff>63500</xdr:rowOff>
    </xdr:to>
    <xdr:sp macro="" textlink="">
      <xdr:nvSpPr>
        <xdr:cNvPr id="2" name="Rectangle 1">
          <a:extLst>
            <a:ext uri="{FF2B5EF4-FFF2-40B4-BE49-F238E27FC236}">
              <a16:creationId xmlns:a16="http://schemas.microsoft.com/office/drawing/2014/main" id="{00000000-0008-0000-04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84138</xdr:colOff>
      <xdr:row>1</xdr:row>
      <xdr:rowOff>64643</xdr:rowOff>
    </xdr:to>
    <xdr:sp macro="" textlink="">
      <xdr:nvSpPr>
        <xdr:cNvPr id="3" name="Rectangle 2">
          <a:extLst>
            <a:ext uri="{FF2B5EF4-FFF2-40B4-BE49-F238E27FC236}">
              <a16:creationId xmlns:a16="http://schemas.microsoft.com/office/drawing/2014/main" id="{00000000-0008-0000-04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6350</xdr:rowOff>
    </xdr:from>
    <xdr:to>
      <xdr:col>25</xdr:col>
      <xdr:colOff>292100</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4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0500-000002000000}"/>
            </a:ext>
          </a:extLst>
        </xdr:cNvPr>
        <xdr:cNvSpPr>
          <a:spLocks noChangeArrowheads="1"/>
        </xdr:cNvSpPr>
      </xdr:nvSpPr>
      <xdr:spPr bwMode="auto">
        <a:xfrm>
          <a:off x="0" y="0"/>
          <a:ext cx="7902574" cy="20637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87313</xdr:colOff>
      <xdr:row>1</xdr:row>
      <xdr:rowOff>67818</xdr:rowOff>
    </xdr:to>
    <xdr:sp macro="" textlink="">
      <xdr:nvSpPr>
        <xdr:cNvPr id="3" name="Rectangle 2">
          <a:extLst>
            <a:ext uri="{FF2B5EF4-FFF2-40B4-BE49-F238E27FC236}">
              <a16:creationId xmlns:a16="http://schemas.microsoft.com/office/drawing/2014/main" id="{00000000-0008-0000-0500-000003000000}"/>
            </a:ext>
          </a:extLst>
        </xdr:cNvPr>
        <xdr:cNvSpPr>
          <a:spLocks noChangeArrowheads="1"/>
        </xdr:cNvSpPr>
      </xdr:nvSpPr>
      <xdr:spPr bwMode="auto">
        <a:xfrm>
          <a:off x="8140700" y="0"/>
          <a:ext cx="3529013" cy="20751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9525</xdr:rowOff>
    </xdr:from>
    <xdr:to>
      <xdr:col>25</xdr:col>
      <xdr:colOff>295275</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811000" y="9525"/>
          <a:ext cx="1704975" cy="682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8100" y="549275"/>
          <a:ext cx="116681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06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87313</xdr:colOff>
      <xdr:row>1</xdr:row>
      <xdr:rowOff>67818</xdr:rowOff>
    </xdr:to>
    <xdr:sp macro="" textlink="">
      <xdr:nvSpPr>
        <xdr:cNvPr id="3" name="Rectangle 2">
          <a:extLst>
            <a:ext uri="{FF2B5EF4-FFF2-40B4-BE49-F238E27FC236}">
              <a16:creationId xmlns:a16="http://schemas.microsoft.com/office/drawing/2014/main" id="{00000000-0008-0000-06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9525</xdr:rowOff>
    </xdr:from>
    <xdr:to>
      <xdr:col>25</xdr:col>
      <xdr:colOff>295275</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07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87313</xdr:colOff>
      <xdr:row>1</xdr:row>
      <xdr:rowOff>67818</xdr:rowOff>
    </xdr:to>
    <xdr:sp macro="" textlink="">
      <xdr:nvSpPr>
        <xdr:cNvPr id="3" name="Rectangle 2">
          <a:extLst>
            <a:ext uri="{FF2B5EF4-FFF2-40B4-BE49-F238E27FC236}">
              <a16:creationId xmlns:a16="http://schemas.microsoft.com/office/drawing/2014/main" id="{00000000-0008-0000-07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9525</xdr:rowOff>
    </xdr:from>
    <xdr:to>
      <xdr:col>25</xdr:col>
      <xdr:colOff>295275</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7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08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87313</xdr:colOff>
      <xdr:row>1</xdr:row>
      <xdr:rowOff>67818</xdr:rowOff>
    </xdr:to>
    <xdr:sp macro="" textlink="">
      <xdr:nvSpPr>
        <xdr:cNvPr id="3" name="Rectangle 2">
          <a:extLst>
            <a:ext uri="{FF2B5EF4-FFF2-40B4-BE49-F238E27FC236}">
              <a16:creationId xmlns:a16="http://schemas.microsoft.com/office/drawing/2014/main" id="{00000000-0008-0000-08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9525</xdr:rowOff>
    </xdr:from>
    <xdr:to>
      <xdr:col>25</xdr:col>
      <xdr:colOff>295275</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8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09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87313</xdr:colOff>
      <xdr:row>1</xdr:row>
      <xdr:rowOff>67818</xdr:rowOff>
    </xdr:to>
    <xdr:sp macro="" textlink="">
      <xdr:nvSpPr>
        <xdr:cNvPr id="3" name="Rectangle 2">
          <a:extLst>
            <a:ext uri="{FF2B5EF4-FFF2-40B4-BE49-F238E27FC236}">
              <a16:creationId xmlns:a16="http://schemas.microsoft.com/office/drawing/2014/main" id="{00000000-0008-0000-09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9525</xdr:rowOff>
    </xdr:from>
    <xdr:to>
      <xdr:col>25</xdr:col>
      <xdr:colOff>295275</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9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0A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87313</xdr:colOff>
      <xdr:row>1</xdr:row>
      <xdr:rowOff>67818</xdr:rowOff>
    </xdr:to>
    <xdr:sp macro="" textlink="">
      <xdr:nvSpPr>
        <xdr:cNvPr id="3" name="Rectangle 2">
          <a:extLst>
            <a:ext uri="{FF2B5EF4-FFF2-40B4-BE49-F238E27FC236}">
              <a16:creationId xmlns:a16="http://schemas.microsoft.com/office/drawing/2014/main" id="{00000000-0008-0000-0A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9525</xdr:rowOff>
    </xdr:from>
    <xdr:to>
      <xdr:col>25</xdr:col>
      <xdr:colOff>295275</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A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0C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87313</xdr:colOff>
      <xdr:row>1</xdr:row>
      <xdr:rowOff>67818</xdr:rowOff>
    </xdr:to>
    <xdr:sp macro="" textlink="">
      <xdr:nvSpPr>
        <xdr:cNvPr id="3" name="Rectangle 2">
          <a:extLst>
            <a:ext uri="{FF2B5EF4-FFF2-40B4-BE49-F238E27FC236}">
              <a16:creationId xmlns:a16="http://schemas.microsoft.com/office/drawing/2014/main" id="{00000000-0008-0000-0C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9525</xdr:rowOff>
    </xdr:from>
    <xdr:to>
      <xdr:col>25</xdr:col>
      <xdr:colOff>295275</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C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114299</xdr:colOff>
      <xdr:row>1</xdr:row>
      <xdr:rowOff>66675</xdr:rowOff>
    </xdr:to>
    <xdr:sp macro="" textlink="">
      <xdr:nvSpPr>
        <xdr:cNvPr id="2" name="Rectangle 1">
          <a:extLst>
            <a:ext uri="{FF2B5EF4-FFF2-40B4-BE49-F238E27FC236}">
              <a16:creationId xmlns:a16="http://schemas.microsoft.com/office/drawing/2014/main" id="{00000000-0008-0000-0D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352425</xdr:colOff>
      <xdr:row>0</xdr:row>
      <xdr:rowOff>0</xdr:rowOff>
    </xdr:from>
    <xdr:to>
      <xdr:col>22</xdr:col>
      <xdr:colOff>58738</xdr:colOff>
      <xdr:row>1</xdr:row>
      <xdr:rowOff>67818</xdr:rowOff>
    </xdr:to>
    <xdr:sp macro="" textlink="">
      <xdr:nvSpPr>
        <xdr:cNvPr id="3" name="Rectangle 2">
          <a:extLst>
            <a:ext uri="{FF2B5EF4-FFF2-40B4-BE49-F238E27FC236}">
              <a16:creationId xmlns:a16="http://schemas.microsoft.com/office/drawing/2014/main" id="{00000000-0008-0000-0D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200025</xdr:colOff>
      <xdr:row>0</xdr:row>
      <xdr:rowOff>9525</xdr:rowOff>
    </xdr:from>
    <xdr:to>
      <xdr:col>25</xdr:col>
      <xdr:colOff>266700</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D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0E00-000002000000}"/>
            </a:ext>
          </a:extLst>
        </xdr:cNvPr>
        <xdr:cNvSpPr>
          <a:spLocks noChangeArrowheads="1"/>
        </xdr:cNvSpPr>
      </xdr:nvSpPr>
      <xdr:spPr bwMode="auto">
        <a:xfrm>
          <a:off x="0" y="0"/>
          <a:ext cx="7902574" cy="20637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87313</xdr:colOff>
      <xdr:row>1</xdr:row>
      <xdr:rowOff>67818</xdr:rowOff>
    </xdr:to>
    <xdr:sp macro="" textlink="">
      <xdr:nvSpPr>
        <xdr:cNvPr id="3" name="Rectangle 2">
          <a:extLst>
            <a:ext uri="{FF2B5EF4-FFF2-40B4-BE49-F238E27FC236}">
              <a16:creationId xmlns:a16="http://schemas.microsoft.com/office/drawing/2014/main" id="{00000000-0008-0000-0E00-000003000000}"/>
            </a:ext>
          </a:extLst>
        </xdr:cNvPr>
        <xdr:cNvSpPr>
          <a:spLocks noChangeArrowheads="1"/>
        </xdr:cNvSpPr>
      </xdr:nvSpPr>
      <xdr:spPr bwMode="auto">
        <a:xfrm>
          <a:off x="8140700" y="0"/>
          <a:ext cx="3529013" cy="20751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9525</xdr:rowOff>
    </xdr:from>
    <xdr:to>
      <xdr:col>25</xdr:col>
      <xdr:colOff>295275</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811000" y="9525"/>
          <a:ext cx="1704975" cy="682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E00-000005000000}"/>
            </a:ext>
          </a:extLst>
        </xdr:cNvPr>
        <xdr:cNvCxnSpPr/>
      </xdr:nvCxnSpPr>
      <xdr:spPr>
        <a:xfrm>
          <a:off x="38100" y="549275"/>
          <a:ext cx="116681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0F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87313</xdr:colOff>
      <xdr:row>1</xdr:row>
      <xdr:rowOff>67818</xdr:rowOff>
    </xdr:to>
    <xdr:sp macro="" textlink="">
      <xdr:nvSpPr>
        <xdr:cNvPr id="3" name="Rectangle 2">
          <a:extLst>
            <a:ext uri="{FF2B5EF4-FFF2-40B4-BE49-F238E27FC236}">
              <a16:creationId xmlns:a16="http://schemas.microsoft.com/office/drawing/2014/main" id="{00000000-0008-0000-0F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9525</xdr:rowOff>
    </xdr:from>
    <xdr:to>
      <xdr:col>25</xdr:col>
      <xdr:colOff>295275</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0F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8</xdr:col>
      <xdr:colOff>355599</xdr:colOff>
      <xdr:row>1</xdr:row>
      <xdr:rowOff>66675</xdr:rowOff>
    </xdr:to>
    <xdr:sp macro="" textlink="">
      <xdr:nvSpPr>
        <xdr:cNvPr id="2" name="Rectangle 1">
          <a:extLst>
            <a:ext uri="{FF2B5EF4-FFF2-40B4-BE49-F238E27FC236}">
              <a16:creationId xmlns:a16="http://schemas.microsoft.com/office/drawing/2014/main" id="{00000000-0008-0000-10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9</xdr:col>
      <xdr:colOff>47625</xdr:colOff>
      <xdr:row>0</xdr:row>
      <xdr:rowOff>0</xdr:rowOff>
    </xdr:from>
    <xdr:to>
      <xdr:col>15</xdr:col>
      <xdr:colOff>300038</xdr:colOff>
      <xdr:row>1</xdr:row>
      <xdr:rowOff>67818</xdr:rowOff>
    </xdr:to>
    <xdr:sp macro="" textlink="">
      <xdr:nvSpPr>
        <xdr:cNvPr id="3" name="Rectangle 2">
          <a:extLst>
            <a:ext uri="{FF2B5EF4-FFF2-40B4-BE49-F238E27FC236}">
              <a16:creationId xmlns:a16="http://schemas.microsoft.com/office/drawing/2014/main" id="{00000000-0008-0000-10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16</xdr:col>
      <xdr:colOff>161925</xdr:colOff>
      <xdr:row>0</xdr:row>
      <xdr:rowOff>22225</xdr:rowOff>
    </xdr:from>
    <xdr:to>
      <xdr:col>19</xdr:col>
      <xdr:colOff>228600</xdr:colOff>
      <xdr:row>3</xdr:row>
      <xdr:rowOff>69850</xdr:rowOff>
    </xdr:to>
    <xdr:pic>
      <xdr:nvPicPr>
        <xdr:cNvPr id="4" name="Picture 3" descr="http://www.aboutcdw.com/wp-content/uploads/2012/10/cdwlogo_transparent.png">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74525" y="22225"/>
          <a:ext cx="1704975" cy="682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16</xdr:col>
      <xdr:colOff>123825</xdr:colOff>
      <xdr:row>2</xdr:row>
      <xdr:rowOff>28575</xdr:rowOff>
    </xdr:to>
    <xdr:cxnSp macro="">
      <xdr:nvCxnSpPr>
        <xdr:cNvPr id="5" name="Straight Connector 4">
          <a:extLst>
            <a:ext uri="{FF2B5EF4-FFF2-40B4-BE49-F238E27FC236}">
              <a16:creationId xmlns:a16="http://schemas.microsoft.com/office/drawing/2014/main" id="{00000000-0008-0000-10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11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17</xdr:col>
      <xdr:colOff>30163</xdr:colOff>
      <xdr:row>1</xdr:row>
      <xdr:rowOff>67818</xdr:rowOff>
    </xdr:to>
    <xdr:sp macro="" textlink="">
      <xdr:nvSpPr>
        <xdr:cNvPr id="3" name="Rectangle 2">
          <a:extLst>
            <a:ext uri="{FF2B5EF4-FFF2-40B4-BE49-F238E27FC236}">
              <a16:creationId xmlns:a16="http://schemas.microsoft.com/office/drawing/2014/main" id="{00000000-0008-0000-11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18</xdr:col>
      <xdr:colOff>66675</xdr:colOff>
      <xdr:row>0</xdr:row>
      <xdr:rowOff>9525</xdr:rowOff>
    </xdr:from>
    <xdr:to>
      <xdr:col>18</xdr:col>
      <xdr:colOff>1562100</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18</xdr:col>
      <xdr:colOff>0</xdr:colOff>
      <xdr:row>2</xdr:row>
      <xdr:rowOff>28575</xdr:rowOff>
    </xdr:to>
    <xdr:cxnSp macro="">
      <xdr:nvCxnSpPr>
        <xdr:cNvPr id="5" name="Straight Connector 4">
          <a:extLst>
            <a:ext uri="{FF2B5EF4-FFF2-40B4-BE49-F238E27FC236}">
              <a16:creationId xmlns:a16="http://schemas.microsoft.com/office/drawing/2014/main" id="{00000000-0008-0000-11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12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17</xdr:col>
      <xdr:colOff>30163</xdr:colOff>
      <xdr:row>1</xdr:row>
      <xdr:rowOff>67818</xdr:rowOff>
    </xdr:to>
    <xdr:sp macro="" textlink="">
      <xdr:nvSpPr>
        <xdr:cNvPr id="3" name="Rectangle 2">
          <a:extLst>
            <a:ext uri="{FF2B5EF4-FFF2-40B4-BE49-F238E27FC236}">
              <a16:creationId xmlns:a16="http://schemas.microsoft.com/office/drawing/2014/main" id="{00000000-0008-0000-12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18</xdr:col>
      <xdr:colOff>66675</xdr:colOff>
      <xdr:row>0</xdr:row>
      <xdr:rowOff>9525</xdr:rowOff>
    </xdr:from>
    <xdr:to>
      <xdr:col>18</xdr:col>
      <xdr:colOff>1562100</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1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18</xdr:col>
      <xdr:colOff>0</xdr:colOff>
      <xdr:row>2</xdr:row>
      <xdr:rowOff>28575</xdr:rowOff>
    </xdr:to>
    <xdr:cxnSp macro="">
      <xdr:nvCxnSpPr>
        <xdr:cNvPr id="5" name="Straight Connector 4">
          <a:extLst>
            <a:ext uri="{FF2B5EF4-FFF2-40B4-BE49-F238E27FC236}">
              <a16:creationId xmlns:a16="http://schemas.microsoft.com/office/drawing/2014/main" id="{00000000-0008-0000-1200-000005000000}"/>
            </a:ext>
          </a:extLst>
        </xdr:cNvPr>
        <xdr:cNvCxnSpPr/>
      </xdr:nvCxnSpPr>
      <xdr:spPr>
        <a:xfrm>
          <a:off x="38100" y="552450"/>
          <a:ext cx="102203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13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17</xdr:col>
      <xdr:colOff>30163</xdr:colOff>
      <xdr:row>1</xdr:row>
      <xdr:rowOff>67818</xdr:rowOff>
    </xdr:to>
    <xdr:sp macro="" textlink="">
      <xdr:nvSpPr>
        <xdr:cNvPr id="3" name="Rectangle 2">
          <a:extLst>
            <a:ext uri="{FF2B5EF4-FFF2-40B4-BE49-F238E27FC236}">
              <a16:creationId xmlns:a16="http://schemas.microsoft.com/office/drawing/2014/main" id="{00000000-0008-0000-13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18</xdr:col>
      <xdr:colOff>66675</xdr:colOff>
      <xdr:row>0</xdr:row>
      <xdr:rowOff>9525</xdr:rowOff>
    </xdr:from>
    <xdr:to>
      <xdr:col>18</xdr:col>
      <xdr:colOff>1562100</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13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18</xdr:col>
      <xdr:colOff>0</xdr:colOff>
      <xdr:row>2</xdr:row>
      <xdr:rowOff>28575</xdr:rowOff>
    </xdr:to>
    <xdr:cxnSp macro="">
      <xdr:nvCxnSpPr>
        <xdr:cNvPr id="5" name="Straight Connector 4">
          <a:extLst>
            <a:ext uri="{FF2B5EF4-FFF2-40B4-BE49-F238E27FC236}">
              <a16:creationId xmlns:a16="http://schemas.microsoft.com/office/drawing/2014/main" id="{00000000-0008-0000-1300-000005000000}"/>
            </a:ext>
          </a:extLst>
        </xdr:cNvPr>
        <xdr:cNvCxnSpPr/>
      </xdr:nvCxnSpPr>
      <xdr:spPr>
        <a:xfrm>
          <a:off x="38100" y="552450"/>
          <a:ext cx="102203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14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17</xdr:col>
      <xdr:colOff>30163</xdr:colOff>
      <xdr:row>1</xdr:row>
      <xdr:rowOff>67818</xdr:rowOff>
    </xdr:to>
    <xdr:sp macro="" textlink="">
      <xdr:nvSpPr>
        <xdr:cNvPr id="3" name="Rectangle 2">
          <a:extLst>
            <a:ext uri="{FF2B5EF4-FFF2-40B4-BE49-F238E27FC236}">
              <a16:creationId xmlns:a16="http://schemas.microsoft.com/office/drawing/2014/main" id="{00000000-0008-0000-14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18</xdr:col>
      <xdr:colOff>66675</xdr:colOff>
      <xdr:row>0</xdr:row>
      <xdr:rowOff>9525</xdr:rowOff>
    </xdr:from>
    <xdr:to>
      <xdr:col>18</xdr:col>
      <xdr:colOff>1562100</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1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18</xdr:col>
      <xdr:colOff>0</xdr:colOff>
      <xdr:row>2</xdr:row>
      <xdr:rowOff>28575</xdr:rowOff>
    </xdr:to>
    <xdr:cxnSp macro="">
      <xdr:nvCxnSpPr>
        <xdr:cNvPr id="5" name="Straight Connector 4">
          <a:extLst>
            <a:ext uri="{FF2B5EF4-FFF2-40B4-BE49-F238E27FC236}">
              <a16:creationId xmlns:a16="http://schemas.microsoft.com/office/drawing/2014/main" id="{00000000-0008-0000-1400-000005000000}"/>
            </a:ext>
          </a:extLst>
        </xdr:cNvPr>
        <xdr:cNvCxnSpPr/>
      </xdr:nvCxnSpPr>
      <xdr:spPr>
        <a:xfrm>
          <a:off x="38100" y="552450"/>
          <a:ext cx="102203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15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17</xdr:col>
      <xdr:colOff>30163</xdr:colOff>
      <xdr:row>1</xdr:row>
      <xdr:rowOff>67818</xdr:rowOff>
    </xdr:to>
    <xdr:sp macro="" textlink="">
      <xdr:nvSpPr>
        <xdr:cNvPr id="3" name="Rectangle 2">
          <a:extLst>
            <a:ext uri="{FF2B5EF4-FFF2-40B4-BE49-F238E27FC236}">
              <a16:creationId xmlns:a16="http://schemas.microsoft.com/office/drawing/2014/main" id="{00000000-0008-0000-15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18</xdr:col>
      <xdr:colOff>66675</xdr:colOff>
      <xdr:row>0</xdr:row>
      <xdr:rowOff>9525</xdr:rowOff>
    </xdr:from>
    <xdr:to>
      <xdr:col>18</xdr:col>
      <xdr:colOff>1562100</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1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18</xdr:col>
      <xdr:colOff>0</xdr:colOff>
      <xdr:row>2</xdr:row>
      <xdr:rowOff>28575</xdr:rowOff>
    </xdr:to>
    <xdr:cxnSp macro="">
      <xdr:nvCxnSpPr>
        <xdr:cNvPr id="5" name="Straight Connector 4">
          <a:extLst>
            <a:ext uri="{FF2B5EF4-FFF2-40B4-BE49-F238E27FC236}">
              <a16:creationId xmlns:a16="http://schemas.microsoft.com/office/drawing/2014/main" id="{00000000-0008-0000-1500-000005000000}"/>
            </a:ext>
          </a:extLst>
        </xdr:cNvPr>
        <xdr:cNvCxnSpPr/>
      </xdr:nvCxnSpPr>
      <xdr:spPr>
        <a:xfrm>
          <a:off x="38100" y="552450"/>
          <a:ext cx="102203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16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17</xdr:col>
      <xdr:colOff>30163</xdr:colOff>
      <xdr:row>1</xdr:row>
      <xdr:rowOff>67818</xdr:rowOff>
    </xdr:to>
    <xdr:sp macro="" textlink="">
      <xdr:nvSpPr>
        <xdr:cNvPr id="3" name="Rectangle 2">
          <a:extLst>
            <a:ext uri="{FF2B5EF4-FFF2-40B4-BE49-F238E27FC236}">
              <a16:creationId xmlns:a16="http://schemas.microsoft.com/office/drawing/2014/main" id="{00000000-0008-0000-16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18</xdr:col>
      <xdr:colOff>66675</xdr:colOff>
      <xdr:row>0</xdr:row>
      <xdr:rowOff>9525</xdr:rowOff>
    </xdr:from>
    <xdr:to>
      <xdr:col>18</xdr:col>
      <xdr:colOff>1562100</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1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18</xdr:col>
      <xdr:colOff>0</xdr:colOff>
      <xdr:row>2</xdr:row>
      <xdr:rowOff>28575</xdr:rowOff>
    </xdr:to>
    <xdr:cxnSp macro="">
      <xdr:nvCxnSpPr>
        <xdr:cNvPr id="5" name="Straight Connector 4">
          <a:extLst>
            <a:ext uri="{FF2B5EF4-FFF2-40B4-BE49-F238E27FC236}">
              <a16:creationId xmlns:a16="http://schemas.microsoft.com/office/drawing/2014/main" id="{00000000-0008-0000-1600-000005000000}"/>
            </a:ext>
          </a:extLst>
        </xdr:cNvPr>
        <xdr:cNvCxnSpPr/>
      </xdr:nvCxnSpPr>
      <xdr:spPr>
        <a:xfrm>
          <a:off x="38100" y="552450"/>
          <a:ext cx="102203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17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17</xdr:col>
      <xdr:colOff>30163</xdr:colOff>
      <xdr:row>1</xdr:row>
      <xdr:rowOff>67818</xdr:rowOff>
    </xdr:to>
    <xdr:sp macro="" textlink="">
      <xdr:nvSpPr>
        <xdr:cNvPr id="3" name="Rectangle 2">
          <a:extLst>
            <a:ext uri="{FF2B5EF4-FFF2-40B4-BE49-F238E27FC236}">
              <a16:creationId xmlns:a16="http://schemas.microsoft.com/office/drawing/2014/main" id="{00000000-0008-0000-17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18</xdr:col>
      <xdr:colOff>66675</xdr:colOff>
      <xdr:row>0</xdr:row>
      <xdr:rowOff>9525</xdr:rowOff>
    </xdr:from>
    <xdr:to>
      <xdr:col>18</xdr:col>
      <xdr:colOff>1562100</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1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18</xdr:col>
      <xdr:colOff>0</xdr:colOff>
      <xdr:row>2</xdr:row>
      <xdr:rowOff>28575</xdr:rowOff>
    </xdr:to>
    <xdr:cxnSp macro="">
      <xdr:nvCxnSpPr>
        <xdr:cNvPr id="5" name="Straight Connector 4">
          <a:extLst>
            <a:ext uri="{FF2B5EF4-FFF2-40B4-BE49-F238E27FC236}">
              <a16:creationId xmlns:a16="http://schemas.microsoft.com/office/drawing/2014/main" id="{00000000-0008-0000-1700-000005000000}"/>
            </a:ext>
          </a:extLst>
        </xdr:cNvPr>
        <xdr:cNvCxnSpPr/>
      </xdr:nvCxnSpPr>
      <xdr:spPr>
        <a:xfrm>
          <a:off x="38100" y="552450"/>
          <a:ext cx="102203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1019174</xdr:colOff>
      <xdr:row>1</xdr:row>
      <xdr:rowOff>66675</xdr:rowOff>
    </xdr:to>
    <xdr:sp macro="" textlink="">
      <xdr:nvSpPr>
        <xdr:cNvPr id="2" name="Rectangle 1">
          <a:extLst>
            <a:ext uri="{FF2B5EF4-FFF2-40B4-BE49-F238E27FC236}">
              <a16:creationId xmlns:a16="http://schemas.microsoft.com/office/drawing/2014/main" id="{00000000-0008-0000-18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1257300</xdr:colOff>
      <xdr:row>0</xdr:row>
      <xdr:rowOff>0</xdr:rowOff>
    </xdr:from>
    <xdr:to>
      <xdr:col>16</xdr:col>
      <xdr:colOff>1744663</xdr:colOff>
      <xdr:row>1</xdr:row>
      <xdr:rowOff>67818</xdr:rowOff>
    </xdr:to>
    <xdr:sp macro="" textlink="">
      <xdr:nvSpPr>
        <xdr:cNvPr id="3" name="Rectangle 2">
          <a:extLst>
            <a:ext uri="{FF2B5EF4-FFF2-40B4-BE49-F238E27FC236}">
              <a16:creationId xmlns:a16="http://schemas.microsoft.com/office/drawing/2014/main" id="{00000000-0008-0000-18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16</xdr:col>
      <xdr:colOff>1885950</xdr:colOff>
      <xdr:row>0</xdr:row>
      <xdr:rowOff>9525</xdr:rowOff>
    </xdr:from>
    <xdr:to>
      <xdr:col>19</xdr:col>
      <xdr:colOff>171450</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18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47625</xdr:rowOff>
    </xdr:from>
    <xdr:to>
      <xdr:col>16</xdr:col>
      <xdr:colOff>1790700</xdr:colOff>
      <xdr:row>2</xdr:row>
      <xdr:rowOff>47625</xdr:rowOff>
    </xdr:to>
    <xdr:cxnSp macro="">
      <xdr:nvCxnSpPr>
        <xdr:cNvPr id="5" name="Straight Connector 4">
          <a:extLst>
            <a:ext uri="{FF2B5EF4-FFF2-40B4-BE49-F238E27FC236}">
              <a16:creationId xmlns:a16="http://schemas.microsoft.com/office/drawing/2014/main" id="{00000000-0008-0000-1800-000005000000}"/>
            </a:ext>
          </a:extLst>
        </xdr:cNvPr>
        <xdr:cNvCxnSpPr/>
      </xdr:nvCxnSpPr>
      <xdr:spPr>
        <a:xfrm>
          <a:off x="0" y="571500"/>
          <a:ext cx="10229850"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393699</xdr:colOff>
      <xdr:row>1</xdr:row>
      <xdr:rowOff>66675</xdr:rowOff>
    </xdr:to>
    <xdr:sp macro="" textlink="">
      <xdr:nvSpPr>
        <xdr:cNvPr id="2" name="Rectangle 1">
          <a:extLst>
            <a:ext uri="{FF2B5EF4-FFF2-40B4-BE49-F238E27FC236}">
              <a16:creationId xmlns:a16="http://schemas.microsoft.com/office/drawing/2014/main" id="{00000000-0008-0000-1900-000002000000}"/>
            </a:ext>
          </a:extLst>
        </xdr:cNvPr>
        <xdr:cNvSpPr>
          <a:spLocks noChangeArrowheads="1"/>
        </xdr:cNvSpPr>
      </xdr:nvSpPr>
      <xdr:spPr bwMode="auto">
        <a:xfrm>
          <a:off x="0" y="0"/>
          <a:ext cx="6946899"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8</xdr:col>
      <xdr:colOff>85725</xdr:colOff>
      <xdr:row>0</xdr:row>
      <xdr:rowOff>0</xdr:rowOff>
    </xdr:from>
    <xdr:to>
      <xdr:col>16</xdr:col>
      <xdr:colOff>47625</xdr:colOff>
      <xdr:row>1</xdr:row>
      <xdr:rowOff>66675</xdr:rowOff>
    </xdr:to>
    <xdr:sp macro="" textlink="">
      <xdr:nvSpPr>
        <xdr:cNvPr id="3" name="Rectangle 2">
          <a:extLst>
            <a:ext uri="{FF2B5EF4-FFF2-40B4-BE49-F238E27FC236}">
              <a16:creationId xmlns:a16="http://schemas.microsoft.com/office/drawing/2014/main" id="{00000000-0008-0000-1900-000003000000}"/>
            </a:ext>
          </a:extLst>
        </xdr:cNvPr>
        <xdr:cNvSpPr>
          <a:spLocks noChangeArrowheads="1"/>
        </xdr:cNvSpPr>
      </xdr:nvSpPr>
      <xdr:spPr bwMode="auto">
        <a:xfrm>
          <a:off x="7115175" y="0"/>
          <a:ext cx="3771900" cy="200025"/>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16</xdr:col>
      <xdr:colOff>209550</xdr:colOff>
      <xdr:row>0</xdr:row>
      <xdr:rowOff>3175</xdr:rowOff>
    </xdr:from>
    <xdr:to>
      <xdr:col>19</xdr:col>
      <xdr:colOff>276225</xdr:colOff>
      <xdr:row>3</xdr:row>
      <xdr:rowOff>50800</xdr:rowOff>
    </xdr:to>
    <xdr:pic>
      <xdr:nvPicPr>
        <xdr:cNvPr id="4" name="Picture 3" descr="http://www.aboutcdw.com/wp-content/uploads/2012/10/cdwlogo_transparent.png">
          <a:extLst>
            <a:ext uri="{FF2B5EF4-FFF2-40B4-BE49-F238E27FC236}">
              <a16:creationId xmlns:a16="http://schemas.microsoft.com/office/drawing/2014/main" id="{00000000-0008-0000-1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0" y="317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16</xdr:col>
      <xdr:colOff>123825</xdr:colOff>
      <xdr:row>2</xdr:row>
      <xdr:rowOff>28575</xdr:rowOff>
    </xdr:to>
    <xdr:cxnSp macro="">
      <xdr:nvCxnSpPr>
        <xdr:cNvPr id="5" name="Straight Connector 4">
          <a:extLst>
            <a:ext uri="{FF2B5EF4-FFF2-40B4-BE49-F238E27FC236}">
              <a16:creationId xmlns:a16="http://schemas.microsoft.com/office/drawing/2014/main" id="{00000000-0008-0000-1900-000005000000}"/>
            </a:ext>
          </a:extLst>
        </xdr:cNvPr>
        <xdr:cNvCxnSpPr/>
      </xdr:nvCxnSpPr>
      <xdr:spPr>
        <a:xfrm>
          <a:off x="38100" y="552450"/>
          <a:ext cx="104870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441324</xdr:colOff>
      <xdr:row>1</xdr:row>
      <xdr:rowOff>66675</xdr:rowOff>
    </xdr:to>
    <xdr:sp macro="" textlink="">
      <xdr:nvSpPr>
        <xdr:cNvPr id="2" name="Rectangle 1">
          <a:extLst>
            <a:ext uri="{FF2B5EF4-FFF2-40B4-BE49-F238E27FC236}">
              <a16:creationId xmlns:a16="http://schemas.microsoft.com/office/drawing/2014/main" id="{00000000-0008-0000-1A00-000002000000}"/>
            </a:ext>
          </a:extLst>
        </xdr:cNvPr>
        <xdr:cNvSpPr>
          <a:spLocks noChangeArrowheads="1"/>
        </xdr:cNvSpPr>
      </xdr:nvSpPr>
      <xdr:spPr bwMode="auto">
        <a:xfrm>
          <a:off x="0" y="0"/>
          <a:ext cx="6946899"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8</xdr:col>
      <xdr:colOff>133350</xdr:colOff>
      <xdr:row>0</xdr:row>
      <xdr:rowOff>0</xdr:rowOff>
    </xdr:from>
    <xdr:to>
      <xdr:col>16</xdr:col>
      <xdr:colOff>19050</xdr:colOff>
      <xdr:row>1</xdr:row>
      <xdr:rowOff>76200</xdr:rowOff>
    </xdr:to>
    <xdr:sp macro="" textlink="">
      <xdr:nvSpPr>
        <xdr:cNvPr id="3" name="Rectangle 2">
          <a:extLst>
            <a:ext uri="{FF2B5EF4-FFF2-40B4-BE49-F238E27FC236}">
              <a16:creationId xmlns:a16="http://schemas.microsoft.com/office/drawing/2014/main" id="{00000000-0008-0000-1A00-000003000000}"/>
            </a:ext>
          </a:extLst>
        </xdr:cNvPr>
        <xdr:cNvSpPr>
          <a:spLocks noChangeArrowheads="1"/>
        </xdr:cNvSpPr>
      </xdr:nvSpPr>
      <xdr:spPr bwMode="auto">
        <a:xfrm>
          <a:off x="7115175" y="0"/>
          <a:ext cx="3695700" cy="209550"/>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16</xdr:col>
      <xdr:colOff>95250</xdr:colOff>
      <xdr:row>0</xdr:row>
      <xdr:rowOff>50800</xdr:rowOff>
    </xdr:from>
    <xdr:to>
      <xdr:col>19</xdr:col>
      <xdr:colOff>161925</xdr:colOff>
      <xdr:row>3</xdr:row>
      <xdr:rowOff>98425</xdr:rowOff>
    </xdr:to>
    <xdr:pic>
      <xdr:nvPicPr>
        <xdr:cNvPr id="4" name="Picture 3" descr="http://www.aboutcdw.com/wp-content/uploads/2012/10/cdwlogo_transparent.png">
          <a:extLst>
            <a:ext uri="{FF2B5EF4-FFF2-40B4-BE49-F238E27FC236}">
              <a16:creationId xmlns:a16="http://schemas.microsoft.com/office/drawing/2014/main" id="{00000000-0008-0000-1A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87075" y="50800"/>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16</xdr:col>
      <xdr:colOff>123825</xdr:colOff>
      <xdr:row>2</xdr:row>
      <xdr:rowOff>28575</xdr:rowOff>
    </xdr:to>
    <xdr:cxnSp macro="">
      <xdr:nvCxnSpPr>
        <xdr:cNvPr id="5" name="Straight Connector 4">
          <a:extLst>
            <a:ext uri="{FF2B5EF4-FFF2-40B4-BE49-F238E27FC236}">
              <a16:creationId xmlns:a16="http://schemas.microsoft.com/office/drawing/2014/main" id="{00000000-0008-0000-1A00-000005000000}"/>
            </a:ext>
          </a:extLst>
        </xdr:cNvPr>
        <xdr:cNvCxnSpPr/>
      </xdr:nvCxnSpPr>
      <xdr:spPr>
        <a:xfrm>
          <a:off x="38100" y="552450"/>
          <a:ext cx="104870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1B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87313</xdr:colOff>
      <xdr:row>1</xdr:row>
      <xdr:rowOff>67818</xdr:rowOff>
    </xdr:to>
    <xdr:sp macro="" textlink="">
      <xdr:nvSpPr>
        <xdr:cNvPr id="3" name="Rectangle 2">
          <a:extLst>
            <a:ext uri="{FF2B5EF4-FFF2-40B4-BE49-F238E27FC236}">
              <a16:creationId xmlns:a16="http://schemas.microsoft.com/office/drawing/2014/main" id="{00000000-0008-0000-1B00-000003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9525</xdr:rowOff>
    </xdr:from>
    <xdr:to>
      <xdr:col>25</xdr:col>
      <xdr:colOff>295275</xdr:colOff>
      <xdr:row>3</xdr:row>
      <xdr:rowOff>57150</xdr:rowOff>
    </xdr:to>
    <xdr:pic>
      <xdr:nvPicPr>
        <xdr:cNvPr id="4" name="Picture 3" descr="http://www.aboutcdw.com/wp-content/uploads/2012/10/cdwlogo_transparent.png">
          <a:extLst>
            <a:ext uri="{FF2B5EF4-FFF2-40B4-BE49-F238E27FC236}">
              <a16:creationId xmlns:a16="http://schemas.microsoft.com/office/drawing/2014/main" id="{00000000-0008-0000-1B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2510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5" name="Straight Connector 4">
          <a:extLst>
            <a:ext uri="{FF2B5EF4-FFF2-40B4-BE49-F238E27FC236}">
              <a16:creationId xmlns:a16="http://schemas.microsoft.com/office/drawing/2014/main" id="{00000000-0008-0000-1B00-000005000000}"/>
            </a:ext>
          </a:extLst>
        </xdr:cNvPr>
        <xdr:cNvCxnSpPr/>
      </xdr:nvCxnSpPr>
      <xdr:spPr>
        <a:xfrm>
          <a:off x="38100" y="552450"/>
          <a:ext cx="1018222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142874</xdr:colOff>
      <xdr:row>1</xdr:row>
      <xdr:rowOff>66675</xdr:rowOff>
    </xdr:to>
    <xdr:sp macro="" textlink="">
      <xdr:nvSpPr>
        <xdr:cNvPr id="2" name="Rectangle 1">
          <a:extLst>
            <a:ext uri="{FF2B5EF4-FFF2-40B4-BE49-F238E27FC236}">
              <a16:creationId xmlns:a16="http://schemas.microsoft.com/office/drawing/2014/main" id="{00000000-0008-0000-1C00-000002000000}"/>
            </a:ext>
          </a:extLst>
        </xdr:cNvPr>
        <xdr:cNvSpPr>
          <a:spLocks noChangeArrowheads="1"/>
        </xdr:cNvSpPr>
      </xdr:nvSpPr>
      <xdr:spPr bwMode="auto">
        <a:xfrm>
          <a:off x="0" y="0"/>
          <a:ext cx="6905624" cy="200025"/>
        </a:xfrm>
        <a:prstGeom prst="rect">
          <a:avLst/>
        </a:prstGeom>
        <a:solidFill>
          <a:srgbClr val="EA7125"/>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15</xdr:col>
      <xdr:colOff>381000</xdr:colOff>
      <xdr:row>0</xdr:row>
      <xdr:rowOff>0</xdr:rowOff>
    </xdr:from>
    <xdr:to>
      <xdr:col>22</xdr:col>
      <xdr:colOff>87313</xdr:colOff>
      <xdr:row>1</xdr:row>
      <xdr:rowOff>67818</xdr:rowOff>
    </xdr:to>
    <xdr:sp macro="" textlink="">
      <xdr:nvSpPr>
        <xdr:cNvPr id="4" name="Rectangle 3">
          <a:extLst>
            <a:ext uri="{FF2B5EF4-FFF2-40B4-BE49-F238E27FC236}">
              <a16:creationId xmlns:a16="http://schemas.microsoft.com/office/drawing/2014/main" id="{00000000-0008-0000-1C00-000004000000}"/>
            </a:ext>
          </a:extLst>
        </xdr:cNvPr>
        <xdr:cNvSpPr>
          <a:spLocks noChangeArrowheads="1"/>
        </xdr:cNvSpPr>
      </xdr:nvSpPr>
      <xdr:spPr bwMode="auto">
        <a:xfrm>
          <a:off x="7143750" y="0"/>
          <a:ext cx="3040063" cy="201168"/>
        </a:xfrm>
        <a:prstGeom prst="rect">
          <a:avLst/>
        </a:prstGeom>
        <a:solidFill>
          <a:schemeClr val="bg1">
            <a:lumMod val="50000"/>
            <a:lumOff val="0"/>
          </a:schemeClr>
        </a:solidFill>
        <a:ln>
          <a:noFill/>
        </a:ln>
        <a:effectLst/>
        <a:extLst>
          <a:ext uri="{91240B29-F687-4F45-9708-019B960494DF}">
            <a14:hiddenLine xmlns:a14="http://schemas.microsoft.com/office/drawing/2010/main" w="19050">
              <a:solidFill>
                <a:srgbClr val="CC0000"/>
              </a:solidFill>
              <a:miter lim="800000"/>
              <a:headEnd/>
              <a:tailEnd/>
            </a14:hiddenLine>
          </a:ext>
          <a:ext uri="{AF507438-7753-43E0-B8FC-AC1667EBCBE1}">
            <a14:hiddenEffects xmlns:a14="http://schemas.microsoft.com/office/drawing/2010/main">
              <a:effectLst>
                <a:outerShdw dist="25400" dir="5400000" algn="ctr" rotWithShape="0">
                  <a:srgbClr val="808080">
                    <a:alpha val="35001"/>
                  </a:srgbClr>
                </a:outerShdw>
              </a:effectLst>
            </a14:hiddenEffects>
          </a:ext>
        </a:extLst>
      </xdr:spPr>
      <xdr:txBody>
        <a:bodyPr rot="0" vert="horz" wrap="square" lIns="91440" tIns="91440" rIns="91440" bIns="91440" anchor="t" anchorCtr="0" upright="1">
          <a:noAutofit/>
        </a:bodyPr>
        <a:lstStyle/>
        <a:p>
          <a:endParaRPr lang="en-US"/>
        </a:p>
      </xdr:txBody>
    </xdr:sp>
    <xdr:clientData/>
  </xdr:twoCellAnchor>
  <xdr:twoCellAnchor editAs="absolute">
    <xdr:from>
      <xdr:col>22</xdr:col>
      <xdr:colOff>228600</xdr:colOff>
      <xdr:row>0</xdr:row>
      <xdr:rowOff>9525</xdr:rowOff>
    </xdr:from>
    <xdr:to>
      <xdr:col>25</xdr:col>
      <xdr:colOff>295275</xdr:colOff>
      <xdr:row>3</xdr:row>
      <xdr:rowOff>57150</xdr:rowOff>
    </xdr:to>
    <xdr:pic>
      <xdr:nvPicPr>
        <xdr:cNvPr id="9" name="Picture 8" descr="http://www.aboutcdw.com/wp-content/uploads/2012/10/cdwlogo_transparent.png">
          <a:extLst>
            <a:ext uri="{FF2B5EF4-FFF2-40B4-BE49-F238E27FC236}">
              <a16:creationId xmlns:a16="http://schemas.microsoft.com/office/drawing/2014/main" id="{00000000-0008-0000-1C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29850" y="9525"/>
          <a:ext cx="149542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xdr:row>
      <xdr:rowOff>28575</xdr:rowOff>
    </xdr:from>
    <xdr:to>
      <xdr:col>22</xdr:col>
      <xdr:colOff>123825</xdr:colOff>
      <xdr:row>2</xdr:row>
      <xdr:rowOff>28575</xdr:rowOff>
    </xdr:to>
    <xdr:cxnSp macro="">
      <xdr:nvCxnSpPr>
        <xdr:cNvPr id="11" name="Straight Connector 10">
          <a:extLst>
            <a:ext uri="{FF2B5EF4-FFF2-40B4-BE49-F238E27FC236}">
              <a16:creationId xmlns:a16="http://schemas.microsoft.com/office/drawing/2014/main" id="{00000000-0008-0000-1C00-00000B000000}"/>
            </a:ext>
          </a:extLst>
        </xdr:cNvPr>
        <xdr:cNvCxnSpPr/>
      </xdr:nvCxnSpPr>
      <xdr:spPr>
        <a:xfrm>
          <a:off x="38100" y="666750"/>
          <a:ext cx="10086975" cy="0"/>
        </a:xfrm>
        <a:prstGeom prst="line">
          <a:avLst/>
        </a:prstGeom>
        <a:ln w="38100">
          <a:solidFill>
            <a:schemeClr val="bg1">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20</xdr:row>
      <xdr:rowOff>104775</xdr:rowOff>
    </xdr:from>
    <xdr:to>
      <xdr:col>27</xdr:col>
      <xdr:colOff>76200</xdr:colOff>
      <xdr:row>20</xdr:row>
      <xdr:rowOff>104775</xdr:rowOff>
    </xdr:to>
    <xdr:cxnSp macro="">
      <xdr:nvCxnSpPr>
        <xdr:cNvPr id="13" name="Straight Connector 12">
          <a:extLst>
            <a:ext uri="{FF2B5EF4-FFF2-40B4-BE49-F238E27FC236}">
              <a16:creationId xmlns:a16="http://schemas.microsoft.com/office/drawing/2014/main" id="{00000000-0008-0000-1C00-00000D000000}"/>
            </a:ext>
          </a:extLst>
        </xdr:cNvPr>
        <xdr:cNvCxnSpPr/>
      </xdr:nvCxnSpPr>
      <xdr:spPr>
        <a:xfrm>
          <a:off x="104775" y="3829050"/>
          <a:ext cx="12449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l-it-alerts@speedcast.com" TargetMode="External"/><Relationship Id="rId1" Type="http://schemas.openxmlformats.org/officeDocument/2006/relationships/hyperlink" Target="mailto:dl-it-alerts@speedcast.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1.xml"/><Relationship Id="rId1" Type="http://schemas.openxmlformats.org/officeDocument/2006/relationships/printerSettings" Target="../printerSettings/printerSettings7.bin"/><Relationship Id="rId4" Type="http://schemas.openxmlformats.org/officeDocument/2006/relationships/comments" Target="../comments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4.xml"/><Relationship Id="rId1" Type="http://schemas.openxmlformats.org/officeDocument/2006/relationships/printerSettings" Target="../printerSettings/printerSettings10.bin"/><Relationship Id="rId4" Type="http://schemas.openxmlformats.org/officeDocument/2006/relationships/comments" Target="../comments9.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5.xml"/><Relationship Id="rId1" Type="http://schemas.openxmlformats.org/officeDocument/2006/relationships/printerSettings" Target="../printerSettings/printerSettings11.bin"/><Relationship Id="rId4" Type="http://schemas.openxmlformats.org/officeDocument/2006/relationships/comments" Target="../comments1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23.xml"/><Relationship Id="rId1" Type="http://schemas.openxmlformats.org/officeDocument/2006/relationships/hyperlink" Target="http://kb.vmware.com/selfservice/microsites/search.do?language=en_US&amp;cmd=displayKC&amp;externalId=1318" TargetMode="External"/><Relationship Id="rId4" Type="http://schemas.openxmlformats.org/officeDocument/2006/relationships/comments" Target="../comments11.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25.xml"/><Relationship Id="rId1" Type="http://schemas.openxmlformats.org/officeDocument/2006/relationships/printerSettings" Target="../printerSettings/printerSettings13.bin"/><Relationship Id="rId4" Type="http://schemas.openxmlformats.org/officeDocument/2006/relationships/comments" Target="../comments12.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59"/>
  <sheetViews>
    <sheetView topLeftCell="I1" workbookViewId="0">
      <selection activeCell="N15" sqref="N15"/>
    </sheetView>
  </sheetViews>
  <sheetFormatPr defaultColWidth="8.85546875" defaultRowHeight="15" x14ac:dyDescent="0.25"/>
  <cols>
    <col min="3" max="3" width="28.140625" customWidth="1"/>
    <col min="4" max="4" width="12.42578125" customWidth="1"/>
    <col min="5" max="5" width="21" bestFit="1" customWidth="1"/>
    <col min="6" max="6" width="17.42578125" customWidth="1"/>
    <col min="11" max="11" width="9.140625" customWidth="1"/>
    <col min="12" max="12" width="20" customWidth="1"/>
    <col min="13" max="13" width="17.42578125" customWidth="1"/>
    <col min="14" max="14" width="20.85546875" customWidth="1"/>
    <col min="15" max="15" width="9.85546875" bestFit="1" customWidth="1"/>
    <col min="16" max="16" width="21.42578125" bestFit="1" customWidth="1"/>
    <col min="17" max="17" width="15.28515625" bestFit="1" customWidth="1"/>
    <col min="18" max="18" width="23.42578125" bestFit="1" customWidth="1"/>
    <col min="19" max="20" width="13.85546875" bestFit="1" customWidth="1"/>
  </cols>
  <sheetData>
    <row r="2" spans="2:20" x14ac:dyDescent="0.25">
      <c r="B2" s="12" t="s">
        <v>15</v>
      </c>
      <c r="C2" s="12" t="s">
        <v>24</v>
      </c>
      <c r="D2" s="12" t="s">
        <v>25</v>
      </c>
      <c r="E2" s="12" t="s">
        <v>1059</v>
      </c>
      <c r="F2" s="12" t="s">
        <v>111</v>
      </c>
      <c r="G2" s="12" t="s">
        <v>117</v>
      </c>
      <c r="H2" s="12" t="s">
        <v>174</v>
      </c>
      <c r="I2" s="12" t="s">
        <v>362</v>
      </c>
      <c r="M2" s="12" t="s">
        <v>425</v>
      </c>
      <c r="N2" s="12" t="s">
        <v>1303</v>
      </c>
      <c r="O2" s="84" t="s">
        <v>472</v>
      </c>
      <c r="P2" s="12" t="s">
        <v>487</v>
      </c>
      <c r="Q2" s="12" t="s">
        <v>527</v>
      </c>
      <c r="R2" s="12" t="s">
        <v>640</v>
      </c>
      <c r="S2" s="12" t="s">
        <v>663</v>
      </c>
      <c r="T2" s="12" t="s">
        <v>663</v>
      </c>
    </row>
    <row r="3" spans="2:20" x14ac:dyDescent="0.25">
      <c r="B3" s="10" t="s">
        <v>16</v>
      </c>
      <c r="C3" s="10" t="s">
        <v>478</v>
      </c>
      <c r="D3" s="10" t="s">
        <v>26</v>
      </c>
      <c r="E3" s="10" t="s">
        <v>48</v>
      </c>
      <c r="F3" s="10" t="s">
        <v>109</v>
      </c>
      <c r="G3" s="10" t="s">
        <v>192</v>
      </c>
      <c r="H3" s="10" t="s">
        <v>175</v>
      </c>
      <c r="I3" s="10" t="s">
        <v>176</v>
      </c>
      <c r="M3" s="10" t="s">
        <v>426</v>
      </c>
      <c r="N3" s="10" t="s">
        <v>433</v>
      </c>
      <c r="O3" s="10">
        <v>1500</v>
      </c>
      <c r="P3" s="93" t="s">
        <v>488</v>
      </c>
      <c r="Q3" s="10" t="s">
        <v>525</v>
      </c>
      <c r="R3" s="10" t="s">
        <v>641</v>
      </c>
      <c r="S3" t="str">
        <f t="array" ref="S3">INDEX('Site Info'!$G$34:$G$69, MATCH(0, COUNTIF($S$2:S2, 'Site Info'!$G$34:$G$69), 0))</f>
        <v>VLAN</v>
      </c>
    </row>
    <row r="4" spans="2:20" x14ac:dyDescent="0.25">
      <c r="B4" s="10" t="s">
        <v>17</v>
      </c>
      <c r="C4" s="10" t="s">
        <v>479</v>
      </c>
      <c r="D4" s="10" t="s">
        <v>27</v>
      </c>
      <c r="E4" s="10" t="s">
        <v>53</v>
      </c>
      <c r="F4" s="10" t="s">
        <v>110</v>
      </c>
      <c r="G4" s="10" t="s">
        <v>191</v>
      </c>
      <c r="H4" s="10" t="s">
        <v>176</v>
      </c>
      <c r="I4" s="10" t="s">
        <v>175</v>
      </c>
      <c r="J4" s="12" t="s">
        <v>350</v>
      </c>
      <c r="K4" s="62" t="s">
        <v>351</v>
      </c>
      <c r="L4" s="61">
        <f ca="1">NOW()</f>
        <v>44414.413379398145</v>
      </c>
      <c r="M4" s="10" t="s">
        <v>427</v>
      </c>
      <c r="N4" s="10" t="s">
        <v>431</v>
      </c>
      <c r="O4" s="10">
        <v>9000</v>
      </c>
      <c r="P4" s="10" t="str">
        <f>Inventory!C15</f>
        <v>shpsan-01</v>
      </c>
      <c r="Q4" s="10" t="s">
        <v>528</v>
      </c>
      <c r="R4" s="10" t="s">
        <v>665</v>
      </c>
      <c r="S4">
        <f t="array" ref="S4">INDEX('Site Info'!$G$34:$G$69, MATCH(0, COUNTIF($S$2:S3, 'Site Info'!$G$34:$G$69), 0))</f>
        <v>1852</v>
      </c>
      <c r="T4">
        <f>IF(ISERROR(S4),"blank",S4)</f>
        <v>1852</v>
      </c>
    </row>
    <row r="5" spans="2:20" x14ac:dyDescent="0.25">
      <c r="C5" s="10" t="s">
        <v>480</v>
      </c>
      <c r="D5" s="10" t="s">
        <v>28</v>
      </c>
      <c r="E5" s="10" t="s">
        <v>29</v>
      </c>
      <c r="G5" s="10" t="s">
        <v>190</v>
      </c>
      <c r="I5" s="10" t="s">
        <v>358</v>
      </c>
      <c r="K5" s="62" t="s">
        <v>353</v>
      </c>
      <c r="L5" s="61">
        <f ca="1">L4+L7</f>
        <v>44414.663379398145</v>
      </c>
      <c r="M5" s="10" t="s">
        <v>428</v>
      </c>
      <c r="N5" s="10" t="s">
        <v>432</v>
      </c>
      <c r="P5" s="10" t="str">
        <f>Inventory!C16</f>
        <v>shpsan-02</v>
      </c>
      <c r="Q5" s="10" t="s">
        <v>526</v>
      </c>
      <c r="R5" s="10" t="s">
        <v>650</v>
      </c>
      <c r="S5">
        <f t="array" ref="S5">INDEX('Site Info'!$G$34:$G$69, MATCH(0, COUNTIF($S$2:S4, 'Site Info'!$G$34:$G$69), 0))</f>
        <v>0</v>
      </c>
      <c r="T5">
        <f t="shared" ref="T5:T29" si="0">IF(ISERROR(S5),"blank",S5)</f>
        <v>0</v>
      </c>
    </row>
    <row r="6" spans="2:20" x14ac:dyDescent="0.25">
      <c r="C6" s="10" t="s">
        <v>481</v>
      </c>
      <c r="E6" s="10" t="s">
        <v>359</v>
      </c>
      <c r="G6" s="10" t="s">
        <v>1118</v>
      </c>
      <c r="I6" s="10" t="s">
        <v>359</v>
      </c>
      <c r="K6" s="62" t="s">
        <v>352</v>
      </c>
      <c r="L6" s="10" t="str">
        <f>IF(Inventory!P9=C3,"-5",IF(Inventory!P9=C4,"-6",IF(Inventory!P9=C5,"-7",IF(Inventory!P9=C6,"-8",IF(Inventory!P9=C7,"-7","")))))</f>
        <v>-6</v>
      </c>
      <c r="M6" s="10" t="s">
        <v>1334</v>
      </c>
      <c r="N6" s="10" t="s">
        <v>484</v>
      </c>
      <c r="P6" s="10" t="str">
        <f>Inventory!C17</f>
        <v/>
      </c>
      <c r="R6" s="10" t="s">
        <v>651</v>
      </c>
      <c r="S6">
        <f t="array" ref="S6">INDEX('Site Info'!$G$34:$G$69, MATCH(0, COUNTIF($S$2:S5, 'Site Info'!$G$34:$G$69), 0))</f>
        <v>50</v>
      </c>
      <c r="T6">
        <f t="shared" si="0"/>
        <v>50</v>
      </c>
    </row>
    <row r="7" spans="2:20" x14ac:dyDescent="0.25">
      <c r="C7" s="10" t="s">
        <v>482</v>
      </c>
      <c r="E7" s="10" t="s">
        <v>1054</v>
      </c>
      <c r="G7" s="10" t="s">
        <v>215</v>
      </c>
      <c r="I7" s="10" t="s">
        <v>361</v>
      </c>
      <c r="K7" s="62" t="s">
        <v>352</v>
      </c>
      <c r="L7" s="10" t="str">
        <f>IF(Inventory!P9=C3,"5:00",IF(Inventory!P9=C4,"6:00",IF(Inventory!P9=C5,"7:00",IF(Inventory!P9=C6,"8:00",IF(Inventory!P9=C7,"7:00","")))))</f>
        <v>6:00</v>
      </c>
      <c r="M7" s="10" t="s">
        <v>429</v>
      </c>
      <c r="N7" s="10" t="s">
        <v>654</v>
      </c>
      <c r="P7" s="10" t="str">
        <f>Inventory!C18</f>
        <v/>
      </c>
      <c r="R7" s="10" t="s">
        <v>652</v>
      </c>
      <c r="S7">
        <f t="array" ref="S7">INDEX('Site Info'!$G$34:$G$69, MATCH(0, COUNTIF($S$2:S6, 'Site Info'!$G$34:$G$69), 0))</f>
        <v>60</v>
      </c>
      <c r="T7">
        <f t="shared" si="0"/>
        <v>60</v>
      </c>
    </row>
    <row r="8" spans="2:20" x14ac:dyDescent="0.25">
      <c r="C8" s="12" t="s">
        <v>373</v>
      </c>
      <c r="E8" s="10" t="s">
        <v>1028</v>
      </c>
      <c r="G8" s="10" t="s">
        <v>216</v>
      </c>
      <c r="K8" s="62" t="s">
        <v>354</v>
      </c>
      <c r="L8" s="10" t="str">
        <f>IF(Inventory!P9=C3,"EST",IF(Inventory!P9=C4,"CST",IF(Inventory!P9=C5,"MST",IF(Inventory!P9=C6,"PST",IF(Inventory!P9=C7,"MST","")))))</f>
        <v>CST</v>
      </c>
      <c r="M8" s="10" t="s">
        <v>1075</v>
      </c>
      <c r="N8" s="10" t="s">
        <v>1305</v>
      </c>
      <c r="P8" s="10" t="str">
        <f>Inventory!C19</f>
        <v/>
      </c>
      <c r="R8" s="10" t="s">
        <v>653</v>
      </c>
      <c r="S8">
        <f t="array" ref="S8">INDEX('Site Info'!$G$34:$G$69, MATCH(0, COUNTIF($S$2:S7, 'Site Info'!$G$34:$G$69), 0))</f>
        <v>11</v>
      </c>
      <c r="T8">
        <f t="shared" si="0"/>
        <v>11</v>
      </c>
    </row>
    <row r="9" spans="2:20" x14ac:dyDescent="0.25">
      <c r="C9" s="75" t="s">
        <v>374</v>
      </c>
      <c r="E9" s="10" t="s">
        <v>1029</v>
      </c>
      <c r="G9" s="10" t="s">
        <v>217</v>
      </c>
      <c r="K9" s="62" t="s">
        <v>354</v>
      </c>
      <c r="L9" s="10" t="str">
        <f>IF(Inventory!P9=C3,"America/New_York",IF(Inventory!P9=C4,"America/Chicago",IF(Inventory!P9=C5,"America/Denver",IF(Inventory!P9=C6,"America/Los_Angeles",IF(Inventory!P9=C7,"America/Arizona","")))))</f>
        <v>America/Chicago</v>
      </c>
      <c r="M9" s="10" t="s">
        <v>1076</v>
      </c>
      <c r="N9" s="10" t="s">
        <v>434</v>
      </c>
      <c r="P9" s="10" t="str">
        <f>Inventory!C20</f>
        <v/>
      </c>
      <c r="R9" s="10" t="s">
        <v>1082</v>
      </c>
      <c r="S9" t="e">
        <f t="array" ref="S9">INDEX('Site Info'!$G$34:$G$69, MATCH(0, COUNTIF($S$2:S8, 'Site Info'!$G$34:$G$69), 0))</f>
        <v>#N/A</v>
      </c>
      <c r="T9" t="str">
        <f t="shared" si="0"/>
        <v>blank</v>
      </c>
    </row>
    <row r="10" spans="2:20" x14ac:dyDescent="0.25">
      <c r="C10" t="s">
        <v>375</v>
      </c>
      <c r="E10" s="10" t="s">
        <v>933</v>
      </c>
      <c r="M10" s="10" t="s">
        <v>1077</v>
      </c>
      <c r="N10" s="10" t="s">
        <v>435</v>
      </c>
      <c r="P10" s="10" t="str">
        <f>Inventory!C21</f>
        <v/>
      </c>
      <c r="R10" s="10" t="s">
        <v>1083</v>
      </c>
      <c r="S10" t="e">
        <f t="array" ref="S10">INDEX('Site Info'!$G$34:$G$69, MATCH(0, COUNTIF($S$2:S9, 'Site Info'!$G$34:$G$69), 0))</f>
        <v>#N/A</v>
      </c>
      <c r="T10" t="str">
        <f t="shared" si="0"/>
        <v>blank</v>
      </c>
    </row>
    <row r="11" spans="2:20" x14ac:dyDescent="0.25">
      <c r="C11" t="s">
        <v>376</v>
      </c>
      <c r="E11" s="10" t="s">
        <v>989</v>
      </c>
      <c r="M11" s="10" t="s">
        <v>1314</v>
      </c>
      <c r="N11" s="10" t="s">
        <v>436</v>
      </c>
      <c r="P11" s="10" t="str">
        <f>Inventory!C22</f>
        <v/>
      </c>
      <c r="S11" t="e">
        <f t="array" ref="S11">INDEX('Site Info'!$G$34:$G$69, MATCH(0, COUNTIF($S$2:S10, 'Site Info'!$G$34:$G$69), 0))</f>
        <v>#N/A</v>
      </c>
      <c r="T11" t="str">
        <f t="shared" si="0"/>
        <v>blank</v>
      </c>
    </row>
    <row r="12" spans="2:20" x14ac:dyDescent="0.25">
      <c r="C12" t="s">
        <v>377</v>
      </c>
      <c r="E12" s="10" t="s">
        <v>30</v>
      </c>
      <c r="N12" s="10" t="s">
        <v>655</v>
      </c>
      <c r="P12" s="93" t="s">
        <v>489</v>
      </c>
      <c r="S12" t="e">
        <f t="array" ref="S12">INDEX('Site Info'!$G$34:$G$69, MATCH(0, COUNTIF($S$2:S11, 'Site Info'!$G$34:$G$69), 0))</f>
        <v>#N/A</v>
      </c>
      <c r="T12" t="str">
        <f t="shared" si="0"/>
        <v>blank</v>
      </c>
    </row>
    <row r="13" spans="2:20" x14ac:dyDescent="0.25">
      <c r="C13" t="s">
        <v>378</v>
      </c>
      <c r="N13" s="10" t="s">
        <v>1306</v>
      </c>
      <c r="P13" s="10" t="str">
        <f>Inventory!C80</f>
        <v>shpsan-sw-ci-01</v>
      </c>
      <c r="S13" t="e">
        <f t="array" ref="S13">INDEX('Site Info'!$G$34:$G$69, MATCH(0, COUNTIF($S$2:S12, 'Site Info'!$G$34:$G$69), 0))</f>
        <v>#N/A</v>
      </c>
      <c r="T13" t="str">
        <f t="shared" si="0"/>
        <v>blank</v>
      </c>
    </row>
    <row r="14" spans="2:20" x14ac:dyDescent="0.25">
      <c r="C14" t="s">
        <v>379</v>
      </c>
      <c r="E14" s="10"/>
      <c r="N14" s="10" t="s">
        <v>1346</v>
      </c>
      <c r="P14" s="10" t="str">
        <f>Inventory!C81</f>
        <v>shpsan-sw-ci-02</v>
      </c>
      <c r="S14" t="e">
        <f t="array" ref="S14">INDEX('Site Info'!$G$34:$G$69, MATCH(0, COUNTIF($S$2:S13, 'Site Info'!$G$34:$G$69), 0))</f>
        <v>#N/A</v>
      </c>
      <c r="T14" t="str">
        <f t="shared" si="0"/>
        <v>blank</v>
      </c>
    </row>
    <row r="15" spans="2:20" x14ac:dyDescent="0.25">
      <c r="C15" t="s">
        <v>380</v>
      </c>
      <c r="E15" s="10"/>
      <c r="P15" s="10" t="str">
        <f>Inventory!C82</f>
        <v>shpsan-sw-mgt-01</v>
      </c>
      <c r="S15" t="e">
        <f t="array" ref="S15">INDEX('Site Info'!$G$34:$G$69, MATCH(0, COUNTIF($S$2:S14, 'Site Info'!$G$34:$G$69), 0))</f>
        <v>#N/A</v>
      </c>
      <c r="T15" t="str">
        <f t="shared" si="0"/>
        <v>blank</v>
      </c>
    </row>
    <row r="16" spans="2:20" x14ac:dyDescent="0.25">
      <c r="C16" t="s">
        <v>381</v>
      </c>
      <c r="E16" s="10"/>
      <c r="N16" s="10"/>
      <c r="P16" s="10" t="str">
        <f>Inventory!C83</f>
        <v>shpsan-sw-mgt-02</v>
      </c>
      <c r="S16" t="e">
        <f t="array" ref="S16">INDEX('Site Info'!$G$34:$G$69, MATCH(0, COUNTIF($S$2:S15, 'Site Info'!$G$34:$G$69), 0))</f>
        <v>#N/A</v>
      </c>
      <c r="T16" t="str">
        <f t="shared" si="0"/>
        <v>blank</v>
      </c>
    </row>
    <row r="17" spans="3:20" x14ac:dyDescent="0.25">
      <c r="C17" t="s">
        <v>382</v>
      </c>
      <c r="N17" s="10"/>
      <c r="P17" s="93" t="s">
        <v>490</v>
      </c>
      <c r="S17" t="e">
        <f t="array" ref="S17">INDEX('Site Info'!$G$34:$G$69, MATCH(0, COUNTIF($S$2:S16, 'Site Info'!$G$34:$G$69), 0))</f>
        <v>#N/A</v>
      </c>
      <c r="T17" t="str">
        <f t="shared" si="0"/>
        <v>blank</v>
      </c>
    </row>
    <row r="18" spans="3:20" x14ac:dyDescent="0.25">
      <c r="C18" t="s">
        <v>383</v>
      </c>
      <c r="N18" s="10"/>
      <c r="P18" s="10" t="str">
        <f>Inventory!C88</f>
        <v>-9k-a</v>
      </c>
      <c r="S18" t="e">
        <f t="array" ref="S18">INDEX('Site Info'!$G$34:$G$69, MATCH(0, COUNTIF($S$2:S17, 'Site Info'!$G$34:$G$69), 0))</f>
        <v>#N/A</v>
      </c>
      <c r="T18" t="str">
        <f t="shared" si="0"/>
        <v>blank</v>
      </c>
    </row>
    <row r="19" spans="3:20" x14ac:dyDescent="0.25">
      <c r="C19" t="s">
        <v>384</v>
      </c>
      <c r="P19" s="10" t="str">
        <f>Inventory!C89</f>
        <v>-9k-b</v>
      </c>
      <c r="S19" t="e">
        <f t="array" ref="S19">INDEX('Site Info'!$G$34:$G$69, MATCH(0, COUNTIF($S$2:S18, 'Site Info'!$G$34:$G$69), 0))</f>
        <v>#N/A</v>
      </c>
      <c r="T19" t="str">
        <f t="shared" si="0"/>
        <v>blank</v>
      </c>
    </row>
    <row r="20" spans="3:20" x14ac:dyDescent="0.25">
      <c r="C20" t="s">
        <v>385</v>
      </c>
      <c r="P20" s="10">
        <f>Inventory!C90</f>
        <v>0</v>
      </c>
      <c r="S20" t="e">
        <f t="array" ref="S20">INDEX('Site Info'!$G$34:$G$69, MATCH(0, COUNTIF($S$2:S19, 'Site Info'!$G$34:$G$69), 0))</f>
        <v>#N/A</v>
      </c>
      <c r="T20" t="str">
        <f t="shared" si="0"/>
        <v>blank</v>
      </c>
    </row>
    <row r="21" spans="3:20" x14ac:dyDescent="0.25">
      <c r="C21" t="s">
        <v>386</v>
      </c>
      <c r="N21" s="12" t="s">
        <v>1304</v>
      </c>
      <c r="P21" s="10" t="str">
        <f>Inventory!C91</f>
        <v>-a</v>
      </c>
      <c r="S21" t="e">
        <f t="array" ref="S21">INDEX('Site Info'!$G$34:$G$69, MATCH(0, COUNTIF($S$2:S20, 'Site Info'!$G$34:$G$69), 0))</f>
        <v>#N/A</v>
      </c>
      <c r="T21" t="str">
        <f t="shared" si="0"/>
        <v>blank</v>
      </c>
    </row>
    <row r="22" spans="3:20" x14ac:dyDescent="0.25">
      <c r="C22" t="s">
        <v>387</v>
      </c>
      <c r="E22" s="84" t="s">
        <v>1167</v>
      </c>
      <c r="N22" s="10" t="s">
        <v>430</v>
      </c>
      <c r="P22" s="10" t="str">
        <f>Inventory!C92</f>
        <v>-b</v>
      </c>
      <c r="S22" t="e">
        <f t="array" ref="S22">INDEX('Site Info'!$G$34:$G$69, MATCH(0, COUNTIF($S$2:S21, 'Site Info'!$G$34:$G$69), 0))</f>
        <v>#N/A</v>
      </c>
      <c r="T22" t="str">
        <f t="shared" si="0"/>
        <v>blank</v>
      </c>
    </row>
    <row r="23" spans="3:20" x14ac:dyDescent="0.25">
      <c r="C23" t="s">
        <v>388</v>
      </c>
      <c r="E23" t="s">
        <v>1168</v>
      </c>
      <c r="N23" s="10" t="s">
        <v>656</v>
      </c>
      <c r="P23" s="10"/>
      <c r="S23" t="e">
        <f t="array" ref="S23">INDEX('Site Info'!$G$34:$G$69, MATCH(0, COUNTIF($S$2:S22, 'Site Info'!$G$34:$G$69), 0))</f>
        <v>#N/A</v>
      </c>
      <c r="T23" t="str">
        <f t="shared" si="0"/>
        <v>blank</v>
      </c>
    </row>
    <row r="24" spans="3:20" x14ac:dyDescent="0.25">
      <c r="C24" t="s">
        <v>389</v>
      </c>
      <c r="E24" t="s">
        <v>1169</v>
      </c>
      <c r="G24" s="84" t="s">
        <v>1068</v>
      </c>
      <c r="L24" s="84" t="s">
        <v>1094</v>
      </c>
      <c r="N24" s="10" t="s">
        <v>1297</v>
      </c>
      <c r="P24" s="10"/>
      <c r="S24" t="e">
        <f t="array" ref="S24">INDEX('Site Info'!$G$34:$G$69, MATCH(0, COUNTIF($S$2:S23, 'Site Info'!$G$34:$G$69), 0))</f>
        <v>#N/A</v>
      </c>
      <c r="T24" t="str">
        <f t="shared" si="0"/>
        <v>blank</v>
      </c>
    </row>
    <row r="25" spans="3:20" x14ac:dyDescent="0.25">
      <c r="C25" t="s">
        <v>390</v>
      </c>
      <c r="E25" t="s">
        <v>1170</v>
      </c>
      <c r="G25" t="s">
        <v>1069</v>
      </c>
      <c r="L25" t="s">
        <v>1095</v>
      </c>
      <c r="N25" s="10" t="s">
        <v>657</v>
      </c>
      <c r="P25" s="10"/>
      <c r="S25" t="e">
        <f t="array" ref="S25">INDEX('Site Info'!$G$34:$G$69, MATCH(0, COUNTIF($S$2:S24, 'Site Info'!$G$34:$G$69), 0))</f>
        <v>#N/A</v>
      </c>
      <c r="T25" t="str">
        <f t="shared" si="0"/>
        <v>blank</v>
      </c>
    </row>
    <row r="26" spans="3:20" x14ac:dyDescent="0.25">
      <c r="C26" t="s">
        <v>391</v>
      </c>
      <c r="G26" t="s">
        <v>1070</v>
      </c>
      <c r="L26" t="s">
        <v>175</v>
      </c>
      <c r="N26" s="10" t="s">
        <v>1337</v>
      </c>
      <c r="S26" t="e">
        <f t="array" ref="S26">INDEX('Site Info'!$G$34:$G$69, MATCH(0, COUNTIF($S$2:S25, 'Site Info'!$G$34:$G$69), 0))</f>
        <v>#N/A</v>
      </c>
      <c r="T26" t="str">
        <f t="shared" si="0"/>
        <v>blank</v>
      </c>
    </row>
    <row r="27" spans="3:20" x14ac:dyDescent="0.25">
      <c r="C27" t="s">
        <v>392</v>
      </c>
      <c r="L27" t="s">
        <v>1096</v>
      </c>
      <c r="N27" s="10" t="s">
        <v>1336</v>
      </c>
      <c r="S27" t="e">
        <f t="array" ref="S27">INDEX('Site Info'!$G$34:$G$69, MATCH(0, COUNTIF($S$2:S26, 'Site Info'!$G$34:$G$69), 0))</f>
        <v>#N/A</v>
      </c>
      <c r="T27" t="str">
        <f t="shared" si="0"/>
        <v>blank</v>
      </c>
    </row>
    <row r="28" spans="3:20" x14ac:dyDescent="0.25">
      <c r="C28" t="s">
        <v>393</v>
      </c>
      <c r="G28" s="84" t="s">
        <v>1071</v>
      </c>
      <c r="N28" s="10" t="s">
        <v>1335</v>
      </c>
      <c r="S28" t="e">
        <f t="array" ref="S28">INDEX('Site Info'!$G$34:$G$69, MATCH(0, COUNTIF($S$2:S27, 'Site Info'!$G$34:$G$69), 0))</f>
        <v>#N/A</v>
      </c>
      <c r="T28" t="str">
        <f t="shared" si="0"/>
        <v>blank</v>
      </c>
    </row>
    <row r="29" spans="3:20" x14ac:dyDescent="0.25">
      <c r="C29" t="s">
        <v>394</v>
      </c>
      <c r="G29" t="s">
        <v>1085</v>
      </c>
      <c r="S29" t="e">
        <f t="array" ref="S29">INDEX('Site Info'!$G$34:$G$69, MATCH(0, COUNTIF($S$2:S28, 'Site Info'!$G$34:$G$69), 0))</f>
        <v>#N/A</v>
      </c>
      <c r="T29" t="str">
        <f t="shared" si="0"/>
        <v>blank</v>
      </c>
    </row>
    <row r="30" spans="3:20" x14ac:dyDescent="0.25">
      <c r="C30" t="s">
        <v>395</v>
      </c>
      <c r="G30" t="s">
        <v>1086</v>
      </c>
    </row>
    <row r="31" spans="3:20" x14ac:dyDescent="0.25">
      <c r="C31" t="s">
        <v>396</v>
      </c>
      <c r="G31" t="s">
        <v>1084</v>
      </c>
    </row>
    <row r="32" spans="3:20" x14ac:dyDescent="0.25">
      <c r="C32" t="s">
        <v>397</v>
      </c>
      <c r="G32" t="s">
        <v>1087</v>
      </c>
    </row>
    <row r="33" spans="3:7" x14ac:dyDescent="0.25">
      <c r="C33" t="s">
        <v>398</v>
      </c>
      <c r="G33" t="s">
        <v>1088</v>
      </c>
    </row>
    <row r="34" spans="3:7" x14ac:dyDescent="0.25">
      <c r="C34" t="s">
        <v>399</v>
      </c>
      <c r="G34" t="s">
        <v>1089</v>
      </c>
    </row>
    <row r="35" spans="3:7" x14ac:dyDescent="0.25">
      <c r="C35" t="s">
        <v>400</v>
      </c>
      <c r="G35" t="s">
        <v>1109</v>
      </c>
    </row>
    <row r="36" spans="3:7" x14ac:dyDescent="0.25">
      <c r="C36" t="s">
        <v>401</v>
      </c>
      <c r="G36" t="s">
        <v>961</v>
      </c>
    </row>
    <row r="37" spans="3:7" x14ac:dyDescent="0.25">
      <c r="C37" t="s">
        <v>402</v>
      </c>
    </row>
    <row r="38" spans="3:7" x14ac:dyDescent="0.25">
      <c r="C38" t="s">
        <v>403</v>
      </c>
    </row>
    <row r="39" spans="3:7" x14ac:dyDescent="0.25">
      <c r="C39" t="s">
        <v>404</v>
      </c>
    </row>
    <row r="40" spans="3:7" x14ac:dyDescent="0.25">
      <c r="C40" t="s">
        <v>405</v>
      </c>
    </row>
    <row r="41" spans="3:7" x14ac:dyDescent="0.25">
      <c r="C41" t="s">
        <v>406</v>
      </c>
    </row>
    <row r="42" spans="3:7" x14ac:dyDescent="0.25">
      <c r="C42" t="s">
        <v>407</v>
      </c>
    </row>
    <row r="43" spans="3:7" x14ac:dyDescent="0.25">
      <c r="C43" t="s">
        <v>408</v>
      </c>
    </row>
    <row r="44" spans="3:7" x14ac:dyDescent="0.25">
      <c r="C44" t="s">
        <v>409</v>
      </c>
    </row>
    <row r="45" spans="3:7" x14ac:dyDescent="0.25">
      <c r="C45" t="s">
        <v>410</v>
      </c>
    </row>
    <row r="46" spans="3:7" x14ac:dyDescent="0.25">
      <c r="C46" t="s">
        <v>411</v>
      </c>
    </row>
    <row r="47" spans="3:7" x14ac:dyDescent="0.25">
      <c r="C47" t="s">
        <v>412</v>
      </c>
    </row>
    <row r="48" spans="3:7" x14ac:dyDescent="0.25">
      <c r="C48" t="s">
        <v>413</v>
      </c>
    </row>
    <row r="49" spans="3:3" x14ac:dyDescent="0.25">
      <c r="C49" t="s">
        <v>414</v>
      </c>
    </row>
    <row r="50" spans="3:3" x14ac:dyDescent="0.25">
      <c r="C50" t="s">
        <v>415</v>
      </c>
    </row>
    <row r="51" spans="3:3" x14ac:dyDescent="0.25">
      <c r="C51" t="s">
        <v>416</v>
      </c>
    </row>
    <row r="52" spans="3:3" x14ac:dyDescent="0.25">
      <c r="C52" t="s">
        <v>417</v>
      </c>
    </row>
    <row r="53" spans="3:3" x14ac:dyDescent="0.25">
      <c r="C53" t="s">
        <v>418</v>
      </c>
    </row>
    <row r="54" spans="3:3" x14ac:dyDescent="0.25">
      <c r="C54" t="s">
        <v>419</v>
      </c>
    </row>
    <row r="55" spans="3:3" x14ac:dyDescent="0.25">
      <c r="C55" t="s">
        <v>420</v>
      </c>
    </row>
    <row r="56" spans="3:3" x14ac:dyDescent="0.25">
      <c r="C56" t="s">
        <v>421</v>
      </c>
    </row>
    <row r="57" spans="3:3" x14ac:dyDescent="0.25">
      <c r="C57" t="s">
        <v>422</v>
      </c>
    </row>
    <row r="58" spans="3:3" x14ac:dyDescent="0.25">
      <c r="C58" t="s">
        <v>423</v>
      </c>
    </row>
    <row r="59" spans="3:3" x14ac:dyDescent="0.25">
      <c r="C59" t="s">
        <v>424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2:Z109"/>
  <sheetViews>
    <sheetView topLeftCell="B1" zoomScale="110" zoomScaleNormal="110" workbookViewId="0">
      <pane ySplit="4" topLeftCell="A32" activePane="bottomLeft" state="frozenSplit"/>
      <selection activeCell="N65" sqref="N65:P65"/>
      <selection pane="bottomLeft" activeCell="AA52" sqref="AA52"/>
    </sheetView>
  </sheetViews>
  <sheetFormatPr defaultColWidth="7.140625" defaultRowHeight="10.5" x14ac:dyDescent="0.25"/>
  <cols>
    <col min="1" max="1" width="1.42578125" style="3" customWidth="1"/>
    <col min="2" max="6" width="7.140625" style="3"/>
    <col min="7" max="7" width="7.140625" style="6"/>
    <col min="8" max="19" width="7.140625" style="3"/>
    <col min="20" max="20" width="7.140625" style="3" customWidth="1"/>
    <col min="21" max="16384" width="7.140625" style="3"/>
  </cols>
  <sheetData>
    <row r="2" spans="1:26" ht="30.75" customHeight="1" x14ac:dyDescent="0.25">
      <c r="A2" s="2" t="s">
        <v>1</v>
      </c>
      <c r="B2"/>
      <c r="V2" s="1" t="s">
        <v>114</v>
      </c>
    </row>
    <row r="3" spans="1:26" ht="9" customHeight="1" x14ac:dyDescent="0.25"/>
    <row r="4" spans="1:26" ht="15" x14ac:dyDescent="0.25">
      <c r="A4" s="5" t="s">
        <v>441</v>
      </c>
      <c r="Z4" s="3" t="s">
        <v>0</v>
      </c>
    </row>
    <row r="5" spans="1:26" s="35" customFormat="1" ht="14.25" customHeight="1" x14ac:dyDescent="0.25">
      <c r="A5" s="35" t="s">
        <v>346</v>
      </c>
      <c r="G5" s="6"/>
    </row>
    <row r="6" spans="1:26" s="35" customFormat="1" ht="14.25" customHeight="1" x14ac:dyDescent="0.25">
      <c r="B6" s="4" t="s">
        <v>639</v>
      </c>
      <c r="G6" s="6"/>
      <c r="K6" s="35" t="s">
        <v>346</v>
      </c>
    </row>
    <row r="7" spans="1:26" s="35" customFormat="1" ht="6" customHeight="1" x14ac:dyDescent="0.25">
      <c r="B7" s="4"/>
      <c r="E7" s="106"/>
      <c r="G7" s="6"/>
    </row>
    <row r="8" spans="1:26" s="35" customFormat="1" ht="14.25" customHeight="1" x14ac:dyDescent="0.25">
      <c r="C8" s="288" t="s">
        <v>665</v>
      </c>
      <c r="D8" s="289"/>
      <c r="E8" s="289"/>
      <c r="F8" s="289"/>
      <c r="G8" s="289"/>
      <c r="H8" s="290"/>
    </row>
    <row r="9" spans="1:26" ht="14.25" customHeight="1" x14ac:dyDescent="0.25"/>
    <row r="10" spans="1:26" s="35" customFormat="1" ht="14.25" customHeight="1" x14ac:dyDescent="0.25">
      <c r="B10" s="4" t="s">
        <v>289</v>
      </c>
      <c r="G10" s="6"/>
    </row>
    <row r="11" spans="1:26" s="35" customFormat="1" ht="6" customHeight="1" x14ac:dyDescent="0.25">
      <c r="B11" s="4"/>
      <c r="G11" s="6"/>
    </row>
    <row r="12" spans="1:26" s="35" customFormat="1" ht="14.25" customHeight="1" x14ac:dyDescent="0.25">
      <c r="B12" s="303" t="s">
        <v>291</v>
      </c>
      <c r="C12" s="303"/>
      <c r="D12" s="303"/>
      <c r="E12" s="303"/>
      <c r="F12" s="288" t="s">
        <v>1366</v>
      </c>
      <c r="G12" s="289"/>
      <c r="H12" s="289"/>
      <c r="I12" s="289"/>
      <c r="J12" s="290"/>
      <c r="K12" s="303" t="s">
        <v>608</v>
      </c>
      <c r="L12" s="303"/>
      <c r="M12" s="303"/>
      <c r="N12" s="303"/>
      <c r="O12" s="288" t="s">
        <v>1367</v>
      </c>
      <c r="P12" s="289"/>
      <c r="Q12" s="289"/>
      <c r="R12" s="289"/>
      <c r="S12" s="290"/>
    </row>
    <row r="13" spans="1:26" s="35" customFormat="1" ht="14.25" customHeight="1" x14ac:dyDescent="0.25">
      <c r="B13" s="303" t="s">
        <v>607</v>
      </c>
      <c r="C13" s="303"/>
      <c r="D13" s="303"/>
      <c r="E13" s="303"/>
      <c r="F13" s="288" t="s">
        <v>1369</v>
      </c>
      <c r="G13" s="289"/>
      <c r="H13" s="289"/>
      <c r="I13" s="289"/>
      <c r="J13" s="290"/>
      <c r="K13" s="303" t="s">
        <v>609</v>
      </c>
      <c r="L13" s="303"/>
      <c r="M13" s="303"/>
      <c r="N13" s="303"/>
      <c r="O13" s="288" t="s">
        <v>1368</v>
      </c>
      <c r="P13" s="289"/>
      <c r="Q13" s="289"/>
      <c r="R13" s="289"/>
      <c r="S13" s="290"/>
    </row>
    <row r="14" spans="1:26" s="35" customFormat="1" ht="14.25" customHeight="1" x14ac:dyDescent="0.25">
      <c r="K14" s="303" t="s">
        <v>290</v>
      </c>
      <c r="L14" s="303"/>
      <c r="M14" s="303"/>
      <c r="N14" s="303"/>
      <c r="O14" s="288" t="s">
        <v>417</v>
      </c>
      <c r="P14" s="289"/>
      <c r="Q14" s="289"/>
      <c r="R14" s="289"/>
      <c r="S14" s="290"/>
      <c r="T14" s="310" t="s">
        <v>649</v>
      </c>
      <c r="U14" s="303"/>
      <c r="V14" s="288">
        <v>77048</v>
      </c>
      <c r="W14" s="289"/>
      <c r="X14" s="290"/>
    </row>
    <row r="15" spans="1:26" s="35" customFormat="1" ht="14.25" customHeight="1" x14ac:dyDescent="0.25">
      <c r="G15" s="6"/>
    </row>
    <row r="16" spans="1:26" ht="14.25" customHeight="1" x14ac:dyDescent="0.25">
      <c r="B16" s="4" t="s">
        <v>2</v>
      </c>
    </row>
    <row r="17" spans="1:23" ht="6" customHeight="1" x14ac:dyDescent="0.25">
      <c r="B17" s="4"/>
    </row>
    <row r="18" spans="1:23" ht="14.25" customHeight="1" x14ac:dyDescent="0.25">
      <c r="B18" s="303" t="s">
        <v>524</v>
      </c>
      <c r="C18" s="303"/>
      <c r="D18" s="303"/>
      <c r="E18" s="303"/>
      <c r="F18" s="307" t="s">
        <v>1371</v>
      </c>
      <c r="G18" s="308"/>
      <c r="H18" s="308"/>
      <c r="I18" s="308"/>
      <c r="J18" s="309"/>
      <c r="M18" s="303" t="s">
        <v>32</v>
      </c>
      <c r="N18" s="303"/>
      <c r="O18" s="303"/>
      <c r="P18" s="303"/>
      <c r="Q18" s="288" t="s">
        <v>1370</v>
      </c>
      <c r="R18" s="289"/>
      <c r="S18" s="289"/>
      <c r="T18" s="289"/>
      <c r="U18" s="290"/>
    </row>
    <row r="19" spans="1:23" ht="14.25" customHeight="1" x14ac:dyDescent="0.25">
      <c r="A19" s="35"/>
      <c r="B19" s="303" t="s">
        <v>67</v>
      </c>
      <c r="C19" s="303"/>
      <c r="D19" s="303"/>
      <c r="E19" s="303"/>
      <c r="F19" s="288" t="s">
        <v>1372</v>
      </c>
      <c r="G19" s="289"/>
      <c r="H19" s="289"/>
      <c r="I19" s="289"/>
      <c r="J19" s="290"/>
      <c r="K19" s="35"/>
      <c r="M19" s="303" t="s">
        <v>33</v>
      </c>
      <c r="N19" s="303"/>
      <c r="O19" s="303"/>
      <c r="P19" s="303"/>
      <c r="Q19" s="288" t="s">
        <v>1373</v>
      </c>
      <c r="R19" s="289"/>
      <c r="S19" s="290"/>
    </row>
    <row r="20" spans="1:23" ht="14.25" customHeight="1" x14ac:dyDescent="0.25">
      <c r="M20" s="7"/>
      <c r="N20" s="7"/>
      <c r="O20" s="7"/>
      <c r="P20" s="7"/>
      <c r="Q20" s="13"/>
      <c r="R20" s="13"/>
    </row>
    <row r="21" spans="1:23" ht="14.25" customHeight="1" x14ac:dyDescent="0.25">
      <c r="B21" s="4" t="s">
        <v>34</v>
      </c>
      <c r="M21" s="306"/>
      <c r="N21" s="306"/>
      <c r="O21" s="306"/>
      <c r="P21" s="306"/>
      <c r="Q21" s="306"/>
      <c r="R21" s="306"/>
      <c r="S21" s="306"/>
      <c r="T21" s="306"/>
      <c r="U21" s="306"/>
      <c r="V21" s="111"/>
      <c r="W21" s="111"/>
    </row>
    <row r="22" spans="1:23" ht="6" customHeight="1" x14ac:dyDescent="0.25">
      <c r="B22" s="4"/>
      <c r="M22" s="83"/>
      <c r="N22" s="83"/>
      <c r="O22" s="83"/>
      <c r="P22" s="83"/>
      <c r="Q22" s="83"/>
      <c r="R22" s="83"/>
      <c r="S22" s="83"/>
      <c r="T22" s="83"/>
      <c r="U22" s="83"/>
      <c r="V22" s="83"/>
      <c r="W22" s="83"/>
    </row>
    <row r="23" spans="1:23" ht="14.25" customHeight="1" x14ac:dyDescent="0.25">
      <c r="B23" s="303" t="s">
        <v>58</v>
      </c>
      <c r="C23" s="303"/>
      <c r="D23" s="303"/>
      <c r="E23" s="303"/>
      <c r="F23" s="288" t="str">
        <f>IF(O12&lt;&gt;0,CONCATENATE(O12,", ",O13,", ",O14," ",V14),"")</f>
        <v>4400 S Sam Houston Pkwy E, Houston, Texas 77048</v>
      </c>
      <c r="G23" s="289"/>
      <c r="H23" s="289"/>
      <c r="I23" s="289"/>
      <c r="J23" s="289"/>
      <c r="K23" s="290"/>
      <c r="M23" s="304" t="s">
        <v>1115</v>
      </c>
      <c r="N23" s="304"/>
      <c r="O23" s="304"/>
      <c r="P23" s="304"/>
      <c r="Q23" s="305"/>
      <c r="R23" s="305"/>
      <c r="S23" s="305"/>
      <c r="T23" s="305"/>
      <c r="U23" s="305"/>
      <c r="V23" s="83" t="s">
        <v>1120</v>
      </c>
      <c r="W23" s="83"/>
    </row>
    <row r="24" spans="1:23" ht="6" customHeight="1" x14ac:dyDescent="0.25">
      <c r="B24" s="4"/>
      <c r="M24" s="83"/>
      <c r="N24" s="83"/>
      <c r="O24" s="83"/>
      <c r="P24" s="83"/>
      <c r="Q24" s="83"/>
      <c r="R24" s="83"/>
      <c r="S24" s="83"/>
      <c r="T24" s="83"/>
      <c r="U24" s="83"/>
      <c r="V24" s="83"/>
      <c r="W24" s="83"/>
    </row>
    <row r="25" spans="1:23" ht="14.25" customHeight="1" x14ac:dyDescent="0.25">
      <c r="B25" s="303" t="s">
        <v>36</v>
      </c>
      <c r="C25" s="303"/>
      <c r="D25" s="303"/>
      <c r="E25" s="303"/>
      <c r="F25" s="288" t="s">
        <v>1372</v>
      </c>
      <c r="G25" s="289"/>
      <c r="H25" s="289"/>
      <c r="I25" s="289"/>
      <c r="J25" s="290"/>
      <c r="M25" s="83"/>
      <c r="N25" s="304" t="s">
        <v>1116</v>
      </c>
      <c r="O25" s="304"/>
      <c r="P25" s="304"/>
      <c r="Q25" s="231"/>
      <c r="R25" s="304" t="s">
        <v>1117</v>
      </c>
      <c r="S25" s="304"/>
      <c r="T25" s="304"/>
      <c r="U25" s="231"/>
      <c r="V25" s="83"/>
      <c r="W25" s="83"/>
    </row>
    <row r="26" spans="1:23" ht="14.25" customHeight="1" x14ac:dyDescent="0.25">
      <c r="B26" s="303" t="s">
        <v>35</v>
      </c>
      <c r="C26" s="303"/>
      <c r="D26" s="303"/>
      <c r="E26" s="303"/>
      <c r="F26" s="288" t="s">
        <v>1374</v>
      </c>
      <c r="G26" s="289"/>
      <c r="H26" s="290"/>
      <c r="I26" s="288" t="s">
        <v>1375</v>
      </c>
      <c r="J26" s="289"/>
      <c r="K26" s="290"/>
      <c r="L26" s="288"/>
      <c r="M26" s="289"/>
      <c r="N26" s="290"/>
    </row>
    <row r="27" spans="1:23" ht="6" customHeight="1" x14ac:dyDescent="0.25">
      <c r="B27" s="4"/>
    </row>
    <row r="28" spans="1:23" ht="14.25" customHeight="1" x14ac:dyDescent="0.25">
      <c r="A28" s="35"/>
      <c r="B28" s="303" t="s">
        <v>37</v>
      </c>
      <c r="C28" s="303"/>
      <c r="D28" s="303"/>
      <c r="E28" s="303"/>
      <c r="F28" s="288" t="s">
        <v>1374</v>
      </c>
      <c r="G28" s="289"/>
      <c r="H28" s="290"/>
      <c r="I28" s="288" t="s">
        <v>1376</v>
      </c>
      <c r="J28" s="289"/>
      <c r="K28" s="290"/>
      <c r="L28" s="35"/>
      <c r="M28" s="303" t="s">
        <v>38</v>
      </c>
      <c r="N28" s="303"/>
      <c r="O28" s="303"/>
      <c r="P28" s="303"/>
      <c r="Q28" s="288" t="s">
        <v>1374</v>
      </c>
      <c r="R28" s="289"/>
      <c r="S28" s="290"/>
      <c r="T28" s="288"/>
      <c r="U28" s="289"/>
      <c r="V28" s="290"/>
    </row>
    <row r="29" spans="1:23" ht="14.25" customHeight="1" x14ac:dyDescent="0.25">
      <c r="M29" s="303" t="s">
        <v>39</v>
      </c>
      <c r="N29" s="303"/>
      <c r="O29" s="303"/>
      <c r="P29" s="303"/>
      <c r="Q29" s="288"/>
      <c r="R29" s="289"/>
      <c r="S29" s="290"/>
      <c r="T29" s="288"/>
      <c r="U29" s="289"/>
      <c r="V29" s="290"/>
    </row>
    <row r="30" spans="1:23" ht="14.25" customHeight="1" x14ac:dyDescent="0.25">
      <c r="B30" s="4" t="s">
        <v>40</v>
      </c>
    </row>
    <row r="31" spans="1:23" ht="6" customHeight="1" x14ac:dyDescent="0.25">
      <c r="B31" s="4"/>
    </row>
    <row r="32" spans="1:23" ht="14.25" customHeight="1" x14ac:dyDescent="0.25">
      <c r="C32" s="17" t="s">
        <v>41</v>
      </c>
      <c r="G32" s="3"/>
      <c r="H32" s="96" t="s">
        <v>529</v>
      </c>
    </row>
    <row r="33" spans="1:23" ht="6" customHeight="1" x14ac:dyDescent="0.25"/>
    <row r="34" spans="1:23" ht="14.25" customHeight="1" thickBot="1" x14ac:dyDescent="0.3">
      <c r="A34" s="6"/>
      <c r="B34" s="6"/>
      <c r="C34" s="6"/>
      <c r="D34" s="301" t="s">
        <v>42</v>
      </c>
      <c r="E34" s="301"/>
      <c r="F34" s="301"/>
      <c r="G34" s="15" t="s">
        <v>43</v>
      </c>
      <c r="H34" s="301" t="s">
        <v>1289</v>
      </c>
      <c r="I34" s="301"/>
      <c r="J34" s="301"/>
      <c r="K34" s="301" t="s">
        <v>1290</v>
      </c>
      <c r="L34" s="301"/>
      <c r="M34" s="301"/>
      <c r="N34" s="301" t="s">
        <v>46</v>
      </c>
      <c r="O34" s="301"/>
      <c r="P34" s="301"/>
      <c r="Q34" s="253" t="s">
        <v>473</v>
      </c>
      <c r="R34" s="292" t="s">
        <v>47</v>
      </c>
      <c r="S34" s="293"/>
      <c r="T34" s="293"/>
      <c r="U34" s="293"/>
      <c r="V34" s="293"/>
      <c r="W34" s="294"/>
    </row>
    <row r="35" spans="1:23" ht="14.25" customHeight="1" x14ac:dyDescent="0.25">
      <c r="A35" s="6"/>
      <c r="B35" s="6"/>
      <c r="C35" s="6"/>
      <c r="D35" s="302" t="s">
        <v>48</v>
      </c>
      <c r="E35" s="302"/>
      <c r="F35" s="302"/>
      <c r="G35" s="16">
        <v>1852</v>
      </c>
      <c r="H35" s="298" t="s">
        <v>1377</v>
      </c>
      <c r="I35" s="299"/>
      <c r="J35" s="300"/>
      <c r="K35" s="298" t="s">
        <v>1349</v>
      </c>
      <c r="L35" s="299"/>
      <c r="M35" s="300"/>
      <c r="N35" s="298" t="s">
        <v>1378</v>
      </c>
      <c r="O35" s="299"/>
      <c r="P35" s="300"/>
      <c r="Q35" s="255">
        <v>1500</v>
      </c>
      <c r="R35" s="298" t="s">
        <v>1353</v>
      </c>
      <c r="S35" s="299"/>
      <c r="T35" s="299"/>
      <c r="U35" s="299"/>
      <c r="V35" s="299"/>
      <c r="W35" s="300"/>
    </row>
    <row r="36" spans="1:23" ht="14.1" customHeight="1" x14ac:dyDescent="0.25">
      <c r="A36" s="6"/>
      <c r="B36" s="6"/>
      <c r="C36" s="6"/>
      <c r="D36" s="291" t="s">
        <v>53</v>
      </c>
      <c r="E36" s="291"/>
      <c r="F36" s="291"/>
      <c r="G36" s="9">
        <v>1852</v>
      </c>
      <c r="H36" s="298" t="s">
        <v>1377</v>
      </c>
      <c r="I36" s="299"/>
      <c r="J36" s="300"/>
      <c r="K36" s="288" t="s">
        <v>1349</v>
      </c>
      <c r="L36" s="289"/>
      <c r="M36" s="290"/>
      <c r="N36" s="288" t="s">
        <v>1378</v>
      </c>
      <c r="O36" s="289"/>
      <c r="P36" s="290"/>
      <c r="Q36" s="254">
        <v>1500</v>
      </c>
      <c r="R36" s="291" t="s">
        <v>1352</v>
      </c>
      <c r="S36" s="291"/>
      <c r="T36" s="291"/>
      <c r="U36" s="291"/>
      <c r="V36" s="291"/>
      <c r="W36" s="291"/>
    </row>
    <row r="37" spans="1:23" ht="14.25" customHeight="1" x14ac:dyDescent="0.25">
      <c r="A37" s="6"/>
      <c r="B37" s="6"/>
      <c r="C37" s="6"/>
      <c r="D37" s="291" t="s">
        <v>1028</v>
      </c>
      <c r="E37" s="291"/>
      <c r="F37" s="291"/>
      <c r="G37" s="85"/>
      <c r="H37" s="298"/>
      <c r="I37" s="299"/>
      <c r="J37" s="300"/>
      <c r="K37" s="288"/>
      <c r="L37" s="289"/>
      <c r="M37" s="290"/>
      <c r="N37" s="288"/>
      <c r="O37" s="289"/>
      <c r="P37" s="290"/>
      <c r="Q37" s="254"/>
      <c r="R37" s="291" t="s">
        <v>530</v>
      </c>
      <c r="S37" s="291"/>
      <c r="T37" s="291"/>
      <c r="U37" s="291"/>
      <c r="V37" s="291"/>
      <c r="W37" s="291"/>
    </row>
    <row r="38" spans="1:23" ht="14.25" customHeight="1" x14ac:dyDescent="0.25">
      <c r="A38" s="6"/>
      <c r="B38" s="6"/>
      <c r="C38" s="6"/>
      <c r="D38" s="291" t="s">
        <v>1029</v>
      </c>
      <c r="E38" s="291"/>
      <c r="F38" s="291"/>
      <c r="G38" s="85"/>
      <c r="H38" s="298"/>
      <c r="I38" s="299"/>
      <c r="J38" s="300"/>
      <c r="K38" s="288"/>
      <c r="L38" s="289"/>
      <c r="M38" s="290"/>
      <c r="N38" s="288"/>
      <c r="O38" s="289"/>
      <c r="P38" s="290"/>
      <c r="Q38" s="254"/>
      <c r="R38" s="291" t="s">
        <v>530</v>
      </c>
      <c r="S38" s="291"/>
      <c r="T38" s="291"/>
      <c r="U38" s="291"/>
      <c r="V38" s="291"/>
      <c r="W38" s="291"/>
    </row>
    <row r="39" spans="1:23" s="35" customFormat="1" ht="14.25" customHeight="1" x14ac:dyDescent="0.25">
      <c r="A39" s="6"/>
      <c r="B39" s="6"/>
      <c r="C39" s="6"/>
      <c r="D39" s="291" t="s">
        <v>359</v>
      </c>
      <c r="E39" s="291"/>
      <c r="F39" s="291"/>
      <c r="G39" s="85">
        <v>1852</v>
      </c>
      <c r="H39" s="298" t="s">
        <v>1377</v>
      </c>
      <c r="I39" s="299"/>
      <c r="J39" s="300"/>
      <c r="K39" s="288" t="s">
        <v>1349</v>
      </c>
      <c r="L39" s="289"/>
      <c r="M39" s="290"/>
      <c r="N39" s="288" t="s">
        <v>1378</v>
      </c>
      <c r="O39" s="289"/>
      <c r="P39" s="290"/>
      <c r="Q39" s="254">
        <v>1500</v>
      </c>
      <c r="R39" s="291" t="s">
        <v>1351</v>
      </c>
      <c r="S39" s="291"/>
      <c r="T39" s="291"/>
      <c r="U39" s="291"/>
      <c r="V39" s="291"/>
      <c r="W39" s="291"/>
    </row>
    <row r="40" spans="1:23" s="35" customFormat="1" ht="14.25" customHeight="1" x14ac:dyDescent="0.25">
      <c r="A40" s="6"/>
      <c r="B40" s="6"/>
      <c r="C40" s="6"/>
      <c r="D40" s="288" t="s">
        <v>933</v>
      </c>
      <c r="E40" s="289"/>
      <c r="F40" s="290"/>
      <c r="G40" s="105"/>
      <c r="H40" s="298"/>
      <c r="I40" s="299"/>
      <c r="J40" s="300"/>
      <c r="K40" s="288"/>
      <c r="L40" s="289"/>
      <c r="M40" s="290"/>
      <c r="N40" s="288"/>
      <c r="O40" s="289"/>
      <c r="P40" s="290"/>
      <c r="Q40" s="254"/>
      <c r="R40" s="291" t="s">
        <v>1350</v>
      </c>
      <c r="S40" s="291"/>
      <c r="T40" s="291"/>
      <c r="U40" s="291"/>
      <c r="V40" s="291"/>
      <c r="W40" s="291"/>
    </row>
    <row r="41" spans="1:23" s="35" customFormat="1" ht="14.25" hidden="1" customHeight="1" x14ac:dyDescent="0.25">
      <c r="A41" s="6"/>
      <c r="B41" s="6"/>
      <c r="C41" s="6"/>
      <c r="D41" s="288"/>
      <c r="E41" s="289"/>
      <c r="F41" s="290"/>
      <c r="G41" s="105"/>
      <c r="H41" s="298"/>
      <c r="I41" s="299"/>
      <c r="J41" s="300"/>
      <c r="K41" s="288"/>
      <c r="L41" s="289"/>
      <c r="M41" s="290"/>
      <c r="N41" s="288"/>
      <c r="O41" s="289"/>
      <c r="P41" s="290"/>
      <c r="Q41" s="254"/>
      <c r="R41" s="291"/>
      <c r="S41" s="291"/>
      <c r="T41" s="291"/>
      <c r="U41" s="291"/>
      <c r="V41" s="291"/>
      <c r="W41" s="291"/>
    </row>
    <row r="42" spans="1:23" s="35" customFormat="1" ht="14.25" hidden="1" customHeight="1" x14ac:dyDescent="0.25">
      <c r="A42" s="6"/>
      <c r="B42" s="6"/>
      <c r="C42" s="6"/>
      <c r="D42" s="288"/>
      <c r="E42" s="289"/>
      <c r="F42" s="290"/>
      <c r="G42" s="105"/>
      <c r="H42" s="298"/>
      <c r="I42" s="299"/>
      <c r="J42" s="300"/>
      <c r="K42" s="288"/>
      <c r="L42" s="289"/>
      <c r="M42" s="290"/>
      <c r="N42" s="288"/>
      <c r="O42" s="289"/>
      <c r="P42" s="290"/>
      <c r="Q42" s="254"/>
      <c r="R42" s="291"/>
      <c r="S42" s="291"/>
      <c r="T42" s="291"/>
      <c r="U42" s="291"/>
      <c r="V42" s="291"/>
      <c r="W42" s="291"/>
    </row>
    <row r="43" spans="1:23" s="35" customFormat="1" ht="14.25" hidden="1" customHeight="1" x14ac:dyDescent="0.25">
      <c r="A43" s="6"/>
      <c r="B43" s="6"/>
      <c r="C43" s="6"/>
      <c r="D43" s="288"/>
      <c r="E43" s="289"/>
      <c r="F43" s="290"/>
      <c r="G43" s="105"/>
      <c r="H43" s="298"/>
      <c r="I43" s="299"/>
      <c r="J43" s="300"/>
      <c r="K43" s="288"/>
      <c r="L43" s="289"/>
      <c r="M43" s="290"/>
      <c r="N43" s="288"/>
      <c r="O43" s="289"/>
      <c r="P43" s="290"/>
      <c r="Q43" s="254"/>
      <c r="R43" s="291"/>
      <c r="S43" s="291"/>
      <c r="T43" s="291"/>
      <c r="U43" s="291"/>
      <c r="V43" s="291"/>
      <c r="W43" s="291"/>
    </row>
    <row r="44" spans="1:23" ht="14.25" hidden="1" customHeight="1" x14ac:dyDescent="0.25">
      <c r="A44" s="6"/>
      <c r="B44" s="6"/>
      <c r="C44" s="6"/>
      <c r="D44" s="288"/>
      <c r="E44" s="289"/>
      <c r="F44" s="290"/>
      <c r="G44" s="9"/>
      <c r="H44" s="298"/>
      <c r="I44" s="299"/>
      <c r="J44" s="300"/>
      <c r="K44" s="288"/>
      <c r="L44" s="289"/>
      <c r="M44" s="290"/>
      <c r="N44" s="288"/>
      <c r="O44" s="289"/>
      <c r="P44" s="290"/>
      <c r="Q44" s="254"/>
      <c r="R44" s="291"/>
      <c r="S44" s="291"/>
      <c r="T44" s="291"/>
      <c r="U44" s="291"/>
      <c r="V44" s="291"/>
      <c r="W44" s="291"/>
    </row>
    <row r="45" spans="1:23" ht="6" customHeight="1" x14ac:dyDescent="0.25">
      <c r="A45" s="6"/>
      <c r="B45" s="6"/>
      <c r="C45" s="6"/>
      <c r="D45" s="6"/>
      <c r="E45" s="6"/>
      <c r="F45" s="6"/>
      <c r="H45" s="6"/>
      <c r="I45" s="6"/>
      <c r="J45" s="6"/>
      <c r="K45" s="6"/>
      <c r="L45" s="6"/>
      <c r="M45" s="6"/>
      <c r="N45" s="6"/>
      <c r="O45" s="6"/>
      <c r="P45" s="6"/>
      <c r="Q45" s="6"/>
      <c r="R45" s="6"/>
      <c r="S45" s="6"/>
    </row>
    <row r="46" spans="1:23" ht="14.25" customHeight="1" x14ac:dyDescent="0.25">
      <c r="A46" s="6"/>
      <c r="B46" s="6"/>
      <c r="C46" s="17" t="s">
        <v>49</v>
      </c>
      <c r="D46" s="6"/>
      <c r="E46" s="6"/>
      <c r="F46" s="6"/>
      <c r="H46" s="6"/>
      <c r="I46" s="6"/>
      <c r="J46" s="6"/>
      <c r="K46" s="6"/>
      <c r="L46" s="6"/>
    </row>
    <row r="47" spans="1:23" ht="6" customHeight="1" x14ac:dyDescent="0.25">
      <c r="A47" s="6"/>
      <c r="B47" s="6"/>
      <c r="C47" s="6"/>
      <c r="D47" s="6"/>
      <c r="E47" s="6"/>
      <c r="F47" s="6"/>
      <c r="H47" s="6"/>
      <c r="I47" s="6"/>
      <c r="J47" s="6"/>
      <c r="K47" s="6"/>
      <c r="L47" s="6"/>
      <c r="M47" s="6"/>
      <c r="N47" s="6"/>
      <c r="O47" s="6"/>
      <c r="P47" s="6"/>
      <c r="Q47" s="6"/>
      <c r="R47" s="6"/>
      <c r="S47" s="6"/>
    </row>
    <row r="48" spans="1:23" ht="14.25" customHeight="1" thickBot="1" x14ac:dyDescent="0.3">
      <c r="A48" s="6"/>
      <c r="B48" s="6"/>
      <c r="C48" s="6"/>
      <c r="D48" s="292" t="s">
        <v>42</v>
      </c>
      <c r="E48" s="293"/>
      <c r="F48" s="294"/>
      <c r="G48" s="15" t="s">
        <v>43</v>
      </c>
      <c r="H48" s="301" t="s">
        <v>1289</v>
      </c>
      <c r="I48" s="301"/>
      <c r="J48" s="301"/>
      <c r="K48" s="301" t="s">
        <v>1290</v>
      </c>
      <c r="L48" s="301"/>
      <c r="M48" s="301"/>
      <c r="N48" s="292" t="s">
        <v>46</v>
      </c>
      <c r="O48" s="293"/>
      <c r="P48" s="294"/>
      <c r="Q48" s="253" t="s">
        <v>473</v>
      </c>
      <c r="R48" s="292" t="s">
        <v>47</v>
      </c>
      <c r="S48" s="293"/>
      <c r="T48" s="293"/>
      <c r="U48" s="293"/>
      <c r="V48" s="293"/>
      <c r="W48" s="294"/>
    </row>
    <row r="49" spans="1:23" ht="14.25" customHeight="1" x14ac:dyDescent="0.25">
      <c r="A49" s="6"/>
      <c r="B49" s="6"/>
      <c r="C49" s="6"/>
      <c r="D49" s="295" t="s">
        <v>48</v>
      </c>
      <c r="E49" s="296"/>
      <c r="F49" s="297"/>
      <c r="G49" s="16">
        <v>1852</v>
      </c>
      <c r="H49" s="295" t="s">
        <v>1377</v>
      </c>
      <c r="I49" s="296"/>
      <c r="J49" s="297"/>
      <c r="K49" s="295" t="s">
        <v>1349</v>
      </c>
      <c r="L49" s="296"/>
      <c r="M49" s="297"/>
      <c r="N49" s="295" t="s">
        <v>1378</v>
      </c>
      <c r="O49" s="296"/>
      <c r="P49" s="297"/>
      <c r="Q49" s="255"/>
      <c r="R49" s="298"/>
      <c r="S49" s="299"/>
      <c r="T49" s="299"/>
      <c r="U49" s="299"/>
      <c r="V49" s="299"/>
      <c r="W49" s="300"/>
    </row>
    <row r="50" spans="1:23" ht="14.25" customHeight="1" x14ac:dyDescent="0.25">
      <c r="A50" s="6"/>
      <c r="B50" s="6"/>
      <c r="C50" s="6"/>
      <c r="D50" s="288" t="s">
        <v>50</v>
      </c>
      <c r="E50" s="289"/>
      <c r="F50" s="290"/>
      <c r="G50" s="85">
        <v>50</v>
      </c>
      <c r="H50" s="288"/>
      <c r="I50" s="289"/>
      <c r="J50" s="290"/>
      <c r="K50" s="288"/>
      <c r="L50" s="289"/>
      <c r="M50" s="290"/>
      <c r="N50" s="288"/>
      <c r="O50" s="289"/>
      <c r="P50" s="290"/>
      <c r="Q50" s="254"/>
      <c r="R50" s="291"/>
      <c r="S50" s="291"/>
      <c r="T50" s="291"/>
      <c r="U50" s="291"/>
      <c r="V50" s="291"/>
      <c r="W50" s="291"/>
    </row>
    <row r="51" spans="1:23" ht="14.25" customHeight="1" x14ac:dyDescent="0.25">
      <c r="A51" s="6"/>
      <c r="B51" s="6"/>
      <c r="C51" s="6"/>
      <c r="D51" s="288" t="s">
        <v>1055</v>
      </c>
      <c r="E51" s="289"/>
      <c r="F51" s="290"/>
      <c r="G51" s="287">
        <v>60</v>
      </c>
      <c r="H51" s="288"/>
      <c r="I51" s="289"/>
      <c r="J51" s="290"/>
      <c r="K51" s="288"/>
      <c r="L51" s="289"/>
      <c r="M51" s="290"/>
      <c r="N51" s="288"/>
      <c r="O51" s="289"/>
      <c r="P51" s="290"/>
      <c r="Q51" s="254"/>
      <c r="R51" s="291"/>
      <c r="S51" s="291"/>
      <c r="T51" s="291"/>
      <c r="U51" s="291"/>
      <c r="V51" s="291"/>
      <c r="W51" s="291"/>
    </row>
    <row r="52" spans="1:23" ht="14.25" customHeight="1" x14ac:dyDescent="0.25">
      <c r="A52" s="6"/>
      <c r="B52" s="6"/>
      <c r="C52" s="6"/>
      <c r="D52" s="288" t="s">
        <v>1056</v>
      </c>
      <c r="E52" s="289"/>
      <c r="F52" s="290"/>
      <c r="G52" s="14"/>
      <c r="H52" s="288"/>
      <c r="I52" s="289"/>
      <c r="J52" s="290"/>
      <c r="K52" s="288"/>
      <c r="L52" s="289"/>
      <c r="M52" s="290"/>
      <c r="N52" s="288"/>
      <c r="O52" s="289"/>
      <c r="P52" s="290"/>
      <c r="Q52" s="254"/>
      <c r="R52" s="291"/>
      <c r="S52" s="291"/>
      <c r="T52" s="291"/>
      <c r="U52" s="291"/>
      <c r="V52" s="291"/>
      <c r="W52" s="291"/>
    </row>
    <row r="53" spans="1:23" ht="14.25" customHeight="1" x14ac:dyDescent="0.25">
      <c r="A53" s="6"/>
      <c r="B53" s="6"/>
      <c r="C53" s="6"/>
      <c r="D53" s="288" t="s">
        <v>1057</v>
      </c>
      <c r="E53" s="289"/>
      <c r="F53" s="290"/>
      <c r="G53" s="14">
        <v>11</v>
      </c>
      <c r="H53" s="288" t="s">
        <v>1379</v>
      </c>
      <c r="I53" s="289"/>
      <c r="J53" s="290"/>
      <c r="K53" s="288" t="s">
        <v>1349</v>
      </c>
      <c r="L53" s="289"/>
      <c r="M53" s="290"/>
      <c r="N53" s="288" t="s">
        <v>1380</v>
      </c>
      <c r="O53" s="289"/>
      <c r="P53" s="290"/>
      <c r="Q53" s="254"/>
      <c r="R53" s="291"/>
      <c r="S53" s="291"/>
      <c r="T53" s="291"/>
      <c r="U53" s="291"/>
      <c r="V53" s="291"/>
      <c r="W53" s="291"/>
    </row>
    <row r="54" spans="1:23" ht="14.25" customHeight="1" x14ac:dyDescent="0.25">
      <c r="A54" s="6"/>
      <c r="B54" s="6"/>
      <c r="C54" s="6"/>
      <c r="D54" s="288" t="s">
        <v>1058</v>
      </c>
      <c r="E54" s="289"/>
      <c r="F54" s="290"/>
      <c r="G54" s="14"/>
      <c r="H54" s="288"/>
      <c r="I54" s="289"/>
      <c r="J54" s="290"/>
      <c r="K54" s="288"/>
      <c r="L54" s="289"/>
      <c r="M54" s="290"/>
      <c r="N54" s="288"/>
      <c r="O54" s="289"/>
      <c r="P54" s="290"/>
      <c r="Q54" s="254"/>
      <c r="R54" s="291"/>
      <c r="S54" s="291"/>
      <c r="T54" s="291"/>
      <c r="U54" s="291"/>
      <c r="V54" s="291"/>
      <c r="W54" s="291"/>
    </row>
    <row r="55" spans="1:23" s="35" customFormat="1" ht="14.25" hidden="1" customHeight="1" x14ac:dyDescent="0.25">
      <c r="A55" s="6"/>
      <c r="B55" s="6"/>
      <c r="C55" s="6"/>
      <c r="D55" s="288"/>
      <c r="E55" s="289"/>
      <c r="F55" s="290"/>
      <c r="G55" s="105"/>
      <c r="H55" s="288"/>
      <c r="I55" s="289"/>
      <c r="J55" s="290"/>
      <c r="K55" s="288"/>
      <c r="L55" s="289"/>
      <c r="M55" s="290"/>
      <c r="N55" s="288"/>
      <c r="O55" s="289"/>
      <c r="P55" s="290"/>
      <c r="Q55" s="254"/>
      <c r="R55" s="291"/>
      <c r="S55" s="291"/>
      <c r="T55" s="291"/>
      <c r="U55" s="291"/>
      <c r="V55" s="291"/>
      <c r="W55" s="291"/>
    </row>
    <row r="56" spans="1:23" s="35" customFormat="1" ht="14.25" hidden="1" customHeight="1" x14ac:dyDescent="0.25">
      <c r="A56" s="6"/>
      <c r="B56" s="6"/>
      <c r="C56" s="6"/>
      <c r="D56" s="288"/>
      <c r="E56" s="289"/>
      <c r="F56" s="290"/>
      <c r="G56" s="105"/>
      <c r="H56" s="288"/>
      <c r="I56" s="289"/>
      <c r="J56" s="290"/>
      <c r="K56" s="288"/>
      <c r="L56" s="289"/>
      <c r="M56" s="290"/>
      <c r="N56" s="288"/>
      <c r="O56" s="289"/>
      <c r="P56" s="290"/>
      <c r="Q56" s="254"/>
      <c r="R56" s="291"/>
      <c r="S56" s="291"/>
      <c r="T56" s="291"/>
      <c r="U56" s="291"/>
      <c r="V56" s="291"/>
      <c r="W56" s="291"/>
    </row>
    <row r="57" spans="1:23" s="35" customFormat="1" ht="14.25" hidden="1" customHeight="1" x14ac:dyDescent="0.25">
      <c r="A57" s="6"/>
      <c r="B57" s="6"/>
      <c r="C57" s="6"/>
      <c r="D57" s="288"/>
      <c r="E57" s="289"/>
      <c r="F57" s="290"/>
      <c r="G57" s="105"/>
      <c r="H57" s="288"/>
      <c r="I57" s="289"/>
      <c r="J57" s="290"/>
      <c r="K57" s="288"/>
      <c r="L57" s="289"/>
      <c r="M57" s="290"/>
      <c r="N57" s="288"/>
      <c r="O57" s="289"/>
      <c r="P57" s="290"/>
      <c r="Q57" s="254"/>
      <c r="R57" s="291"/>
      <c r="S57" s="291"/>
      <c r="T57" s="291"/>
      <c r="U57" s="291"/>
      <c r="V57" s="291"/>
      <c r="W57" s="291"/>
    </row>
    <row r="58" spans="1:23" ht="14.25" hidden="1" customHeight="1" x14ac:dyDescent="0.25">
      <c r="A58" s="6"/>
      <c r="B58" s="6"/>
      <c r="C58" s="6"/>
      <c r="D58" s="288"/>
      <c r="E58" s="289"/>
      <c r="F58" s="290"/>
      <c r="G58" s="9"/>
      <c r="H58" s="288"/>
      <c r="I58" s="289"/>
      <c r="J58" s="290"/>
      <c r="K58" s="288"/>
      <c r="L58" s="289"/>
      <c r="M58" s="290"/>
      <c r="N58" s="288"/>
      <c r="O58" s="289"/>
      <c r="P58" s="290"/>
      <c r="Q58" s="254"/>
      <c r="R58" s="291"/>
      <c r="S58" s="291"/>
      <c r="T58" s="291"/>
      <c r="U58" s="291"/>
      <c r="V58" s="291"/>
      <c r="W58" s="291"/>
    </row>
    <row r="59" spans="1:23" ht="6" customHeight="1" x14ac:dyDescent="0.25">
      <c r="A59" s="6"/>
      <c r="B59" s="6"/>
      <c r="C59" s="6"/>
      <c r="D59" s="6"/>
      <c r="E59" s="6"/>
      <c r="F59" s="6"/>
      <c r="H59" s="6"/>
      <c r="I59" s="6"/>
      <c r="J59" s="6"/>
      <c r="K59" s="6"/>
      <c r="L59" s="6"/>
      <c r="M59" s="6"/>
      <c r="N59" s="6"/>
      <c r="O59" s="6"/>
      <c r="P59" s="6"/>
      <c r="Q59" s="6"/>
      <c r="R59" s="6"/>
      <c r="S59" s="6"/>
      <c r="T59" s="35"/>
      <c r="U59" s="35"/>
      <c r="V59" s="35"/>
    </row>
    <row r="60" spans="1:23" ht="14.25" customHeight="1" x14ac:dyDescent="0.25">
      <c r="A60" s="6"/>
      <c r="B60" s="6"/>
      <c r="C60" s="17" t="s">
        <v>51</v>
      </c>
      <c r="D60" s="6"/>
      <c r="E60" s="6"/>
      <c r="F60" s="6"/>
      <c r="H60" s="6"/>
      <c r="I60" s="6"/>
      <c r="J60" s="6"/>
      <c r="K60" s="6"/>
      <c r="L60" s="6"/>
    </row>
    <row r="61" spans="1:23" ht="6" customHeight="1" x14ac:dyDescent="0.25">
      <c r="A61" s="6"/>
      <c r="B61" s="6"/>
      <c r="C61" s="6"/>
      <c r="D61" s="6"/>
      <c r="E61" s="6"/>
      <c r="F61" s="6"/>
      <c r="H61" s="6"/>
      <c r="I61" s="6"/>
      <c r="J61" s="6"/>
      <c r="K61" s="6"/>
      <c r="L61" s="6"/>
      <c r="M61" s="6"/>
      <c r="N61" s="6"/>
      <c r="O61" s="6"/>
      <c r="P61" s="6"/>
      <c r="Q61" s="6"/>
      <c r="R61" s="6"/>
      <c r="S61" s="6"/>
    </row>
    <row r="62" spans="1:23" ht="14.25" customHeight="1" thickBot="1" x14ac:dyDescent="0.3">
      <c r="A62" s="6"/>
      <c r="B62" s="6"/>
      <c r="C62" s="6"/>
      <c r="D62" s="292" t="s">
        <v>42</v>
      </c>
      <c r="E62" s="293"/>
      <c r="F62" s="294"/>
      <c r="G62" s="15" t="s">
        <v>43</v>
      </c>
      <c r="H62" s="301" t="s">
        <v>1289</v>
      </c>
      <c r="I62" s="301"/>
      <c r="J62" s="301"/>
      <c r="K62" s="301" t="s">
        <v>1290</v>
      </c>
      <c r="L62" s="301"/>
      <c r="M62" s="301"/>
      <c r="N62" s="292" t="s">
        <v>46</v>
      </c>
      <c r="O62" s="293"/>
      <c r="P62" s="294"/>
      <c r="Q62" s="253" t="s">
        <v>473</v>
      </c>
      <c r="R62" s="292" t="s">
        <v>47</v>
      </c>
      <c r="S62" s="293"/>
      <c r="T62" s="293"/>
      <c r="U62" s="293"/>
      <c r="V62" s="293"/>
      <c r="W62" s="294"/>
    </row>
    <row r="63" spans="1:23" ht="14.25" customHeight="1" x14ac:dyDescent="0.25">
      <c r="A63" s="6"/>
      <c r="B63" s="6"/>
      <c r="C63" s="6"/>
      <c r="D63" s="295" t="s">
        <v>52</v>
      </c>
      <c r="E63" s="296"/>
      <c r="F63" s="297"/>
      <c r="G63" s="9"/>
      <c r="H63" s="295"/>
      <c r="I63" s="296"/>
      <c r="J63" s="297"/>
      <c r="K63" s="295"/>
      <c r="L63" s="296"/>
      <c r="M63" s="297"/>
      <c r="N63" s="295"/>
      <c r="O63" s="296"/>
      <c r="P63" s="297"/>
      <c r="Q63" s="255"/>
      <c r="R63" s="298" t="s">
        <v>1178</v>
      </c>
      <c r="S63" s="299"/>
      <c r="T63" s="299"/>
      <c r="U63" s="299"/>
      <c r="V63" s="299"/>
      <c r="W63" s="300"/>
    </row>
    <row r="64" spans="1:23" ht="14.25" customHeight="1" x14ac:dyDescent="0.25">
      <c r="A64" s="6"/>
      <c r="B64" s="6"/>
      <c r="C64" s="6"/>
      <c r="D64" s="288" t="s">
        <v>48</v>
      </c>
      <c r="E64" s="289"/>
      <c r="F64" s="290"/>
      <c r="G64" s="65">
        <v>1852</v>
      </c>
      <c r="H64" s="288" t="s">
        <v>1377</v>
      </c>
      <c r="I64" s="289"/>
      <c r="J64" s="290"/>
      <c r="K64" s="288" t="s">
        <v>1349</v>
      </c>
      <c r="L64" s="289"/>
      <c r="M64" s="290"/>
      <c r="N64" s="288" t="s">
        <v>1378</v>
      </c>
      <c r="O64" s="289"/>
      <c r="P64" s="290"/>
      <c r="Q64" s="254"/>
      <c r="R64" s="291"/>
      <c r="S64" s="291"/>
      <c r="T64" s="291"/>
      <c r="U64" s="291"/>
      <c r="V64" s="291"/>
      <c r="W64" s="291"/>
    </row>
    <row r="65" spans="1:23" s="35" customFormat="1" ht="14.25" customHeight="1" x14ac:dyDescent="0.25">
      <c r="A65" s="6"/>
      <c r="B65" s="6"/>
      <c r="C65" s="6"/>
      <c r="D65" s="288" t="s">
        <v>958</v>
      </c>
      <c r="E65" s="289"/>
      <c r="F65" s="290"/>
      <c r="G65" s="105"/>
      <c r="H65" s="288" t="s">
        <v>961</v>
      </c>
      <c r="I65" s="289"/>
      <c r="J65" s="290"/>
      <c r="K65" s="288" t="s">
        <v>961</v>
      </c>
      <c r="L65" s="289"/>
      <c r="M65" s="290"/>
      <c r="N65" s="288" t="s">
        <v>961</v>
      </c>
      <c r="O65" s="289"/>
      <c r="P65" s="290"/>
      <c r="Q65" s="254"/>
      <c r="R65" s="291" t="s">
        <v>1179</v>
      </c>
      <c r="S65" s="291"/>
      <c r="T65" s="291"/>
      <c r="U65" s="291"/>
      <c r="V65" s="291"/>
      <c r="W65" s="291"/>
    </row>
    <row r="66" spans="1:23" s="35" customFormat="1" ht="14.25" customHeight="1" x14ac:dyDescent="0.25">
      <c r="A66" s="6"/>
      <c r="B66" s="6"/>
      <c r="C66" s="6"/>
      <c r="D66" s="288" t="s">
        <v>959</v>
      </c>
      <c r="E66" s="289"/>
      <c r="F66" s="290"/>
      <c r="G66" s="105"/>
      <c r="H66" s="288" t="s">
        <v>961</v>
      </c>
      <c r="I66" s="289"/>
      <c r="J66" s="290"/>
      <c r="K66" s="288" t="s">
        <v>961</v>
      </c>
      <c r="L66" s="289"/>
      <c r="M66" s="290"/>
      <c r="N66" s="288" t="s">
        <v>961</v>
      </c>
      <c r="O66" s="289"/>
      <c r="P66" s="290"/>
      <c r="Q66" s="254"/>
      <c r="R66" s="291" t="s">
        <v>1179</v>
      </c>
      <c r="S66" s="291"/>
      <c r="T66" s="291"/>
      <c r="U66" s="291"/>
      <c r="V66" s="291"/>
      <c r="W66" s="291"/>
    </row>
    <row r="67" spans="1:23" s="35" customFormat="1" ht="14.25" customHeight="1" x14ac:dyDescent="0.25">
      <c r="A67" s="6"/>
      <c r="B67" s="6"/>
      <c r="C67" s="6"/>
      <c r="D67" s="288" t="s">
        <v>960</v>
      </c>
      <c r="E67" s="289"/>
      <c r="F67" s="290"/>
      <c r="G67" s="105"/>
      <c r="H67" s="288"/>
      <c r="I67" s="289"/>
      <c r="J67" s="290"/>
      <c r="K67" s="288"/>
      <c r="L67" s="289"/>
      <c r="M67" s="290"/>
      <c r="N67" s="288"/>
      <c r="O67" s="289"/>
      <c r="P67" s="290"/>
      <c r="Q67" s="254"/>
      <c r="R67" s="291"/>
      <c r="S67" s="291"/>
      <c r="T67" s="291"/>
      <c r="U67" s="291"/>
      <c r="V67" s="291"/>
      <c r="W67" s="291"/>
    </row>
    <row r="68" spans="1:23" ht="14.25" customHeight="1" x14ac:dyDescent="0.25">
      <c r="A68" s="6"/>
      <c r="B68" s="6"/>
      <c r="C68" s="6"/>
      <c r="D68" s="288"/>
      <c r="E68" s="289"/>
      <c r="F68" s="290"/>
      <c r="G68" s="9"/>
      <c r="H68" s="288"/>
      <c r="I68" s="289"/>
      <c r="J68" s="290"/>
      <c r="K68" s="288"/>
      <c r="L68" s="289"/>
      <c r="M68" s="290"/>
      <c r="N68" s="288"/>
      <c r="O68" s="289"/>
      <c r="P68" s="290"/>
      <c r="Q68" s="254"/>
      <c r="R68" s="291"/>
      <c r="S68" s="291"/>
      <c r="T68" s="291"/>
      <c r="U68" s="291"/>
      <c r="V68" s="291"/>
      <c r="W68" s="291"/>
    </row>
    <row r="69" spans="1:23" ht="14.25" customHeight="1" x14ac:dyDescent="0.25"/>
    <row r="70" spans="1:23" ht="14.25" customHeight="1" x14ac:dyDescent="0.25"/>
    <row r="71" spans="1:23" ht="14.25" customHeight="1" x14ac:dyDescent="0.25">
      <c r="B71" s="35"/>
      <c r="C71" s="285" t="s">
        <v>1319</v>
      </c>
      <c r="D71" s="6"/>
      <c r="E71" s="6"/>
      <c r="F71" s="6"/>
    </row>
    <row r="72" spans="1:23" ht="14.25" customHeight="1" x14ac:dyDescent="0.25">
      <c r="B72" s="35"/>
      <c r="C72" s="6"/>
      <c r="D72" s="6"/>
      <c r="E72" s="6"/>
      <c r="F72" s="6"/>
    </row>
    <row r="73" spans="1:23" ht="14.25" customHeight="1" thickBot="1" x14ac:dyDescent="0.3">
      <c r="B73" s="35"/>
      <c r="C73" s="6"/>
      <c r="D73" s="292" t="s">
        <v>42</v>
      </c>
      <c r="E73" s="293"/>
      <c r="F73" s="294"/>
      <c r="G73" s="281" t="s">
        <v>1320</v>
      </c>
    </row>
    <row r="74" spans="1:23" ht="14.25" customHeight="1" x14ac:dyDescent="0.25">
      <c r="B74" s="35"/>
      <c r="C74" s="6"/>
      <c r="D74" s="295" t="s">
        <v>1321</v>
      </c>
      <c r="E74" s="296"/>
      <c r="F74" s="297"/>
      <c r="G74" s="280"/>
    </row>
    <row r="75" spans="1:23" ht="14.25" customHeight="1" x14ac:dyDescent="0.25">
      <c r="B75" s="35"/>
      <c r="C75" s="6"/>
      <c r="D75" s="288" t="s">
        <v>1322</v>
      </c>
      <c r="E75" s="289"/>
      <c r="F75" s="290"/>
      <c r="G75" s="282"/>
    </row>
    <row r="76" spans="1:23" ht="14.25" customHeight="1" x14ac:dyDescent="0.25"/>
    <row r="77" spans="1:23" ht="14.25" customHeight="1" x14ac:dyDescent="0.25"/>
    <row r="78" spans="1:23" ht="14.25" customHeight="1" x14ac:dyDescent="0.25"/>
    <row r="79" spans="1:23" ht="14.25" customHeight="1" x14ac:dyDescent="0.25"/>
    <row r="80" spans="1:23"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sheetData>
  <mergeCells count="191">
    <mergeCell ref="C8:H8"/>
    <mergeCell ref="F13:J13"/>
    <mergeCell ref="B13:E13"/>
    <mergeCell ref="K12:N12"/>
    <mergeCell ref="M19:P19"/>
    <mergeCell ref="Q18:U18"/>
    <mergeCell ref="Q19:S19"/>
    <mergeCell ref="B26:E26"/>
    <mergeCell ref="F26:H26"/>
    <mergeCell ref="I26:K26"/>
    <mergeCell ref="L26:N26"/>
    <mergeCell ref="F19:J19"/>
    <mergeCell ref="B18:E18"/>
    <mergeCell ref="F18:J18"/>
    <mergeCell ref="B19:E19"/>
    <mergeCell ref="B23:E23"/>
    <mergeCell ref="F23:K23"/>
    <mergeCell ref="B25:E25"/>
    <mergeCell ref="F25:J25"/>
    <mergeCell ref="O12:S12"/>
    <mergeCell ref="B12:E12"/>
    <mergeCell ref="T14:U14"/>
    <mergeCell ref="F12:J12"/>
    <mergeCell ref="K13:N13"/>
    <mergeCell ref="O13:S13"/>
    <mergeCell ref="H34:J34"/>
    <mergeCell ref="K34:M34"/>
    <mergeCell ref="M18:P18"/>
    <mergeCell ref="M23:P23"/>
    <mergeCell ref="Q23:U23"/>
    <mergeCell ref="N25:P25"/>
    <mergeCell ref="R25:T25"/>
    <mergeCell ref="M21:U21"/>
    <mergeCell ref="R34:W34"/>
    <mergeCell ref="T28:V28"/>
    <mergeCell ref="M28:P28"/>
    <mergeCell ref="Q28:S28"/>
    <mergeCell ref="Q29:S29"/>
    <mergeCell ref="T29:V29"/>
    <mergeCell ref="N34:P34"/>
    <mergeCell ref="D34:F34"/>
    <mergeCell ref="R35:W35"/>
    <mergeCell ref="D35:F35"/>
    <mergeCell ref="V14:X14"/>
    <mergeCell ref="O14:S14"/>
    <mergeCell ref="K14:N14"/>
    <mergeCell ref="K36:M36"/>
    <mergeCell ref="D41:F41"/>
    <mergeCell ref="B28:E28"/>
    <mergeCell ref="N37:P37"/>
    <mergeCell ref="D36:F36"/>
    <mergeCell ref="F28:H28"/>
    <mergeCell ref="I28:K28"/>
    <mergeCell ref="D37:F37"/>
    <mergeCell ref="N36:P36"/>
    <mergeCell ref="N35:P35"/>
    <mergeCell ref="K35:M35"/>
    <mergeCell ref="H35:J35"/>
    <mergeCell ref="M29:P29"/>
    <mergeCell ref="D40:F40"/>
    <mergeCell ref="H40:J40"/>
    <mergeCell ref="R36:W36"/>
    <mergeCell ref="N64:P64"/>
    <mergeCell ref="N68:P68"/>
    <mergeCell ref="D67:F67"/>
    <mergeCell ref="H67:J67"/>
    <mergeCell ref="K67:M67"/>
    <mergeCell ref="N67:P67"/>
    <mergeCell ref="H37:J37"/>
    <mergeCell ref="K37:M37"/>
    <mergeCell ref="H36:J36"/>
    <mergeCell ref="D39:F39"/>
    <mergeCell ref="D43:F43"/>
    <mergeCell ref="H43:J43"/>
    <mergeCell ref="K43:M43"/>
    <mergeCell ref="N43:P43"/>
    <mergeCell ref="N38:P38"/>
    <mergeCell ref="H39:J39"/>
    <mergeCell ref="K39:M39"/>
    <mergeCell ref="K38:M38"/>
    <mergeCell ref="K44:M44"/>
    <mergeCell ref="H38:J38"/>
    <mergeCell ref="D48:F48"/>
    <mergeCell ref="D49:F49"/>
    <mergeCell ref="H49:J49"/>
    <mergeCell ref="K49:M49"/>
    <mergeCell ref="K48:M48"/>
    <mergeCell ref="H44:J44"/>
    <mergeCell ref="D38:F38"/>
    <mergeCell ref="K40:M40"/>
    <mergeCell ref="N40:P40"/>
    <mergeCell ref="H48:J48"/>
    <mergeCell ref="N39:P39"/>
    <mergeCell ref="N49:P49"/>
    <mergeCell ref="N44:P44"/>
    <mergeCell ref="N63:P63"/>
    <mergeCell ref="D58:F58"/>
    <mergeCell ref="H58:J58"/>
    <mergeCell ref="N58:P58"/>
    <mergeCell ref="D55:F55"/>
    <mergeCell ref="H55:J55"/>
    <mergeCell ref="K55:M55"/>
    <mergeCell ref="N55:P55"/>
    <mergeCell ref="D56:F56"/>
    <mergeCell ref="H56:J56"/>
    <mergeCell ref="D62:F62"/>
    <mergeCell ref="H62:J62"/>
    <mergeCell ref="K62:M62"/>
    <mergeCell ref="D63:F63"/>
    <mergeCell ref="H63:J63"/>
    <mergeCell ref="K63:M63"/>
    <mergeCell ref="K58:M58"/>
    <mergeCell ref="K51:M51"/>
    <mergeCell ref="N51:P51"/>
    <mergeCell ref="N52:P52"/>
    <mergeCell ref="N53:P53"/>
    <mergeCell ref="D52:F52"/>
    <mergeCell ref="H52:J52"/>
    <mergeCell ref="K56:M56"/>
    <mergeCell ref="N56:P56"/>
    <mergeCell ref="D57:F57"/>
    <mergeCell ref="H57:J57"/>
    <mergeCell ref="K57:M57"/>
    <mergeCell ref="D54:F54"/>
    <mergeCell ref="H54:J54"/>
    <mergeCell ref="K54:M54"/>
    <mergeCell ref="R49:W49"/>
    <mergeCell ref="R50:W50"/>
    <mergeCell ref="R51:W51"/>
    <mergeCell ref="R52:W52"/>
    <mergeCell ref="R53:W53"/>
    <mergeCell ref="R54:W54"/>
    <mergeCell ref="N50:P50"/>
    <mergeCell ref="R37:W37"/>
    <mergeCell ref="R38:W38"/>
    <mergeCell ref="R39:W39"/>
    <mergeCell ref="R40:W40"/>
    <mergeCell ref="R41:W41"/>
    <mergeCell ref="R42:W42"/>
    <mergeCell ref="R43:W43"/>
    <mergeCell ref="R44:W44"/>
    <mergeCell ref="R48:W48"/>
    <mergeCell ref="N48:P48"/>
    <mergeCell ref="D64:F64"/>
    <mergeCell ref="H64:J64"/>
    <mergeCell ref="K64:M64"/>
    <mergeCell ref="R58:W58"/>
    <mergeCell ref="N54:P54"/>
    <mergeCell ref="N57:P57"/>
    <mergeCell ref="N62:P62"/>
    <mergeCell ref="N41:P41"/>
    <mergeCell ref="N42:P42"/>
    <mergeCell ref="K52:M52"/>
    <mergeCell ref="D53:F53"/>
    <mergeCell ref="H53:J53"/>
    <mergeCell ref="K53:M53"/>
    <mergeCell ref="H41:J41"/>
    <mergeCell ref="K41:M41"/>
    <mergeCell ref="D44:F44"/>
    <mergeCell ref="D42:F42"/>
    <mergeCell ref="H42:J42"/>
    <mergeCell ref="K42:M42"/>
    <mergeCell ref="D50:F50"/>
    <mergeCell ref="H50:J50"/>
    <mergeCell ref="K50:M50"/>
    <mergeCell ref="D51:F51"/>
    <mergeCell ref="H51:J51"/>
    <mergeCell ref="D66:F66"/>
    <mergeCell ref="H66:J66"/>
    <mergeCell ref="K66:M66"/>
    <mergeCell ref="R55:W55"/>
    <mergeCell ref="R56:W56"/>
    <mergeCell ref="R57:W57"/>
    <mergeCell ref="D73:F73"/>
    <mergeCell ref="D74:F74"/>
    <mergeCell ref="D75:F75"/>
    <mergeCell ref="R66:W66"/>
    <mergeCell ref="R67:W67"/>
    <mergeCell ref="R68:W68"/>
    <mergeCell ref="R62:W62"/>
    <mergeCell ref="R63:W63"/>
    <mergeCell ref="R64:W64"/>
    <mergeCell ref="R65:W65"/>
    <mergeCell ref="N65:P65"/>
    <mergeCell ref="N66:P66"/>
    <mergeCell ref="D65:F65"/>
    <mergeCell ref="H65:J65"/>
    <mergeCell ref="K65:M65"/>
    <mergeCell ref="D68:F68"/>
    <mergeCell ref="H68:J68"/>
    <mergeCell ref="K68:M68"/>
  </mergeCells>
  <phoneticPr fontId="31" type="noConversion"/>
  <conditionalFormatting sqref="G64 G68:H68 K63:K64 K68 Q35:Q36 Q37:R44 H35:H44">
    <cfRule type="containsBlanks" dxfId="892" priority="240">
      <formula>LEN(TRIM(G35))=0</formula>
    </cfRule>
  </conditionalFormatting>
  <conditionalFormatting sqref="F18">
    <cfRule type="containsBlanks" dxfId="891" priority="239">
      <formula>LEN(TRIM(F18))=0</formula>
    </cfRule>
  </conditionalFormatting>
  <conditionalFormatting sqref="Q18">
    <cfRule type="containsBlanks" dxfId="890" priority="237">
      <formula>LEN(TRIM(Q18))=0</formula>
    </cfRule>
  </conditionalFormatting>
  <conditionalFormatting sqref="Q19 Q23 Q25 U25">
    <cfRule type="containsBlanks" dxfId="889" priority="236">
      <formula>LEN(TRIM(Q19))=0</formula>
    </cfRule>
  </conditionalFormatting>
  <conditionalFormatting sqref="F26">
    <cfRule type="containsBlanks" dxfId="888" priority="235">
      <formula>LEN(TRIM(F26))=0</formula>
    </cfRule>
  </conditionalFormatting>
  <conditionalFormatting sqref="I26">
    <cfRule type="containsBlanks" dxfId="887" priority="234">
      <formula>LEN(TRIM(I26))=0</formula>
    </cfRule>
  </conditionalFormatting>
  <conditionalFormatting sqref="L26">
    <cfRule type="containsBlanks" dxfId="886" priority="233">
      <formula>LEN(TRIM(L26))=0</formula>
    </cfRule>
  </conditionalFormatting>
  <conditionalFormatting sqref="F25">
    <cfRule type="containsBlanks" dxfId="885" priority="229">
      <formula>LEN(TRIM(F25))=0</formula>
    </cfRule>
  </conditionalFormatting>
  <conditionalFormatting sqref="F28">
    <cfRule type="containsBlanks" dxfId="884" priority="228">
      <formula>LEN(TRIM(F28))=0</formula>
    </cfRule>
  </conditionalFormatting>
  <conditionalFormatting sqref="I28">
    <cfRule type="containsBlanks" dxfId="883" priority="227">
      <formula>LEN(TRIM(I28))=0</formula>
    </cfRule>
  </conditionalFormatting>
  <conditionalFormatting sqref="T29">
    <cfRule type="containsBlanks" dxfId="882" priority="222">
      <formula>LEN(TRIM(T29))=0</formula>
    </cfRule>
  </conditionalFormatting>
  <conditionalFormatting sqref="Q28">
    <cfRule type="containsBlanks" dxfId="881" priority="225">
      <formula>LEN(TRIM(Q28))=0</formula>
    </cfRule>
  </conditionalFormatting>
  <conditionalFormatting sqref="T28">
    <cfRule type="containsBlanks" dxfId="880" priority="224">
      <formula>LEN(TRIM(T28))=0</formula>
    </cfRule>
  </conditionalFormatting>
  <conditionalFormatting sqref="Q29">
    <cfRule type="containsBlanks" dxfId="879" priority="223">
      <formula>LEN(TRIM(Q29))=0</formula>
    </cfRule>
  </conditionalFormatting>
  <conditionalFormatting sqref="G35:G36 G44">
    <cfRule type="containsBlanks" dxfId="878" priority="219">
      <formula>LEN(TRIM(G35))=0</formula>
    </cfRule>
  </conditionalFormatting>
  <conditionalFormatting sqref="H51">
    <cfRule type="containsBlanks" dxfId="877" priority="208">
      <formula>LEN(TRIM(H51))=0</formula>
    </cfRule>
  </conditionalFormatting>
  <conditionalFormatting sqref="K35:K36 K44">
    <cfRule type="containsBlanks" dxfId="876" priority="215">
      <formula>LEN(TRIM(K35))=0</formula>
    </cfRule>
  </conditionalFormatting>
  <conditionalFormatting sqref="R35:W36 Q49:Q58 Q63:Q68">
    <cfRule type="containsBlanks" dxfId="875" priority="213">
      <formula>LEN(TRIM(Q35))=0</formula>
    </cfRule>
  </conditionalFormatting>
  <conditionalFormatting sqref="D44">
    <cfRule type="containsBlanks" dxfId="874" priority="212">
      <formula>LEN(TRIM(D44))=0</formula>
    </cfRule>
  </conditionalFormatting>
  <conditionalFormatting sqref="D54">
    <cfRule type="containsBlanks" dxfId="873" priority="204">
      <formula>LEN(TRIM(D54))=0</formula>
    </cfRule>
  </conditionalFormatting>
  <conditionalFormatting sqref="G49 G51">
    <cfRule type="containsBlanks" dxfId="872" priority="211">
      <formula>LEN(TRIM(G49))=0</formula>
    </cfRule>
  </conditionalFormatting>
  <conditionalFormatting sqref="H49">
    <cfRule type="containsBlanks" dxfId="871" priority="210">
      <formula>LEN(TRIM(H49))=0</formula>
    </cfRule>
  </conditionalFormatting>
  <conditionalFormatting sqref="H63">
    <cfRule type="containsBlanks" dxfId="870" priority="202">
      <formula>LEN(TRIM(H63))=0</formula>
    </cfRule>
  </conditionalFormatting>
  <conditionalFormatting sqref="K49 K51">
    <cfRule type="containsBlanks" dxfId="869" priority="207">
      <formula>LEN(TRIM(K49))=0</formula>
    </cfRule>
  </conditionalFormatting>
  <conditionalFormatting sqref="H64">
    <cfRule type="containsBlanks" dxfId="868" priority="201">
      <formula>LEN(TRIM(H64))=0</formula>
    </cfRule>
  </conditionalFormatting>
  <conditionalFormatting sqref="G58">
    <cfRule type="containsBlanks" dxfId="867" priority="195">
      <formula>LEN(TRIM(G58))=0</formula>
    </cfRule>
  </conditionalFormatting>
  <conditionalFormatting sqref="H58">
    <cfRule type="containsBlanks" dxfId="866" priority="194">
      <formula>LEN(TRIM(H58))=0</formula>
    </cfRule>
  </conditionalFormatting>
  <conditionalFormatting sqref="D58">
    <cfRule type="containsBlanks" dxfId="865" priority="178">
      <formula>LEN(TRIM(D58))=0</formula>
    </cfRule>
  </conditionalFormatting>
  <conditionalFormatting sqref="K58">
    <cfRule type="containsBlanks" dxfId="864" priority="193">
      <formula>LEN(TRIM(K58))=0</formula>
    </cfRule>
  </conditionalFormatting>
  <conditionalFormatting sqref="G63">
    <cfRule type="containsBlanks" dxfId="863" priority="173">
      <formula>LEN(TRIM(G63))=0</formula>
    </cfRule>
  </conditionalFormatting>
  <conditionalFormatting sqref="D68">
    <cfRule type="containsBlanks" dxfId="862" priority="177">
      <formula>LEN(TRIM(D68))=0</formula>
    </cfRule>
  </conditionalFormatting>
  <conditionalFormatting sqref="F23">
    <cfRule type="containsBlanks" dxfId="861" priority="162">
      <formula>LEN(TRIM(F23))=0</formula>
    </cfRule>
  </conditionalFormatting>
  <conditionalFormatting sqref="F19">
    <cfRule type="containsBlanks" dxfId="860" priority="161">
      <formula>LEN(TRIM(F19))=0</formula>
    </cfRule>
  </conditionalFormatting>
  <conditionalFormatting sqref="N35:N36">
    <cfRule type="containsBlanks" dxfId="859" priority="160">
      <formula>LEN(TRIM(N35))=0</formula>
    </cfRule>
  </conditionalFormatting>
  <conditionalFormatting sqref="N58">
    <cfRule type="containsBlanks" dxfId="858" priority="142">
      <formula>LEN(TRIM(N58))=0</formula>
    </cfRule>
  </conditionalFormatting>
  <conditionalFormatting sqref="N49">
    <cfRule type="containsBlanks" dxfId="857" priority="159">
      <formula>LEN(TRIM(N49))=0</formula>
    </cfRule>
  </conditionalFormatting>
  <conditionalFormatting sqref="N51">
    <cfRule type="containsBlanks" dxfId="856" priority="158">
      <formula>LEN(TRIM(N51))=0</formula>
    </cfRule>
  </conditionalFormatting>
  <conditionalFormatting sqref="H52">
    <cfRule type="containsBlanks" dxfId="855" priority="156">
      <formula>LEN(TRIM(H52))=0</formula>
    </cfRule>
  </conditionalFormatting>
  <conditionalFormatting sqref="G52">
    <cfRule type="containsBlanks" dxfId="854" priority="157">
      <formula>LEN(TRIM(G52))=0</formula>
    </cfRule>
  </conditionalFormatting>
  <conditionalFormatting sqref="K52">
    <cfRule type="containsBlanks" dxfId="853" priority="155">
      <formula>LEN(TRIM(K52))=0</formula>
    </cfRule>
  </conditionalFormatting>
  <conditionalFormatting sqref="N52">
    <cfRule type="containsBlanks" dxfId="852" priority="153">
      <formula>LEN(TRIM(N52))=0</formula>
    </cfRule>
  </conditionalFormatting>
  <conditionalFormatting sqref="H53">
    <cfRule type="containsBlanks" dxfId="851" priority="151">
      <formula>LEN(TRIM(H53))=0</formula>
    </cfRule>
  </conditionalFormatting>
  <conditionalFormatting sqref="G53">
    <cfRule type="containsBlanks" dxfId="850" priority="152">
      <formula>LEN(TRIM(G53))=0</formula>
    </cfRule>
  </conditionalFormatting>
  <conditionalFormatting sqref="K53">
    <cfRule type="containsBlanks" dxfId="849" priority="150">
      <formula>LEN(TRIM(K53))=0</formula>
    </cfRule>
  </conditionalFormatting>
  <conditionalFormatting sqref="N53">
    <cfRule type="containsBlanks" dxfId="848" priority="148">
      <formula>LEN(TRIM(N53))=0</formula>
    </cfRule>
  </conditionalFormatting>
  <conditionalFormatting sqref="H54">
    <cfRule type="containsBlanks" dxfId="847" priority="146">
      <formula>LEN(TRIM(H54))=0</formula>
    </cfRule>
  </conditionalFormatting>
  <conditionalFormatting sqref="G54">
    <cfRule type="containsBlanks" dxfId="846" priority="147">
      <formula>LEN(TRIM(G54))=0</formula>
    </cfRule>
  </conditionalFormatting>
  <conditionalFormatting sqref="K54">
    <cfRule type="containsBlanks" dxfId="845" priority="145">
      <formula>LEN(TRIM(K54))=0</formula>
    </cfRule>
  </conditionalFormatting>
  <conditionalFormatting sqref="N68">
    <cfRule type="containsBlanks" dxfId="844" priority="140">
      <formula>LEN(TRIM(N68))=0</formula>
    </cfRule>
  </conditionalFormatting>
  <conditionalFormatting sqref="N44">
    <cfRule type="containsBlanks" dxfId="843" priority="139">
      <formula>LEN(TRIM(N44))=0</formula>
    </cfRule>
  </conditionalFormatting>
  <conditionalFormatting sqref="N63:P68">
    <cfRule type="containsBlanks" dxfId="842" priority="141">
      <formula>LEN(TRIM(N63))=0</formula>
    </cfRule>
  </conditionalFormatting>
  <conditionalFormatting sqref="F12">
    <cfRule type="containsBlanks" dxfId="841" priority="130">
      <formula>LEN(TRIM(F12))=0</formula>
    </cfRule>
  </conditionalFormatting>
  <conditionalFormatting sqref="O14">
    <cfRule type="containsBlanks" dxfId="840" priority="129">
      <formula>LEN(TRIM(O14))=0</formula>
    </cfRule>
  </conditionalFormatting>
  <conditionalFormatting sqref="O13">
    <cfRule type="containsBlanks" dxfId="839" priority="128">
      <formula>LEN(TRIM(O13))=0</formula>
    </cfRule>
  </conditionalFormatting>
  <conditionalFormatting sqref="N54">
    <cfRule type="containsBlanks" dxfId="838" priority="123">
      <formula>LEN(TRIM(N54))=0</formula>
    </cfRule>
  </conditionalFormatting>
  <conditionalFormatting sqref="G37">
    <cfRule type="containsBlanks" dxfId="837" priority="103">
      <formula>LEN(TRIM(G37))=0</formula>
    </cfRule>
  </conditionalFormatting>
  <conditionalFormatting sqref="K37">
    <cfRule type="containsBlanks" dxfId="836" priority="101">
      <formula>LEN(TRIM(K37))=0</formula>
    </cfRule>
  </conditionalFormatting>
  <conditionalFormatting sqref="N37">
    <cfRule type="containsBlanks" dxfId="835" priority="99">
      <formula>LEN(TRIM(N37))=0</formula>
    </cfRule>
  </conditionalFormatting>
  <conditionalFormatting sqref="G38">
    <cfRule type="containsBlanks" dxfId="834" priority="98">
      <formula>LEN(TRIM(G38))=0</formula>
    </cfRule>
  </conditionalFormatting>
  <conditionalFormatting sqref="G39">
    <cfRule type="containsBlanks" dxfId="833" priority="93">
      <formula>LEN(TRIM(G39))=0</formula>
    </cfRule>
  </conditionalFormatting>
  <conditionalFormatting sqref="K39">
    <cfRule type="containsBlanks" dxfId="832" priority="91">
      <formula>LEN(TRIM(K39))=0</formula>
    </cfRule>
  </conditionalFormatting>
  <conditionalFormatting sqref="N39">
    <cfRule type="containsBlanks" dxfId="831" priority="89">
      <formula>LEN(TRIM(N39))=0</formula>
    </cfRule>
  </conditionalFormatting>
  <conditionalFormatting sqref="G50">
    <cfRule type="containsBlanks" dxfId="830" priority="88">
      <formula>LEN(TRIM(G50))=0</formula>
    </cfRule>
  </conditionalFormatting>
  <conditionalFormatting sqref="H50">
    <cfRule type="containsBlanks" dxfId="829" priority="87">
      <formula>LEN(TRIM(H50))=0</formula>
    </cfRule>
  </conditionalFormatting>
  <conditionalFormatting sqref="K50">
    <cfRule type="containsBlanks" dxfId="828" priority="86">
      <formula>LEN(TRIM(K50))=0</formula>
    </cfRule>
  </conditionalFormatting>
  <conditionalFormatting sqref="N50">
    <cfRule type="containsBlanks" dxfId="827" priority="84">
      <formula>LEN(TRIM(N50))=0</formula>
    </cfRule>
  </conditionalFormatting>
  <conditionalFormatting sqref="F13">
    <cfRule type="containsBlanks" dxfId="826" priority="80">
      <formula>LEN(TRIM(F13))=0</formula>
    </cfRule>
  </conditionalFormatting>
  <conditionalFormatting sqref="O12">
    <cfRule type="containsBlanks" dxfId="825" priority="79">
      <formula>LEN(TRIM(O12))=0</formula>
    </cfRule>
  </conditionalFormatting>
  <conditionalFormatting sqref="C8">
    <cfRule type="containsBlanks" dxfId="824" priority="74">
      <formula>LEN(TRIM(C8))=0</formula>
    </cfRule>
  </conditionalFormatting>
  <conditionalFormatting sqref="G43">
    <cfRule type="containsBlanks" dxfId="823" priority="73">
      <formula>LEN(TRIM(G43))=0</formula>
    </cfRule>
  </conditionalFormatting>
  <conditionalFormatting sqref="K43">
    <cfRule type="containsBlanks" dxfId="822" priority="71">
      <formula>LEN(TRIM(K43))=0</formula>
    </cfRule>
  </conditionalFormatting>
  <conditionalFormatting sqref="D43">
    <cfRule type="containsBlanks" dxfId="821" priority="69">
      <formula>LEN(TRIM(D43))=0</formula>
    </cfRule>
  </conditionalFormatting>
  <conditionalFormatting sqref="N43">
    <cfRule type="containsBlanks" dxfId="820" priority="68">
      <formula>LEN(TRIM(N43))=0</formula>
    </cfRule>
  </conditionalFormatting>
  <conditionalFormatting sqref="G42">
    <cfRule type="containsBlanks" dxfId="819" priority="67">
      <formula>LEN(TRIM(G42))=0</formula>
    </cfRule>
  </conditionalFormatting>
  <conditionalFormatting sqref="K42">
    <cfRule type="containsBlanks" dxfId="818" priority="65">
      <formula>LEN(TRIM(K42))=0</formula>
    </cfRule>
  </conditionalFormatting>
  <conditionalFormatting sqref="D42">
    <cfRule type="containsBlanks" dxfId="817" priority="63">
      <formula>LEN(TRIM(D42))=0</formula>
    </cfRule>
  </conditionalFormatting>
  <conditionalFormatting sqref="N42">
    <cfRule type="containsBlanks" dxfId="816" priority="62">
      <formula>LEN(TRIM(N42))=0</formula>
    </cfRule>
  </conditionalFormatting>
  <conditionalFormatting sqref="G40">
    <cfRule type="containsBlanks" dxfId="815" priority="61">
      <formula>LEN(TRIM(G40))=0</formula>
    </cfRule>
  </conditionalFormatting>
  <conditionalFormatting sqref="K40">
    <cfRule type="containsBlanks" dxfId="814" priority="59">
      <formula>LEN(TRIM(K40))=0</formula>
    </cfRule>
  </conditionalFormatting>
  <conditionalFormatting sqref="D40">
    <cfRule type="containsBlanks" dxfId="813" priority="57">
      <formula>LEN(TRIM(D40))=0</formula>
    </cfRule>
  </conditionalFormatting>
  <conditionalFormatting sqref="N40">
    <cfRule type="containsBlanks" dxfId="812" priority="56">
      <formula>LEN(TRIM(N40))=0</formula>
    </cfRule>
  </conditionalFormatting>
  <conditionalFormatting sqref="G57">
    <cfRule type="containsBlanks" dxfId="811" priority="55">
      <formula>LEN(TRIM(G57))=0</formula>
    </cfRule>
  </conditionalFormatting>
  <conditionalFormatting sqref="H57">
    <cfRule type="containsBlanks" dxfId="810" priority="54">
      <formula>LEN(TRIM(H57))=0</formula>
    </cfRule>
  </conditionalFormatting>
  <conditionalFormatting sqref="K57">
    <cfRule type="containsBlanks" dxfId="809" priority="53">
      <formula>LEN(TRIM(K57))=0</formula>
    </cfRule>
  </conditionalFormatting>
  <conditionalFormatting sqref="D57">
    <cfRule type="containsBlanks" dxfId="808" priority="51">
      <formula>LEN(TRIM(D57))=0</formula>
    </cfRule>
  </conditionalFormatting>
  <conditionalFormatting sqref="N57">
    <cfRule type="containsBlanks" dxfId="807" priority="50">
      <formula>LEN(TRIM(N57))=0</formula>
    </cfRule>
  </conditionalFormatting>
  <conditionalFormatting sqref="G56">
    <cfRule type="containsBlanks" dxfId="806" priority="49">
      <formula>LEN(TRIM(G56))=0</formula>
    </cfRule>
  </conditionalFormatting>
  <conditionalFormatting sqref="H56">
    <cfRule type="containsBlanks" dxfId="805" priority="48">
      <formula>LEN(TRIM(H56))=0</formula>
    </cfRule>
  </conditionalFormatting>
  <conditionalFormatting sqref="K56">
    <cfRule type="containsBlanks" dxfId="804" priority="47">
      <formula>LEN(TRIM(K56))=0</formula>
    </cfRule>
  </conditionalFormatting>
  <conditionalFormatting sqref="D56">
    <cfRule type="containsBlanks" dxfId="803" priority="45">
      <formula>LEN(TRIM(D56))=0</formula>
    </cfRule>
  </conditionalFormatting>
  <conditionalFormatting sqref="N56">
    <cfRule type="containsBlanks" dxfId="802" priority="44">
      <formula>LEN(TRIM(N56))=0</formula>
    </cfRule>
  </conditionalFormatting>
  <conditionalFormatting sqref="G55">
    <cfRule type="containsBlanks" dxfId="801" priority="43">
      <formula>LEN(TRIM(G55))=0</formula>
    </cfRule>
  </conditionalFormatting>
  <conditionalFormatting sqref="H55">
    <cfRule type="containsBlanks" dxfId="800" priority="42">
      <formula>LEN(TRIM(H55))=0</formula>
    </cfRule>
  </conditionalFormatting>
  <conditionalFormatting sqref="K55">
    <cfRule type="containsBlanks" dxfId="799" priority="41">
      <formula>LEN(TRIM(K55))=0</formula>
    </cfRule>
  </conditionalFormatting>
  <conditionalFormatting sqref="D55">
    <cfRule type="containsBlanks" dxfId="798" priority="39">
      <formula>LEN(TRIM(D55))=0</formula>
    </cfRule>
  </conditionalFormatting>
  <conditionalFormatting sqref="N55">
    <cfRule type="containsBlanks" dxfId="797" priority="38">
      <formula>LEN(TRIM(N55))=0</formula>
    </cfRule>
  </conditionalFormatting>
  <conditionalFormatting sqref="G67">
    <cfRule type="containsBlanks" dxfId="796" priority="37">
      <formula>LEN(TRIM(G67))=0</formula>
    </cfRule>
  </conditionalFormatting>
  <conditionalFormatting sqref="H67">
    <cfRule type="containsBlanks" dxfId="795" priority="36">
      <formula>LEN(TRIM(H67))=0</formula>
    </cfRule>
  </conditionalFormatting>
  <conditionalFormatting sqref="K67">
    <cfRule type="containsBlanks" dxfId="794" priority="35">
      <formula>LEN(TRIM(K67))=0</formula>
    </cfRule>
  </conditionalFormatting>
  <conditionalFormatting sqref="D67">
    <cfRule type="containsBlanks" dxfId="793" priority="33">
      <formula>LEN(TRIM(D67))=0</formula>
    </cfRule>
  </conditionalFormatting>
  <conditionalFormatting sqref="N67">
    <cfRule type="containsBlanks" dxfId="792" priority="32">
      <formula>LEN(TRIM(N67))=0</formula>
    </cfRule>
  </conditionalFormatting>
  <conditionalFormatting sqref="G66">
    <cfRule type="containsBlanks" dxfId="791" priority="31">
      <formula>LEN(TRIM(G66))=0</formula>
    </cfRule>
  </conditionalFormatting>
  <conditionalFormatting sqref="H66">
    <cfRule type="containsBlanks" dxfId="790" priority="30">
      <formula>LEN(TRIM(H66))=0</formula>
    </cfRule>
  </conditionalFormatting>
  <conditionalFormatting sqref="K66">
    <cfRule type="containsBlanks" dxfId="789" priority="29">
      <formula>LEN(TRIM(K66))=0</formula>
    </cfRule>
  </conditionalFormatting>
  <conditionalFormatting sqref="D66">
    <cfRule type="containsBlanks" dxfId="788" priority="27">
      <formula>LEN(TRIM(D66))=0</formula>
    </cfRule>
  </conditionalFormatting>
  <conditionalFormatting sqref="N66">
    <cfRule type="containsBlanks" dxfId="787" priority="26">
      <formula>LEN(TRIM(N66))=0</formula>
    </cfRule>
  </conditionalFormatting>
  <conditionalFormatting sqref="G65">
    <cfRule type="containsBlanks" dxfId="786" priority="25">
      <formula>LEN(TRIM(G65))=0</formula>
    </cfRule>
  </conditionalFormatting>
  <conditionalFormatting sqref="H65">
    <cfRule type="containsBlanks" dxfId="785" priority="24">
      <formula>LEN(TRIM(H65))=0</formula>
    </cfRule>
  </conditionalFormatting>
  <conditionalFormatting sqref="K65">
    <cfRule type="containsBlanks" dxfId="784" priority="23">
      <formula>LEN(TRIM(K65))=0</formula>
    </cfRule>
  </conditionalFormatting>
  <conditionalFormatting sqref="D65">
    <cfRule type="containsBlanks" dxfId="783" priority="21">
      <formula>LEN(TRIM(D65))=0</formula>
    </cfRule>
  </conditionalFormatting>
  <conditionalFormatting sqref="N65">
    <cfRule type="containsBlanks" dxfId="782" priority="20">
      <formula>LEN(TRIM(N65))=0</formula>
    </cfRule>
  </conditionalFormatting>
  <conditionalFormatting sqref="G41">
    <cfRule type="containsBlanks" dxfId="781" priority="19">
      <formula>LEN(TRIM(G41))=0</formula>
    </cfRule>
  </conditionalFormatting>
  <conditionalFormatting sqref="K41">
    <cfRule type="containsBlanks" dxfId="780" priority="17">
      <formula>LEN(TRIM(K41))=0</formula>
    </cfRule>
  </conditionalFormatting>
  <conditionalFormatting sqref="D41">
    <cfRule type="containsBlanks" dxfId="779" priority="15">
      <formula>LEN(TRIM(D41))=0</formula>
    </cfRule>
  </conditionalFormatting>
  <conditionalFormatting sqref="N41">
    <cfRule type="containsBlanks" dxfId="778" priority="14">
      <formula>LEN(TRIM(N41))=0</formula>
    </cfRule>
  </conditionalFormatting>
  <conditionalFormatting sqref="V14">
    <cfRule type="containsBlanks" dxfId="777" priority="13">
      <formula>LEN(TRIM(V14))=0</formula>
    </cfRule>
  </conditionalFormatting>
  <conditionalFormatting sqref="R49:R50">
    <cfRule type="containsBlanks" dxfId="776" priority="10">
      <formula>LEN(TRIM(R49))=0</formula>
    </cfRule>
  </conditionalFormatting>
  <conditionalFormatting sqref="R51:R57">
    <cfRule type="containsBlanks" dxfId="775" priority="9">
      <formula>LEN(TRIM(R51))=0</formula>
    </cfRule>
  </conditionalFormatting>
  <conditionalFormatting sqref="R58">
    <cfRule type="containsBlanks" dxfId="774" priority="8">
      <formula>LEN(TRIM(R58))=0</formula>
    </cfRule>
  </conditionalFormatting>
  <conditionalFormatting sqref="R63:R64">
    <cfRule type="containsBlanks" dxfId="773" priority="7">
      <formula>LEN(TRIM(R63))=0</formula>
    </cfRule>
  </conditionalFormatting>
  <conditionalFormatting sqref="R65 R67:R68">
    <cfRule type="containsBlanks" dxfId="772" priority="6">
      <formula>LEN(TRIM(R65))=0</formula>
    </cfRule>
  </conditionalFormatting>
  <conditionalFormatting sqref="R66">
    <cfRule type="containsBlanks" dxfId="771" priority="5">
      <formula>LEN(TRIM(R66))=0</formula>
    </cfRule>
  </conditionalFormatting>
  <conditionalFormatting sqref="K38">
    <cfRule type="containsBlanks" dxfId="770" priority="4">
      <formula>LEN(TRIM(K38))=0</formula>
    </cfRule>
  </conditionalFormatting>
  <conditionalFormatting sqref="N38">
    <cfRule type="containsBlanks" dxfId="769" priority="3">
      <formula>LEN(TRIM(N38))=0</formula>
    </cfRule>
  </conditionalFormatting>
  <conditionalFormatting sqref="G75">
    <cfRule type="containsBlanks" dxfId="768" priority="1">
      <formula>LEN(TRIM(G75))=0</formula>
    </cfRule>
  </conditionalFormatting>
  <conditionalFormatting sqref="G74">
    <cfRule type="containsBlanks" dxfId="767" priority="2">
      <formula>LEN(TRIM(G74))=0</formula>
    </cfRule>
  </conditionalFormatting>
  <dataValidations count="2">
    <dataValidation allowBlank="1" sqref="O12:S12 D65:F68 D55:F58" xr:uid="{00000000-0002-0000-0100-000000000000}"/>
    <dataValidation allowBlank="1" showInputMessage="1" showErrorMessage="1" promptTitle="IP Subnet and Mask Formatting" prompt="Input with mask - 0.0.0.0/24.  Example: 10.1.100.0/24._x000a_This is used for other cells in the sheet and requires this format." sqref="H35:J44" xr:uid="{00000000-0002-0000-0100-000001000000}"/>
  </dataValidations>
  <hyperlinks>
    <hyperlink ref="F18" r:id="rId1" xr:uid="{00000000-0004-0000-0100-000000000000}"/>
    <hyperlink ref="F18:J18" r:id="rId2" display="dl-it-alerts@speedcast.com" xr:uid="{B9F96EF7-0E3D-4B8F-985A-1BE070A5A382}"/>
  </hyperlinks>
  <printOptions gridLines="1"/>
  <pageMargins left="0.75" right="0.25" top="0.25" bottom="0.75" header="0.3" footer="0.3"/>
  <pageSetup paperSize="3" fitToHeight="0" orientation="landscape" r:id="rId3"/>
  <headerFooter>
    <oddFooter>&amp;R&amp;A
&amp;P</oddFooter>
  </headerFooter>
  <drawing r:id="rId4"/>
  <legacyDrawing r:id="rId5"/>
  <extLst>
    <ext xmlns:x14="http://schemas.microsoft.com/office/spreadsheetml/2009/9/main" uri="{CCE6A557-97BC-4b89-ADB6-D9C93CAAB3DF}">
      <x14:dataValidations xmlns:xm="http://schemas.microsoft.com/office/excel/2006/main" count="5">
        <x14:dataValidation type="list" allowBlank="1" xr:uid="{00000000-0002-0000-0100-000002000000}">
          <x14:formula1>
            <xm:f>Dropdowns!$C$9:$C$59</xm:f>
          </x14:formula1>
          <xm:sqref>O14:S14</xm:sqref>
        </x14:dataValidation>
        <x14:dataValidation type="list" allowBlank="1" xr:uid="{00000000-0002-0000-0100-000003000000}">
          <x14:formula1>
            <xm:f>Dropdowns!$R$3:$R$10</xm:f>
          </x14:formula1>
          <xm:sqref>C8:H8</xm:sqref>
        </x14:dataValidation>
        <x14:dataValidation type="list" allowBlank="1" showInputMessage="1" showErrorMessage="1" xr:uid="{00000000-0002-0000-0100-000004000000}">
          <x14:formula1>
            <xm:f>Dropdowns!$B$3:$B$4</xm:f>
          </x14:formula1>
          <xm:sqref>U25</xm:sqref>
        </x14:dataValidation>
        <x14:dataValidation type="list" allowBlank="1" showInputMessage="1" showErrorMessage="1" xr:uid="{00000000-0002-0000-0100-000005000000}">
          <x14:formula1>
            <xm:f>Dropdowns!$O$3:$O$4</xm:f>
          </x14:formula1>
          <xm:sqref>Q49:Q58 Q63:Q68 Q35:Q44</xm:sqref>
        </x14:dataValidation>
        <x14:dataValidation type="list" allowBlank="1" xr:uid="{00000000-0002-0000-0100-000006000000}">
          <x14:formula1>
            <xm:f>Dropdowns!$E$3:$E$12</xm:f>
          </x14:formula1>
          <xm:sqref>D35:F44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pageSetUpPr fitToPage="1"/>
  </sheetPr>
  <dimension ref="A2:AC146"/>
  <sheetViews>
    <sheetView workbookViewId="0">
      <pane ySplit="4" topLeftCell="A5" activePane="bottomLeft" state="frozenSplit"/>
      <selection activeCell="N65" sqref="N65:P65"/>
      <selection pane="bottomLeft" activeCell="AB57" sqref="AB57"/>
    </sheetView>
  </sheetViews>
  <sheetFormatPr defaultColWidth="7.140625" defaultRowHeight="10.5" x14ac:dyDescent="0.25"/>
  <cols>
    <col min="1" max="1" width="1.42578125" style="3" customWidth="1"/>
    <col min="2" max="10" width="7.140625" style="3"/>
    <col min="11" max="11" width="9.28515625" style="3" customWidth="1"/>
    <col min="12" max="17" width="7.140625" style="3"/>
    <col min="18" max="18" width="7.140625" style="3" customWidth="1"/>
    <col min="19" max="19" width="7.140625" style="3"/>
    <col min="20" max="20" width="7.140625" style="3" customWidth="1"/>
    <col min="21" max="16384" width="7.140625" style="3"/>
  </cols>
  <sheetData>
    <row r="2" spans="1:26" ht="30.75" customHeight="1" x14ac:dyDescent="0.25">
      <c r="A2" s="2" t="s">
        <v>1</v>
      </c>
      <c r="B2"/>
      <c r="V2" s="1" t="s">
        <v>54</v>
      </c>
    </row>
    <row r="3" spans="1:26" ht="9" customHeight="1" x14ac:dyDescent="0.25"/>
    <row r="4" spans="1:26" ht="15" x14ac:dyDescent="0.25">
      <c r="A4" s="5" t="s">
        <v>55</v>
      </c>
      <c r="Y4" s="86"/>
      <c r="Z4" s="3" t="s">
        <v>0</v>
      </c>
    </row>
    <row r="5" spans="1:26" ht="15" x14ac:dyDescent="0.25">
      <c r="A5" s="5"/>
    </row>
    <row r="6" spans="1:26" ht="14.25" customHeight="1" x14ac:dyDescent="0.25">
      <c r="B6" s="4" t="s">
        <v>56</v>
      </c>
      <c r="G6" s="6"/>
    </row>
    <row r="7" spans="1:26" ht="6" customHeight="1" x14ac:dyDescent="0.25">
      <c r="B7" s="4"/>
      <c r="G7" s="6"/>
    </row>
    <row r="8" spans="1:26" ht="14.25" customHeight="1" x14ac:dyDescent="0.25">
      <c r="B8" s="303" t="s">
        <v>57</v>
      </c>
      <c r="C8" s="303"/>
      <c r="D8" s="303"/>
      <c r="E8" s="303"/>
      <c r="F8" s="21">
        <v>2</v>
      </c>
      <c r="L8" s="303" t="s">
        <v>62</v>
      </c>
      <c r="M8" s="303"/>
      <c r="N8" s="303"/>
      <c r="O8" s="303"/>
      <c r="P8" s="288" t="s">
        <v>555</v>
      </c>
      <c r="Q8" s="289"/>
      <c r="R8" s="289"/>
      <c r="S8" s="289"/>
      <c r="T8" s="290"/>
    </row>
    <row r="9" spans="1:26" ht="14.25" customHeight="1" x14ac:dyDescent="0.25">
      <c r="B9" s="303" t="s">
        <v>59</v>
      </c>
      <c r="C9" s="303"/>
      <c r="D9" s="303"/>
      <c r="E9" s="303"/>
      <c r="F9" s="291" t="s">
        <v>1381</v>
      </c>
      <c r="G9" s="291"/>
      <c r="H9" s="291"/>
      <c r="I9" s="291"/>
      <c r="J9" s="25"/>
      <c r="K9" s="25"/>
      <c r="L9" s="303" t="s">
        <v>61</v>
      </c>
      <c r="M9" s="303"/>
      <c r="N9" s="303"/>
      <c r="O9" s="303"/>
      <c r="P9" s="288" t="s">
        <v>479</v>
      </c>
      <c r="Q9" s="289"/>
      <c r="R9" s="289"/>
      <c r="S9" s="289"/>
      <c r="T9" s="290"/>
    </row>
    <row r="10" spans="1:26" ht="14.25" customHeight="1" x14ac:dyDescent="0.25">
      <c r="B10" s="303" t="s">
        <v>60</v>
      </c>
      <c r="C10" s="303"/>
      <c r="D10" s="303"/>
      <c r="E10" s="303"/>
      <c r="F10" s="291" t="s">
        <v>110</v>
      </c>
      <c r="G10" s="291"/>
      <c r="H10" s="291"/>
      <c r="I10" s="291"/>
      <c r="J10" s="25"/>
      <c r="K10" s="25"/>
      <c r="L10" s="303" t="s">
        <v>368</v>
      </c>
      <c r="M10" s="303"/>
      <c r="N10" s="303"/>
      <c r="O10" s="303"/>
      <c r="P10" s="288"/>
      <c r="Q10" s="289"/>
      <c r="R10" s="290"/>
    </row>
    <row r="11" spans="1:26" ht="6" customHeight="1" x14ac:dyDescent="0.25">
      <c r="B11" s="4"/>
      <c r="G11" s="6"/>
    </row>
    <row r="12" spans="1:26" ht="14.25" customHeight="1" x14ac:dyDescent="0.15">
      <c r="C12" s="303" t="s">
        <v>72</v>
      </c>
      <c r="D12" s="303"/>
      <c r="E12" s="303"/>
      <c r="F12" s="303"/>
      <c r="G12" s="288" t="s">
        <v>1387</v>
      </c>
      <c r="H12" s="289"/>
      <c r="I12" s="290"/>
      <c r="O12" s="3" t="s">
        <v>1367</v>
      </c>
      <c r="R12" s="325" t="str">
        <f>IF($Z$12&lt;&gt;0,IF(C15&lt;&gt;"",VLOOKUP($Z$12,'Site Info'!$G$34:$P$69,2,FALSE),""),"")</f>
        <v>10.126.131.0/24</v>
      </c>
      <c r="S12" s="325"/>
      <c r="T12" s="325"/>
      <c r="V12" s="303" t="s">
        <v>73</v>
      </c>
      <c r="W12" s="303"/>
      <c r="X12" s="303"/>
      <c r="Y12" s="303"/>
      <c r="Z12" s="21">
        <v>1852</v>
      </c>
    </row>
    <row r="13" spans="1:26" ht="6" customHeight="1" x14ac:dyDescent="0.25">
      <c r="F13" s="3" t="s">
        <v>1369</v>
      </c>
      <c r="G13" s="6"/>
      <c r="O13" s="3" t="s">
        <v>1368</v>
      </c>
    </row>
    <row r="14" spans="1:26" ht="14.25" customHeight="1" thickBot="1" x14ac:dyDescent="0.3">
      <c r="B14" s="26">
        <v>0</v>
      </c>
      <c r="C14" s="312" t="s">
        <v>63</v>
      </c>
      <c r="D14" s="321"/>
      <c r="E14" s="321"/>
      <c r="F14" s="313"/>
      <c r="G14" s="311" t="s">
        <v>64</v>
      </c>
      <c r="H14" s="311"/>
      <c r="I14" s="311"/>
      <c r="J14" s="311"/>
      <c r="K14" s="311" t="s">
        <v>65</v>
      </c>
      <c r="L14" s="311"/>
      <c r="M14" s="311"/>
      <c r="N14" s="311"/>
      <c r="O14" s="311" t="s">
        <v>66</v>
      </c>
      <c r="P14" s="311"/>
      <c r="Q14" s="311"/>
      <c r="R14" s="311" t="s">
        <v>68</v>
      </c>
      <c r="S14" s="311"/>
      <c r="T14" s="311"/>
      <c r="U14" s="311" t="s">
        <v>69</v>
      </c>
      <c r="V14" s="311"/>
      <c r="W14" s="311"/>
      <c r="X14" s="311" t="s">
        <v>70</v>
      </c>
      <c r="Y14" s="311"/>
      <c r="Z14" s="311"/>
    </row>
    <row r="15" spans="1:26" ht="14.25" customHeight="1" x14ac:dyDescent="0.25">
      <c r="B15" s="26">
        <v>1</v>
      </c>
      <c r="C15" s="298" t="str">
        <f>IF($F$8&gt;$B14,IF($F$10="7-Mode",CONCATENATE($G$12,"a"),IF($F$10="Clustered OnTap",CONCATENATE($G$12,"-0",B15),"Choose OnTap Mode")),"")</f>
        <v>shpsan-01</v>
      </c>
      <c r="D15" s="299"/>
      <c r="E15" s="299"/>
      <c r="F15" s="300"/>
      <c r="G15" s="314">
        <v>721902000133</v>
      </c>
      <c r="H15" s="315"/>
      <c r="I15" s="315"/>
      <c r="J15" s="316"/>
      <c r="K15" s="343" t="s">
        <v>1382</v>
      </c>
      <c r="L15" s="344"/>
      <c r="M15" s="344"/>
      <c r="N15" s="345"/>
      <c r="O15" s="298" t="s">
        <v>1383</v>
      </c>
      <c r="P15" s="299"/>
      <c r="Q15" s="300"/>
      <c r="R15" s="298" t="s">
        <v>1384</v>
      </c>
      <c r="S15" s="299"/>
      <c r="T15" s="300"/>
      <c r="U15" s="298" t="str">
        <f>IF(C15&lt;&gt;"",IF($Z$12&lt;&gt;0,VLOOKUP($Z$12,'Site Info'!$G$34:$V$69,5,FALSE),"Enter VLAN"),"")</f>
        <v>255.255.255.0</v>
      </c>
      <c r="V15" s="299"/>
      <c r="W15" s="300"/>
      <c r="X15" s="298" t="str">
        <f>IF(C15&lt;&gt;"",IF($Z$12&lt;&gt;0,VLOOKUP($Z$12,'Site Info'!$G$34:$V$69,8,FALSE),"Enter VLAN"),"")</f>
        <v>10.126.131.1</v>
      </c>
      <c r="Y15" s="299"/>
      <c r="Z15" s="300"/>
    </row>
    <row r="16" spans="1:26" ht="14.25" customHeight="1" x14ac:dyDescent="0.25">
      <c r="B16" s="26">
        <v>2</v>
      </c>
      <c r="C16" s="298" t="str">
        <f>IF($F$8&gt;$B15,IF($F$10="7-Mode",CONCATENATE($G$12,"b"),IF($F$10="Clustered OnTap",CONCATENATE($G$12,"-0",B16),"Choose OnTap Mode")),"")</f>
        <v>shpsan-02</v>
      </c>
      <c r="D16" s="299"/>
      <c r="E16" s="299"/>
      <c r="F16" s="300"/>
      <c r="G16" s="340">
        <v>721902000132</v>
      </c>
      <c r="H16" s="341"/>
      <c r="I16" s="341"/>
      <c r="J16" s="342"/>
      <c r="K16" s="332" t="s">
        <v>1385</v>
      </c>
      <c r="L16" s="333"/>
      <c r="M16" s="333"/>
      <c r="N16" s="334"/>
      <c r="O16" s="288" t="s">
        <v>1383</v>
      </c>
      <c r="P16" s="289"/>
      <c r="Q16" s="290"/>
      <c r="R16" s="298" t="s">
        <v>1386</v>
      </c>
      <c r="S16" s="299"/>
      <c r="T16" s="300"/>
      <c r="U16" s="298" t="str">
        <f>IF(C16&lt;&gt;"",IF($Z$12&lt;&gt;0,VLOOKUP($Z$12,'Site Info'!$G$34:$V$69,5,FALSE),"Enter VLAN"),"")</f>
        <v>255.255.255.0</v>
      </c>
      <c r="V16" s="299"/>
      <c r="W16" s="300"/>
      <c r="X16" s="298" t="str">
        <f>IF(C16&lt;&gt;"",IF($Z$12&lt;&gt;0,VLOOKUP($Z$12,'Site Info'!$G$34:$V$69,8,FALSE),"Enter VLAN"),"")</f>
        <v>10.126.131.1</v>
      </c>
      <c r="Y16" s="299"/>
      <c r="Z16" s="300"/>
    </row>
    <row r="17" spans="2:29" ht="14.25" hidden="1" customHeight="1" x14ac:dyDescent="0.25">
      <c r="B17" s="26">
        <v>3</v>
      </c>
      <c r="C17" s="298" t="str">
        <f>IF($F$8&gt;$B16,IF($F$10="7-Mode","only 2 controllers for 7-Mode",IF($F$10="Clustered OnTap",CONCATENATE($G$12,"-0",B17),"Choose OnTap Mode")),"")</f>
        <v/>
      </c>
      <c r="D17" s="299"/>
      <c r="E17" s="299"/>
      <c r="F17" s="300"/>
      <c r="G17" s="340"/>
      <c r="H17" s="341"/>
      <c r="I17" s="341"/>
      <c r="J17" s="342"/>
      <c r="K17" s="332"/>
      <c r="L17" s="333"/>
      <c r="M17" s="333"/>
      <c r="N17" s="334"/>
      <c r="O17" s="288"/>
      <c r="P17" s="289"/>
      <c r="Q17" s="290"/>
      <c r="R17" s="288"/>
      <c r="S17" s="289"/>
      <c r="T17" s="290"/>
      <c r="U17" s="298" t="str">
        <f>IF(C17&lt;&gt;"",IF($Z$12&lt;&gt;0,VLOOKUP($Z$12,'Site Info'!$G$34:$V$69,5,FALSE),"Enter VLAN"),"")</f>
        <v/>
      </c>
      <c r="V17" s="299"/>
      <c r="W17" s="300"/>
      <c r="X17" s="298" t="str">
        <f>IF(C17&lt;&gt;"",IF($Z$12&lt;&gt;0,VLOOKUP($Z$12,'Site Info'!$G$34:$V$69,8,FALSE),"Enter VLAN"),"")</f>
        <v/>
      </c>
      <c r="Y17" s="299"/>
      <c r="Z17" s="300"/>
    </row>
    <row r="18" spans="2:29" ht="14.25" hidden="1" customHeight="1" x14ac:dyDescent="0.25">
      <c r="B18" s="26">
        <v>4</v>
      </c>
      <c r="C18" s="298" t="str">
        <f t="shared" ref="C18:C22" si="0">IF($F$8&gt;$B17,IF($F$10="7-Mode","only 2 controllers for 7-Mode",IF($F$10="Clustered OnTap",CONCATENATE($G$12,"-0",B18),"Choose OnTap Mode")),"")</f>
        <v/>
      </c>
      <c r="D18" s="299"/>
      <c r="E18" s="299"/>
      <c r="F18" s="300"/>
      <c r="G18" s="340"/>
      <c r="H18" s="341"/>
      <c r="I18" s="341"/>
      <c r="J18" s="342"/>
      <c r="K18" s="332"/>
      <c r="L18" s="333"/>
      <c r="M18" s="333"/>
      <c r="N18" s="334"/>
      <c r="O18" s="288"/>
      <c r="P18" s="289"/>
      <c r="Q18" s="290"/>
      <c r="R18" s="288"/>
      <c r="S18" s="289"/>
      <c r="T18" s="290"/>
      <c r="U18" s="298" t="str">
        <f>IF(C18&lt;&gt;"",IF($Z$12&lt;&gt;0,VLOOKUP($Z$12,'Site Info'!$G$34:$V$69,5,FALSE),"Enter VLAN"),"")</f>
        <v/>
      </c>
      <c r="V18" s="299"/>
      <c r="W18" s="300"/>
      <c r="X18" s="298" t="str">
        <f>IF(C18&lt;&gt;"",IF($Z$12&lt;&gt;0,VLOOKUP($Z$12,'Site Info'!$G$34:$V$69,8,FALSE),"Enter VLAN"),"")</f>
        <v/>
      </c>
      <c r="Y18" s="299"/>
      <c r="Z18" s="300"/>
    </row>
    <row r="19" spans="2:29" ht="14.25" hidden="1" customHeight="1" x14ac:dyDescent="0.25">
      <c r="B19" s="26">
        <v>5</v>
      </c>
      <c r="C19" s="298" t="str">
        <f t="shared" si="0"/>
        <v/>
      </c>
      <c r="D19" s="299"/>
      <c r="E19" s="299"/>
      <c r="F19" s="300"/>
      <c r="G19" s="340"/>
      <c r="H19" s="341"/>
      <c r="I19" s="341"/>
      <c r="J19" s="342"/>
      <c r="K19" s="332"/>
      <c r="L19" s="333"/>
      <c r="M19" s="333"/>
      <c r="N19" s="334"/>
      <c r="O19" s="288"/>
      <c r="P19" s="289"/>
      <c r="Q19" s="290"/>
      <c r="R19" s="288"/>
      <c r="S19" s="289"/>
      <c r="T19" s="290"/>
      <c r="U19" s="298" t="str">
        <f>IF(C19&lt;&gt;"",IF($Z$12&lt;&gt;0,VLOOKUP($Z$12,'Site Info'!$G$34:$V$69,5,FALSE),"Enter VLAN"),"")</f>
        <v/>
      </c>
      <c r="V19" s="299"/>
      <c r="W19" s="300"/>
      <c r="X19" s="298" t="str">
        <f>IF(C19&lt;&gt;"",IF($Z$12&lt;&gt;0,VLOOKUP($Z$12,'Site Info'!$G$34:$V$69,8,FALSE),"Enter VLAN"),"")</f>
        <v/>
      </c>
      <c r="Y19" s="299"/>
      <c r="Z19" s="300"/>
    </row>
    <row r="20" spans="2:29" ht="14.25" hidden="1" customHeight="1" x14ac:dyDescent="0.25">
      <c r="B20" s="26">
        <v>6</v>
      </c>
      <c r="C20" s="298" t="str">
        <f t="shared" si="0"/>
        <v/>
      </c>
      <c r="D20" s="299"/>
      <c r="E20" s="299"/>
      <c r="F20" s="300"/>
      <c r="G20" s="340"/>
      <c r="H20" s="341"/>
      <c r="I20" s="341"/>
      <c r="J20" s="342"/>
      <c r="K20" s="332"/>
      <c r="L20" s="333"/>
      <c r="M20" s="333"/>
      <c r="N20" s="334"/>
      <c r="O20" s="288"/>
      <c r="P20" s="289"/>
      <c r="Q20" s="290"/>
      <c r="R20" s="288"/>
      <c r="S20" s="289"/>
      <c r="T20" s="290"/>
      <c r="U20" s="298" t="str">
        <f>IF(C20&lt;&gt;"",IF($Z$12&lt;&gt;0,VLOOKUP($Z$12,'Site Info'!$G$34:$V$69,5,FALSE),"Enter VLAN"),"")</f>
        <v/>
      </c>
      <c r="V20" s="299"/>
      <c r="W20" s="300"/>
      <c r="X20" s="298" t="str">
        <f>IF(C20&lt;&gt;"",IF($Z$12&lt;&gt;0,VLOOKUP($Z$12,'Site Info'!$G$34:$V$69,8,FALSE),"Enter VLAN"),"")</f>
        <v/>
      </c>
      <c r="Y20" s="299"/>
      <c r="Z20" s="300"/>
    </row>
    <row r="21" spans="2:29" ht="14.25" hidden="1" customHeight="1" x14ac:dyDescent="0.25">
      <c r="B21" s="26">
        <v>7</v>
      </c>
      <c r="C21" s="298" t="str">
        <f t="shared" si="0"/>
        <v/>
      </c>
      <c r="D21" s="299"/>
      <c r="E21" s="299"/>
      <c r="F21" s="300"/>
      <c r="G21" s="340"/>
      <c r="H21" s="341"/>
      <c r="I21" s="341"/>
      <c r="J21" s="342"/>
      <c r="K21" s="332"/>
      <c r="L21" s="333"/>
      <c r="M21" s="333"/>
      <c r="N21" s="334"/>
      <c r="O21" s="288"/>
      <c r="P21" s="289"/>
      <c r="Q21" s="290"/>
      <c r="R21" s="288"/>
      <c r="S21" s="289"/>
      <c r="T21" s="290"/>
      <c r="U21" s="298" t="str">
        <f>IF(C21&lt;&gt;"",IF($Z$12&lt;&gt;0,VLOOKUP($Z$12,'Site Info'!$G$34:$V$69,5,FALSE),"Enter VLAN"),"")</f>
        <v/>
      </c>
      <c r="V21" s="299"/>
      <c r="W21" s="300"/>
      <c r="X21" s="298" t="str">
        <f>IF(C21&lt;&gt;"",IF($Z$12&lt;&gt;0,VLOOKUP($Z$12,'Site Info'!$G$34:$V$69,8,FALSE),"Enter VLAN"),"")</f>
        <v/>
      </c>
      <c r="Y21" s="299"/>
      <c r="Z21" s="300"/>
    </row>
    <row r="22" spans="2:29" ht="14.25" hidden="1" customHeight="1" x14ac:dyDescent="0.25">
      <c r="B22" s="26">
        <v>8</v>
      </c>
      <c r="C22" s="298" t="str">
        <f t="shared" si="0"/>
        <v/>
      </c>
      <c r="D22" s="299"/>
      <c r="E22" s="299"/>
      <c r="F22" s="300"/>
      <c r="G22" s="340"/>
      <c r="H22" s="341"/>
      <c r="I22" s="341"/>
      <c r="J22" s="342"/>
      <c r="K22" s="332"/>
      <c r="L22" s="333"/>
      <c r="M22" s="333"/>
      <c r="N22" s="334"/>
      <c r="O22" s="288"/>
      <c r="P22" s="289"/>
      <c r="Q22" s="290"/>
      <c r="R22" s="288"/>
      <c r="S22" s="289"/>
      <c r="T22" s="290"/>
      <c r="U22" s="298" t="str">
        <f>IF(C22&lt;&gt;"",IF($Z$12&lt;&gt;0,VLOOKUP($Z$12,'Site Info'!$G$34:$V$69,5,FALSE),"Enter VLAN"),"")</f>
        <v/>
      </c>
      <c r="V22" s="299"/>
      <c r="W22" s="300"/>
      <c r="X22" s="298" t="str">
        <f>IF(C22&lt;&gt;"",IF($Z$12&lt;&gt;0,VLOOKUP($Z$12,'Site Info'!$G$34:$V$69,8,FALSE),"Enter VLAN"),"")</f>
        <v/>
      </c>
      <c r="Y22" s="299"/>
      <c r="Z22" s="300"/>
    </row>
    <row r="23" spans="2:29" ht="14.25" customHeight="1" x14ac:dyDescent="0.25"/>
    <row r="24" spans="2:29" s="35" customFormat="1" ht="14.25" hidden="1" customHeight="1" x14ac:dyDescent="0.25">
      <c r="B24" s="216" t="s">
        <v>1063</v>
      </c>
      <c r="K24" s="335" t="s">
        <v>1080</v>
      </c>
      <c r="L24" s="335"/>
      <c r="M24" s="335"/>
      <c r="N24" s="224"/>
      <c r="O24" s="220"/>
      <c r="V24" s="303" t="s">
        <v>76</v>
      </c>
      <c r="W24" s="303"/>
      <c r="X24" s="303"/>
      <c r="Y24" s="303"/>
      <c r="Z24" s="212"/>
    </row>
    <row r="25" spans="2:29" s="35" customFormat="1" ht="14.25" hidden="1" customHeight="1" x14ac:dyDescent="0.25">
      <c r="F25" s="35" t="s">
        <v>1372</v>
      </c>
    </row>
    <row r="26" spans="2:29" s="35" customFormat="1" ht="14.25" hidden="1" customHeight="1" thickBot="1" x14ac:dyDescent="0.3">
      <c r="B26" s="26">
        <v>0</v>
      </c>
      <c r="C26" s="312" t="s">
        <v>63</v>
      </c>
      <c r="D26" s="321"/>
      <c r="E26" s="321"/>
      <c r="F26" s="313"/>
      <c r="G26" s="311" t="s">
        <v>64</v>
      </c>
      <c r="H26" s="311"/>
      <c r="I26" s="311"/>
      <c r="J26" s="311"/>
      <c r="K26" s="312" t="s">
        <v>66</v>
      </c>
      <c r="L26" s="313"/>
      <c r="M26" s="312" t="s">
        <v>1079</v>
      </c>
      <c r="N26" s="313"/>
      <c r="O26" s="311" t="s">
        <v>1090</v>
      </c>
      <c r="P26" s="311"/>
      <c r="Q26" s="311"/>
      <c r="R26" s="311" t="s">
        <v>1091</v>
      </c>
      <c r="S26" s="311"/>
      <c r="T26" s="311"/>
      <c r="U26" s="311" t="s">
        <v>45</v>
      </c>
      <c r="V26" s="311"/>
      <c r="W26" s="311"/>
      <c r="X26" s="311" t="s">
        <v>46</v>
      </c>
      <c r="Y26" s="311"/>
      <c r="Z26" s="311"/>
      <c r="AA26" s="311" t="s">
        <v>1093</v>
      </c>
      <c r="AB26" s="311"/>
      <c r="AC26" s="311"/>
    </row>
    <row r="27" spans="2:29" s="35" customFormat="1" ht="14.25" hidden="1" customHeight="1" x14ac:dyDescent="0.25">
      <c r="B27" s="26">
        <v>1</v>
      </c>
      <c r="C27" s="298"/>
      <c r="D27" s="299"/>
      <c r="E27" s="299"/>
      <c r="F27" s="300"/>
      <c r="G27" s="314"/>
      <c r="H27" s="315"/>
      <c r="I27" s="315"/>
      <c r="J27" s="316"/>
      <c r="K27" s="336"/>
      <c r="L27" s="337"/>
      <c r="M27" s="338"/>
      <c r="N27" s="339"/>
      <c r="O27" s="298"/>
      <c r="P27" s="299"/>
      <c r="Q27" s="300"/>
      <c r="R27" s="298"/>
      <c r="S27" s="299"/>
      <c r="T27" s="300"/>
      <c r="U27" s="298" t="str">
        <f>IF(C27&lt;&gt;"",IF($Z$24&lt;&gt;0,VLOOKUP($Z$24,'Site Info'!$G$34:$V$69,5,FALSE),"Enter VLAN"),"")</f>
        <v/>
      </c>
      <c r="V27" s="299"/>
      <c r="W27" s="300"/>
      <c r="X27" s="298" t="str">
        <f>IF(C27&lt;&gt;"",IF($Z$24&lt;&gt;0,VLOOKUP($Z$24,'Site Info'!$G$34:$V$69,8,FALSE),"Enter VLAN"),"")</f>
        <v/>
      </c>
      <c r="Y27" s="299"/>
      <c r="Z27" s="300"/>
      <c r="AA27" s="288"/>
      <c r="AB27" s="289"/>
      <c r="AC27" s="290"/>
    </row>
    <row r="28" spans="2:29" s="35" customFormat="1" ht="14.25" hidden="1" customHeight="1" x14ac:dyDescent="0.25">
      <c r="B28" s="26"/>
      <c r="C28" s="298"/>
      <c r="D28" s="299"/>
      <c r="E28" s="299"/>
      <c r="F28" s="300"/>
      <c r="G28" s="314"/>
      <c r="H28" s="315"/>
      <c r="I28" s="315"/>
      <c r="J28" s="316"/>
      <c r="K28" s="317"/>
      <c r="L28" s="318"/>
      <c r="M28" s="319"/>
      <c r="N28" s="320"/>
      <c r="O28" s="298"/>
      <c r="P28" s="299"/>
      <c r="Q28" s="300"/>
      <c r="R28" s="298"/>
      <c r="S28" s="299"/>
      <c r="T28" s="300"/>
      <c r="U28" s="298" t="str">
        <f>IF(C28&lt;&gt;"",IF($Z$24&lt;&gt;0,VLOOKUP($Z$24,'Site Info'!$G$34:$V$69,5,FALSE),"Enter VLAN"),"")</f>
        <v/>
      </c>
      <c r="V28" s="299"/>
      <c r="W28" s="300"/>
      <c r="X28" s="298" t="str">
        <f>IF(C28&lt;&gt;"",IF($Z$24&lt;&gt;0,VLOOKUP($Z$24,'Site Info'!$G$34:$V$69,8,FALSE),"Enter VLAN"),"")</f>
        <v/>
      </c>
      <c r="Y28" s="299"/>
      <c r="Z28" s="300"/>
      <c r="AA28" s="288"/>
      <c r="AB28" s="289"/>
      <c r="AC28" s="290"/>
    </row>
    <row r="29" spans="2:29" s="35" customFormat="1" ht="14.25" hidden="1" customHeight="1" x14ac:dyDescent="0.25">
      <c r="B29" s="26"/>
      <c r="C29" s="298"/>
      <c r="D29" s="299"/>
      <c r="E29" s="299"/>
      <c r="F29" s="300"/>
      <c r="G29" s="314"/>
      <c r="H29" s="315"/>
      <c r="I29" s="315"/>
      <c r="J29" s="316"/>
      <c r="K29" s="317"/>
      <c r="L29" s="318"/>
      <c r="M29" s="319"/>
      <c r="N29" s="320"/>
      <c r="O29" s="298"/>
      <c r="P29" s="299"/>
      <c r="Q29" s="300"/>
      <c r="R29" s="298"/>
      <c r="S29" s="299"/>
      <c r="T29" s="300"/>
      <c r="U29" s="298" t="str">
        <f>IF(C29&lt;&gt;"",IF($Z$24&lt;&gt;0,VLOOKUP($Z$24,'Site Info'!$G$34:$V$69,5,FALSE),"Enter VLAN"),"")</f>
        <v/>
      </c>
      <c r="V29" s="299"/>
      <c r="W29" s="300"/>
      <c r="X29" s="298" t="str">
        <f>IF(C29&lt;&gt;"",IF($Z$24&lt;&gt;0,VLOOKUP($Z$24,'Site Info'!$G$34:$V$69,8,FALSE),"Enter VLAN"),"")</f>
        <v/>
      </c>
      <c r="Y29" s="299"/>
      <c r="Z29" s="300"/>
      <c r="AA29" s="288"/>
      <c r="AB29" s="289"/>
      <c r="AC29" s="290"/>
    </row>
    <row r="30" spans="2:29" s="35" customFormat="1" ht="14.25" hidden="1" customHeight="1" x14ac:dyDescent="0.25">
      <c r="B30" s="26"/>
      <c r="C30" s="298"/>
      <c r="D30" s="299"/>
      <c r="E30" s="299"/>
      <c r="F30" s="300"/>
      <c r="G30" s="314"/>
      <c r="H30" s="315"/>
      <c r="I30" s="315"/>
      <c r="J30" s="316"/>
      <c r="K30" s="317"/>
      <c r="L30" s="318"/>
      <c r="M30" s="319"/>
      <c r="N30" s="320"/>
      <c r="O30" s="298"/>
      <c r="P30" s="299"/>
      <c r="Q30" s="300"/>
      <c r="R30" s="298"/>
      <c r="S30" s="299"/>
      <c r="T30" s="300"/>
      <c r="U30" s="298" t="str">
        <f>IF(C30&lt;&gt;"",IF($Z$24&lt;&gt;0,VLOOKUP($Z$24,'Site Info'!$G$34:$V$69,5,FALSE),"Enter VLAN"),"")</f>
        <v/>
      </c>
      <c r="V30" s="299"/>
      <c r="W30" s="300"/>
      <c r="X30" s="298" t="str">
        <f>IF(C30&lt;&gt;"",IF($Z$24&lt;&gt;0,VLOOKUP($Z$24,'Site Info'!$G$34:$V$69,8,FALSE),"Enter VLAN"),"")</f>
        <v/>
      </c>
      <c r="Y30" s="299"/>
      <c r="Z30" s="300"/>
      <c r="AA30" s="288"/>
      <c r="AB30" s="289"/>
      <c r="AC30" s="290"/>
    </row>
    <row r="31" spans="2:29" s="35" customFormat="1" ht="14.25" hidden="1" customHeight="1" x14ac:dyDescent="0.25">
      <c r="B31" s="26"/>
      <c r="C31" s="298"/>
      <c r="D31" s="299"/>
      <c r="E31" s="299"/>
      <c r="F31" s="300"/>
      <c r="G31" s="314"/>
      <c r="H31" s="315"/>
      <c r="I31" s="315"/>
      <c r="J31" s="316"/>
      <c r="K31" s="317"/>
      <c r="L31" s="318"/>
      <c r="M31" s="319"/>
      <c r="N31" s="320"/>
      <c r="O31" s="298"/>
      <c r="P31" s="299"/>
      <c r="Q31" s="300"/>
      <c r="R31" s="298"/>
      <c r="S31" s="299"/>
      <c r="T31" s="300"/>
      <c r="U31" s="298" t="str">
        <f>IF(C31&lt;&gt;"",IF($Z$24&lt;&gt;0,VLOOKUP($Z$24,'Site Info'!$G$34:$V$69,5,FALSE),"Enter VLAN"),"")</f>
        <v/>
      </c>
      <c r="V31" s="299"/>
      <c r="W31" s="300"/>
      <c r="X31" s="298" t="str">
        <f>IF(C31&lt;&gt;"",IF($Z$24&lt;&gt;0,VLOOKUP($Z$24,'Site Info'!$G$34:$V$69,8,FALSE),"Enter VLAN"),"")</f>
        <v/>
      </c>
      <c r="Y31" s="299"/>
      <c r="Z31" s="300"/>
      <c r="AA31" s="288"/>
      <c r="AB31" s="289"/>
      <c r="AC31" s="290"/>
    </row>
    <row r="32" spans="2:29" s="35" customFormat="1" ht="14.25" hidden="1" customHeight="1" x14ac:dyDescent="0.25">
      <c r="B32" s="26"/>
      <c r="C32" s="298"/>
      <c r="D32" s="299"/>
      <c r="E32" s="299"/>
      <c r="F32" s="300"/>
      <c r="G32" s="314"/>
      <c r="H32" s="315"/>
      <c r="I32" s="315"/>
      <c r="J32" s="316"/>
      <c r="K32" s="317"/>
      <c r="L32" s="318"/>
      <c r="M32" s="319"/>
      <c r="N32" s="320"/>
      <c r="O32" s="298"/>
      <c r="P32" s="299"/>
      <c r="Q32" s="300"/>
      <c r="R32" s="298"/>
      <c r="S32" s="299"/>
      <c r="T32" s="300"/>
      <c r="U32" s="298" t="str">
        <f>IF(C32&lt;&gt;"",IF($Z$24&lt;&gt;0,VLOOKUP($Z$24,'Site Info'!$G$34:$V$69,5,FALSE),"Enter VLAN"),"")</f>
        <v/>
      </c>
      <c r="V32" s="299"/>
      <c r="W32" s="300"/>
      <c r="X32" s="298" t="str">
        <f>IF(C32&lt;&gt;"",IF($Z$24&lt;&gt;0,VLOOKUP($Z$24,'Site Info'!$G$34:$V$69,8,FALSE),"Enter VLAN"),"")</f>
        <v/>
      </c>
      <c r="Y32" s="299"/>
      <c r="Z32" s="300"/>
      <c r="AA32" s="288"/>
      <c r="AB32" s="289"/>
      <c r="AC32" s="290"/>
    </row>
    <row r="33" spans="2:29" s="35" customFormat="1" ht="14.25" hidden="1" customHeight="1" x14ac:dyDescent="0.25">
      <c r="B33" s="26"/>
      <c r="C33" s="298"/>
      <c r="D33" s="299"/>
      <c r="E33" s="299"/>
      <c r="F33" s="300"/>
      <c r="G33" s="314"/>
      <c r="H33" s="315"/>
      <c r="I33" s="315"/>
      <c r="J33" s="316"/>
      <c r="K33" s="317"/>
      <c r="L33" s="318"/>
      <c r="M33" s="319"/>
      <c r="N33" s="320"/>
      <c r="O33" s="298"/>
      <c r="P33" s="299"/>
      <c r="Q33" s="300"/>
      <c r="R33" s="298"/>
      <c r="S33" s="299"/>
      <c r="T33" s="300"/>
      <c r="U33" s="298" t="str">
        <f>IF(C33&lt;&gt;"",IF($Z$24&lt;&gt;0,VLOOKUP($Z$24,'Site Info'!$G$34:$V$69,5,FALSE),"Enter VLAN"),"")</f>
        <v/>
      </c>
      <c r="V33" s="299"/>
      <c r="W33" s="300"/>
      <c r="X33" s="298" t="str">
        <f>IF(C33&lt;&gt;"",IF($Z$24&lt;&gt;0,VLOOKUP($Z$24,'Site Info'!$G$34:$V$69,8,FALSE),"Enter VLAN"),"")</f>
        <v/>
      </c>
      <c r="Y33" s="299"/>
      <c r="Z33" s="300"/>
      <c r="AA33" s="288"/>
      <c r="AB33" s="289"/>
      <c r="AC33" s="290"/>
    </row>
    <row r="34" spans="2:29" s="35" customFormat="1" ht="14.25" hidden="1" customHeight="1" x14ac:dyDescent="0.25">
      <c r="B34" s="26">
        <v>3</v>
      </c>
      <c r="C34" s="298"/>
      <c r="D34" s="299"/>
      <c r="E34" s="299"/>
      <c r="F34" s="300"/>
      <c r="G34" s="340"/>
      <c r="H34" s="341"/>
      <c r="I34" s="341"/>
      <c r="J34" s="342"/>
      <c r="K34" s="317"/>
      <c r="L34" s="318"/>
      <c r="M34" s="319"/>
      <c r="N34" s="320"/>
      <c r="O34" s="288"/>
      <c r="P34" s="289"/>
      <c r="Q34" s="290"/>
      <c r="R34" s="288"/>
      <c r="S34" s="289"/>
      <c r="T34" s="290"/>
      <c r="U34" s="298" t="str">
        <f>IF(C34&lt;&gt;"",IF($Z$24&lt;&gt;0,VLOOKUP($Z$24,'Site Info'!$G$34:$V$69,5,FALSE),"Enter VLAN"),"")</f>
        <v/>
      </c>
      <c r="V34" s="299"/>
      <c r="W34" s="300"/>
      <c r="X34" s="298" t="str">
        <f>IF(C34&lt;&gt;"",IF($Z$24&lt;&gt;0,VLOOKUP($Z$24,'Site Info'!$G$34:$V$69,8,FALSE),"Enter VLAN"),"")</f>
        <v/>
      </c>
      <c r="Y34" s="299"/>
      <c r="Z34" s="300"/>
      <c r="AA34" s="288"/>
      <c r="AB34" s="289"/>
      <c r="AC34" s="290"/>
    </row>
    <row r="35" spans="2:29" s="35" customFormat="1" ht="14.25" hidden="1" customHeight="1" x14ac:dyDescent="0.25"/>
    <row r="36" spans="2:29" s="35" customFormat="1" ht="14.25" hidden="1" customHeight="1" x14ac:dyDescent="0.25">
      <c r="B36" s="4" t="s">
        <v>871</v>
      </c>
      <c r="G36" s="6"/>
      <c r="P36" s="4"/>
    </row>
    <row r="37" spans="2:29" s="35" customFormat="1" ht="6" hidden="1" customHeight="1" x14ac:dyDescent="0.25">
      <c r="B37" s="4"/>
      <c r="G37" s="6"/>
    </row>
    <row r="38" spans="2:29" s="35" customFormat="1" ht="14.25" hidden="1" customHeight="1" thickBot="1" x14ac:dyDescent="0.3">
      <c r="C38" s="312" t="s">
        <v>1051</v>
      </c>
      <c r="D38" s="321"/>
      <c r="E38" s="321"/>
      <c r="F38" s="313"/>
      <c r="G38" s="312"/>
      <c r="H38" s="321"/>
      <c r="I38" s="321"/>
      <c r="J38" s="321"/>
      <c r="K38" s="321"/>
      <c r="L38" s="328"/>
      <c r="M38" s="328"/>
      <c r="N38" s="328"/>
      <c r="O38" s="329"/>
      <c r="P38" s="312" t="s">
        <v>658</v>
      </c>
      <c r="Q38" s="321"/>
      <c r="R38" s="321"/>
      <c r="S38" s="313"/>
      <c r="T38" s="311" t="s">
        <v>71</v>
      </c>
      <c r="U38" s="311"/>
      <c r="V38" s="311"/>
      <c r="W38" s="311" t="s">
        <v>45</v>
      </c>
      <c r="X38" s="311"/>
      <c r="Y38" s="311"/>
      <c r="Z38" s="311" t="s">
        <v>46</v>
      </c>
      <c r="AA38" s="311"/>
      <c r="AB38" s="311"/>
    </row>
    <row r="39" spans="2:29" s="35" customFormat="1" ht="14.25" hidden="1" customHeight="1" x14ac:dyDescent="0.25">
      <c r="C39" s="288"/>
      <c r="D39" s="289"/>
      <c r="E39" s="289"/>
      <c r="F39" s="290"/>
      <c r="G39" s="295">
        <v>1852</v>
      </c>
      <c r="H39" s="296"/>
      <c r="I39" s="296"/>
      <c r="J39" s="296"/>
      <c r="K39" s="296"/>
      <c r="L39" s="326"/>
      <c r="M39" s="326"/>
      <c r="N39" s="326"/>
      <c r="O39" s="327"/>
      <c r="P39" s="288" t="s">
        <v>1010</v>
      </c>
      <c r="Q39" s="289"/>
      <c r="R39" s="289"/>
      <c r="S39" s="290"/>
      <c r="T39" s="298"/>
      <c r="U39" s="299"/>
      <c r="V39" s="300"/>
      <c r="W39" s="298"/>
      <c r="X39" s="299"/>
      <c r="Y39" s="300"/>
      <c r="Z39" s="298"/>
      <c r="AA39" s="299"/>
      <c r="AB39" s="300"/>
    </row>
    <row r="40" spans="2:29" s="35" customFormat="1" ht="14.25" hidden="1" customHeight="1" x14ac:dyDescent="0.25">
      <c r="C40" s="288"/>
      <c r="D40" s="289"/>
      <c r="E40" s="289"/>
      <c r="F40" s="290"/>
      <c r="G40" s="346"/>
      <c r="H40" s="347"/>
      <c r="I40" s="347"/>
      <c r="J40" s="347"/>
      <c r="K40" s="347"/>
      <c r="L40" s="348"/>
      <c r="M40" s="348"/>
      <c r="N40" s="348"/>
      <c r="O40" s="349"/>
      <c r="P40" s="288" t="s">
        <v>1010</v>
      </c>
      <c r="Q40" s="289"/>
      <c r="R40" s="289"/>
      <c r="S40" s="290"/>
      <c r="T40" s="298"/>
      <c r="U40" s="299"/>
      <c r="V40" s="300"/>
      <c r="W40" s="298"/>
      <c r="X40" s="299"/>
      <c r="Y40" s="300"/>
      <c r="Z40" s="298"/>
      <c r="AA40" s="299"/>
      <c r="AB40" s="300"/>
    </row>
    <row r="41" spans="2:29" s="35" customFormat="1" ht="14.25" hidden="1" customHeight="1" x14ac:dyDescent="0.25">
      <c r="C41" s="288"/>
      <c r="D41" s="289"/>
      <c r="E41" s="289"/>
      <c r="F41" s="290"/>
      <c r="G41" s="288" t="s">
        <v>659</v>
      </c>
      <c r="H41" s="289"/>
      <c r="I41" s="289"/>
      <c r="J41" s="289"/>
      <c r="K41" s="289"/>
      <c r="L41" s="330"/>
      <c r="M41" s="330"/>
      <c r="N41" s="330"/>
      <c r="O41" s="331"/>
      <c r="P41" s="288"/>
      <c r="Q41" s="289"/>
      <c r="R41" s="289"/>
      <c r="S41" s="290"/>
      <c r="T41" s="298"/>
      <c r="U41" s="299"/>
      <c r="V41" s="300"/>
      <c r="W41" s="298"/>
      <c r="X41" s="299"/>
      <c r="Y41" s="300"/>
      <c r="Z41" s="298"/>
      <c r="AA41" s="299"/>
      <c r="AB41" s="300"/>
    </row>
    <row r="42" spans="2:29" s="35" customFormat="1" ht="14.25" hidden="1" customHeight="1" x14ac:dyDescent="0.25">
      <c r="C42" s="288"/>
      <c r="D42" s="289"/>
      <c r="E42" s="289"/>
      <c r="F42" s="290"/>
      <c r="G42" s="346" t="s">
        <v>1338</v>
      </c>
      <c r="H42" s="347"/>
      <c r="I42" s="347"/>
      <c r="J42" s="347"/>
      <c r="K42" s="347"/>
      <c r="L42" s="348"/>
      <c r="M42" s="348"/>
      <c r="N42" s="348"/>
      <c r="O42" s="349"/>
      <c r="P42" s="288" t="s">
        <v>1010</v>
      </c>
      <c r="Q42" s="289"/>
      <c r="R42" s="289"/>
      <c r="S42" s="290"/>
      <c r="T42" s="298"/>
      <c r="U42" s="299"/>
      <c r="V42" s="300"/>
      <c r="W42" s="298"/>
      <c r="X42" s="299"/>
      <c r="Y42" s="300"/>
      <c r="Z42" s="298"/>
      <c r="AA42" s="299"/>
      <c r="AB42" s="300"/>
    </row>
    <row r="43" spans="2:29" s="35" customFormat="1" ht="14.25" hidden="1" customHeight="1" x14ac:dyDescent="0.25">
      <c r="C43" s="288"/>
      <c r="D43" s="289"/>
      <c r="E43" s="289"/>
      <c r="F43" s="290"/>
      <c r="G43" s="288" t="s">
        <v>1342</v>
      </c>
      <c r="H43" s="289"/>
      <c r="I43" s="289"/>
      <c r="J43" s="289"/>
      <c r="K43" s="289"/>
      <c r="L43" s="330"/>
      <c r="M43" s="330"/>
      <c r="N43" s="330"/>
      <c r="O43" s="331"/>
      <c r="P43" s="288" t="s">
        <v>1010</v>
      </c>
      <c r="Q43" s="289"/>
      <c r="R43" s="289"/>
      <c r="S43" s="290"/>
      <c r="T43" s="298"/>
      <c r="U43" s="299"/>
      <c r="V43" s="300"/>
      <c r="W43" s="298"/>
      <c r="X43" s="299"/>
      <c r="Y43" s="300"/>
      <c r="Z43" s="298"/>
      <c r="AA43" s="299"/>
      <c r="AB43" s="300"/>
    </row>
    <row r="44" spans="2:29" s="35" customFormat="1" ht="14.25" hidden="1" customHeight="1" x14ac:dyDescent="0.25">
      <c r="C44" s="288"/>
      <c r="D44" s="289"/>
      <c r="E44" s="289"/>
      <c r="F44" s="290"/>
      <c r="G44" s="288" t="s">
        <v>1345</v>
      </c>
      <c r="H44" s="289"/>
      <c r="I44" s="289"/>
      <c r="J44" s="289"/>
      <c r="K44" s="289"/>
      <c r="L44" s="330"/>
      <c r="M44" s="330"/>
      <c r="N44" s="330"/>
      <c r="O44" s="331"/>
      <c r="P44" s="288"/>
      <c r="Q44" s="289"/>
      <c r="R44" s="289"/>
      <c r="S44" s="290"/>
      <c r="T44" s="298"/>
      <c r="U44" s="299"/>
      <c r="V44" s="300"/>
      <c r="W44" s="298"/>
      <c r="X44" s="299"/>
      <c r="Y44" s="300"/>
      <c r="Z44" s="298"/>
      <c r="AA44" s="299"/>
      <c r="AB44" s="300"/>
    </row>
    <row r="45" spans="2:29" s="35" customFormat="1" ht="14.25" hidden="1" customHeight="1" x14ac:dyDescent="0.25">
      <c r="C45" s="288"/>
      <c r="D45" s="289"/>
      <c r="E45" s="289"/>
      <c r="F45" s="290"/>
      <c r="G45" s="288" t="s">
        <v>1343</v>
      </c>
      <c r="H45" s="289"/>
      <c r="I45" s="289"/>
      <c r="J45" s="289"/>
      <c r="K45" s="289"/>
      <c r="L45" s="330"/>
      <c r="M45" s="330"/>
      <c r="N45" s="330"/>
      <c r="O45" s="331"/>
      <c r="P45" s="288" t="s">
        <v>1010</v>
      </c>
      <c r="Q45" s="289"/>
      <c r="R45" s="289"/>
      <c r="S45" s="290"/>
      <c r="T45" s="298"/>
      <c r="U45" s="299"/>
      <c r="V45" s="300"/>
      <c r="W45" s="298"/>
      <c r="X45" s="299"/>
      <c r="Y45" s="300"/>
      <c r="Z45" s="298"/>
      <c r="AA45" s="299"/>
      <c r="AB45" s="300"/>
    </row>
    <row r="46" spans="2:29" s="35" customFormat="1" ht="14.25" hidden="1" customHeight="1" x14ac:dyDescent="0.25">
      <c r="C46" s="288"/>
      <c r="D46" s="289"/>
      <c r="E46" s="289"/>
      <c r="F46" s="290"/>
      <c r="G46" s="288" t="s">
        <v>1157</v>
      </c>
      <c r="H46" s="289"/>
      <c r="I46" s="289"/>
      <c r="J46" s="289"/>
      <c r="K46" s="289"/>
      <c r="L46" s="330"/>
      <c r="M46" s="330"/>
      <c r="N46" s="330"/>
      <c r="O46" s="331"/>
      <c r="P46" s="288" t="s">
        <v>1010</v>
      </c>
      <c r="Q46" s="289"/>
      <c r="R46" s="289"/>
      <c r="S46" s="290"/>
      <c r="T46" s="298"/>
      <c r="U46" s="299"/>
      <c r="V46" s="300"/>
      <c r="W46" s="298"/>
      <c r="X46" s="299"/>
      <c r="Y46" s="300"/>
      <c r="Z46" s="298"/>
      <c r="AA46" s="299"/>
      <c r="AB46" s="300"/>
    </row>
    <row r="47" spans="2:29" s="35" customFormat="1" ht="14.25" hidden="1" customHeight="1" x14ac:dyDescent="0.25">
      <c r="C47" s="288" t="s">
        <v>1262</v>
      </c>
      <c r="D47" s="289"/>
      <c r="E47" s="289"/>
      <c r="F47" s="290"/>
      <c r="G47" s="288" t="s">
        <v>1261</v>
      </c>
      <c r="H47" s="289"/>
      <c r="I47" s="289"/>
      <c r="J47" s="289"/>
      <c r="K47" s="289"/>
      <c r="L47" s="289"/>
      <c r="M47" s="289"/>
      <c r="N47" s="289"/>
      <c r="O47" s="290"/>
      <c r="P47" s="288" t="s">
        <v>1010</v>
      </c>
      <c r="Q47" s="289"/>
      <c r="R47" s="289"/>
      <c r="S47" s="290"/>
      <c r="T47" s="298"/>
      <c r="U47" s="299"/>
      <c r="V47" s="300"/>
      <c r="W47" s="298"/>
      <c r="X47" s="299"/>
      <c r="Y47" s="300"/>
      <c r="Z47" s="298"/>
      <c r="AA47" s="299"/>
      <c r="AB47" s="300"/>
    </row>
    <row r="48" spans="2:29" s="35" customFormat="1" ht="14.25" hidden="1" customHeight="1" x14ac:dyDescent="0.25">
      <c r="C48" s="288"/>
      <c r="D48" s="289"/>
      <c r="E48" s="289"/>
      <c r="F48" s="290"/>
      <c r="G48" s="288" t="s">
        <v>1344</v>
      </c>
      <c r="H48" s="289"/>
      <c r="I48" s="289"/>
      <c r="J48" s="289"/>
      <c r="K48" s="289"/>
      <c r="L48" s="289"/>
      <c r="M48" s="289"/>
      <c r="N48" s="289"/>
      <c r="O48" s="290"/>
      <c r="P48" s="288" t="s">
        <v>1010</v>
      </c>
      <c r="Q48" s="289"/>
      <c r="R48" s="289"/>
      <c r="S48" s="290"/>
      <c r="T48" s="298"/>
      <c r="U48" s="299"/>
      <c r="V48" s="300"/>
      <c r="W48" s="298"/>
      <c r="X48" s="299"/>
      <c r="Y48" s="300"/>
      <c r="Z48" s="298"/>
      <c r="AA48" s="299"/>
      <c r="AB48" s="300"/>
    </row>
    <row r="49" spans="2:28" s="35" customFormat="1" ht="14.25" hidden="1" customHeight="1" x14ac:dyDescent="0.25">
      <c r="C49" s="288"/>
      <c r="D49" s="289"/>
      <c r="E49" s="289"/>
      <c r="F49" s="290"/>
      <c r="G49" s="288">
        <v>1852</v>
      </c>
      <c r="H49" s="289"/>
      <c r="I49" s="289"/>
      <c r="J49" s="289"/>
      <c r="K49" s="289"/>
      <c r="L49" s="289"/>
      <c r="M49" s="289"/>
      <c r="N49" s="289"/>
      <c r="O49" s="290"/>
      <c r="P49" s="288" t="s">
        <v>1010</v>
      </c>
      <c r="Q49" s="289"/>
      <c r="R49" s="289"/>
      <c r="S49" s="290"/>
      <c r="T49" s="298"/>
      <c r="U49" s="299"/>
      <c r="V49" s="300"/>
      <c r="W49" s="298"/>
      <c r="X49" s="299"/>
      <c r="Y49" s="300"/>
      <c r="Z49" s="298"/>
      <c r="AA49" s="299"/>
      <c r="AB49" s="300"/>
    </row>
    <row r="50" spans="2:28" s="35" customFormat="1" ht="14.25" hidden="1" customHeight="1" x14ac:dyDescent="0.25">
      <c r="C50" s="288"/>
      <c r="D50" s="289"/>
      <c r="E50" s="289"/>
      <c r="F50" s="290"/>
      <c r="G50" s="288"/>
      <c r="H50" s="289"/>
      <c r="I50" s="289"/>
      <c r="J50" s="289"/>
      <c r="K50" s="289"/>
      <c r="L50" s="289"/>
      <c r="M50" s="289"/>
      <c r="N50" s="289"/>
      <c r="O50" s="290"/>
      <c r="P50" s="288"/>
      <c r="Q50" s="289"/>
      <c r="R50" s="289"/>
      <c r="S50" s="290"/>
      <c r="T50" s="298"/>
      <c r="U50" s="299"/>
      <c r="V50" s="300"/>
      <c r="W50" s="298"/>
      <c r="X50" s="299"/>
      <c r="Y50" s="300"/>
      <c r="Z50" s="298"/>
      <c r="AA50" s="299"/>
      <c r="AB50" s="300"/>
    </row>
    <row r="51" spans="2:28" s="35" customFormat="1" ht="14.25" hidden="1" customHeight="1" x14ac:dyDescent="0.25">
      <c r="C51" s="288"/>
      <c r="D51" s="289"/>
      <c r="E51" s="289"/>
      <c r="F51" s="290"/>
      <c r="G51" s="288"/>
      <c r="H51" s="289"/>
      <c r="I51" s="289"/>
      <c r="J51" s="289"/>
      <c r="K51" s="289"/>
      <c r="L51" s="289"/>
      <c r="M51" s="289"/>
      <c r="N51" s="289"/>
      <c r="O51" s="290"/>
      <c r="P51" s="288"/>
      <c r="Q51" s="289"/>
      <c r="R51" s="289"/>
      <c r="S51" s="290"/>
      <c r="T51" s="298"/>
      <c r="U51" s="299"/>
      <c r="V51" s="300"/>
      <c r="W51" s="298"/>
      <c r="X51" s="299"/>
      <c r="Y51" s="300"/>
      <c r="Z51" s="298"/>
      <c r="AA51" s="299"/>
      <c r="AB51" s="300"/>
    </row>
    <row r="52" spans="2:28" s="35" customFormat="1" ht="14.25" hidden="1" customHeight="1" x14ac:dyDescent="0.25">
      <c r="C52" s="288"/>
      <c r="D52" s="289"/>
      <c r="E52" s="289"/>
      <c r="F52" s="290"/>
      <c r="G52" s="288"/>
      <c r="H52" s="289"/>
      <c r="I52" s="289"/>
      <c r="J52" s="289"/>
      <c r="K52" s="289"/>
      <c r="L52" s="330"/>
      <c r="M52" s="330"/>
      <c r="N52" s="330"/>
      <c r="O52" s="331"/>
      <c r="P52" s="288"/>
      <c r="Q52" s="289"/>
      <c r="R52" s="289"/>
      <c r="S52" s="290"/>
      <c r="T52" s="298"/>
      <c r="U52" s="299"/>
      <c r="V52" s="300"/>
      <c r="W52" s="298"/>
      <c r="X52" s="299"/>
      <c r="Y52" s="300"/>
      <c r="Z52" s="298"/>
      <c r="AA52" s="299"/>
      <c r="AB52" s="300"/>
    </row>
    <row r="53" spans="2:28" s="35" customFormat="1" ht="14.25" hidden="1" customHeight="1" x14ac:dyDescent="0.25">
      <c r="C53" s="288"/>
      <c r="D53" s="289"/>
      <c r="E53" s="289"/>
      <c r="F53" s="290"/>
      <c r="G53" s="288">
        <v>11</v>
      </c>
      <c r="H53" s="289"/>
      <c r="I53" s="289"/>
      <c r="J53" s="289"/>
      <c r="K53" s="289"/>
      <c r="L53" s="330"/>
      <c r="M53" s="330"/>
      <c r="N53" s="330"/>
      <c r="O53" s="331"/>
      <c r="P53" s="288"/>
      <c r="Q53" s="289"/>
      <c r="R53" s="289"/>
      <c r="S53" s="290"/>
      <c r="T53" s="298"/>
      <c r="U53" s="299"/>
      <c r="V53" s="300"/>
      <c r="W53" s="298"/>
      <c r="X53" s="299"/>
      <c r="Y53" s="300"/>
      <c r="Z53" s="298"/>
      <c r="AA53" s="299"/>
      <c r="AB53" s="300"/>
    </row>
    <row r="54" spans="2:28" s="35" customFormat="1" ht="14.25" hidden="1" customHeight="1" x14ac:dyDescent="0.25"/>
    <row r="55" spans="2:28" ht="14.25" customHeight="1" x14ac:dyDescent="0.25">
      <c r="B55" s="4" t="s">
        <v>1286</v>
      </c>
      <c r="G55" s="6"/>
      <c r="P55" s="4"/>
    </row>
    <row r="56" spans="2:28" ht="6" customHeight="1" x14ac:dyDescent="0.25">
      <c r="B56" s="4"/>
      <c r="G56" s="6"/>
    </row>
    <row r="57" spans="2:28" ht="14.25" customHeight="1" thickBot="1" x14ac:dyDescent="0.3">
      <c r="C57" s="312" t="s">
        <v>66</v>
      </c>
      <c r="D57" s="321"/>
      <c r="E57" s="321"/>
      <c r="F57" s="313"/>
      <c r="G57" s="311" t="s">
        <v>1301</v>
      </c>
      <c r="H57" s="311"/>
      <c r="I57" s="311"/>
      <c r="J57" s="311"/>
      <c r="K57" s="312" t="s">
        <v>1302</v>
      </c>
      <c r="L57" s="321"/>
      <c r="M57" s="321"/>
      <c r="N57" s="313"/>
      <c r="O57" s="275" t="s">
        <v>440</v>
      </c>
      <c r="P57" s="275" t="s">
        <v>437</v>
      </c>
      <c r="Q57" s="275" t="s">
        <v>438</v>
      </c>
      <c r="R57" s="275" t="s">
        <v>439</v>
      </c>
      <c r="S57" s="311" t="s">
        <v>1307</v>
      </c>
      <c r="T57" s="311"/>
      <c r="U57" s="311"/>
      <c r="V57" s="311"/>
    </row>
    <row r="58" spans="2:28" ht="14.25" customHeight="1" x14ac:dyDescent="0.25">
      <c r="C58" s="288"/>
      <c r="D58" s="289"/>
      <c r="E58" s="289"/>
      <c r="F58" s="290"/>
      <c r="G58" s="298"/>
      <c r="H58" s="299"/>
      <c r="I58" s="299"/>
      <c r="J58" s="300"/>
      <c r="K58" s="295"/>
      <c r="L58" s="296"/>
      <c r="M58" s="296"/>
      <c r="N58" s="297"/>
      <c r="O58" s="273"/>
      <c r="P58" s="276" t="str">
        <f>IF(ISNUMBER(FIND("SSD",K58)),(O58*4),"")</f>
        <v/>
      </c>
      <c r="Q58" s="276" t="str">
        <f>IF(ISNUMBER(FIND("SATA",G58)),(O58*(24-P58)),"")</f>
        <v/>
      </c>
      <c r="R58" s="276" t="str">
        <f>IF(ISNUMBER(FIND("SAS",G58)),(O58*(24-P58)),"")</f>
        <v/>
      </c>
      <c r="S58" s="298"/>
      <c r="T58" s="299"/>
      <c r="U58" s="299"/>
      <c r="V58" s="300"/>
    </row>
    <row r="59" spans="2:28" s="35" customFormat="1" ht="14.25" customHeight="1" x14ac:dyDescent="0.25">
      <c r="C59" s="288"/>
      <c r="D59" s="289"/>
      <c r="E59" s="289"/>
      <c r="F59" s="290"/>
      <c r="G59" s="298"/>
      <c r="H59" s="299"/>
      <c r="I59" s="299"/>
      <c r="J59" s="300"/>
      <c r="K59" s="288"/>
      <c r="L59" s="289"/>
      <c r="M59" s="289"/>
      <c r="N59" s="290"/>
      <c r="O59" s="274"/>
      <c r="P59" s="279" t="str">
        <f t="shared" ref="P59:P67" si="1">IF(ISNUMBER(FIND("SSD",K59)),(O59*4),"")</f>
        <v/>
      </c>
      <c r="Q59" s="279" t="str">
        <f t="shared" ref="Q59:Q67" si="2">IF(ISNUMBER(FIND("SATA",G59)),(O59*(24-P59)),"")</f>
        <v/>
      </c>
      <c r="R59" s="279" t="str">
        <f t="shared" ref="R59:R67" si="3">IF(ISNUMBER(FIND("SAS",G59)),(O59*(24-P59)),"")</f>
        <v/>
      </c>
      <c r="S59" s="298"/>
      <c r="T59" s="299"/>
      <c r="U59" s="299"/>
      <c r="V59" s="300"/>
    </row>
    <row r="60" spans="2:28" s="35" customFormat="1" ht="14.25" hidden="1" customHeight="1" x14ac:dyDescent="0.25">
      <c r="C60" s="288"/>
      <c r="D60" s="289"/>
      <c r="E60" s="289"/>
      <c r="F60" s="290"/>
      <c r="G60" s="298"/>
      <c r="H60" s="299"/>
      <c r="I60" s="299"/>
      <c r="J60" s="300"/>
      <c r="K60" s="288"/>
      <c r="L60" s="289"/>
      <c r="M60" s="289"/>
      <c r="N60" s="290"/>
      <c r="O60" s="274"/>
      <c r="P60" s="279" t="str">
        <f t="shared" si="1"/>
        <v/>
      </c>
      <c r="Q60" s="279" t="str">
        <f t="shared" si="2"/>
        <v/>
      </c>
      <c r="R60" s="279" t="str">
        <f t="shared" si="3"/>
        <v/>
      </c>
      <c r="S60" s="298"/>
      <c r="T60" s="299"/>
      <c r="U60" s="299"/>
      <c r="V60" s="300"/>
    </row>
    <row r="61" spans="2:28" s="35" customFormat="1" ht="14.25" hidden="1" customHeight="1" x14ac:dyDescent="0.25">
      <c r="C61" s="288"/>
      <c r="D61" s="289"/>
      <c r="E61" s="289"/>
      <c r="F61" s="290"/>
      <c r="G61" s="298"/>
      <c r="H61" s="299"/>
      <c r="I61" s="299"/>
      <c r="J61" s="300"/>
      <c r="K61" s="288"/>
      <c r="L61" s="289"/>
      <c r="M61" s="289"/>
      <c r="N61" s="290"/>
      <c r="O61" s="274"/>
      <c r="P61" s="279" t="str">
        <f t="shared" si="1"/>
        <v/>
      </c>
      <c r="Q61" s="279" t="str">
        <f t="shared" si="2"/>
        <v/>
      </c>
      <c r="R61" s="279" t="str">
        <f t="shared" si="3"/>
        <v/>
      </c>
      <c r="S61" s="298"/>
      <c r="T61" s="299"/>
      <c r="U61" s="299"/>
      <c r="V61" s="300"/>
    </row>
    <row r="62" spans="2:28" s="35" customFormat="1" ht="14.25" hidden="1" customHeight="1" x14ac:dyDescent="0.25">
      <c r="C62" s="288"/>
      <c r="D62" s="289"/>
      <c r="E62" s="289"/>
      <c r="F62" s="290"/>
      <c r="G62" s="298"/>
      <c r="H62" s="299"/>
      <c r="I62" s="299"/>
      <c r="J62" s="300"/>
      <c r="K62" s="288"/>
      <c r="L62" s="289"/>
      <c r="M62" s="289"/>
      <c r="N62" s="290"/>
      <c r="O62" s="274"/>
      <c r="P62" s="279" t="str">
        <f t="shared" si="1"/>
        <v/>
      </c>
      <c r="Q62" s="279" t="str">
        <f t="shared" si="2"/>
        <v/>
      </c>
      <c r="R62" s="279" t="str">
        <f t="shared" si="3"/>
        <v/>
      </c>
      <c r="S62" s="298"/>
      <c r="T62" s="299"/>
      <c r="U62" s="299"/>
      <c r="V62" s="300"/>
    </row>
    <row r="63" spans="2:28" ht="14.25" hidden="1" customHeight="1" x14ac:dyDescent="0.25">
      <c r="C63" s="288"/>
      <c r="D63" s="289"/>
      <c r="E63" s="289"/>
      <c r="F63" s="290"/>
      <c r="G63" s="298"/>
      <c r="H63" s="299"/>
      <c r="I63" s="299"/>
      <c r="J63" s="300"/>
      <c r="K63" s="288"/>
      <c r="L63" s="289"/>
      <c r="M63" s="289"/>
      <c r="N63" s="290"/>
      <c r="O63" s="274"/>
      <c r="P63" s="279" t="str">
        <f t="shared" si="1"/>
        <v/>
      </c>
      <c r="Q63" s="279" t="str">
        <f t="shared" si="2"/>
        <v/>
      </c>
      <c r="R63" s="279" t="str">
        <f t="shared" si="3"/>
        <v/>
      </c>
      <c r="S63" s="298"/>
      <c r="T63" s="299"/>
      <c r="U63" s="299"/>
      <c r="V63" s="300"/>
    </row>
    <row r="64" spans="2:28" ht="14.25" hidden="1" customHeight="1" x14ac:dyDescent="0.25">
      <c r="C64" s="288"/>
      <c r="D64" s="289"/>
      <c r="E64" s="289"/>
      <c r="F64" s="290"/>
      <c r="G64" s="298">
        <v>1852</v>
      </c>
      <c r="H64" s="299"/>
      <c r="I64" s="299"/>
      <c r="J64" s="300"/>
      <c r="K64" s="288" t="s">
        <v>1349</v>
      </c>
      <c r="L64" s="289"/>
      <c r="M64" s="289"/>
      <c r="N64" s="290"/>
      <c r="O64" s="274"/>
      <c r="P64" s="279" t="str">
        <f t="shared" si="1"/>
        <v/>
      </c>
      <c r="Q64" s="279" t="str">
        <f t="shared" si="2"/>
        <v/>
      </c>
      <c r="R64" s="279" t="str">
        <f t="shared" si="3"/>
        <v/>
      </c>
      <c r="S64" s="298"/>
      <c r="T64" s="299"/>
      <c r="U64" s="299"/>
      <c r="V64" s="300"/>
    </row>
    <row r="65" spans="2:27" s="35" customFormat="1" ht="14.25" hidden="1" customHeight="1" x14ac:dyDescent="0.25">
      <c r="C65" s="288"/>
      <c r="D65" s="289"/>
      <c r="E65" s="289"/>
      <c r="F65" s="290"/>
      <c r="G65" s="298"/>
      <c r="H65" s="299"/>
      <c r="I65" s="299"/>
      <c r="J65" s="300"/>
      <c r="K65" s="288"/>
      <c r="L65" s="289"/>
      <c r="M65" s="289"/>
      <c r="N65" s="290"/>
      <c r="O65" s="274"/>
      <c r="P65" s="279" t="str">
        <f t="shared" si="1"/>
        <v/>
      </c>
      <c r="Q65" s="279" t="str">
        <f t="shared" si="2"/>
        <v/>
      </c>
      <c r="R65" s="279" t="str">
        <f t="shared" si="3"/>
        <v/>
      </c>
      <c r="S65" s="298"/>
      <c r="T65" s="299"/>
      <c r="U65" s="299"/>
      <c r="V65" s="300"/>
    </row>
    <row r="66" spans="2:27" s="35" customFormat="1" ht="14.25" hidden="1" customHeight="1" x14ac:dyDescent="0.25">
      <c r="C66" s="288"/>
      <c r="D66" s="289"/>
      <c r="E66" s="289"/>
      <c r="F66" s="290"/>
      <c r="G66" s="298"/>
      <c r="H66" s="299"/>
      <c r="I66" s="299"/>
      <c r="J66" s="300"/>
      <c r="K66" s="288"/>
      <c r="L66" s="289"/>
      <c r="M66" s="289"/>
      <c r="N66" s="290"/>
      <c r="O66" s="274"/>
      <c r="P66" s="279" t="str">
        <f t="shared" si="1"/>
        <v/>
      </c>
      <c r="Q66" s="279" t="str">
        <f t="shared" si="2"/>
        <v/>
      </c>
      <c r="R66" s="279" t="str">
        <f t="shared" si="3"/>
        <v/>
      </c>
      <c r="S66" s="298"/>
      <c r="T66" s="299"/>
      <c r="U66" s="299"/>
      <c r="V66" s="300"/>
    </row>
    <row r="67" spans="2:27" s="35" customFormat="1" ht="14.25" hidden="1" customHeight="1" x14ac:dyDescent="0.25">
      <c r="C67" s="288"/>
      <c r="D67" s="289"/>
      <c r="E67" s="289"/>
      <c r="F67" s="290"/>
      <c r="G67" s="298"/>
      <c r="H67" s="299"/>
      <c r="I67" s="299"/>
      <c r="J67" s="300"/>
      <c r="K67" s="288"/>
      <c r="L67" s="289"/>
      <c r="M67" s="289"/>
      <c r="N67" s="290"/>
      <c r="O67" s="274"/>
      <c r="P67" s="279" t="str">
        <f t="shared" si="1"/>
        <v/>
      </c>
      <c r="Q67" s="279" t="str">
        <f t="shared" si="2"/>
        <v/>
      </c>
      <c r="R67" s="279" t="str">
        <f t="shared" si="3"/>
        <v/>
      </c>
      <c r="S67" s="298"/>
      <c r="T67" s="299"/>
      <c r="U67" s="299"/>
      <c r="V67" s="300"/>
    </row>
    <row r="68" spans="2:27" s="35" customFormat="1" ht="14.25" customHeight="1" x14ac:dyDescent="0.25"/>
    <row r="69" spans="2:27" s="35" customFormat="1" ht="14.25" customHeight="1" x14ac:dyDescent="0.25">
      <c r="B69" s="4" t="s">
        <v>605</v>
      </c>
      <c r="G69" s="6"/>
      <c r="P69" s="4"/>
      <c r="W69" s="303" t="s">
        <v>76</v>
      </c>
      <c r="X69" s="303"/>
      <c r="Y69" s="303"/>
      <c r="Z69" s="303"/>
      <c r="AA69" s="203"/>
    </row>
    <row r="70" spans="2:27" s="35" customFormat="1" ht="6" customHeight="1" x14ac:dyDescent="0.25">
      <c r="B70" s="4"/>
      <c r="G70" s="6"/>
    </row>
    <row r="71" spans="2:27" s="35" customFormat="1" ht="14.25" customHeight="1" thickBot="1" x14ac:dyDescent="0.3">
      <c r="C71" s="312" t="s">
        <v>63</v>
      </c>
      <c r="D71" s="321"/>
      <c r="E71" s="321"/>
      <c r="F71" s="313"/>
      <c r="G71" s="312" t="s">
        <v>66</v>
      </c>
      <c r="H71" s="321"/>
      <c r="I71" s="321"/>
      <c r="J71" s="313"/>
      <c r="K71" s="312" t="s">
        <v>369</v>
      </c>
      <c r="L71" s="321"/>
      <c r="M71" s="321"/>
      <c r="N71" s="313"/>
      <c r="O71" s="312" t="s">
        <v>370</v>
      </c>
      <c r="P71" s="321"/>
      <c r="Q71" s="321"/>
      <c r="R71" s="313"/>
      <c r="S71" s="311" t="s">
        <v>71</v>
      </c>
      <c r="T71" s="311"/>
      <c r="U71" s="311"/>
      <c r="V71" s="311" t="s">
        <v>45</v>
      </c>
      <c r="W71" s="311"/>
      <c r="X71" s="311"/>
      <c r="Y71" s="311" t="s">
        <v>46</v>
      </c>
      <c r="Z71" s="311"/>
      <c r="AA71" s="311"/>
    </row>
    <row r="72" spans="2:27" s="35" customFormat="1" ht="14.25" customHeight="1" x14ac:dyDescent="0.25">
      <c r="C72" s="288"/>
      <c r="D72" s="289"/>
      <c r="E72" s="289"/>
      <c r="F72" s="290"/>
      <c r="G72" s="288"/>
      <c r="H72" s="289"/>
      <c r="I72" s="289"/>
      <c r="J72" s="290"/>
      <c r="K72" s="288"/>
      <c r="L72" s="289"/>
      <c r="M72" s="289"/>
      <c r="N72" s="290"/>
      <c r="O72" s="288"/>
      <c r="P72" s="289"/>
      <c r="Q72" s="289"/>
      <c r="R72" s="290"/>
      <c r="S72" s="298"/>
      <c r="T72" s="299"/>
      <c r="U72" s="300"/>
      <c r="V72" s="298" t="str">
        <f>IF(C72&lt;&gt;"",IF($AA$69&lt;&gt;0,VLOOKUP($AA$69,'Site Info'!$G$34:$P$69,5,FALSE),"enter VLAN"),"")</f>
        <v/>
      </c>
      <c r="W72" s="299"/>
      <c r="X72" s="300"/>
      <c r="Y72" s="298" t="str">
        <f>IF(C72&lt;&gt;"",IF($AA$69&lt;&gt;0,VLOOKUP($AA$69,'Site Info'!$G$34:$P$69,8,FALSE),"enter VLAN"),"")</f>
        <v/>
      </c>
      <c r="Z72" s="299"/>
      <c r="AA72" s="300"/>
    </row>
    <row r="73" spans="2:27" s="35" customFormat="1" ht="14.25" customHeight="1" x14ac:dyDescent="0.25">
      <c r="C73" s="288"/>
      <c r="D73" s="289"/>
      <c r="E73" s="289"/>
      <c r="F73" s="290"/>
      <c r="G73" s="288"/>
      <c r="H73" s="289"/>
      <c r="I73" s="289"/>
      <c r="J73" s="290"/>
      <c r="K73" s="288"/>
      <c r="L73" s="289"/>
      <c r="M73" s="289"/>
      <c r="N73" s="290"/>
      <c r="O73" s="288"/>
      <c r="P73" s="289"/>
      <c r="Q73" s="289"/>
      <c r="R73" s="290"/>
      <c r="S73" s="288"/>
      <c r="T73" s="289"/>
      <c r="U73" s="290"/>
      <c r="V73" s="298" t="str">
        <f>IF(C73&lt;&gt;"",IF($AA$69&lt;&gt;0,VLOOKUP($AA$69,'Site Info'!$G$34:$P$69,5,FALSE),"enter VLAN"),"")</f>
        <v/>
      </c>
      <c r="W73" s="299"/>
      <c r="X73" s="300"/>
      <c r="Y73" s="298" t="str">
        <f>IF(C73&lt;&gt;"",IF($AA$69&lt;&gt;0,VLOOKUP($AA$69,'Site Info'!$G$34:$P$69,8,FALSE),"enter VLAN"),"")</f>
        <v/>
      </c>
      <c r="Z73" s="299"/>
      <c r="AA73" s="300"/>
    </row>
    <row r="74" spans="2:27" s="35" customFormat="1" ht="14.25" hidden="1" customHeight="1" x14ac:dyDescent="0.25">
      <c r="C74" s="288"/>
      <c r="D74" s="289"/>
      <c r="E74" s="289"/>
      <c r="F74" s="290"/>
      <c r="G74" s="288"/>
      <c r="H74" s="289"/>
      <c r="I74" s="289"/>
      <c r="J74" s="290"/>
      <c r="K74" s="288"/>
      <c r="L74" s="289"/>
      <c r="M74" s="289"/>
      <c r="N74" s="290"/>
      <c r="O74" s="288"/>
      <c r="P74" s="289"/>
      <c r="Q74" s="289"/>
      <c r="R74" s="290"/>
      <c r="S74" s="288"/>
      <c r="T74" s="289"/>
      <c r="U74" s="290"/>
      <c r="V74" s="298" t="str">
        <f>IF(C74&lt;&gt;"",IF($AA$69&lt;&gt;0,VLOOKUP($AA$69,'Site Info'!$G$34:$P$69,5,FALSE),"enter VLAN"),"")</f>
        <v/>
      </c>
      <c r="W74" s="299"/>
      <c r="X74" s="300"/>
      <c r="Y74" s="298" t="str">
        <f>IF(C74&lt;&gt;"",IF($AA$69&lt;&gt;0,VLOOKUP($AA$69,'Site Info'!$G$34:$P$69,8,FALSE),"enter VLAN"),"")</f>
        <v/>
      </c>
      <c r="Z74" s="299"/>
      <c r="AA74" s="300"/>
    </row>
    <row r="75" spans="2:27" s="35" customFormat="1" ht="14.25" hidden="1" customHeight="1" x14ac:dyDescent="0.25">
      <c r="C75" s="288"/>
      <c r="D75" s="289"/>
      <c r="E75" s="289"/>
      <c r="F75" s="290"/>
      <c r="G75" s="288"/>
      <c r="H75" s="289"/>
      <c r="I75" s="289"/>
      <c r="J75" s="290"/>
      <c r="K75" s="288"/>
      <c r="L75" s="289"/>
      <c r="M75" s="289"/>
      <c r="N75" s="290"/>
      <c r="O75" s="288"/>
      <c r="P75" s="289"/>
      <c r="Q75" s="289"/>
      <c r="R75" s="290"/>
      <c r="S75" s="288"/>
      <c r="T75" s="289"/>
      <c r="U75" s="290"/>
      <c r="V75" s="298" t="str">
        <f>IF(C75&lt;&gt;"",IF($AA$69&lt;&gt;0,VLOOKUP($AA$69,'Site Info'!$G$34:$P$69,5,FALSE),"enter VLAN"),"")</f>
        <v/>
      </c>
      <c r="W75" s="299"/>
      <c r="X75" s="300"/>
      <c r="Y75" s="298" t="str">
        <f>IF(C75&lt;&gt;"",IF($AA$69&lt;&gt;0,VLOOKUP($AA$69,'Site Info'!$G$34:$P$69,8,FALSE),"enter VLAN"),"")</f>
        <v/>
      </c>
      <c r="Z75" s="299"/>
      <c r="AA75" s="300"/>
    </row>
    <row r="76" spans="2:27" ht="14.25" customHeight="1" x14ac:dyDescent="0.25"/>
    <row r="77" spans="2:27" ht="14.25" customHeight="1" x14ac:dyDescent="0.15">
      <c r="B77" s="4" t="s">
        <v>75</v>
      </c>
      <c r="G77" s="6"/>
      <c r="Q77" s="325" t="str">
        <f>IF($Y$77&lt;&gt;0,IF(C15&lt;&gt;"",VLOOKUP($Y$77,'Site Info'!$G$34:$P$69,2,FALSE),""),"")</f>
        <v/>
      </c>
      <c r="R77" s="325"/>
      <c r="S77" s="325"/>
      <c r="U77" s="303" t="s">
        <v>76</v>
      </c>
      <c r="V77" s="303"/>
      <c r="W77" s="303"/>
      <c r="X77" s="303"/>
      <c r="Y77" s="109"/>
    </row>
    <row r="78" spans="2:27" ht="6" customHeight="1" x14ac:dyDescent="0.25">
      <c r="B78" s="4"/>
      <c r="G78" s="6"/>
    </row>
    <row r="79" spans="2:27" ht="14.25" customHeight="1" thickBot="1" x14ac:dyDescent="0.3">
      <c r="C79" s="312" t="s">
        <v>63</v>
      </c>
      <c r="D79" s="321"/>
      <c r="E79" s="321"/>
      <c r="F79" s="313"/>
      <c r="G79" s="311" t="s">
        <v>42</v>
      </c>
      <c r="H79" s="311"/>
      <c r="I79" s="311"/>
      <c r="J79" s="311" t="s">
        <v>64</v>
      </c>
      <c r="K79" s="311"/>
      <c r="L79" s="311"/>
      <c r="M79" s="311"/>
      <c r="N79" s="311" t="s">
        <v>66</v>
      </c>
      <c r="O79" s="311"/>
      <c r="P79" s="311"/>
      <c r="Q79" s="311" t="s">
        <v>71</v>
      </c>
      <c r="R79" s="311"/>
      <c r="S79" s="311"/>
      <c r="T79" s="311" t="s">
        <v>45</v>
      </c>
      <c r="U79" s="311"/>
      <c r="V79" s="311"/>
      <c r="W79" s="311" t="s">
        <v>46</v>
      </c>
      <c r="X79" s="311"/>
      <c r="Y79" s="311"/>
    </row>
    <row r="80" spans="2:27" ht="14.25" customHeight="1" x14ac:dyDescent="0.25">
      <c r="C80" s="288" t="str">
        <f>IF($F$10="Clustered OnTap",CONCATENATE($G$12,"-sw-ci-01"),"")</f>
        <v>shpsan-sw-ci-01</v>
      </c>
      <c r="D80" s="289"/>
      <c r="E80" s="289"/>
      <c r="F80" s="290"/>
      <c r="G80" s="302" t="s">
        <v>74</v>
      </c>
      <c r="H80" s="302"/>
      <c r="I80" s="302"/>
      <c r="J80" s="298"/>
      <c r="K80" s="299"/>
      <c r="L80" s="299"/>
      <c r="M80" s="300"/>
      <c r="N80" s="298"/>
      <c r="O80" s="299"/>
      <c r="P80" s="300"/>
      <c r="Q80" s="298"/>
      <c r="R80" s="299"/>
      <c r="S80" s="300"/>
      <c r="T80" s="298" t="str">
        <f>IF(C80&lt;&gt;"",IF($Y$77&lt;&gt;0,VLOOKUP($Y$77,'Site Info'!$G$34:$P$69,5,FALSE),"enter VLAN"),"")</f>
        <v>enter VLAN</v>
      </c>
      <c r="U80" s="299"/>
      <c r="V80" s="300"/>
      <c r="W80" s="298" t="str">
        <f>IF(C80&lt;&gt;"",IF($Y$77&lt;&gt;0,IF(VLOOKUP($Y$77,'Site Info'!$G$34:$P$69,8,FALSE)&lt;&gt;0,VLOOKUP($Y$77,'Site Info'!$G$34:$P$69,8,FALSE),"none"),"enter VLAN"),"")</f>
        <v>enter VLAN</v>
      </c>
      <c r="X80" s="299"/>
      <c r="Y80" s="300"/>
    </row>
    <row r="81" spans="2:25" ht="14.25" customHeight="1" x14ac:dyDescent="0.25">
      <c r="C81" s="288" t="str">
        <f>IF($F$10="Clustered OnTap",CONCATENATE($G$12,"-sw-ci-02"),"")</f>
        <v>shpsan-sw-ci-02</v>
      </c>
      <c r="D81" s="289"/>
      <c r="E81" s="289"/>
      <c r="F81" s="290"/>
      <c r="G81" s="291" t="s">
        <v>74</v>
      </c>
      <c r="H81" s="291"/>
      <c r="I81" s="291"/>
      <c r="J81" s="288"/>
      <c r="K81" s="289"/>
      <c r="L81" s="289"/>
      <c r="M81" s="290"/>
      <c r="N81" s="288"/>
      <c r="O81" s="289"/>
      <c r="P81" s="290"/>
      <c r="Q81" s="288"/>
      <c r="R81" s="289"/>
      <c r="S81" s="290"/>
      <c r="T81" s="298" t="str">
        <f>IF(C81&lt;&gt;"",IF($Y$77&lt;&gt;0,VLOOKUP($Y$77,'Site Info'!$G$34:$P$69,5,FALSE),"enter VLAN"),"")</f>
        <v>enter VLAN</v>
      </c>
      <c r="U81" s="299"/>
      <c r="V81" s="300"/>
      <c r="W81" s="298" t="str">
        <f>IF(C81&lt;&gt;"",IF($Y$77&lt;&gt;0,IF(VLOOKUP($Y$77,'Site Info'!$G$34:$P$69,8,FALSE)&lt;&gt;0,VLOOKUP($Y$77,'Site Info'!$G$34:$P$69,8,FALSE),"none"),"enter VLAN"),"")</f>
        <v>enter VLAN</v>
      </c>
      <c r="X81" s="299"/>
      <c r="Y81" s="300"/>
    </row>
    <row r="82" spans="2:25" ht="14.25" customHeight="1" x14ac:dyDescent="0.25">
      <c r="C82" s="288" t="str">
        <f>IF($F$10="Clustered OnTap",CONCATENATE($G$12,"-sw-mgt-01"),"")</f>
        <v>shpsan-sw-mgt-01</v>
      </c>
      <c r="D82" s="289"/>
      <c r="E82" s="289"/>
      <c r="F82" s="290"/>
      <c r="G82" s="291" t="s">
        <v>48</v>
      </c>
      <c r="H82" s="291"/>
      <c r="I82" s="291"/>
      <c r="J82" s="288"/>
      <c r="K82" s="289"/>
      <c r="L82" s="289"/>
      <c r="M82" s="290"/>
      <c r="N82" s="288"/>
      <c r="O82" s="289"/>
      <c r="P82" s="290"/>
      <c r="Q82" s="288"/>
      <c r="R82" s="289"/>
      <c r="S82" s="290"/>
      <c r="T82" s="298" t="str">
        <f>IF(C82&lt;&gt;"",IF($Y$77&lt;&gt;0,VLOOKUP($Y$77,'Site Info'!$G$34:$P$69,5,FALSE),"enter VLAN"),"")</f>
        <v>enter VLAN</v>
      </c>
      <c r="U82" s="299"/>
      <c r="V82" s="300"/>
      <c r="W82" s="298" t="str">
        <f>IF(C82&lt;&gt;"",IF($Y$77&lt;&gt;0,IF(VLOOKUP($Y$77,'Site Info'!$G$34:$P$69,8,FALSE)&lt;&gt;0,VLOOKUP($Y$77,'Site Info'!$G$34:$P$69,8,FALSE),"none"),"enter VLAN"),"")</f>
        <v>enter VLAN</v>
      </c>
      <c r="X82" s="299"/>
      <c r="Y82" s="300"/>
    </row>
    <row r="83" spans="2:25" ht="14.25" customHeight="1" x14ac:dyDescent="0.25">
      <c r="C83" s="288" t="str">
        <f>IF($F$10="Clustered OnTap",CONCATENATE($G$12,"-sw-mgt-02"),"")</f>
        <v>shpsan-sw-mgt-02</v>
      </c>
      <c r="D83" s="289"/>
      <c r="E83" s="289"/>
      <c r="F83" s="290"/>
      <c r="G83" s="291" t="s">
        <v>48</v>
      </c>
      <c r="H83" s="291"/>
      <c r="I83" s="291"/>
      <c r="J83" s="288"/>
      <c r="K83" s="289"/>
      <c r="L83" s="289"/>
      <c r="M83" s="290"/>
      <c r="N83" s="288"/>
      <c r="O83" s="289"/>
      <c r="P83" s="290"/>
      <c r="Q83" s="288"/>
      <c r="R83" s="289"/>
      <c r="S83" s="290"/>
      <c r="T83" s="298" t="str">
        <f>IF(C83&lt;&gt;"",IF($Y$77&lt;&gt;0,VLOOKUP($Y$77,'Site Info'!$G$34:$P$69,5,FALSE),"enter VLAN"),"")</f>
        <v>enter VLAN</v>
      </c>
      <c r="U83" s="299"/>
      <c r="V83" s="300"/>
      <c r="W83" s="298" t="str">
        <f>IF(C83&lt;&gt;"",IF($Y$77&lt;&gt;0,IF(VLOOKUP($Y$77,'Site Info'!$G$34:$P$69,8,FALSE)&lt;&gt;0,VLOOKUP($Y$77,'Site Info'!$G$34:$P$69,8,FALSE),"none"),"enter VLAN"),"")</f>
        <v>enter VLAN</v>
      </c>
      <c r="X83" s="299"/>
      <c r="Y83" s="300"/>
    </row>
    <row r="84" spans="2:25" ht="14.25" customHeight="1" x14ac:dyDescent="0.25"/>
    <row r="85" spans="2:25" ht="14.25" customHeight="1" x14ac:dyDescent="0.15">
      <c r="B85" s="4" t="s">
        <v>79</v>
      </c>
      <c r="F85" s="6" t="s">
        <v>932</v>
      </c>
      <c r="G85" s="231"/>
      <c r="H85" s="303" t="s">
        <v>78</v>
      </c>
      <c r="I85" s="303"/>
      <c r="J85" s="303"/>
      <c r="K85" s="303"/>
      <c r="L85" s="288"/>
      <c r="M85" s="289"/>
      <c r="N85" s="290"/>
      <c r="Q85" s="325" t="str">
        <f>IF($Y$85&lt;&gt;0,IF(C15&lt;&gt;"",VLOOKUP($Y$85,'Site Info'!$G$34:$P$69,2,FALSE),""),"")</f>
        <v/>
      </c>
      <c r="R85" s="325"/>
      <c r="S85" s="325"/>
      <c r="U85" s="303" t="s">
        <v>76</v>
      </c>
      <c r="V85" s="303"/>
      <c r="W85" s="303"/>
      <c r="X85" s="303"/>
      <c r="Y85" s="109"/>
    </row>
    <row r="86" spans="2:25" ht="6" customHeight="1" x14ac:dyDescent="0.25">
      <c r="B86" s="4"/>
      <c r="G86" s="6"/>
    </row>
    <row r="87" spans="2:25" ht="14.25" customHeight="1" thickBot="1" x14ac:dyDescent="0.3">
      <c r="C87" s="312" t="s">
        <v>63</v>
      </c>
      <c r="D87" s="321"/>
      <c r="E87" s="321"/>
      <c r="F87" s="313"/>
      <c r="G87" s="311" t="s">
        <v>42</v>
      </c>
      <c r="H87" s="311"/>
      <c r="I87" s="311"/>
      <c r="J87" s="311" t="s">
        <v>64</v>
      </c>
      <c r="K87" s="311"/>
      <c r="L87" s="311"/>
      <c r="M87" s="311"/>
      <c r="N87" s="311" t="s">
        <v>66</v>
      </c>
      <c r="O87" s="311"/>
      <c r="P87" s="311"/>
      <c r="Q87" s="311" t="s">
        <v>71</v>
      </c>
      <c r="R87" s="311"/>
      <c r="S87" s="311"/>
      <c r="T87" s="311" t="s">
        <v>45</v>
      </c>
      <c r="U87" s="311"/>
      <c r="V87" s="311"/>
      <c r="W87" s="311" t="s">
        <v>46</v>
      </c>
      <c r="X87" s="311"/>
      <c r="Y87" s="311"/>
    </row>
    <row r="88" spans="2:25" ht="14.25" customHeight="1" x14ac:dyDescent="0.25">
      <c r="C88" s="288" t="str">
        <f>CONCATENATE(L85,"-9k-a")</f>
        <v>-9k-a</v>
      </c>
      <c r="D88" s="289"/>
      <c r="E88" s="289"/>
      <c r="F88" s="290"/>
      <c r="G88" s="302" t="s">
        <v>77</v>
      </c>
      <c r="H88" s="302"/>
      <c r="I88" s="302"/>
      <c r="J88" s="298"/>
      <c r="K88" s="299"/>
      <c r="L88" s="299"/>
      <c r="M88" s="300"/>
      <c r="N88" s="298"/>
      <c r="O88" s="299"/>
      <c r="P88" s="300"/>
      <c r="Q88" s="298"/>
      <c r="R88" s="299"/>
      <c r="S88" s="300"/>
      <c r="T88" s="298" t="str">
        <f>IF(C88&lt;&gt;"",IF($Y$85&lt;&gt;0,VLOOKUP($Y$85,'Site Info'!$G$34:$P$69,5,FALSE),"enter VLAN"),"")</f>
        <v>enter VLAN</v>
      </c>
      <c r="U88" s="299"/>
      <c r="V88" s="300"/>
      <c r="W88" s="298" t="str">
        <f>IF(C88&lt;&gt;"",IF($Y$85&lt;&gt;0,IF(VLOOKUP($Y$85,'Site Info'!$G$34:$P$69,8,FALSE)&lt;&gt;0,VLOOKUP($Y$85,'Site Info'!$G$34:$P$69,8,FALSE),"none"),"enter VLAN"),"")</f>
        <v>enter VLAN</v>
      </c>
      <c r="X88" s="299"/>
      <c r="Y88" s="300"/>
    </row>
    <row r="89" spans="2:25" ht="14.25" customHeight="1" x14ac:dyDescent="0.25">
      <c r="C89" s="288" t="str">
        <f>CONCATENATE(L85,"-9k-b")</f>
        <v>-9k-b</v>
      </c>
      <c r="D89" s="289"/>
      <c r="E89" s="289"/>
      <c r="F89" s="290"/>
      <c r="G89" s="291" t="s">
        <v>77</v>
      </c>
      <c r="H89" s="291"/>
      <c r="I89" s="291"/>
      <c r="J89" s="288"/>
      <c r="K89" s="289"/>
      <c r="L89" s="289"/>
      <c r="M89" s="290"/>
      <c r="N89" s="288"/>
      <c r="O89" s="289"/>
      <c r="P89" s="290"/>
      <c r="Q89" s="298"/>
      <c r="R89" s="299"/>
      <c r="S89" s="300"/>
      <c r="T89" s="298" t="str">
        <f>IF(C89&lt;&gt;"",IF($Y$85&lt;&gt;0,VLOOKUP($Y$85,'Site Info'!$G$34:$P$69,5,FALSE),"enter VLAN"),"")</f>
        <v>enter VLAN</v>
      </c>
      <c r="U89" s="299"/>
      <c r="V89" s="300"/>
      <c r="W89" s="298" t="str">
        <f>IF(C89&lt;&gt;"",IF($Y$85&lt;&gt;0,IF(VLOOKUP($Y$85,'Site Info'!$G$34:$P$69,8,FALSE)&lt;&gt;0,VLOOKUP($Y$85,'Site Info'!$G$34:$P$69,8,FALSE),"none"),"enter VLAN"),"")</f>
        <v>enter VLAN</v>
      </c>
      <c r="X89" s="299"/>
      <c r="Y89" s="300"/>
    </row>
    <row r="90" spans="2:25" ht="14.25" customHeight="1" x14ac:dyDescent="0.25">
      <c r="C90" s="288">
        <f>L85</f>
        <v>0</v>
      </c>
      <c r="D90" s="289"/>
      <c r="E90" s="289"/>
      <c r="F90" s="290"/>
      <c r="G90" s="291" t="s">
        <v>112</v>
      </c>
      <c r="H90" s="291"/>
      <c r="I90" s="291"/>
      <c r="J90" s="322" t="s">
        <v>961</v>
      </c>
      <c r="K90" s="322"/>
      <c r="L90" s="322"/>
      <c r="M90" s="322"/>
      <c r="N90" s="323" t="s">
        <v>961</v>
      </c>
      <c r="O90" s="323"/>
      <c r="P90" s="324"/>
      <c r="Q90" s="298"/>
      <c r="R90" s="299"/>
      <c r="S90" s="300"/>
      <c r="T90" s="298" t="str">
        <f>IF(C90&lt;&gt;"",IF($Y$85&lt;&gt;0,VLOOKUP($Y$85,'Site Info'!$G$34:$P$69,5,FALSE),"enter VLAN"),"")</f>
        <v>enter VLAN</v>
      </c>
      <c r="U90" s="299"/>
      <c r="V90" s="300"/>
      <c r="W90" s="298" t="str">
        <f>IF(C90&lt;&gt;"",IF($Y$85&lt;&gt;0,IF(VLOOKUP($Y$85,'Site Info'!$G$34:$P$69,8,FALSE)&lt;&gt;0,VLOOKUP($Y$85,'Site Info'!$G$34:$P$69,8,FALSE),"none"),"enter VLAN"),"")</f>
        <v>enter VLAN</v>
      </c>
      <c r="X90" s="299"/>
      <c r="Y90" s="300"/>
    </row>
    <row r="91" spans="2:25" ht="14.25" customHeight="1" x14ac:dyDescent="0.25">
      <c r="C91" s="288" t="str">
        <f>CONCATENATE(L85,"-a")</f>
        <v>-a</v>
      </c>
      <c r="D91" s="289"/>
      <c r="E91" s="289"/>
      <c r="F91" s="290"/>
      <c r="G91" s="291" t="s">
        <v>80</v>
      </c>
      <c r="H91" s="291"/>
      <c r="I91" s="291"/>
      <c r="J91" s="288"/>
      <c r="K91" s="289"/>
      <c r="L91" s="289"/>
      <c r="M91" s="290"/>
      <c r="N91" s="288"/>
      <c r="O91" s="289"/>
      <c r="P91" s="290"/>
      <c r="Q91" s="298"/>
      <c r="R91" s="299"/>
      <c r="S91" s="300"/>
      <c r="T91" s="298" t="str">
        <f>IF(C91&lt;&gt;"",IF($Y$85&lt;&gt;0,VLOOKUP($Y$85,'Site Info'!$G$34:$P$69,5,FALSE),"enter VLAN"),"")</f>
        <v>enter VLAN</v>
      </c>
      <c r="U91" s="299"/>
      <c r="V91" s="300"/>
      <c r="W91" s="298" t="str">
        <f>IF(C91&lt;&gt;"",IF($Y$85&lt;&gt;0,IF(VLOOKUP($Y$85,'Site Info'!$G$34:$P$69,8,FALSE)&lt;&gt;0,VLOOKUP($Y$85,'Site Info'!$G$34:$P$69,8,FALSE),"none"),"enter VLAN"),"")</f>
        <v>enter VLAN</v>
      </c>
      <c r="X91" s="299"/>
      <c r="Y91" s="300"/>
    </row>
    <row r="92" spans="2:25" ht="14.25" customHeight="1" x14ac:dyDescent="0.25">
      <c r="C92" s="288" t="str">
        <f>CONCATENATE(L85,"-b")</f>
        <v>-b</v>
      </c>
      <c r="D92" s="289"/>
      <c r="E92" s="289"/>
      <c r="F92" s="290"/>
      <c r="G92" s="291" t="s">
        <v>80</v>
      </c>
      <c r="H92" s="291"/>
      <c r="I92" s="291"/>
      <c r="J92" s="288"/>
      <c r="K92" s="289"/>
      <c r="L92" s="289"/>
      <c r="M92" s="290"/>
      <c r="N92" s="288"/>
      <c r="O92" s="289"/>
      <c r="P92" s="290"/>
      <c r="Q92" s="298"/>
      <c r="R92" s="299"/>
      <c r="S92" s="300"/>
      <c r="T92" s="298" t="str">
        <f>IF(C92&lt;&gt;"",IF($Y$85&lt;&gt;0,VLOOKUP($Y$85,'Site Info'!$G$34:$P$69,5,FALSE),"enter VLAN"),"")</f>
        <v>enter VLAN</v>
      </c>
      <c r="U92" s="299"/>
      <c r="V92" s="300"/>
      <c r="W92" s="298" t="str">
        <f>IF(C92&lt;&gt;"",IF($Y$85&lt;&gt;0,IF(VLOOKUP($Y$85,'Site Info'!$G$34:$P$69,8,FALSE)&lt;&gt;0,VLOOKUP($Y$85,'Site Info'!$G$34:$P$69,8,FALSE),"none"),"enter VLAN"),"")</f>
        <v>enter VLAN</v>
      </c>
      <c r="X92" s="299"/>
      <c r="Y92" s="300"/>
    </row>
    <row r="93" spans="2:25" ht="14.25" customHeight="1" x14ac:dyDescent="0.25"/>
    <row r="94" spans="2:25" ht="14.25" customHeight="1" x14ac:dyDescent="0.25">
      <c r="B94" s="192" t="s">
        <v>996</v>
      </c>
      <c r="U94" s="303" t="s">
        <v>76</v>
      </c>
      <c r="V94" s="303"/>
      <c r="W94" s="303"/>
      <c r="X94" s="303"/>
      <c r="Y94" s="189"/>
    </row>
    <row r="95" spans="2:25" ht="3.95" customHeight="1" x14ac:dyDescent="0.25"/>
    <row r="96" spans="2:25" ht="14.25" customHeight="1" thickBot="1" x14ac:dyDescent="0.3">
      <c r="C96" s="312" t="s">
        <v>63</v>
      </c>
      <c r="D96" s="321"/>
      <c r="E96" s="321"/>
      <c r="F96" s="313"/>
      <c r="G96" s="311" t="s">
        <v>42</v>
      </c>
      <c r="H96" s="311"/>
      <c r="I96" s="311"/>
      <c r="J96" s="311" t="s">
        <v>64</v>
      </c>
      <c r="K96" s="311"/>
      <c r="L96" s="311"/>
      <c r="M96" s="311"/>
      <c r="N96" s="311" t="s">
        <v>66</v>
      </c>
      <c r="O96" s="311"/>
      <c r="P96" s="311"/>
      <c r="Q96" s="311" t="s">
        <v>71</v>
      </c>
      <c r="R96" s="311"/>
      <c r="S96" s="311"/>
      <c r="T96" s="311" t="s">
        <v>45</v>
      </c>
      <c r="U96" s="311"/>
      <c r="V96" s="311"/>
      <c r="W96" s="311" t="s">
        <v>46</v>
      </c>
      <c r="X96" s="311"/>
      <c r="Y96" s="311"/>
    </row>
    <row r="97" spans="3:25" ht="14.25" customHeight="1" x14ac:dyDescent="0.25">
      <c r="C97" s="288" t="str">
        <f>CONCATENATE(L85,"-3048-a")</f>
        <v>-3048-a</v>
      </c>
      <c r="D97" s="289"/>
      <c r="E97" s="289"/>
      <c r="F97" s="290"/>
      <c r="G97" s="302" t="s">
        <v>77</v>
      </c>
      <c r="H97" s="302"/>
      <c r="I97" s="302"/>
      <c r="J97" s="298"/>
      <c r="K97" s="299"/>
      <c r="L97" s="299"/>
      <c r="M97" s="300"/>
      <c r="N97" s="298" t="s">
        <v>997</v>
      </c>
      <c r="O97" s="299"/>
      <c r="P97" s="300"/>
      <c r="Q97" s="298"/>
      <c r="R97" s="299"/>
      <c r="S97" s="300"/>
      <c r="T97" s="298" t="str">
        <f>IF(C97&lt;&gt;"",IF($Y$85&lt;&gt;0,VLOOKUP($Y$85,'Site Info'!$G$34:$P$69,5,FALSE),"enter VLAN"),"")</f>
        <v>enter VLAN</v>
      </c>
      <c r="U97" s="299"/>
      <c r="V97" s="300"/>
      <c r="W97" s="298" t="str">
        <f>IF(C97&lt;&gt;"",IF($Y$85&lt;&gt;0,IF(VLOOKUP($Y$85,'Site Info'!$G$34:$P$69,8,FALSE)&lt;&gt;0,VLOOKUP($Y$85,'Site Info'!$G$34:$P$69,8,FALSE),"none"),"enter VLAN"),"")</f>
        <v>enter VLAN</v>
      </c>
      <c r="X97" s="299"/>
      <c r="Y97" s="300"/>
    </row>
    <row r="98" spans="3:25" ht="14.25" customHeight="1" x14ac:dyDescent="0.25">
      <c r="C98" s="288" t="str">
        <f>CONCATENATE(L85,"-3048-b")</f>
        <v>-3048-b</v>
      </c>
      <c r="D98" s="289"/>
      <c r="E98" s="289"/>
      <c r="F98" s="290"/>
      <c r="G98" s="302" t="s">
        <v>77</v>
      </c>
      <c r="H98" s="302"/>
      <c r="I98" s="302"/>
      <c r="J98" s="298"/>
      <c r="K98" s="299"/>
      <c r="L98" s="299"/>
      <c r="M98" s="300"/>
      <c r="N98" s="298" t="s">
        <v>997</v>
      </c>
      <c r="O98" s="299"/>
      <c r="P98" s="300"/>
      <c r="Q98" s="298"/>
      <c r="R98" s="299"/>
      <c r="S98" s="300"/>
      <c r="T98" s="298" t="str">
        <f>IF(C98&lt;&gt;"",IF($Y$85&lt;&gt;0,VLOOKUP($Y$85,'Site Info'!$G$34:$P$69,5,FALSE),"enter VLAN"),"")</f>
        <v>enter VLAN</v>
      </c>
      <c r="U98" s="299"/>
      <c r="V98" s="300"/>
      <c r="W98" s="298" t="str">
        <f>IF(C98&lt;&gt;"",IF($Y$85&lt;&gt;0,IF(VLOOKUP($Y$85,'Site Info'!$G$34:$P$69,8,FALSE)&lt;&gt;0,VLOOKUP($Y$85,'Site Info'!$G$34:$P$69,8,FALSE),"none"),"enter VLAN"),"")</f>
        <v>enter VLAN</v>
      </c>
      <c r="X98" s="299"/>
      <c r="Y98" s="300"/>
    </row>
    <row r="99" spans="3:25" ht="14.25" customHeight="1" x14ac:dyDescent="0.25"/>
    <row r="100" spans="3:25" ht="14.25" customHeight="1" x14ac:dyDescent="0.25"/>
    <row r="101" spans="3:25" ht="14.25" customHeight="1" x14ac:dyDescent="0.25"/>
    <row r="102" spans="3:25" ht="14.25" customHeight="1" x14ac:dyDescent="0.25"/>
    <row r="103" spans="3:25" ht="14.25" customHeight="1" x14ac:dyDescent="0.25"/>
    <row r="104" spans="3:25" ht="14.25" customHeight="1" x14ac:dyDescent="0.25"/>
    <row r="105" spans="3:25" ht="14.25" customHeight="1" x14ac:dyDescent="0.25"/>
    <row r="106" spans="3:25" ht="14.25" customHeight="1" x14ac:dyDescent="0.25"/>
    <row r="107" spans="3:25" ht="14.25" customHeight="1" x14ac:dyDescent="0.25"/>
    <row r="108" spans="3:25" ht="14.25" customHeight="1" x14ac:dyDescent="0.25"/>
    <row r="109" spans="3:25" ht="14.25" customHeight="1" x14ac:dyDescent="0.25"/>
    <row r="110" spans="3:25" ht="14.25" customHeight="1" x14ac:dyDescent="0.25"/>
    <row r="111" spans="3:25" ht="14.25" customHeight="1" x14ac:dyDescent="0.25"/>
    <row r="112" spans="3:25"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sheetData>
  <dataConsolidate/>
  <mergeCells count="442">
    <mergeCell ref="K67:N67"/>
    <mergeCell ref="S57:V57"/>
    <mergeCell ref="S58:V58"/>
    <mergeCell ref="S59:V59"/>
    <mergeCell ref="S60:V60"/>
    <mergeCell ref="S61:V61"/>
    <mergeCell ref="S62:V62"/>
    <mergeCell ref="S63:V63"/>
    <mergeCell ref="S64:V64"/>
    <mergeCell ref="S65:V65"/>
    <mergeCell ref="S66:V66"/>
    <mergeCell ref="S67:V67"/>
    <mergeCell ref="K58:N58"/>
    <mergeCell ref="K59:N59"/>
    <mergeCell ref="K60:N60"/>
    <mergeCell ref="K61:N61"/>
    <mergeCell ref="K62:N62"/>
    <mergeCell ref="K63:N63"/>
    <mergeCell ref="K64:N64"/>
    <mergeCell ref="K65:N65"/>
    <mergeCell ref="K66:N66"/>
    <mergeCell ref="C45:F45"/>
    <mergeCell ref="C62:F62"/>
    <mergeCell ref="G62:J62"/>
    <mergeCell ref="C66:F66"/>
    <mergeCell ref="G66:J66"/>
    <mergeCell ref="Z52:AB52"/>
    <mergeCell ref="C72:F72"/>
    <mergeCell ref="V71:X71"/>
    <mergeCell ref="C46:F46"/>
    <mergeCell ref="G46:O46"/>
    <mergeCell ref="P46:S46"/>
    <mergeCell ref="T46:V46"/>
    <mergeCell ref="W46:Y46"/>
    <mergeCell ref="Z46:AB46"/>
    <mergeCell ref="G53:O53"/>
    <mergeCell ref="W49:Y49"/>
    <mergeCell ref="W52:Y52"/>
    <mergeCell ref="G48:O48"/>
    <mergeCell ref="W47:Y47"/>
    <mergeCell ref="G47:O47"/>
    <mergeCell ref="T47:V47"/>
    <mergeCell ref="Z47:AB47"/>
    <mergeCell ref="C50:F50"/>
    <mergeCell ref="G50:O50"/>
    <mergeCell ref="P50:S50"/>
    <mergeCell ref="C58:F58"/>
    <mergeCell ref="T49:V49"/>
    <mergeCell ref="T53:V53"/>
    <mergeCell ref="G58:J58"/>
    <mergeCell ref="C57:F57"/>
    <mergeCell ref="G57:J57"/>
    <mergeCell ref="Z49:AB49"/>
    <mergeCell ref="C49:F49"/>
    <mergeCell ref="P49:S49"/>
    <mergeCell ref="Z53:AB53"/>
    <mergeCell ref="T52:V52"/>
    <mergeCell ref="W53:Y53"/>
    <mergeCell ref="G49:O49"/>
    <mergeCell ref="T50:V50"/>
    <mergeCell ref="W50:Y50"/>
    <mergeCell ref="Z50:AB50"/>
    <mergeCell ref="C51:F51"/>
    <mergeCell ref="G51:O51"/>
    <mergeCell ref="P51:S51"/>
    <mergeCell ref="T51:V51"/>
    <mergeCell ref="W51:Y51"/>
    <mergeCell ref="Z51:AB51"/>
    <mergeCell ref="K57:N57"/>
    <mergeCell ref="C44:F44"/>
    <mergeCell ref="P44:S44"/>
    <mergeCell ref="T44:V44"/>
    <mergeCell ref="W44:Y44"/>
    <mergeCell ref="Z44:AB44"/>
    <mergeCell ref="Z42:AB42"/>
    <mergeCell ref="C40:F40"/>
    <mergeCell ref="G40:O40"/>
    <mergeCell ref="P40:S40"/>
    <mergeCell ref="T40:V40"/>
    <mergeCell ref="W40:Y40"/>
    <mergeCell ref="Z40:AB40"/>
    <mergeCell ref="G41:O41"/>
    <mergeCell ref="T41:V41"/>
    <mergeCell ref="C42:F42"/>
    <mergeCell ref="P42:S42"/>
    <mergeCell ref="T42:V42"/>
    <mergeCell ref="G42:O42"/>
    <mergeCell ref="W42:Y42"/>
    <mergeCell ref="G43:O43"/>
    <mergeCell ref="G44:O44"/>
    <mergeCell ref="Q77:S77"/>
    <mergeCell ref="O73:R73"/>
    <mergeCell ref="O74:R74"/>
    <mergeCell ref="O75:R75"/>
    <mergeCell ref="V75:X75"/>
    <mergeCell ref="Y75:AA75"/>
    <mergeCell ref="S73:U73"/>
    <mergeCell ref="T39:V39"/>
    <mergeCell ref="W39:Y39"/>
    <mergeCell ref="Z39:AB39"/>
    <mergeCell ref="Z41:AB41"/>
    <mergeCell ref="W43:Y43"/>
    <mergeCell ref="Z43:AB43"/>
    <mergeCell ref="Y72:AA72"/>
    <mergeCell ref="Y71:AA71"/>
    <mergeCell ref="S72:U72"/>
    <mergeCell ref="V72:X72"/>
    <mergeCell ref="W69:Z69"/>
    <mergeCell ref="T48:V48"/>
    <mergeCell ref="W48:Y48"/>
    <mergeCell ref="Z48:AB48"/>
    <mergeCell ref="Z45:AB45"/>
    <mergeCell ref="G45:O45"/>
    <mergeCell ref="W45:Y45"/>
    <mergeCell ref="G83:I83"/>
    <mergeCell ref="Q81:S81"/>
    <mergeCell ref="T81:V81"/>
    <mergeCell ref="Q82:S82"/>
    <mergeCell ref="T82:V82"/>
    <mergeCell ref="Q83:S83"/>
    <mergeCell ref="T83:V83"/>
    <mergeCell ref="C82:F82"/>
    <mergeCell ref="C83:F83"/>
    <mergeCell ref="N83:P83"/>
    <mergeCell ref="G81:I81"/>
    <mergeCell ref="X22:Z22"/>
    <mergeCell ref="K22:N22"/>
    <mergeCell ref="K20:N20"/>
    <mergeCell ref="L8:O8"/>
    <mergeCell ref="L9:O9"/>
    <mergeCell ref="P8:T8"/>
    <mergeCell ref="P9:T9"/>
    <mergeCell ref="B8:E8"/>
    <mergeCell ref="B9:E9"/>
    <mergeCell ref="B10:E10"/>
    <mergeCell ref="V12:Y12"/>
    <mergeCell ref="F9:I9"/>
    <mergeCell ref="F10:I10"/>
    <mergeCell ref="R12:T12"/>
    <mergeCell ref="C12:F12"/>
    <mergeCell ref="G12:I12"/>
    <mergeCell ref="L10:O10"/>
    <mergeCell ref="P10:R10"/>
    <mergeCell ref="X15:Z15"/>
    <mergeCell ref="X16:Z16"/>
    <mergeCell ref="X17:Z17"/>
    <mergeCell ref="X18:Z18"/>
    <mergeCell ref="X19:Z19"/>
    <mergeCell ref="X20:Z20"/>
    <mergeCell ref="C14:F14"/>
    <mergeCell ref="U22:W22"/>
    <mergeCell ref="G15:J15"/>
    <mergeCell ref="G16:J16"/>
    <mergeCell ref="G17:J17"/>
    <mergeCell ref="G18:J18"/>
    <mergeCell ref="G19:J19"/>
    <mergeCell ref="G20:J20"/>
    <mergeCell ref="G21:J21"/>
    <mergeCell ref="K15:N15"/>
    <mergeCell ref="O16:Q16"/>
    <mergeCell ref="O17:Q17"/>
    <mergeCell ref="R14:T14"/>
    <mergeCell ref="O15:Q15"/>
    <mergeCell ref="C16:F16"/>
    <mergeCell ref="R21:T21"/>
    <mergeCell ref="R22:T22"/>
    <mergeCell ref="U15:W15"/>
    <mergeCell ref="U16:W16"/>
    <mergeCell ref="U17:W17"/>
    <mergeCell ref="U18:W18"/>
    <mergeCell ref="U19:W19"/>
    <mergeCell ref="U20:W20"/>
    <mergeCell ref="U21:W21"/>
    <mergeCell ref="O18:Q18"/>
    <mergeCell ref="O19:Q19"/>
    <mergeCell ref="K18:N18"/>
    <mergeCell ref="U14:W14"/>
    <mergeCell ref="X14:Z14"/>
    <mergeCell ref="G14:J14"/>
    <mergeCell ref="K14:N14"/>
    <mergeCell ref="O14:Q14"/>
    <mergeCell ref="X21:Z21"/>
    <mergeCell ref="R15:T15"/>
    <mergeCell ref="R16:T16"/>
    <mergeCell ref="R17:T17"/>
    <mergeCell ref="K16:N16"/>
    <mergeCell ref="K17:N17"/>
    <mergeCell ref="R18:T18"/>
    <mergeCell ref="K19:N19"/>
    <mergeCell ref="C17:F17"/>
    <mergeCell ref="C18:F18"/>
    <mergeCell ref="C19:F19"/>
    <mergeCell ref="C20:F20"/>
    <mergeCell ref="C34:F34"/>
    <mergeCell ref="G34:J34"/>
    <mergeCell ref="O34:Q34"/>
    <mergeCell ref="R34:T34"/>
    <mergeCell ref="U34:W34"/>
    <mergeCell ref="V24:Y24"/>
    <mergeCell ref="G32:J32"/>
    <mergeCell ref="O30:Q30"/>
    <mergeCell ref="O31:Q31"/>
    <mergeCell ref="O32:Q32"/>
    <mergeCell ref="R30:T30"/>
    <mergeCell ref="R31:T31"/>
    <mergeCell ref="C22:F22"/>
    <mergeCell ref="G22:J22"/>
    <mergeCell ref="R19:T19"/>
    <mergeCell ref="R20:T20"/>
    <mergeCell ref="O20:Q20"/>
    <mergeCell ref="C21:F21"/>
    <mergeCell ref="C30:F30"/>
    <mergeCell ref="C31:F31"/>
    <mergeCell ref="C26:F26"/>
    <mergeCell ref="K21:N21"/>
    <mergeCell ref="O21:Q21"/>
    <mergeCell ref="K24:M24"/>
    <mergeCell ref="G27:J27"/>
    <mergeCell ref="K26:L26"/>
    <mergeCell ref="K27:L27"/>
    <mergeCell ref="K28:L28"/>
    <mergeCell ref="K29:L29"/>
    <mergeCell ref="M29:N29"/>
    <mergeCell ref="O22:Q22"/>
    <mergeCell ref="C27:F27"/>
    <mergeCell ref="M27:N27"/>
    <mergeCell ref="M28:N28"/>
    <mergeCell ref="C28:F28"/>
    <mergeCell ref="C29:F29"/>
    <mergeCell ref="O27:Q27"/>
    <mergeCell ref="C38:F38"/>
    <mergeCell ref="C41:F41"/>
    <mergeCell ref="P41:S41"/>
    <mergeCell ref="P38:S38"/>
    <mergeCell ref="C39:F39"/>
    <mergeCell ref="P39:S39"/>
    <mergeCell ref="C48:F48"/>
    <mergeCell ref="P48:S48"/>
    <mergeCell ref="J89:M89"/>
    <mergeCell ref="N89:P89"/>
    <mergeCell ref="J79:M79"/>
    <mergeCell ref="C80:F80"/>
    <mergeCell ref="J80:M80"/>
    <mergeCell ref="G82:I82"/>
    <mergeCell ref="C79:F79"/>
    <mergeCell ref="C53:F53"/>
    <mergeCell ref="P53:S53"/>
    <mergeCell ref="G39:O39"/>
    <mergeCell ref="G38:O38"/>
    <mergeCell ref="C47:F47"/>
    <mergeCell ref="C52:F52"/>
    <mergeCell ref="G52:O52"/>
    <mergeCell ref="P52:S52"/>
    <mergeCell ref="C43:F43"/>
    <mergeCell ref="C75:F75"/>
    <mergeCell ref="C73:F73"/>
    <mergeCell ref="C74:F74"/>
    <mergeCell ref="T89:V89"/>
    <mergeCell ref="W89:Y89"/>
    <mergeCell ref="Q87:S87"/>
    <mergeCell ref="T87:V87"/>
    <mergeCell ref="W87:Y87"/>
    <mergeCell ref="Q88:S88"/>
    <mergeCell ref="N80:P80"/>
    <mergeCell ref="N81:P81"/>
    <mergeCell ref="N82:P82"/>
    <mergeCell ref="T79:V79"/>
    <mergeCell ref="Q85:S85"/>
    <mergeCell ref="T88:V88"/>
    <mergeCell ref="W88:Y88"/>
    <mergeCell ref="V73:X73"/>
    <mergeCell ref="Y73:AA73"/>
    <mergeCell ref="S74:U74"/>
    <mergeCell ref="V74:X74"/>
    <mergeCell ref="Y74:AA74"/>
    <mergeCell ref="C81:F81"/>
    <mergeCell ref="J81:M81"/>
    <mergeCell ref="W81:Y81"/>
    <mergeCell ref="C15:F15"/>
    <mergeCell ref="Q92:S92"/>
    <mergeCell ref="C59:F59"/>
    <mergeCell ref="G59:J59"/>
    <mergeCell ref="C60:F60"/>
    <mergeCell ref="C61:F61"/>
    <mergeCell ref="G61:J61"/>
    <mergeCell ref="G60:J60"/>
    <mergeCell ref="C64:F64"/>
    <mergeCell ref="G64:J64"/>
    <mergeCell ref="C63:F63"/>
    <mergeCell ref="G63:J63"/>
    <mergeCell ref="C65:F65"/>
    <mergeCell ref="G65:J65"/>
    <mergeCell ref="C67:F67"/>
    <mergeCell ref="G67:J67"/>
    <mergeCell ref="C71:F71"/>
    <mergeCell ref="G26:J26"/>
    <mergeCell ref="O26:Q26"/>
    <mergeCell ref="R26:T26"/>
    <mergeCell ref="T92:V92"/>
    <mergeCell ref="G89:I89"/>
    <mergeCell ref="C91:F91"/>
    <mergeCell ref="G91:I91"/>
    <mergeCell ref="C87:F87"/>
    <mergeCell ref="G87:I87"/>
    <mergeCell ref="C88:F88"/>
    <mergeCell ref="G88:I88"/>
    <mergeCell ref="J87:M87"/>
    <mergeCell ref="N87:P87"/>
    <mergeCell ref="J88:M88"/>
    <mergeCell ref="N88:P88"/>
    <mergeCell ref="N90:P90"/>
    <mergeCell ref="C89:F89"/>
    <mergeCell ref="C90:F90"/>
    <mergeCell ref="G90:I90"/>
    <mergeCell ref="K34:L34"/>
    <mergeCell ref="M34:N34"/>
    <mergeCell ref="T43:V43"/>
    <mergeCell ref="W38:Y38"/>
    <mergeCell ref="C98:F98"/>
    <mergeCell ref="G98:I98"/>
    <mergeCell ref="J98:M98"/>
    <mergeCell ref="N98:P98"/>
    <mergeCell ref="Q98:S98"/>
    <mergeCell ref="T98:V98"/>
    <mergeCell ref="W98:Y98"/>
    <mergeCell ref="C96:F96"/>
    <mergeCell ref="G96:I96"/>
    <mergeCell ref="J96:M96"/>
    <mergeCell ref="N96:P96"/>
    <mergeCell ref="Q96:S96"/>
    <mergeCell ref="T96:V96"/>
    <mergeCell ref="W96:Y96"/>
    <mergeCell ref="C97:F97"/>
    <mergeCell ref="G97:I97"/>
    <mergeCell ref="J97:M97"/>
    <mergeCell ref="C92:F92"/>
    <mergeCell ref="G92:I92"/>
    <mergeCell ref="U77:X77"/>
    <mergeCell ref="P47:S47"/>
    <mergeCell ref="W80:Y80"/>
    <mergeCell ref="J82:M82"/>
    <mergeCell ref="Q89:S89"/>
    <mergeCell ref="N97:P97"/>
    <mergeCell ref="Q97:S97"/>
    <mergeCell ref="T97:V97"/>
    <mergeCell ref="W97:Y97"/>
    <mergeCell ref="U94:X94"/>
    <mergeCell ref="U85:X85"/>
    <mergeCell ref="W92:Y92"/>
    <mergeCell ref="H85:K85"/>
    <mergeCell ref="L85:N85"/>
    <mergeCell ref="J92:M92"/>
    <mergeCell ref="N92:P92"/>
    <mergeCell ref="J83:M83"/>
    <mergeCell ref="N79:P79"/>
    <mergeCell ref="W79:Y79"/>
    <mergeCell ref="Q80:S80"/>
    <mergeCell ref="T80:V80"/>
    <mergeCell ref="K75:N75"/>
    <mergeCell ref="K73:N73"/>
    <mergeCell ref="K74:N74"/>
    <mergeCell ref="Q90:S90"/>
    <mergeCell ref="J91:M91"/>
    <mergeCell ref="N91:P91"/>
    <mergeCell ref="Q91:S91"/>
    <mergeCell ref="T91:V91"/>
    <mergeCell ref="W91:Y91"/>
    <mergeCell ref="Q79:S79"/>
    <mergeCell ref="S71:U71"/>
    <mergeCell ref="S75:U75"/>
    <mergeCell ref="G75:J75"/>
    <mergeCell ref="G73:J73"/>
    <mergeCell ref="G74:J74"/>
    <mergeCell ref="O71:R71"/>
    <mergeCell ref="O72:R72"/>
    <mergeCell ref="J90:M90"/>
    <mergeCell ref="G71:J71"/>
    <mergeCell ref="G72:J72"/>
    <mergeCell ref="K71:N71"/>
    <mergeCell ref="K72:N72"/>
    <mergeCell ref="G79:I79"/>
    <mergeCell ref="G80:I80"/>
    <mergeCell ref="T90:V90"/>
    <mergeCell ref="W90:Y90"/>
    <mergeCell ref="W82:Y82"/>
    <mergeCell ref="W83:Y83"/>
    <mergeCell ref="C33:F33"/>
    <mergeCell ref="G28:J28"/>
    <mergeCell ref="G29:J29"/>
    <mergeCell ref="G33:J33"/>
    <mergeCell ref="O28:Q28"/>
    <mergeCell ref="O29:Q29"/>
    <mergeCell ref="O33:Q33"/>
    <mergeCell ref="K33:L33"/>
    <mergeCell ref="C32:F32"/>
    <mergeCell ref="G30:J30"/>
    <mergeCell ref="G31:J31"/>
    <mergeCell ref="K30:L30"/>
    <mergeCell ref="K31:L31"/>
    <mergeCell ref="K32:L32"/>
    <mergeCell ref="M33:N33"/>
    <mergeCell ref="M31:N31"/>
    <mergeCell ref="M32:N32"/>
    <mergeCell ref="M30:N30"/>
    <mergeCell ref="U26:W26"/>
    <mergeCell ref="X26:Z26"/>
    <mergeCell ref="M26:N26"/>
    <mergeCell ref="X29:Z29"/>
    <mergeCell ref="R28:T28"/>
    <mergeCell ref="R29:T29"/>
    <mergeCell ref="AA26:AC26"/>
    <mergeCell ref="X28:Z28"/>
    <mergeCell ref="AA27:AC27"/>
    <mergeCell ref="AA28:AC28"/>
    <mergeCell ref="AA29:AC29"/>
    <mergeCell ref="R27:T27"/>
    <mergeCell ref="U27:W27"/>
    <mergeCell ref="X27:Z27"/>
    <mergeCell ref="AA30:AC30"/>
    <mergeCell ref="Z38:AB38"/>
    <mergeCell ref="W41:Y41"/>
    <mergeCell ref="X34:Z34"/>
    <mergeCell ref="U28:W28"/>
    <mergeCell ref="U29:W29"/>
    <mergeCell ref="U33:W33"/>
    <mergeCell ref="U30:W30"/>
    <mergeCell ref="U31:W31"/>
    <mergeCell ref="U32:W32"/>
    <mergeCell ref="X30:Z30"/>
    <mergeCell ref="X31:Z31"/>
    <mergeCell ref="X32:Z32"/>
    <mergeCell ref="T38:V38"/>
    <mergeCell ref="T45:V45"/>
    <mergeCell ref="AA31:AC31"/>
    <mergeCell ref="AA32:AC32"/>
    <mergeCell ref="AA33:AC33"/>
    <mergeCell ref="AA34:AC34"/>
    <mergeCell ref="X33:Z33"/>
    <mergeCell ref="R32:T32"/>
    <mergeCell ref="P43:S43"/>
    <mergeCell ref="P45:S45"/>
    <mergeCell ref="R33:T33"/>
  </mergeCells>
  <conditionalFormatting sqref="F9 C43:C44 P43 K58:K67 P46 C48:C52 P50:P52">
    <cfRule type="containsBlanks" dxfId="766" priority="234">
      <formula>LEN(TRIM(C9))=0</formula>
    </cfRule>
  </conditionalFormatting>
  <conditionalFormatting sqref="F10">
    <cfRule type="containsBlanks" dxfId="765" priority="233">
      <formula>LEN(TRIM(F10))=0</formula>
    </cfRule>
  </conditionalFormatting>
  <conditionalFormatting sqref="P8">
    <cfRule type="containsBlanks" dxfId="764" priority="230">
      <formula>LEN(TRIM(P8))=0</formula>
    </cfRule>
  </conditionalFormatting>
  <conditionalFormatting sqref="P9 W43:W44 Z43:Z44 T40:T44 T46:T53 Z46:Z52 W46:W52">
    <cfRule type="containsBlanks" dxfId="763" priority="229">
      <formula>LEN(TRIM(P9))=0</formula>
    </cfRule>
  </conditionalFormatting>
  <conditionalFormatting sqref="G15">
    <cfRule type="containsBlanks" dxfId="762" priority="220">
      <formula>LEN(TRIM(G15))=0</formula>
    </cfRule>
  </conditionalFormatting>
  <conditionalFormatting sqref="G16:G22">
    <cfRule type="containsBlanks" dxfId="761" priority="219">
      <formula>LEN(TRIM(G16))=0</formula>
    </cfRule>
  </conditionalFormatting>
  <conditionalFormatting sqref="K15:K22">
    <cfRule type="containsBlanks" dxfId="760" priority="218">
      <formula>LEN(TRIM(K15))=0</formula>
    </cfRule>
  </conditionalFormatting>
  <conditionalFormatting sqref="O15:O16 O19:O22">
    <cfRule type="containsBlanks" dxfId="759" priority="217">
      <formula>LEN(TRIM(O15))=0</formula>
    </cfRule>
  </conditionalFormatting>
  <conditionalFormatting sqref="R15:R22">
    <cfRule type="containsBlanks" dxfId="758" priority="215">
      <formula>LEN(TRIM(R15))=0</formula>
    </cfRule>
  </conditionalFormatting>
  <conditionalFormatting sqref="G12">
    <cfRule type="containsBlanks" dxfId="757" priority="211">
      <formula>LEN(TRIM(G12))=0</formula>
    </cfRule>
  </conditionalFormatting>
  <conditionalFormatting sqref="Z12">
    <cfRule type="containsBlanks" dxfId="756" priority="200">
      <formula>LEN(TRIM(Z12))=0</formula>
    </cfRule>
  </conditionalFormatting>
  <conditionalFormatting sqref="J80">
    <cfRule type="containsBlanks" dxfId="755" priority="206">
      <formula>LEN(TRIM(J80))=0</formula>
    </cfRule>
  </conditionalFormatting>
  <conditionalFormatting sqref="J81:J83">
    <cfRule type="containsBlanks" dxfId="754" priority="205">
      <formula>LEN(TRIM(J81))=0</formula>
    </cfRule>
  </conditionalFormatting>
  <conditionalFormatting sqref="N80:N83">
    <cfRule type="containsBlanks" dxfId="753" priority="204">
      <formula>LEN(TRIM(N80))=0</formula>
    </cfRule>
  </conditionalFormatting>
  <conditionalFormatting sqref="Q80:Q83">
    <cfRule type="containsBlanks" dxfId="752" priority="203">
      <formula>LEN(TRIM(Q80))=0</formula>
    </cfRule>
  </conditionalFormatting>
  <conditionalFormatting sqref="J88">
    <cfRule type="containsBlanks" dxfId="751" priority="193">
      <formula>LEN(TRIM(J88))=0</formula>
    </cfRule>
  </conditionalFormatting>
  <conditionalFormatting sqref="J89 J91:J92">
    <cfRule type="containsBlanks" dxfId="750" priority="192">
      <formula>LEN(TRIM(J89))=0</formula>
    </cfRule>
  </conditionalFormatting>
  <conditionalFormatting sqref="N88:N89 N91:N92">
    <cfRule type="containsBlanks" dxfId="749" priority="191">
      <formula>LEN(TRIM(N88))=0</formula>
    </cfRule>
  </conditionalFormatting>
  <conditionalFormatting sqref="L85">
    <cfRule type="containsBlanks" dxfId="748" priority="187">
      <formula>LEN(TRIM(L85))=0</formula>
    </cfRule>
  </conditionalFormatting>
  <conditionalFormatting sqref="Q88:Q92">
    <cfRule type="containsBlanks" dxfId="747" priority="190">
      <formula>LEN(TRIM(Q88))=0</formula>
    </cfRule>
  </conditionalFormatting>
  <conditionalFormatting sqref="C88:C89">
    <cfRule type="containsBlanks" dxfId="746" priority="185">
      <formula>LEN(TRIM(C88))=0</formula>
    </cfRule>
  </conditionalFormatting>
  <conditionalFormatting sqref="G58">
    <cfRule type="containsBlanks" dxfId="745" priority="181">
      <formula>LEN(TRIM(G58))=0</formula>
    </cfRule>
  </conditionalFormatting>
  <conditionalFormatting sqref="C58">
    <cfRule type="containsBlanks" dxfId="744" priority="173">
      <formula>LEN(TRIM(C58))=0</formula>
    </cfRule>
  </conditionalFormatting>
  <conditionalFormatting sqref="F8">
    <cfRule type="containsBlanks" dxfId="743" priority="152">
      <formula>LEN(TRIM(F8))=0</formula>
    </cfRule>
  </conditionalFormatting>
  <conditionalFormatting sqref="P10">
    <cfRule type="containsBlanks" dxfId="742" priority="151">
      <formula>LEN(TRIM(P10))=0</formula>
    </cfRule>
  </conditionalFormatting>
  <conditionalFormatting sqref="C72">
    <cfRule type="containsBlanks" dxfId="741" priority="150">
      <formula>LEN(TRIM(C72))=0</formula>
    </cfRule>
  </conditionalFormatting>
  <conditionalFormatting sqref="G72">
    <cfRule type="containsBlanks" dxfId="740" priority="149">
      <formula>LEN(TRIM(G72))=0</formula>
    </cfRule>
  </conditionalFormatting>
  <conditionalFormatting sqref="K72">
    <cfRule type="containsBlanks" dxfId="739" priority="148">
      <formula>LEN(TRIM(K72))=0</formula>
    </cfRule>
  </conditionalFormatting>
  <conditionalFormatting sqref="C75">
    <cfRule type="containsBlanks" dxfId="738" priority="146">
      <formula>LEN(TRIM(C75))=0</formula>
    </cfRule>
  </conditionalFormatting>
  <conditionalFormatting sqref="G75">
    <cfRule type="containsBlanks" dxfId="737" priority="145">
      <formula>LEN(TRIM(G75))=0</formula>
    </cfRule>
  </conditionalFormatting>
  <conditionalFormatting sqref="K75">
    <cfRule type="containsBlanks" dxfId="736" priority="144">
      <formula>LEN(TRIM(K75))=0</formula>
    </cfRule>
  </conditionalFormatting>
  <conditionalFormatting sqref="C73">
    <cfRule type="containsBlanks" dxfId="735" priority="142">
      <formula>LEN(TRIM(C73))=0</formula>
    </cfRule>
  </conditionalFormatting>
  <conditionalFormatting sqref="G73">
    <cfRule type="containsBlanks" dxfId="734" priority="141">
      <formula>LEN(TRIM(G73))=0</formula>
    </cfRule>
  </conditionalFormatting>
  <conditionalFormatting sqref="K73">
    <cfRule type="containsBlanks" dxfId="733" priority="140">
      <formula>LEN(TRIM(K73))=0</formula>
    </cfRule>
  </conditionalFormatting>
  <conditionalFormatting sqref="C74">
    <cfRule type="containsBlanks" dxfId="732" priority="138">
      <formula>LEN(TRIM(C74))=0</formula>
    </cfRule>
  </conditionalFormatting>
  <conditionalFormatting sqref="G74">
    <cfRule type="containsBlanks" dxfId="731" priority="137">
      <formula>LEN(TRIM(G74))=0</formula>
    </cfRule>
  </conditionalFormatting>
  <conditionalFormatting sqref="K74">
    <cfRule type="containsBlanks" dxfId="730" priority="136">
      <formula>LEN(TRIM(K74))=0</formula>
    </cfRule>
  </conditionalFormatting>
  <conditionalFormatting sqref="O17">
    <cfRule type="containsBlanks" dxfId="729" priority="128">
      <formula>LEN(TRIM(O17))=0</formula>
    </cfRule>
  </conditionalFormatting>
  <conditionalFormatting sqref="O18">
    <cfRule type="containsBlanks" dxfId="728" priority="127">
      <formula>LEN(TRIM(O18))=0</formula>
    </cfRule>
  </conditionalFormatting>
  <conditionalFormatting sqref="O72">
    <cfRule type="containsBlanks" dxfId="727" priority="109">
      <formula>LEN(TRIM(O72))=0</formula>
    </cfRule>
  </conditionalFormatting>
  <conditionalFormatting sqref="O75">
    <cfRule type="containsBlanks" dxfId="726" priority="108">
      <formula>LEN(TRIM(O75))=0</formula>
    </cfRule>
  </conditionalFormatting>
  <conditionalFormatting sqref="O73">
    <cfRule type="containsBlanks" dxfId="725" priority="107">
      <formula>LEN(TRIM(O73))=0</formula>
    </cfRule>
  </conditionalFormatting>
  <conditionalFormatting sqref="O74">
    <cfRule type="containsBlanks" dxfId="724" priority="106">
      <formula>LEN(TRIM(O74))=0</formula>
    </cfRule>
  </conditionalFormatting>
  <conditionalFormatting sqref="S72:S75">
    <cfRule type="containsBlanks" dxfId="723" priority="105">
      <formula>LEN(TRIM(S72))=0</formula>
    </cfRule>
  </conditionalFormatting>
  <conditionalFormatting sqref="V72:V75">
    <cfRule type="containsBlanks" dxfId="722" priority="104">
      <formula>LEN(TRIM(V72))=0</formula>
    </cfRule>
  </conditionalFormatting>
  <conditionalFormatting sqref="Y72:Y75">
    <cfRule type="containsBlanks" dxfId="721" priority="103">
      <formula>LEN(TRIM(Y72))=0</formula>
    </cfRule>
  </conditionalFormatting>
  <conditionalFormatting sqref="C59:C67">
    <cfRule type="containsBlanks" dxfId="720" priority="101">
      <formula>LEN(TRIM(C59))=0</formula>
    </cfRule>
  </conditionalFormatting>
  <conditionalFormatting sqref="G59:G67">
    <cfRule type="containsBlanks" dxfId="719" priority="100">
      <formula>LEN(TRIM(G59))=0</formula>
    </cfRule>
  </conditionalFormatting>
  <conditionalFormatting sqref="G39">
    <cfRule type="containsBlanks" dxfId="718" priority="99">
      <formula>LEN(TRIM(G39))=0</formula>
    </cfRule>
  </conditionalFormatting>
  <conditionalFormatting sqref="W39 Z39 T39 Z41 W41">
    <cfRule type="containsBlanks" dxfId="717" priority="98">
      <formula>LEN(TRIM(T39))=0</formula>
    </cfRule>
  </conditionalFormatting>
  <conditionalFormatting sqref="C39 C41">
    <cfRule type="containsBlanks" dxfId="716" priority="95">
      <formula>LEN(TRIM(C39))=0</formula>
    </cfRule>
  </conditionalFormatting>
  <conditionalFormatting sqref="G43">
    <cfRule type="containsBlanks" dxfId="715" priority="94">
      <formula>LEN(TRIM(G43))=0</formula>
    </cfRule>
  </conditionalFormatting>
  <conditionalFormatting sqref="P41">
    <cfRule type="containsBlanks" dxfId="714" priority="89">
      <formula>LEN(TRIM(P41))=0</formula>
    </cfRule>
  </conditionalFormatting>
  <conditionalFormatting sqref="P53">
    <cfRule type="containsBlanks" dxfId="713" priority="81">
      <formula>LEN(TRIM(P53))=0</formula>
    </cfRule>
  </conditionalFormatting>
  <conditionalFormatting sqref="G53">
    <cfRule type="containsBlanks" dxfId="712" priority="80">
      <formula>LEN(TRIM(G53))=0</formula>
    </cfRule>
  </conditionalFormatting>
  <conditionalFormatting sqref="C53">
    <cfRule type="containsBlanks" dxfId="711" priority="82">
      <formula>LEN(TRIM(C53))=0</formula>
    </cfRule>
  </conditionalFormatting>
  <conditionalFormatting sqref="W53">
    <cfRule type="containsBlanks" dxfId="710" priority="84">
      <formula>LEN(TRIM(W53))=0</formula>
    </cfRule>
  </conditionalFormatting>
  <conditionalFormatting sqref="Z53">
    <cfRule type="containsBlanks" dxfId="709" priority="83">
      <formula>LEN(TRIM(Z53))=0</formula>
    </cfRule>
  </conditionalFormatting>
  <conditionalFormatting sqref="Y77">
    <cfRule type="containsBlanks" dxfId="708" priority="79">
      <formula>LEN(TRIM(Y77))=0</formula>
    </cfRule>
  </conditionalFormatting>
  <conditionalFormatting sqref="Y85">
    <cfRule type="containsBlanks" dxfId="707" priority="78">
      <formula>LEN(TRIM(Y85))=0</formula>
    </cfRule>
  </conditionalFormatting>
  <conditionalFormatting sqref="G85">
    <cfRule type="containsBlanks" dxfId="706" priority="77">
      <formula>LEN(TRIM(G85))=0</formula>
    </cfRule>
  </conditionalFormatting>
  <conditionalFormatting sqref="C98">
    <cfRule type="containsBlanks" dxfId="705" priority="68">
      <formula>LEN(TRIM(C98))=0</formula>
    </cfRule>
  </conditionalFormatting>
  <conditionalFormatting sqref="J97">
    <cfRule type="containsBlanks" dxfId="704" priority="76">
      <formula>LEN(TRIM(J97))=0</formula>
    </cfRule>
  </conditionalFormatting>
  <conditionalFormatting sqref="N97">
    <cfRule type="containsBlanks" dxfId="703" priority="75">
      <formula>LEN(TRIM(N97))=0</formula>
    </cfRule>
  </conditionalFormatting>
  <conditionalFormatting sqref="Q97">
    <cfRule type="containsBlanks" dxfId="702" priority="74">
      <formula>LEN(TRIM(Q97))=0</formula>
    </cfRule>
  </conditionalFormatting>
  <conditionalFormatting sqref="C97">
    <cfRule type="containsBlanks" dxfId="701" priority="73">
      <formula>LEN(TRIM(C97))=0</formula>
    </cfRule>
  </conditionalFormatting>
  <conditionalFormatting sqref="Y94">
    <cfRule type="containsBlanks" dxfId="700" priority="72">
      <formula>LEN(TRIM(Y94))=0</formula>
    </cfRule>
  </conditionalFormatting>
  <conditionalFormatting sqref="J98">
    <cfRule type="containsBlanks" dxfId="699" priority="71">
      <formula>LEN(TRIM(J98))=0</formula>
    </cfRule>
  </conditionalFormatting>
  <conditionalFormatting sqref="N98">
    <cfRule type="containsBlanks" dxfId="698" priority="70">
      <formula>LEN(TRIM(N98))=0</formula>
    </cfRule>
  </conditionalFormatting>
  <conditionalFormatting sqref="Q98">
    <cfRule type="containsBlanks" dxfId="697" priority="69">
      <formula>LEN(TRIM(Q98))=0</formula>
    </cfRule>
  </conditionalFormatting>
  <conditionalFormatting sqref="AA69">
    <cfRule type="containsBlanks" dxfId="696" priority="67">
      <formula>LEN(TRIM(AA69))=0</formula>
    </cfRule>
  </conditionalFormatting>
  <conditionalFormatting sqref="W42 Z42">
    <cfRule type="containsBlanks" dxfId="695" priority="66">
      <formula>LEN(TRIM(W42))=0</formula>
    </cfRule>
  </conditionalFormatting>
  <conditionalFormatting sqref="C42">
    <cfRule type="containsBlanks" dxfId="694" priority="65">
      <formula>LEN(TRIM(C42))=0</formula>
    </cfRule>
  </conditionalFormatting>
  <conditionalFormatting sqref="P42">
    <cfRule type="containsBlanks" dxfId="693" priority="64">
      <formula>LEN(TRIM(P42))=0</formula>
    </cfRule>
  </conditionalFormatting>
  <conditionalFormatting sqref="W40 Z40">
    <cfRule type="containsBlanks" dxfId="692" priority="62">
      <formula>LEN(TRIM(W40))=0</formula>
    </cfRule>
  </conditionalFormatting>
  <conditionalFormatting sqref="C40">
    <cfRule type="containsBlanks" dxfId="691" priority="61">
      <formula>LEN(TRIM(C40))=0</formula>
    </cfRule>
  </conditionalFormatting>
  <conditionalFormatting sqref="G27:G33">
    <cfRule type="containsBlanks" dxfId="690" priority="59">
      <formula>LEN(TRIM(G27))=0</formula>
    </cfRule>
  </conditionalFormatting>
  <conditionalFormatting sqref="K27:K34 M27:M34">
    <cfRule type="containsBlanks" dxfId="689" priority="58">
      <formula>LEN(TRIM(K27))=0</formula>
    </cfRule>
  </conditionalFormatting>
  <conditionalFormatting sqref="O27:T34">
    <cfRule type="containsBlanks" dxfId="688" priority="56">
      <formula>LEN(TRIM(O27))=0</formula>
    </cfRule>
  </conditionalFormatting>
  <conditionalFormatting sqref="G34">
    <cfRule type="containsBlanks" dxfId="687" priority="55">
      <formula>LEN(TRIM(G34))=0</formula>
    </cfRule>
  </conditionalFormatting>
  <conditionalFormatting sqref="R34">
    <cfRule type="containsBlanks" dxfId="686" priority="53">
      <formula>LEN(TRIM(R34))=0</formula>
    </cfRule>
  </conditionalFormatting>
  <conditionalFormatting sqref="Z24">
    <cfRule type="containsBlanks" dxfId="685" priority="51">
      <formula>LEN(TRIM(Z24))=0</formula>
    </cfRule>
  </conditionalFormatting>
  <conditionalFormatting sqref="G52">
    <cfRule type="containsBlanks" dxfId="684" priority="50">
      <formula>LEN(TRIM(G52))=0</formula>
    </cfRule>
  </conditionalFormatting>
  <conditionalFormatting sqref="N24">
    <cfRule type="containsBlanks" dxfId="683" priority="49">
      <formula>LEN(TRIM(N24))=0</formula>
    </cfRule>
  </conditionalFormatting>
  <conditionalFormatting sqref="R58:R67">
    <cfRule type="containsBlanks" dxfId="682" priority="46">
      <formula>LEN(TRIM(R58))=0</formula>
    </cfRule>
  </conditionalFormatting>
  <conditionalFormatting sqref="P58:Q67">
    <cfRule type="containsBlanks" dxfId="681" priority="47">
      <formula>LEN(TRIM(P58))=0</formula>
    </cfRule>
  </conditionalFormatting>
  <conditionalFormatting sqref="O63:O64">
    <cfRule type="containsBlanks" dxfId="680" priority="43">
      <formula>LEN(TRIM(O63))=0</formula>
    </cfRule>
  </conditionalFormatting>
  <conditionalFormatting sqref="O58">
    <cfRule type="containsBlanks" dxfId="679" priority="44">
      <formula>LEN(TRIM(O58))=0</formula>
    </cfRule>
  </conditionalFormatting>
  <conditionalFormatting sqref="O65 O67">
    <cfRule type="containsBlanks" dxfId="678" priority="41">
      <formula>LEN(TRIM(O65))=0</formula>
    </cfRule>
  </conditionalFormatting>
  <conditionalFormatting sqref="O59:O60">
    <cfRule type="containsBlanks" dxfId="677" priority="39">
      <formula>LEN(TRIM(O59))=0</formula>
    </cfRule>
  </conditionalFormatting>
  <conditionalFormatting sqref="O61:O62">
    <cfRule type="containsBlanks" dxfId="676" priority="37">
      <formula>LEN(TRIM(O61))=0</formula>
    </cfRule>
  </conditionalFormatting>
  <conditionalFormatting sqref="O66">
    <cfRule type="containsBlanks" dxfId="675" priority="35">
      <formula>LEN(TRIM(O66))=0</formula>
    </cfRule>
  </conditionalFormatting>
  <conditionalFormatting sqref="S58">
    <cfRule type="containsBlanks" dxfId="674" priority="34">
      <formula>LEN(TRIM(S58))=0</formula>
    </cfRule>
  </conditionalFormatting>
  <conditionalFormatting sqref="S59:S67">
    <cfRule type="containsBlanks" dxfId="673" priority="33">
      <formula>LEN(TRIM(S59))=0</formula>
    </cfRule>
  </conditionalFormatting>
  <conditionalFormatting sqref="G41">
    <cfRule type="containsBlanks" dxfId="672" priority="32">
      <formula>LEN(TRIM(G41))=0</formula>
    </cfRule>
  </conditionalFormatting>
  <conditionalFormatting sqref="G44">
    <cfRule type="containsBlanks" dxfId="671" priority="31">
      <formula>LEN(TRIM(G44))=0</formula>
    </cfRule>
  </conditionalFormatting>
  <conditionalFormatting sqref="P45 C45">
    <cfRule type="containsBlanks" dxfId="670" priority="28">
      <formula>LEN(TRIM(C45))=0</formula>
    </cfRule>
  </conditionalFormatting>
  <conditionalFormatting sqref="T45 Z45 W45">
    <cfRule type="containsBlanks" dxfId="669" priority="27">
      <formula>LEN(TRIM(T45))=0</formula>
    </cfRule>
  </conditionalFormatting>
  <conditionalFormatting sqref="P39">
    <cfRule type="containsBlanks" dxfId="668" priority="26">
      <formula>LEN(TRIM(P39))=0</formula>
    </cfRule>
  </conditionalFormatting>
  <conditionalFormatting sqref="P40">
    <cfRule type="containsBlanks" dxfId="667" priority="25">
      <formula>LEN(TRIM(P40))=0</formula>
    </cfRule>
  </conditionalFormatting>
  <conditionalFormatting sqref="P44">
    <cfRule type="containsBlanks" dxfId="666" priority="24">
      <formula>LEN(TRIM(P44))=0</formula>
    </cfRule>
  </conditionalFormatting>
  <conditionalFormatting sqref="P47">
    <cfRule type="containsBlanks" dxfId="665" priority="23">
      <formula>LEN(TRIM(P47))=0</formula>
    </cfRule>
  </conditionalFormatting>
  <conditionalFormatting sqref="C46">
    <cfRule type="containsBlanks" dxfId="664" priority="15">
      <formula>LEN(TRIM(C46))=0</formula>
    </cfRule>
  </conditionalFormatting>
  <conditionalFormatting sqref="G51">
    <cfRule type="containsBlanks" dxfId="663" priority="13">
      <formula>LEN(TRIM(G51))=0</formula>
    </cfRule>
  </conditionalFormatting>
  <conditionalFormatting sqref="G51">
    <cfRule type="containsBlanks" dxfId="662" priority="12">
      <formula>LEN(TRIM(G51))=0</formula>
    </cfRule>
  </conditionalFormatting>
  <conditionalFormatting sqref="G50">
    <cfRule type="containsBlanks" dxfId="661" priority="11">
      <formula>LEN(TRIM(G50))=0</formula>
    </cfRule>
  </conditionalFormatting>
  <conditionalFormatting sqref="G50">
    <cfRule type="containsBlanks" dxfId="660" priority="10">
      <formula>LEN(TRIM(G50))=0</formula>
    </cfRule>
  </conditionalFormatting>
  <conditionalFormatting sqref="G49">
    <cfRule type="containsBlanks" dxfId="659" priority="9">
      <formula>LEN(TRIM(G49))=0</formula>
    </cfRule>
  </conditionalFormatting>
  <conditionalFormatting sqref="G48">
    <cfRule type="containsBlanks" dxfId="658" priority="8">
      <formula>LEN(TRIM(G48))=0</formula>
    </cfRule>
  </conditionalFormatting>
  <conditionalFormatting sqref="G48">
    <cfRule type="containsBlanks" dxfId="657" priority="7">
      <formula>LEN(TRIM(G48))=0</formula>
    </cfRule>
  </conditionalFormatting>
  <conditionalFormatting sqref="G47">
    <cfRule type="containsBlanks" dxfId="656" priority="6">
      <formula>LEN(TRIM(G47))=0</formula>
    </cfRule>
  </conditionalFormatting>
  <conditionalFormatting sqref="G47">
    <cfRule type="containsBlanks" dxfId="655" priority="5">
      <formula>LEN(TRIM(G47))=0</formula>
    </cfRule>
  </conditionalFormatting>
  <conditionalFormatting sqref="G46">
    <cfRule type="containsBlanks" dxfId="654" priority="4">
      <formula>LEN(TRIM(G46))=0</formula>
    </cfRule>
  </conditionalFormatting>
  <conditionalFormatting sqref="G45">
    <cfRule type="containsBlanks" dxfId="653" priority="3">
      <formula>LEN(TRIM(G45))=0</formula>
    </cfRule>
  </conditionalFormatting>
  <conditionalFormatting sqref="P48:P49">
    <cfRule type="containsBlanks" dxfId="652" priority="2">
      <formula>LEN(TRIM(P48))=0</formula>
    </cfRule>
  </conditionalFormatting>
  <conditionalFormatting sqref="C47">
    <cfRule type="containsBlanks" dxfId="651" priority="1">
      <formula>LEN(TRIM(C47))=0</formula>
    </cfRule>
  </conditionalFormatting>
  <dataValidations count="2">
    <dataValidation type="list" allowBlank="1" sqref="Z12 Y77 Y85 Y94 AA69 Z24" xr:uid="{00000000-0002-0000-0200-000000000000}">
      <formula1>VLANList</formula1>
    </dataValidation>
    <dataValidation allowBlank="1" sqref="P39:S53 C39:G53" xr:uid="{00000000-0002-0000-0200-000001000000}"/>
  </dataValidations>
  <printOptions gridLines="1"/>
  <pageMargins left="0.75" right="0.25" top="0.25" bottom="0.75" header="0.3" footer="0.3"/>
  <pageSetup paperSize="3" fitToHeight="0" orientation="landscape" r:id="rId1"/>
  <headerFooter>
    <oddFooter>&amp;R&amp;A
&amp;P</oddFooter>
  </headerFooter>
  <drawing r:id="rId2"/>
  <extLst>
    <ext xmlns:x14="http://schemas.microsoft.com/office/spreadsheetml/2009/9/main" uri="{CCE6A557-97BC-4b89-ADB6-D9C93CAAB3DF}">
      <x14:dataValidations xmlns:xm="http://schemas.microsoft.com/office/excel/2006/main" count="7">
        <x14:dataValidation type="list" allowBlank="1" xr:uid="{00000000-0002-0000-0200-000002000000}">
          <x14:formula1>
            <xm:f>Dropdowns!$F$3:$F$4</xm:f>
          </x14:formula1>
          <xm:sqref>F10</xm:sqref>
        </x14:dataValidation>
        <x14:dataValidation type="list" allowBlank="1" xr:uid="{00000000-0002-0000-0200-000003000000}">
          <x14:formula1>
            <xm:f>Dropdowns!$C$3:$C$7</xm:f>
          </x14:formula1>
          <xm:sqref>P9:T9</xm:sqref>
        </x14:dataValidation>
        <x14:dataValidation type="list" allowBlank="1" xr:uid="{00000000-0002-0000-0200-000004000000}">
          <x14:formula1>
            <xm:f>Dropdowns!$M$3:$M$11</xm:f>
          </x14:formula1>
          <xm:sqref>C58:F67</xm:sqref>
        </x14:dataValidation>
        <x14:dataValidation type="list" allowBlank="1" showInputMessage="1" showErrorMessage="1" xr:uid="{00000000-0002-0000-0200-000005000000}">
          <x14:formula1>
            <xm:f>Dropdowns!$L$25:$L$27</xm:f>
          </x14:formula1>
          <xm:sqref>AA27:AC34</xm:sqref>
        </x14:dataValidation>
        <x14:dataValidation type="list" allowBlank="1" xr:uid="{00000000-0002-0000-0200-000006000000}">
          <x14:formula1>
            <xm:f>Dropdowns!$N$3:$N$14</xm:f>
          </x14:formula1>
          <xm:sqref>G58:J67</xm:sqref>
        </x14:dataValidation>
        <x14:dataValidation type="list" allowBlank="1" showInputMessage="1" showErrorMessage="1" xr:uid="{00000000-0002-0000-0200-000007000000}">
          <x14:formula1>
            <xm:f>Dropdowns!$N$22:$N$28</xm:f>
          </x14:formula1>
          <xm:sqref>K58:N67</xm:sqref>
        </x14:dataValidation>
        <x14:dataValidation type="list" allowBlank="1" xr:uid="{00000000-0002-0000-0200-000008000000}">
          <x14:formula1>
            <xm:f>Dropdowns!$B$3:$B$4</xm:f>
          </x14:formula1>
          <xm:sqref>S58:V67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2:AM139"/>
  <sheetViews>
    <sheetView workbookViewId="0">
      <pane ySplit="4" topLeftCell="A5" activePane="bottomLeft" state="frozenSplit"/>
      <selection pane="bottomLeft" activeCell="P49" sqref="P49"/>
    </sheetView>
  </sheetViews>
  <sheetFormatPr defaultColWidth="7.140625" defaultRowHeight="10.5" x14ac:dyDescent="0.25"/>
  <cols>
    <col min="1" max="1" width="1.42578125" style="3" customWidth="1"/>
    <col min="2" max="19" width="7.140625" style="3"/>
    <col min="20" max="20" width="7.140625" style="3" customWidth="1"/>
    <col min="21" max="24" width="7.140625" style="3"/>
    <col min="25" max="25" width="5" style="3" bestFit="1" customWidth="1"/>
    <col min="26" max="16384" width="7.140625" style="3"/>
  </cols>
  <sheetData>
    <row r="2" spans="1:31" ht="30.75" customHeight="1" x14ac:dyDescent="0.25">
      <c r="A2" s="2" t="s">
        <v>1</v>
      </c>
      <c r="B2"/>
      <c r="V2" s="1" t="s">
        <v>992</v>
      </c>
    </row>
    <row r="3" spans="1:31" ht="9" customHeight="1" x14ac:dyDescent="0.25"/>
    <row r="4" spans="1:31" ht="15" x14ac:dyDescent="0.25">
      <c r="A4" s="5" t="s">
        <v>124</v>
      </c>
      <c r="Z4" s="3" t="s">
        <v>0</v>
      </c>
    </row>
    <row r="5" spans="1:31" ht="14.25" customHeight="1" x14ac:dyDescent="0.25">
      <c r="R5" s="350" t="str">
        <f>IF('Site Info'!$C$8=Dropdowns!$R$3,"",IF('Site Info'!$C$8=Dropdowns!$R$5,"",IF('Site Info'!$C$8=Dropdowns!$R$6,"","THIS TAB IS NOT APPLICABLE FOR THIS SOLUTION, HIDE THIS TAB")))</f>
        <v>THIS TAB IS NOT APPLICABLE FOR THIS SOLUTION, HIDE THIS TAB</v>
      </c>
      <c r="S5" s="350"/>
      <c r="T5" s="350"/>
      <c r="U5" s="350"/>
      <c r="V5" s="350"/>
      <c r="W5" s="350"/>
      <c r="X5" s="350"/>
      <c r="Y5" s="350"/>
      <c r="Z5" s="350"/>
      <c r="AA5" s="350"/>
      <c r="AB5" s="350"/>
      <c r="AC5" s="350"/>
      <c r="AD5" s="350"/>
      <c r="AE5" s="350"/>
    </row>
    <row r="6" spans="1:31" s="35" customFormat="1" ht="14.25" customHeight="1" x14ac:dyDescent="0.25">
      <c r="B6" s="4" t="s">
        <v>872</v>
      </c>
      <c r="G6" s="6"/>
    </row>
    <row r="7" spans="1:31" s="35" customFormat="1" ht="6" customHeight="1" x14ac:dyDescent="0.25">
      <c r="B7" s="4"/>
      <c r="G7" s="6"/>
    </row>
    <row r="8" spans="1:31" s="35" customFormat="1" ht="14.25" customHeight="1" x14ac:dyDescent="0.25">
      <c r="B8" s="303" t="s">
        <v>873</v>
      </c>
      <c r="C8" s="303"/>
      <c r="D8" s="303"/>
      <c r="E8" s="303"/>
      <c r="F8" s="288"/>
      <c r="G8" s="289"/>
      <c r="H8" s="289"/>
      <c r="I8" s="289"/>
      <c r="J8" s="289"/>
      <c r="K8" s="290"/>
      <c r="L8" s="303" t="s">
        <v>874</v>
      </c>
      <c r="M8" s="303"/>
      <c r="N8" s="303"/>
      <c r="O8" s="303"/>
      <c r="P8" s="288" t="s">
        <v>528</v>
      </c>
      <c r="Q8" s="289"/>
      <c r="R8" s="289"/>
      <c r="S8" s="290"/>
    </row>
    <row r="9" spans="1:31" s="35" customFormat="1" ht="14.25" customHeight="1" x14ac:dyDescent="0.25">
      <c r="B9" s="303" t="s">
        <v>875</v>
      </c>
      <c r="C9" s="303"/>
      <c r="D9" s="303"/>
      <c r="E9" s="303"/>
      <c r="F9" s="288"/>
      <c r="G9" s="289"/>
      <c r="H9" s="289"/>
      <c r="I9" s="289"/>
      <c r="J9" s="289"/>
      <c r="K9" s="290"/>
      <c r="L9" s="303" t="s">
        <v>874</v>
      </c>
      <c r="M9" s="303"/>
      <c r="N9" s="303"/>
      <c r="O9" s="303"/>
      <c r="P9" s="288" t="s">
        <v>528</v>
      </c>
      <c r="Q9" s="289"/>
      <c r="R9" s="289"/>
      <c r="S9" s="290"/>
    </row>
    <row r="10" spans="1:31" s="35" customFormat="1" ht="14.25" customHeight="1" x14ac:dyDescent="0.25">
      <c r="G10" s="6"/>
    </row>
    <row r="11" spans="1:31" s="35" customFormat="1" ht="14.25" customHeight="1" x14ac:dyDescent="0.25">
      <c r="B11" s="4" t="s">
        <v>660</v>
      </c>
    </row>
    <row r="12" spans="1:31" s="35" customFormat="1" ht="6" customHeight="1" x14ac:dyDescent="0.25">
      <c r="B12" s="4"/>
      <c r="G12" s="6"/>
    </row>
    <row r="13" spans="1:31" s="35" customFormat="1" ht="14.25" customHeight="1" thickBot="1" x14ac:dyDescent="0.3">
      <c r="C13" s="311" t="s">
        <v>662</v>
      </c>
      <c r="D13" s="311"/>
      <c r="E13" s="311"/>
      <c r="F13" s="311"/>
      <c r="G13" s="311"/>
      <c r="H13" s="311"/>
      <c r="I13" s="311" t="s">
        <v>661</v>
      </c>
      <c r="J13" s="311"/>
      <c r="K13" s="311"/>
      <c r="L13" s="311"/>
      <c r="M13" s="311" t="s">
        <v>25</v>
      </c>
      <c r="N13" s="311"/>
      <c r="O13" s="311"/>
    </row>
    <row r="14" spans="1:31" s="35" customFormat="1" ht="14.25" customHeight="1" x14ac:dyDescent="0.25">
      <c r="C14" s="351"/>
      <c r="D14" s="351"/>
      <c r="E14" s="351"/>
      <c r="F14" s="351"/>
      <c r="G14" s="351"/>
      <c r="H14" s="351"/>
      <c r="I14" s="351"/>
      <c r="J14" s="351"/>
      <c r="K14" s="351"/>
      <c r="L14" s="351"/>
      <c r="M14" s="351"/>
      <c r="N14" s="351"/>
      <c r="O14" s="351"/>
    </row>
    <row r="15" spans="1:31" s="35" customFormat="1" ht="14.25" customHeight="1" x14ac:dyDescent="0.25">
      <c r="C15" s="352"/>
      <c r="D15" s="352"/>
      <c r="E15" s="352"/>
      <c r="F15" s="352"/>
      <c r="G15" s="352"/>
      <c r="H15" s="352"/>
      <c r="I15" s="352"/>
      <c r="J15" s="352"/>
      <c r="K15" s="352"/>
      <c r="L15" s="352"/>
      <c r="M15" s="352"/>
      <c r="N15" s="352"/>
      <c r="O15" s="352"/>
    </row>
    <row r="16" spans="1:31" s="35" customFormat="1" ht="14.25" customHeight="1" x14ac:dyDescent="0.25">
      <c r="C16" s="352"/>
      <c r="D16" s="352"/>
      <c r="E16" s="352"/>
      <c r="F16" s="352"/>
      <c r="G16" s="352"/>
      <c r="H16" s="352"/>
      <c r="I16" s="352"/>
      <c r="J16" s="352"/>
      <c r="K16" s="352"/>
      <c r="L16" s="352"/>
      <c r="M16" s="352"/>
      <c r="N16" s="352"/>
      <c r="O16" s="352"/>
    </row>
    <row r="17" spans="2:31" s="35" customFormat="1" ht="14.25" customHeight="1" x14ac:dyDescent="0.25">
      <c r="C17" s="352"/>
      <c r="D17" s="352"/>
      <c r="E17" s="352"/>
      <c r="F17" s="352"/>
      <c r="G17" s="352"/>
      <c r="H17" s="352"/>
      <c r="I17" s="352"/>
      <c r="J17" s="352"/>
      <c r="K17" s="352"/>
      <c r="L17" s="352"/>
      <c r="M17" s="352"/>
      <c r="N17" s="352"/>
      <c r="O17" s="352"/>
    </row>
    <row r="18" spans="2:31" s="35" customFormat="1" ht="14.25" customHeight="1" x14ac:dyDescent="0.25"/>
    <row r="19" spans="2:31" ht="14.25" customHeight="1" x14ac:dyDescent="0.25">
      <c r="B19" s="4" t="s">
        <v>1017</v>
      </c>
    </row>
    <row r="20" spans="2:31" ht="6" customHeight="1" x14ac:dyDescent="0.25">
      <c r="B20" s="4"/>
      <c r="G20" s="6"/>
    </row>
    <row r="21" spans="2:31" ht="14.25" customHeight="1" thickBot="1" x14ac:dyDescent="0.3">
      <c r="C21" s="311" t="s">
        <v>63</v>
      </c>
      <c r="D21" s="311"/>
      <c r="E21" s="311"/>
      <c r="F21" s="22" t="s">
        <v>116</v>
      </c>
      <c r="G21" s="311" t="s">
        <v>120</v>
      </c>
      <c r="H21" s="311"/>
      <c r="I21" s="311"/>
      <c r="J21" s="311"/>
      <c r="K21" s="22" t="s">
        <v>117</v>
      </c>
      <c r="L21" s="22" t="s">
        <v>118</v>
      </c>
      <c r="M21" s="311" t="s">
        <v>125</v>
      </c>
      <c r="N21" s="311"/>
      <c r="O21" s="311"/>
      <c r="P21" s="311"/>
    </row>
    <row r="22" spans="2:31" ht="14.25" customHeight="1" x14ac:dyDescent="0.25">
      <c r="C22" s="298"/>
      <c r="D22" s="299"/>
      <c r="E22" s="300"/>
      <c r="F22" s="20"/>
      <c r="G22" s="298"/>
      <c r="H22" s="299"/>
      <c r="I22" s="299"/>
      <c r="J22" s="300"/>
      <c r="K22" s="20"/>
      <c r="L22" s="20"/>
      <c r="M22" s="298"/>
      <c r="N22" s="299"/>
      <c r="O22" s="299"/>
      <c r="P22" s="300"/>
    </row>
    <row r="23" spans="2:31" ht="14.25" customHeight="1" x14ac:dyDescent="0.25">
      <c r="C23" s="288"/>
      <c r="D23" s="289"/>
      <c r="E23" s="290"/>
      <c r="F23" s="21"/>
      <c r="G23" s="288"/>
      <c r="H23" s="289"/>
      <c r="I23" s="289"/>
      <c r="J23" s="290"/>
      <c r="K23" s="21"/>
      <c r="L23" s="21"/>
      <c r="M23" s="288"/>
      <c r="N23" s="289"/>
      <c r="O23" s="289"/>
      <c r="P23" s="290"/>
    </row>
    <row r="24" spans="2:31" ht="14.25" customHeight="1" x14ac:dyDescent="0.25">
      <c r="C24" s="288"/>
      <c r="D24" s="289"/>
      <c r="E24" s="290"/>
      <c r="F24" s="21"/>
      <c r="G24" s="288"/>
      <c r="H24" s="289"/>
      <c r="I24" s="289"/>
      <c r="J24" s="290"/>
      <c r="K24" s="21"/>
      <c r="L24" s="21"/>
      <c r="M24" s="288"/>
      <c r="N24" s="289"/>
      <c r="O24" s="289"/>
      <c r="P24" s="290"/>
    </row>
    <row r="25" spans="2:31" ht="14.25" customHeight="1" x14ac:dyDescent="0.25">
      <c r="C25" s="288"/>
      <c r="D25" s="289"/>
      <c r="E25" s="290"/>
      <c r="F25" s="21"/>
      <c r="G25" s="288"/>
      <c r="H25" s="289"/>
      <c r="I25" s="289"/>
      <c r="J25" s="290"/>
      <c r="K25" s="21"/>
      <c r="L25" s="21"/>
      <c r="M25" s="288"/>
      <c r="N25" s="289"/>
      <c r="O25" s="289"/>
      <c r="P25" s="290"/>
    </row>
    <row r="26" spans="2:31" ht="14.25" customHeight="1" x14ac:dyDescent="0.25"/>
    <row r="27" spans="2:31" ht="14.25" customHeight="1" x14ac:dyDescent="0.25">
      <c r="B27" s="4" t="s">
        <v>119</v>
      </c>
      <c r="F27" s="197" t="str">
        <f>Inventory!C15</f>
        <v>shpsan-01</v>
      </c>
    </row>
    <row r="28" spans="2:31" ht="6" customHeight="1" x14ac:dyDescent="0.25">
      <c r="B28" s="4"/>
      <c r="G28" s="6"/>
    </row>
    <row r="29" spans="2:31" ht="14.25" customHeight="1" thickBot="1" x14ac:dyDescent="0.3">
      <c r="C29" s="311" t="s">
        <v>42</v>
      </c>
      <c r="D29" s="311"/>
      <c r="E29" s="311"/>
      <c r="F29" s="311" t="s">
        <v>115</v>
      </c>
      <c r="G29" s="311"/>
      <c r="H29" s="311"/>
      <c r="I29" s="22" t="s">
        <v>43</v>
      </c>
      <c r="J29" s="311" t="s">
        <v>121</v>
      </c>
      <c r="K29" s="311"/>
      <c r="L29" s="311"/>
      <c r="M29" s="311" t="s">
        <v>71</v>
      </c>
      <c r="N29" s="311"/>
      <c r="O29" s="311"/>
      <c r="P29" s="311" t="s">
        <v>44</v>
      </c>
      <c r="Q29" s="311"/>
      <c r="R29" s="311"/>
      <c r="S29" s="311" t="s">
        <v>45</v>
      </c>
      <c r="T29" s="311"/>
      <c r="U29" s="311"/>
      <c r="V29" s="311" t="s">
        <v>46</v>
      </c>
      <c r="W29" s="311"/>
      <c r="X29" s="311"/>
      <c r="Y29" s="81" t="s">
        <v>473</v>
      </c>
      <c r="Z29" s="311" t="s">
        <v>47</v>
      </c>
      <c r="AA29" s="311"/>
      <c r="AB29" s="311"/>
      <c r="AC29" s="311"/>
      <c r="AD29" s="311"/>
      <c r="AE29" s="311"/>
    </row>
    <row r="30" spans="2:31" ht="14.25" customHeight="1" x14ac:dyDescent="0.25">
      <c r="C30" s="298"/>
      <c r="D30" s="299"/>
      <c r="E30" s="300"/>
      <c r="F30" s="298"/>
      <c r="G30" s="299"/>
      <c r="H30" s="300"/>
      <c r="I30" s="109"/>
      <c r="J30" s="298" t="str">
        <f>IF(F30&lt;&gt;0,IF(VLOOKUP(F30,$C$21:$P$26,10,FALSE)="Yes",CONCATENATE(F30,"-",I30),F30),"")</f>
        <v/>
      </c>
      <c r="K30" s="299"/>
      <c r="L30" s="300"/>
      <c r="M30" s="298"/>
      <c r="N30" s="299"/>
      <c r="O30" s="300"/>
      <c r="P30" s="298" t="str">
        <f>IF(I30&lt;&gt;0,VLOOKUP(I30,'Site Info'!$G$34:$V$69,2,FALSE),"")</f>
        <v/>
      </c>
      <c r="Q30" s="299"/>
      <c r="R30" s="300"/>
      <c r="S30" s="298" t="str">
        <f>IF(I30&lt;&gt;0,VLOOKUP(I30,'Site Info'!$G$34:$V$69,5,FALSE),"")</f>
        <v/>
      </c>
      <c r="T30" s="299"/>
      <c r="U30" s="300"/>
      <c r="V30" s="288" t="str">
        <f>IF(I30&lt;&gt;0,IF(VLOOKUP(I30,'Site Info'!$G$34:$V$69,8,FALSE)&lt;&gt;0,VLOOKUP(I30,'Site Info'!$G$34:$V$69,8,FALSE),""),"")</f>
        <v/>
      </c>
      <c r="W30" s="289"/>
      <c r="X30" s="290"/>
      <c r="Y30" s="80" t="str">
        <f>IF(I30&lt;&gt;0,IF(VLOOKUP(I30,'Site Info'!$G$34:$V$69,8,FALSE)&lt;&gt;0,VLOOKUP(I30,'Site Info'!$G$34:$V$69,11,FALSE),""),"")</f>
        <v/>
      </c>
      <c r="Z30" s="298"/>
      <c r="AA30" s="299"/>
      <c r="AB30" s="299"/>
      <c r="AC30" s="299"/>
      <c r="AD30" s="299"/>
      <c r="AE30" s="300"/>
    </row>
    <row r="31" spans="2:31" ht="14.25" customHeight="1" x14ac:dyDescent="0.25">
      <c r="C31" s="298"/>
      <c r="D31" s="299"/>
      <c r="E31" s="300"/>
      <c r="F31" s="288"/>
      <c r="G31" s="289"/>
      <c r="H31" s="290"/>
      <c r="I31" s="109"/>
      <c r="J31" s="298" t="str">
        <f t="shared" ref="J31:J34" si="0">IF(F31&lt;&gt;0,IF(VLOOKUP(F31,$C$21:$P$26,10,FALSE)="Yes",CONCATENATE(F31,"-",I31),F31),"")</f>
        <v/>
      </c>
      <c r="K31" s="299"/>
      <c r="L31" s="300"/>
      <c r="M31" s="288"/>
      <c r="N31" s="289"/>
      <c r="O31" s="290"/>
      <c r="P31" s="298" t="str">
        <f>IF(I31&lt;&gt;0,VLOOKUP(I31,'Site Info'!$G$34:$V$69,2,FALSE),"")</f>
        <v/>
      </c>
      <c r="Q31" s="299"/>
      <c r="R31" s="300"/>
      <c r="S31" s="298" t="str">
        <f>IF(I31&lt;&gt;0,VLOOKUP(I31,'Site Info'!$G$34:$V$69,5,FALSE),"")</f>
        <v/>
      </c>
      <c r="T31" s="299"/>
      <c r="U31" s="300"/>
      <c r="V31" s="288" t="str">
        <f>IF(I31&lt;&gt;0,IF(VLOOKUP(I31,'Site Info'!$G$34:$V$69,8,FALSE)&lt;&gt;0,VLOOKUP(I31,'Site Info'!$G$34:$V$69,8,FALSE),""),"")</f>
        <v/>
      </c>
      <c r="W31" s="289"/>
      <c r="X31" s="290"/>
      <c r="Y31" s="254" t="str">
        <f>IF(I31&lt;&gt;0,IF(VLOOKUP(I31,'Site Info'!$G$34:$V$69,8,FALSE)&lt;&gt;0,VLOOKUP(I31,'Site Info'!$G$34:$V$69,11,FALSE),""),"")</f>
        <v/>
      </c>
      <c r="Z31" s="288"/>
      <c r="AA31" s="289"/>
      <c r="AB31" s="289"/>
      <c r="AC31" s="289"/>
      <c r="AD31" s="289"/>
      <c r="AE31" s="290"/>
    </row>
    <row r="32" spans="2:31" ht="14.25" customHeight="1" x14ac:dyDescent="0.25">
      <c r="C32" s="298"/>
      <c r="D32" s="299"/>
      <c r="E32" s="300"/>
      <c r="F32" s="288"/>
      <c r="G32" s="289"/>
      <c r="H32" s="290"/>
      <c r="I32" s="109"/>
      <c r="J32" s="298" t="str">
        <f t="shared" si="0"/>
        <v/>
      </c>
      <c r="K32" s="299"/>
      <c r="L32" s="300"/>
      <c r="M32" s="288"/>
      <c r="N32" s="289"/>
      <c r="O32" s="290"/>
      <c r="P32" s="298" t="str">
        <f>IF(I32&lt;&gt;0,VLOOKUP(I32,'Site Info'!$G$34:$V$69,2,FALSE),"")</f>
        <v/>
      </c>
      <c r="Q32" s="299"/>
      <c r="R32" s="300"/>
      <c r="S32" s="298" t="str">
        <f>IF(I32&lt;&gt;0,VLOOKUP(I32,'Site Info'!$G$34:$V$69,5,FALSE),"")</f>
        <v/>
      </c>
      <c r="T32" s="299"/>
      <c r="U32" s="300"/>
      <c r="V32" s="288" t="str">
        <f>IF(I32&lt;&gt;0,IF(VLOOKUP(I32,'Site Info'!$G$34:$V$69,8,FALSE)&lt;&gt;0,VLOOKUP(I32,'Site Info'!$G$34:$V$69,8,FALSE),""),"")</f>
        <v/>
      </c>
      <c r="W32" s="289"/>
      <c r="X32" s="290"/>
      <c r="Y32" s="254" t="str">
        <f>IF(I32&lt;&gt;0,IF(VLOOKUP(I32,'Site Info'!$G$34:$V$69,8,FALSE)&lt;&gt;0,VLOOKUP(I32,'Site Info'!$G$34:$V$69,11,FALSE),""),"")</f>
        <v/>
      </c>
      <c r="Z32" s="288"/>
      <c r="AA32" s="289"/>
      <c r="AB32" s="289"/>
      <c r="AC32" s="289"/>
      <c r="AD32" s="289"/>
      <c r="AE32" s="290"/>
    </row>
    <row r="33" spans="2:39" ht="14.25" customHeight="1" x14ac:dyDescent="0.25">
      <c r="C33" s="298"/>
      <c r="D33" s="299"/>
      <c r="E33" s="300"/>
      <c r="F33" s="288"/>
      <c r="G33" s="289"/>
      <c r="H33" s="290"/>
      <c r="I33" s="109"/>
      <c r="J33" s="298" t="str">
        <f t="shared" si="0"/>
        <v/>
      </c>
      <c r="K33" s="299"/>
      <c r="L33" s="300"/>
      <c r="M33" s="288"/>
      <c r="N33" s="289"/>
      <c r="O33" s="290"/>
      <c r="P33" s="298" t="str">
        <f>IF(I33&lt;&gt;0,VLOOKUP(I33,'Site Info'!$G$34:$V$69,2,FALSE),"")</f>
        <v/>
      </c>
      <c r="Q33" s="299"/>
      <c r="R33" s="300"/>
      <c r="S33" s="298" t="str">
        <f>IF(I33&lt;&gt;0,VLOOKUP(I33,'Site Info'!$G$34:$V$69,5,FALSE),"")</f>
        <v/>
      </c>
      <c r="T33" s="299"/>
      <c r="U33" s="300"/>
      <c r="V33" s="288" t="str">
        <f>IF(I33&lt;&gt;0,IF(VLOOKUP(I33,'Site Info'!$G$34:$V$69,8,FALSE)&lt;&gt;0,VLOOKUP(I33,'Site Info'!$G$34:$V$69,8,FALSE),""),"")</f>
        <v/>
      </c>
      <c r="W33" s="289"/>
      <c r="X33" s="290"/>
      <c r="Y33" s="254" t="str">
        <f>IF(I33&lt;&gt;0,IF(VLOOKUP(I33,'Site Info'!$G$34:$V$69,8,FALSE)&lt;&gt;0,VLOOKUP(I33,'Site Info'!$G$34:$V$69,11,FALSE),""),"")</f>
        <v/>
      </c>
      <c r="Z33" s="288"/>
      <c r="AA33" s="289"/>
      <c r="AB33" s="289"/>
      <c r="AC33" s="289"/>
      <c r="AD33" s="289"/>
      <c r="AE33" s="290"/>
    </row>
    <row r="34" spans="2:39" ht="14.25" customHeight="1" x14ac:dyDescent="0.25">
      <c r="C34" s="288"/>
      <c r="D34" s="289"/>
      <c r="E34" s="290"/>
      <c r="F34" s="288"/>
      <c r="G34" s="289"/>
      <c r="H34" s="290"/>
      <c r="I34" s="109"/>
      <c r="J34" s="288" t="str">
        <f t="shared" si="0"/>
        <v/>
      </c>
      <c r="K34" s="289"/>
      <c r="L34" s="290"/>
      <c r="M34" s="288"/>
      <c r="N34" s="289"/>
      <c r="O34" s="290"/>
      <c r="P34" s="288" t="str">
        <f>IF(I34&lt;&gt;0,VLOOKUP(I34,'Site Info'!$G$34:$V$69,2,FALSE),"")</f>
        <v/>
      </c>
      <c r="Q34" s="289"/>
      <c r="R34" s="290"/>
      <c r="S34" s="288" t="str">
        <f>IF(I34&lt;&gt;0,VLOOKUP(I34,'Site Info'!$G$34:$V$69,5,FALSE),"")</f>
        <v/>
      </c>
      <c r="T34" s="289"/>
      <c r="U34" s="290"/>
      <c r="V34" s="288" t="str">
        <f>IF(I34&lt;&gt;0,IF(VLOOKUP(I34,'Site Info'!$G$34:$V$69,8,FALSE)&lt;&gt;0,VLOOKUP(I34,'Site Info'!$G$34:$V$69,8,FALSE),""),"")</f>
        <v/>
      </c>
      <c r="W34" s="289"/>
      <c r="X34" s="290"/>
      <c r="Y34" s="254" t="str">
        <f>IF(I34&lt;&gt;0,IF(VLOOKUP(I34,'Site Info'!$G$34:$V$69,8,FALSE)&lt;&gt;0,VLOOKUP(I34,'Site Info'!$G$34:$V$69,11,FALSE),""),"")</f>
        <v/>
      </c>
      <c r="Z34" s="288"/>
      <c r="AA34" s="289"/>
      <c r="AB34" s="289"/>
      <c r="AC34" s="289"/>
      <c r="AD34" s="289"/>
      <c r="AE34" s="290"/>
    </row>
    <row r="35" spans="2:39" ht="14.25" customHeight="1" x14ac:dyDescent="0.25"/>
    <row r="36" spans="2:39" s="27" customFormat="1" ht="14.25" customHeight="1" x14ac:dyDescent="0.25">
      <c r="B36" s="4" t="s">
        <v>119</v>
      </c>
      <c r="F36" s="197" t="str">
        <f>Inventory!C16</f>
        <v>shpsan-02</v>
      </c>
    </row>
    <row r="37" spans="2:39" s="27" customFormat="1" ht="6" customHeight="1" x14ac:dyDescent="0.25">
      <c r="B37" s="4"/>
      <c r="G37" s="6"/>
    </row>
    <row r="38" spans="2:39" s="27" customFormat="1" ht="14.25" customHeight="1" thickBot="1" x14ac:dyDescent="0.3">
      <c r="C38" s="311" t="s">
        <v>42</v>
      </c>
      <c r="D38" s="311"/>
      <c r="E38" s="311"/>
      <c r="F38" s="311" t="s">
        <v>115</v>
      </c>
      <c r="G38" s="311"/>
      <c r="H38" s="311"/>
      <c r="I38" s="24" t="s">
        <v>43</v>
      </c>
      <c r="J38" s="311" t="s">
        <v>121</v>
      </c>
      <c r="K38" s="311"/>
      <c r="L38" s="311"/>
      <c r="M38" s="311" t="s">
        <v>71</v>
      </c>
      <c r="N38" s="311"/>
      <c r="O38" s="311"/>
      <c r="P38" s="311" t="s">
        <v>44</v>
      </c>
      <c r="Q38" s="311"/>
      <c r="R38" s="311"/>
      <c r="S38" s="311" t="s">
        <v>45</v>
      </c>
      <c r="T38" s="311"/>
      <c r="U38" s="311"/>
      <c r="V38" s="311" t="s">
        <v>46</v>
      </c>
      <c r="W38" s="311"/>
      <c r="X38" s="311"/>
      <c r="Y38" s="81" t="s">
        <v>473</v>
      </c>
      <c r="Z38" s="311" t="s">
        <v>47</v>
      </c>
      <c r="AA38" s="311"/>
      <c r="AB38" s="311"/>
      <c r="AC38" s="311"/>
      <c r="AD38" s="311"/>
      <c r="AE38" s="311"/>
    </row>
    <row r="39" spans="2:39" s="27" customFormat="1" ht="14.25" customHeight="1" x14ac:dyDescent="0.25">
      <c r="C39" s="298" t="str">
        <f>IF(C30&lt;&gt;0,C30,"")</f>
        <v/>
      </c>
      <c r="D39" s="299"/>
      <c r="E39" s="300"/>
      <c r="F39" s="298"/>
      <c r="G39" s="299"/>
      <c r="H39" s="300"/>
      <c r="I39" s="23" t="str">
        <f>IF(I30&lt;&gt;0,I30,"")</f>
        <v/>
      </c>
      <c r="J39" s="298" t="str">
        <f>IF(J30&lt;&gt;0,J30,"")</f>
        <v/>
      </c>
      <c r="K39" s="299"/>
      <c r="L39" s="300"/>
      <c r="M39" s="298"/>
      <c r="N39" s="299"/>
      <c r="O39" s="300"/>
      <c r="P39" s="298" t="str">
        <f>IF(P30&lt;&gt;0,P30,"")</f>
        <v/>
      </c>
      <c r="Q39" s="299"/>
      <c r="R39" s="300"/>
      <c r="S39" s="298" t="str">
        <f>IF(S30&lt;&gt;0,S30,"")</f>
        <v/>
      </c>
      <c r="T39" s="299"/>
      <c r="U39" s="300"/>
      <c r="V39" s="298" t="str">
        <f>IF(V30&lt;&gt;0,V30,"")</f>
        <v/>
      </c>
      <c r="W39" s="299"/>
      <c r="X39" s="300"/>
      <c r="Y39" s="80" t="str">
        <f>IF(Y30&lt;&gt;0,Y30,"")</f>
        <v/>
      </c>
      <c r="Z39" s="298"/>
      <c r="AA39" s="299"/>
      <c r="AB39" s="299"/>
      <c r="AC39" s="299"/>
      <c r="AD39" s="299"/>
      <c r="AE39" s="300"/>
    </row>
    <row r="40" spans="2:39" s="27" customFormat="1" ht="14.25" customHeight="1" x14ac:dyDescent="0.25">
      <c r="C40" s="298" t="str">
        <f>IF(C31&lt;&gt;0,C31,"")</f>
        <v/>
      </c>
      <c r="D40" s="299"/>
      <c r="E40" s="300"/>
      <c r="F40" s="298" t="str">
        <f>IF(F31&lt;&gt;0,F31,"")</f>
        <v/>
      </c>
      <c r="G40" s="299"/>
      <c r="H40" s="300"/>
      <c r="I40" s="30" t="str">
        <f>IF(I31&lt;&gt;0,I31,"")</f>
        <v/>
      </c>
      <c r="J40" s="298" t="str">
        <f t="shared" ref="J40:J43" si="1">IF(J31&lt;&gt;0,J31,"")</f>
        <v/>
      </c>
      <c r="K40" s="299"/>
      <c r="L40" s="300"/>
      <c r="M40" s="288"/>
      <c r="N40" s="289"/>
      <c r="O40" s="290"/>
      <c r="P40" s="298" t="str">
        <f>IF(P31&lt;&gt;0,P31,"")</f>
        <v/>
      </c>
      <c r="Q40" s="299"/>
      <c r="R40" s="300"/>
      <c r="S40" s="298" t="str">
        <f>IF(S31&lt;&gt;0,S31,"")</f>
        <v/>
      </c>
      <c r="T40" s="299"/>
      <c r="U40" s="300"/>
      <c r="V40" s="298" t="str">
        <f>IF(V31&lt;&gt;0,V31,"")</f>
        <v/>
      </c>
      <c r="W40" s="299"/>
      <c r="X40" s="300"/>
      <c r="Y40" s="101" t="str">
        <f>IF(Y31&lt;&gt;0,Y31,"")</f>
        <v/>
      </c>
      <c r="Z40" s="288"/>
      <c r="AA40" s="289"/>
      <c r="AB40" s="289"/>
      <c r="AC40" s="289"/>
      <c r="AD40" s="289"/>
      <c r="AE40" s="290"/>
    </row>
    <row r="41" spans="2:39" s="27" customFormat="1" ht="14.25" customHeight="1" x14ac:dyDescent="0.25">
      <c r="C41" s="298" t="str">
        <f>IF(C32&lt;&gt;0,C32,"")</f>
        <v/>
      </c>
      <c r="D41" s="299"/>
      <c r="E41" s="300"/>
      <c r="F41" s="298" t="str">
        <f>IF(F32&lt;&gt;0,F32,"")</f>
        <v/>
      </c>
      <c r="G41" s="299"/>
      <c r="H41" s="300"/>
      <c r="I41" s="30" t="str">
        <f>IF(I32&lt;&gt;0,I32,"")</f>
        <v/>
      </c>
      <c r="J41" s="298" t="str">
        <f t="shared" si="1"/>
        <v/>
      </c>
      <c r="K41" s="299"/>
      <c r="L41" s="300"/>
      <c r="M41" s="288"/>
      <c r="N41" s="289"/>
      <c r="O41" s="290"/>
      <c r="P41" s="298" t="str">
        <f>IF(P32&lt;&gt;0,P32,"")</f>
        <v/>
      </c>
      <c r="Q41" s="299"/>
      <c r="R41" s="300"/>
      <c r="S41" s="298" t="str">
        <f>IF(S32&lt;&gt;0,S32,"")</f>
        <v/>
      </c>
      <c r="T41" s="299"/>
      <c r="U41" s="300"/>
      <c r="V41" s="298" t="str">
        <f>IF(V32&lt;&gt;0,V32,"")</f>
        <v/>
      </c>
      <c r="W41" s="299"/>
      <c r="X41" s="300"/>
      <c r="Y41" s="101" t="str">
        <f>IF(Y32&lt;&gt;0,Y32,"")</f>
        <v/>
      </c>
      <c r="Z41" s="288"/>
      <c r="AA41" s="289"/>
      <c r="AB41" s="289"/>
      <c r="AC41" s="289"/>
      <c r="AD41" s="289"/>
      <c r="AE41" s="290"/>
    </row>
    <row r="42" spans="2:39" s="27" customFormat="1" ht="14.25" customHeight="1" x14ac:dyDescent="0.25">
      <c r="C42" s="298" t="str">
        <f>IF(C33&lt;&gt;0,C33,"")</f>
        <v/>
      </c>
      <c r="D42" s="299"/>
      <c r="E42" s="300"/>
      <c r="F42" s="298" t="str">
        <f>IF(F33&lt;&gt;0,F33,"")</f>
        <v/>
      </c>
      <c r="G42" s="299"/>
      <c r="H42" s="300"/>
      <c r="I42" s="30" t="str">
        <f>IF(I33&lt;&gt;0,I33,"")</f>
        <v/>
      </c>
      <c r="J42" s="298" t="str">
        <f t="shared" si="1"/>
        <v/>
      </c>
      <c r="K42" s="299"/>
      <c r="L42" s="300"/>
      <c r="M42" s="288"/>
      <c r="N42" s="289"/>
      <c r="O42" s="290"/>
      <c r="P42" s="298" t="str">
        <f>IF(P33&lt;&gt;0,P33,"")</f>
        <v/>
      </c>
      <c r="Q42" s="299"/>
      <c r="R42" s="300"/>
      <c r="S42" s="298" t="str">
        <f>IF(S33&lt;&gt;0,S33,"")</f>
        <v/>
      </c>
      <c r="T42" s="299"/>
      <c r="U42" s="300"/>
      <c r="V42" s="298" t="str">
        <f>IF(V33&lt;&gt;0,V33,"")</f>
        <v/>
      </c>
      <c r="W42" s="299"/>
      <c r="X42" s="300"/>
      <c r="Y42" s="101" t="str">
        <f>IF(Y33&lt;&gt;0,Y33,"")</f>
        <v/>
      </c>
      <c r="Z42" s="288"/>
      <c r="AA42" s="289"/>
      <c r="AB42" s="289"/>
      <c r="AC42" s="289"/>
      <c r="AD42" s="289"/>
      <c r="AE42" s="290"/>
    </row>
    <row r="43" spans="2:39" s="27" customFormat="1" ht="14.25" customHeight="1" x14ac:dyDescent="0.25">
      <c r="C43" s="298" t="str">
        <f>IF(C34&lt;&gt;0,C34,"")</f>
        <v/>
      </c>
      <c r="D43" s="299"/>
      <c r="E43" s="300"/>
      <c r="F43" s="298" t="str">
        <f>IF(F34&lt;&gt;0,F34,"")</f>
        <v/>
      </c>
      <c r="G43" s="299"/>
      <c r="H43" s="300"/>
      <c r="I43" s="108" t="str">
        <f>IF(I34&lt;&gt;0,I34,"")</f>
        <v/>
      </c>
      <c r="J43" s="298" t="str">
        <f t="shared" si="1"/>
        <v/>
      </c>
      <c r="K43" s="299"/>
      <c r="L43" s="300"/>
      <c r="M43" s="288"/>
      <c r="N43" s="289"/>
      <c r="O43" s="290"/>
      <c r="P43" s="298" t="str">
        <f>IF(P34&lt;&gt;0,P34,"")</f>
        <v/>
      </c>
      <c r="Q43" s="299"/>
      <c r="R43" s="300"/>
      <c r="S43" s="298" t="str">
        <f>IF(S34&lt;&gt;0,S34,"")</f>
        <v/>
      </c>
      <c r="T43" s="299"/>
      <c r="U43" s="300"/>
      <c r="V43" s="298" t="str">
        <f>IF(V34&lt;&gt;0,V34,"")</f>
        <v/>
      </c>
      <c r="W43" s="299"/>
      <c r="X43" s="300"/>
      <c r="Y43" s="109" t="str">
        <f>IF(Y34&lt;&gt;0,Y34,"")</f>
        <v/>
      </c>
      <c r="Z43" s="288"/>
      <c r="AA43" s="289"/>
      <c r="AB43" s="289"/>
      <c r="AC43" s="289"/>
      <c r="AD43" s="289"/>
      <c r="AE43" s="290"/>
    </row>
    <row r="44" spans="2:39" ht="14.25" customHeight="1" x14ac:dyDescent="0.25"/>
    <row r="45" spans="2:39" s="29" customFormat="1" ht="14.25" customHeight="1" x14ac:dyDescent="0.25">
      <c r="B45" s="4" t="s">
        <v>122</v>
      </c>
      <c r="F45" s="28"/>
    </row>
    <row r="46" spans="2:39" s="29" customFormat="1" ht="6" customHeight="1" x14ac:dyDescent="0.25">
      <c r="B46" s="4"/>
      <c r="G46" s="6"/>
    </row>
    <row r="47" spans="2:39" ht="14.25" customHeight="1" thickBot="1" x14ac:dyDescent="0.3">
      <c r="C47" s="311" t="s">
        <v>123</v>
      </c>
      <c r="D47" s="311"/>
      <c r="E47" s="311"/>
      <c r="F47" s="311" t="s">
        <v>42</v>
      </c>
      <c r="G47" s="311"/>
      <c r="H47" s="311"/>
      <c r="I47" s="311" t="s">
        <v>115</v>
      </c>
      <c r="J47" s="311"/>
      <c r="K47" s="311"/>
      <c r="L47" s="31" t="s">
        <v>116</v>
      </c>
      <c r="M47" s="311" t="s">
        <v>120</v>
      </c>
      <c r="N47" s="311"/>
      <c r="O47" s="311"/>
      <c r="P47" s="31" t="s">
        <v>43</v>
      </c>
      <c r="Q47" s="31" t="s">
        <v>118</v>
      </c>
      <c r="R47" s="311" t="s">
        <v>121</v>
      </c>
      <c r="S47" s="311"/>
      <c r="T47" s="311"/>
      <c r="U47" s="311" t="s">
        <v>71</v>
      </c>
      <c r="V47" s="311"/>
      <c r="W47" s="311"/>
      <c r="X47" s="311" t="s">
        <v>45</v>
      </c>
      <c r="Y47" s="311"/>
      <c r="Z47" s="311"/>
      <c r="AA47" s="311" t="s">
        <v>46</v>
      </c>
      <c r="AB47" s="311"/>
      <c r="AC47" s="311"/>
      <c r="AD47" s="311" t="s">
        <v>44</v>
      </c>
      <c r="AE47" s="311"/>
      <c r="AF47" s="311"/>
      <c r="AG47" s="81" t="s">
        <v>473</v>
      </c>
      <c r="AH47" s="311" t="s">
        <v>47</v>
      </c>
      <c r="AI47" s="311"/>
      <c r="AJ47" s="311"/>
      <c r="AK47" s="311"/>
      <c r="AL47" s="311"/>
      <c r="AM47" s="311"/>
    </row>
    <row r="48" spans="2:39" ht="14.25" customHeight="1" x14ac:dyDescent="0.25">
      <c r="C48" s="298"/>
      <c r="D48" s="299"/>
      <c r="E48" s="300"/>
      <c r="F48" s="298"/>
      <c r="G48" s="299"/>
      <c r="H48" s="300"/>
      <c r="I48" s="298"/>
      <c r="J48" s="299"/>
      <c r="K48" s="300"/>
      <c r="L48" s="30"/>
      <c r="M48" s="298"/>
      <c r="N48" s="299"/>
      <c r="O48" s="300"/>
      <c r="P48" s="109"/>
      <c r="Q48" s="30"/>
      <c r="R48" s="298" t="str">
        <f>IF(C48&lt;&gt;0,IF(Q48="Yes",CONCATENATE(I48,"-",P48),I48),"")</f>
        <v/>
      </c>
      <c r="S48" s="299"/>
      <c r="T48" s="300"/>
      <c r="U48" s="298"/>
      <c r="V48" s="299"/>
      <c r="W48" s="300"/>
      <c r="X48" s="298" t="str">
        <f>IF(P48&lt;&gt;0,VLOOKUP(P48,'Site Info'!$G$34:$V$69,5,FALSE),"")</f>
        <v/>
      </c>
      <c r="Y48" s="299"/>
      <c r="Z48" s="300"/>
      <c r="AA48" s="298" t="str">
        <f>IF(P48&lt;&gt;0,IF(VLOOKUP(P48,'Site Info'!$G$34:$V$69,8,FALSE)&lt;&gt;0,VLOOKUP(P48,'Site Info'!$G$34:$V$69,8,FALSE),""),"")</f>
        <v/>
      </c>
      <c r="AB48" s="299"/>
      <c r="AC48" s="300"/>
      <c r="AD48" s="298" t="str">
        <f>IF(P48&lt;&gt;0,VLOOKUP(P48,'Site Info'!$G$34:$V$69,2,FALSE),"")</f>
        <v/>
      </c>
      <c r="AE48" s="299"/>
      <c r="AF48" s="300"/>
      <c r="AG48" s="80" t="str">
        <f>IF(P48&lt;&gt;0,IF(VLOOKUP(P48,'Site Info'!$G$34:$V$69,8,FALSE)&lt;&gt;0,VLOOKUP(P48,'Site Info'!$G$34:$V$69,11,FALSE),""),"")</f>
        <v/>
      </c>
      <c r="AH48" s="288"/>
      <c r="AI48" s="289"/>
      <c r="AJ48" s="289"/>
      <c r="AK48" s="289"/>
      <c r="AL48" s="289"/>
      <c r="AM48" s="290"/>
    </row>
    <row r="49" spans="2:39" ht="14.25" customHeight="1" x14ac:dyDescent="0.25">
      <c r="C49" s="298"/>
      <c r="D49" s="299"/>
      <c r="E49" s="300"/>
      <c r="F49" s="298"/>
      <c r="G49" s="299"/>
      <c r="H49" s="300"/>
      <c r="I49" s="298"/>
      <c r="J49" s="299"/>
      <c r="K49" s="300"/>
      <c r="L49" s="30"/>
      <c r="M49" s="298"/>
      <c r="N49" s="299"/>
      <c r="O49" s="300"/>
      <c r="P49" s="109"/>
      <c r="Q49" s="30"/>
      <c r="R49" s="298" t="str">
        <f>IF(C49&lt;&gt;0,IF(Q49="Yes",CONCATENATE(I49,"-",P49),I49),"")</f>
        <v/>
      </c>
      <c r="S49" s="299"/>
      <c r="T49" s="300"/>
      <c r="U49" s="298"/>
      <c r="V49" s="299"/>
      <c r="W49" s="300"/>
      <c r="X49" s="298" t="str">
        <f>IF(P49&lt;&gt;0,VLOOKUP(P49,'Site Info'!$G$34:$V$69,5,FALSE),"")</f>
        <v/>
      </c>
      <c r="Y49" s="299"/>
      <c r="Z49" s="300"/>
      <c r="AA49" s="298" t="str">
        <f>IF(P49&lt;&gt;0,IF(VLOOKUP(P49,'Site Info'!$G$34:$V$69,8,FALSE)&lt;&gt;0,VLOOKUP(P49,'Site Info'!$G$34:$V$69,8,FALSE),""),"")</f>
        <v/>
      </c>
      <c r="AB49" s="299"/>
      <c r="AC49" s="300"/>
      <c r="AD49" s="298" t="str">
        <f>IF(P49&lt;&gt;0,VLOOKUP(P49,'Site Info'!$G$34:$V$69,2,FALSE),"")</f>
        <v/>
      </c>
      <c r="AE49" s="299"/>
      <c r="AF49" s="300"/>
      <c r="AG49" s="254" t="str">
        <f>IF(P49&lt;&gt;0,IF(VLOOKUP(P49,'Site Info'!$G$34:$V$69,8,FALSE)&lt;&gt;0,VLOOKUP(P49,'Site Info'!$G$34:$V$69,11,FALSE),""),"")</f>
        <v/>
      </c>
      <c r="AH49" s="288"/>
      <c r="AI49" s="289"/>
      <c r="AJ49" s="289"/>
      <c r="AK49" s="289"/>
      <c r="AL49" s="289"/>
      <c r="AM49" s="290"/>
    </row>
    <row r="50" spans="2:39" ht="14.25" customHeight="1" x14ac:dyDescent="0.25">
      <c r="C50" s="298"/>
      <c r="D50" s="299"/>
      <c r="E50" s="300"/>
      <c r="F50" s="298"/>
      <c r="G50" s="299"/>
      <c r="H50" s="300"/>
      <c r="I50" s="298"/>
      <c r="J50" s="299"/>
      <c r="K50" s="300"/>
      <c r="L50" s="30"/>
      <c r="M50" s="298"/>
      <c r="N50" s="299"/>
      <c r="O50" s="300"/>
      <c r="P50" s="109"/>
      <c r="Q50" s="30"/>
      <c r="R50" s="298" t="str">
        <f>IF(C50&lt;&gt;0,IF(Q50="Yes",CONCATENATE(I50,"-",P50),I50),"")</f>
        <v/>
      </c>
      <c r="S50" s="299"/>
      <c r="T50" s="300"/>
      <c r="U50" s="298"/>
      <c r="V50" s="299"/>
      <c r="W50" s="300"/>
      <c r="X50" s="298" t="str">
        <f>IF(P50&lt;&gt;0,VLOOKUP(P50,'Site Info'!$G$34:$V$69,5,FALSE),"")</f>
        <v/>
      </c>
      <c r="Y50" s="299"/>
      <c r="Z50" s="300"/>
      <c r="AA50" s="298" t="str">
        <f>IF(P50&lt;&gt;0,IF(VLOOKUP(P50,'Site Info'!$G$34:$V$69,8,FALSE)&lt;&gt;0,VLOOKUP(P50,'Site Info'!$G$34:$V$69,8,FALSE),""),"")</f>
        <v/>
      </c>
      <c r="AB50" s="299"/>
      <c r="AC50" s="300"/>
      <c r="AD50" s="298" t="str">
        <f>IF(P50&lt;&gt;0,VLOOKUP(P50,'Site Info'!$G$34:$V$69,2,FALSE),"")</f>
        <v/>
      </c>
      <c r="AE50" s="299"/>
      <c r="AF50" s="300"/>
      <c r="AG50" s="254" t="str">
        <f>IF(P50&lt;&gt;0,IF(VLOOKUP(P50,'Site Info'!$G$34:$V$69,8,FALSE)&lt;&gt;0,VLOOKUP(P50,'Site Info'!$G$34:$V$69,11,FALSE),""),"")</f>
        <v/>
      </c>
      <c r="AH50" s="288"/>
      <c r="AI50" s="289"/>
      <c r="AJ50" s="289"/>
      <c r="AK50" s="289"/>
      <c r="AL50" s="289"/>
      <c r="AM50" s="290"/>
    </row>
    <row r="51" spans="2:39" ht="14.25" customHeight="1" x14ac:dyDescent="0.25">
      <c r="C51" s="298"/>
      <c r="D51" s="299"/>
      <c r="E51" s="300"/>
      <c r="F51" s="298"/>
      <c r="G51" s="299"/>
      <c r="H51" s="300"/>
      <c r="I51" s="298"/>
      <c r="J51" s="299"/>
      <c r="K51" s="300"/>
      <c r="L51" s="30"/>
      <c r="M51" s="298"/>
      <c r="N51" s="299"/>
      <c r="O51" s="300"/>
      <c r="P51" s="109"/>
      <c r="Q51" s="30"/>
      <c r="R51" s="298" t="str">
        <f>IF(C51&lt;&gt;0,IF(Q51="Yes",CONCATENATE(I51,"-",P51),I51),"")</f>
        <v/>
      </c>
      <c r="S51" s="299"/>
      <c r="T51" s="300"/>
      <c r="U51" s="298"/>
      <c r="V51" s="299"/>
      <c r="W51" s="300"/>
      <c r="X51" s="298" t="str">
        <f>IF(P51&lt;&gt;0,VLOOKUP(P51,'Site Info'!$G$34:$V$69,5,FALSE),"")</f>
        <v/>
      </c>
      <c r="Y51" s="299"/>
      <c r="Z51" s="300"/>
      <c r="AA51" s="298" t="str">
        <f>IF(P51&lt;&gt;0,IF(VLOOKUP(P51,'Site Info'!$G$34:$V$69,8,FALSE)&lt;&gt;0,VLOOKUP(P51,'Site Info'!$G$34:$V$69,8,FALSE),""),"")</f>
        <v/>
      </c>
      <c r="AB51" s="299"/>
      <c r="AC51" s="300"/>
      <c r="AD51" s="298" t="str">
        <f>IF(P51&lt;&gt;0,VLOOKUP(P51,'Site Info'!$G$34:$V$69,2,FALSE),"")</f>
        <v/>
      </c>
      <c r="AE51" s="299"/>
      <c r="AF51" s="300"/>
      <c r="AG51" s="254" t="str">
        <f>IF(P51&lt;&gt;0,IF(VLOOKUP(P51,'Site Info'!$G$34:$V$69,8,FALSE)&lt;&gt;0,VLOOKUP(P51,'Site Info'!$G$34:$V$69,11,FALSE),""),"")</f>
        <v/>
      </c>
      <c r="AH51" s="288"/>
      <c r="AI51" s="289"/>
      <c r="AJ51" s="289"/>
      <c r="AK51" s="289"/>
      <c r="AL51" s="289"/>
      <c r="AM51" s="290"/>
    </row>
    <row r="52" spans="2:39" ht="14.25" customHeight="1" x14ac:dyDescent="0.25">
      <c r="C52" s="298"/>
      <c r="D52" s="299"/>
      <c r="E52" s="300"/>
      <c r="F52" s="298"/>
      <c r="G52" s="299"/>
      <c r="H52" s="300"/>
      <c r="I52" s="298"/>
      <c r="J52" s="299"/>
      <c r="K52" s="300"/>
      <c r="L52" s="30"/>
      <c r="M52" s="298"/>
      <c r="N52" s="299"/>
      <c r="O52" s="300"/>
      <c r="P52" s="109"/>
      <c r="Q52" s="30"/>
      <c r="R52" s="298" t="str">
        <f>IF(C52&lt;&gt;0,IF(Q52="Yes",CONCATENATE(I52,"-",P52),I52),"")</f>
        <v/>
      </c>
      <c r="S52" s="299"/>
      <c r="T52" s="300"/>
      <c r="U52" s="298"/>
      <c r="V52" s="299"/>
      <c r="W52" s="300"/>
      <c r="X52" s="298" t="str">
        <f>IF(P52&lt;&gt;0,VLOOKUP(P52,'Site Info'!$G$34:$V$69,5,FALSE),"")</f>
        <v/>
      </c>
      <c r="Y52" s="299"/>
      <c r="Z52" s="300"/>
      <c r="AA52" s="298" t="str">
        <f>IF(P52&lt;&gt;0,IF(VLOOKUP(P52,'Site Info'!$G$34:$V$69,8,FALSE)&lt;&gt;0,VLOOKUP(P52,'Site Info'!$G$34:$V$69,8,FALSE),""),"")</f>
        <v/>
      </c>
      <c r="AB52" s="299"/>
      <c r="AC52" s="300"/>
      <c r="AD52" s="298" t="str">
        <f>IF(P52&lt;&gt;0,VLOOKUP(P52,'Site Info'!$G$34:$V$69,2,FALSE),"")</f>
        <v/>
      </c>
      <c r="AE52" s="299"/>
      <c r="AF52" s="300"/>
      <c r="AG52" s="254" t="str">
        <f>IF(P52&lt;&gt;0,IF(VLOOKUP(P52,'Site Info'!$G$34:$V$69,8,FALSE)&lt;&gt;0,VLOOKUP(P52,'Site Info'!$G$34:$V$69,11,FALSE),""),"")</f>
        <v/>
      </c>
      <c r="AH52" s="288"/>
      <c r="AI52" s="289"/>
      <c r="AJ52" s="289"/>
      <c r="AK52" s="289"/>
      <c r="AL52" s="289"/>
      <c r="AM52" s="290"/>
    </row>
    <row r="53" spans="2:39" ht="14.25" customHeight="1" x14ac:dyDescent="0.25"/>
    <row r="54" spans="2:39" ht="14.25" customHeight="1" x14ac:dyDescent="0.25"/>
    <row r="55" spans="2:39" s="35" customFormat="1" ht="14.25" customHeight="1" x14ac:dyDescent="0.25">
      <c r="B55" s="261" t="s">
        <v>1160</v>
      </c>
    </row>
    <row r="56" spans="2:39" s="35" customFormat="1" ht="14.25" customHeight="1" x14ac:dyDescent="0.25"/>
    <row r="57" spans="2:39" s="35" customFormat="1" ht="14.25" customHeight="1" thickBot="1" x14ac:dyDescent="0.3">
      <c r="B57" s="311" t="s">
        <v>1161</v>
      </c>
      <c r="C57" s="311"/>
      <c r="D57" s="311"/>
      <c r="E57" s="311" t="s">
        <v>1162</v>
      </c>
      <c r="F57" s="311"/>
      <c r="G57" s="311"/>
      <c r="H57" s="311"/>
      <c r="I57" s="311"/>
      <c r="J57" s="311" t="s">
        <v>1163</v>
      </c>
      <c r="K57" s="311"/>
      <c r="L57" s="311" t="s">
        <v>1164</v>
      </c>
      <c r="M57" s="311"/>
      <c r="N57" s="311" t="s">
        <v>1165</v>
      </c>
      <c r="O57" s="311"/>
      <c r="P57" s="311"/>
      <c r="Q57" s="311"/>
      <c r="R57" s="311"/>
    </row>
    <row r="58" spans="2:39" s="35" customFormat="1" ht="14.25" customHeight="1" x14ac:dyDescent="0.25">
      <c r="B58" s="302"/>
      <c r="C58" s="302"/>
      <c r="D58" s="302"/>
      <c r="E58" s="302"/>
      <c r="F58" s="302"/>
      <c r="G58" s="302"/>
      <c r="H58" s="302"/>
      <c r="I58" s="302"/>
      <c r="J58" s="302"/>
      <c r="K58" s="302"/>
      <c r="L58" s="302"/>
      <c r="M58" s="302"/>
      <c r="N58" s="302"/>
      <c r="O58" s="302"/>
      <c r="P58" s="302"/>
      <c r="Q58" s="302"/>
      <c r="R58" s="302"/>
    </row>
    <row r="59" spans="2:39" s="35" customFormat="1" ht="14.25" customHeight="1" x14ac:dyDescent="0.25">
      <c r="B59" s="291"/>
      <c r="C59" s="291"/>
      <c r="D59" s="291"/>
      <c r="E59" s="291"/>
      <c r="F59" s="291"/>
      <c r="G59" s="291"/>
      <c r="H59" s="291"/>
      <c r="I59" s="291"/>
      <c r="J59" s="291"/>
      <c r="K59" s="291"/>
      <c r="L59" s="291"/>
      <c r="M59" s="291"/>
      <c r="N59" s="291"/>
      <c r="O59" s="291"/>
      <c r="P59" s="291"/>
      <c r="Q59" s="291"/>
      <c r="R59" s="291"/>
    </row>
    <row r="60" spans="2:39" s="35" customFormat="1" ht="14.25" customHeight="1" x14ac:dyDescent="0.25">
      <c r="B60" s="291"/>
      <c r="C60" s="291"/>
      <c r="D60" s="291"/>
      <c r="E60" s="291"/>
      <c r="F60" s="291"/>
      <c r="G60" s="291"/>
      <c r="H60" s="291"/>
      <c r="I60" s="291"/>
      <c r="J60" s="291"/>
      <c r="K60" s="291"/>
      <c r="L60" s="291"/>
      <c r="M60" s="291"/>
      <c r="N60" s="291"/>
      <c r="O60" s="291"/>
      <c r="P60" s="291"/>
      <c r="Q60" s="291"/>
      <c r="R60" s="291"/>
    </row>
    <row r="61" spans="2:39" s="35" customFormat="1" ht="14.25" customHeight="1" x14ac:dyDescent="0.25">
      <c r="B61" s="291"/>
      <c r="C61" s="291"/>
      <c r="D61" s="291"/>
      <c r="E61" s="291"/>
      <c r="F61" s="291"/>
      <c r="G61" s="291"/>
      <c r="H61" s="291"/>
      <c r="I61" s="291"/>
      <c r="J61" s="291"/>
      <c r="K61" s="291"/>
      <c r="L61" s="291"/>
      <c r="M61" s="291"/>
      <c r="N61" s="291"/>
      <c r="O61" s="291"/>
      <c r="P61" s="291"/>
      <c r="Q61" s="291"/>
      <c r="R61" s="291"/>
    </row>
    <row r="62" spans="2:39" s="35" customFormat="1" ht="14.25" customHeight="1" x14ac:dyDescent="0.25">
      <c r="B62" s="291"/>
      <c r="C62" s="291"/>
      <c r="D62" s="291"/>
      <c r="E62" s="291"/>
      <c r="F62" s="291"/>
      <c r="G62" s="291"/>
      <c r="H62" s="291"/>
      <c r="I62" s="291"/>
      <c r="J62" s="291"/>
      <c r="K62" s="291"/>
      <c r="L62" s="291"/>
      <c r="M62" s="291"/>
      <c r="N62" s="291"/>
      <c r="O62" s="291"/>
      <c r="P62" s="291"/>
      <c r="Q62" s="291"/>
      <c r="R62" s="291"/>
    </row>
    <row r="63" spans="2:39" ht="14.25" customHeight="1" x14ac:dyDescent="0.25"/>
    <row r="64" spans="2:39"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sheetData>
  <sortState xmlns:xlrd2="http://schemas.microsoft.com/office/spreadsheetml/2017/richdata2" ref="B43:E67">
    <sortCondition ref="B43"/>
  </sortState>
  <mergeCells count="225">
    <mergeCell ref="B8:E8"/>
    <mergeCell ref="F8:K8"/>
    <mergeCell ref="L8:O8"/>
    <mergeCell ref="P8:S8"/>
    <mergeCell ref="B9:E9"/>
    <mergeCell ref="F9:K9"/>
    <mergeCell ref="L9:O9"/>
    <mergeCell ref="P9:S9"/>
    <mergeCell ref="Z34:AE34"/>
    <mergeCell ref="V34:X34"/>
    <mergeCell ref="S34:U34"/>
    <mergeCell ref="P34:R34"/>
    <mergeCell ref="M34:O34"/>
    <mergeCell ref="J34:L34"/>
    <mergeCell ref="F34:H34"/>
    <mergeCell ref="C34:E34"/>
    <mergeCell ref="C31:E31"/>
    <mergeCell ref="F31:H31"/>
    <mergeCell ref="J31:L31"/>
    <mergeCell ref="C32:E32"/>
    <mergeCell ref="F32:H32"/>
    <mergeCell ref="J32:L32"/>
    <mergeCell ref="M32:O32"/>
    <mergeCell ref="S32:U32"/>
    <mergeCell ref="C13:H13"/>
    <mergeCell ref="I13:L13"/>
    <mergeCell ref="M13:O13"/>
    <mergeCell ref="C14:H14"/>
    <mergeCell ref="C15:H15"/>
    <mergeCell ref="C16:H16"/>
    <mergeCell ref="C17:H17"/>
    <mergeCell ref="I14:L14"/>
    <mergeCell ref="I15:L15"/>
    <mergeCell ref="I16:L16"/>
    <mergeCell ref="I17:L17"/>
    <mergeCell ref="M14:O14"/>
    <mergeCell ref="M15:O15"/>
    <mergeCell ref="M16:O16"/>
    <mergeCell ref="M17:O17"/>
    <mergeCell ref="Z32:AE32"/>
    <mergeCell ref="AA48:AC48"/>
    <mergeCell ref="AD48:AF48"/>
    <mergeCell ref="Z39:AE39"/>
    <mergeCell ref="AD49:AF49"/>
    <mergeCell ref="M43:O43"/>
    <mergeCell ref="J43:L43"/>
    <mergeCell ref="F43:H43"/>
    <mergeCell ref="C43:E43"/>
    <mergeCell ref="C33:E33"/>
    <mergeCell ref="F33:H33"/>
    <mergeCell ref="J33:L33"/>
    <mergeCell ref="C38:E38"/>
    <mergeCell ref="F38:H38"/>
    <mergeCell ref="AA47:AC47"/>
    <mergeCell ref="AD47:AF47"/>
    <mergeCell ref="J38:L38"/>
    <mergeCell ref="V32:X32"/>
    <mergeCell ref="C41:E41"/>
    <mergeCell ref="F41:H41"/>
    <mergeCell ref="J41:L41"/>
    <mergeCell ref="V41:X41"/>
    <mergeCell ref="P41:R41"/>
    <mergeCell ref="Z41:AE41"/>
    <mergeCell ref="M51:O51"/>
    <mergeCell ref="I48:K48"/>
    <mergeCell ref="AH52:AM52"/>
    <mergeCell ref="R49:T49"/>
    <mergeCell ref="U49:W49"/>
    <mergeCell ref="X49:Z49"/>
    <mergeCell ref="AA49:AC49"/>
    <mergeCell ref="R5:AE5"/>
    <mergeCell ref="R52:T52"/>
    <mergeCell ref="U52:W52"/>
    <mergeCell ref="X52:Z52"/>
    <mergeCell ref="AA52:AC52"/>
    <mergeCell ref="AD52:AF52"/>
    <mergeCell ref="Z29:AE29"/>
    <mergeCell ref="P30:R30"/>
    <mergeCell ref="Z30:AE30"/>
    <mergeCell ref="S31:U31"/>
    <mergeCell ref="P31:R31"/>
    <mergeCell ref="Z31:AE31"/>
    <mergeCell ref="V29:X29"/>
    <mergeCell ref="V30:X30"/>
    <mergeCell ref="V31:X31"/>
    <mergeCell ref="Z43:AE43"/>
    <mergeCell ref="V43:X43"/>
    <mergeCell ref="AH49:AM49"/>
    <mergeCell ref="R50:T50"/>
    <mergeCell ref="U50:W50"/>
    <mergeCell ref="X50:Z50"/>
    <mergeCell ref="AA50:AC50"/>
    <mergeCell ref="AD50:AF50"/>
    <mergeCell ref="AH50:AM50"/>
    <mergeCell ref="X51:Z51"/>
    <mergeCell ref="AA51:AC51"/>
    <mergeCell ref="AD51:AF51"/>
    <mergeCell ref="AH51:AM51"/>
    <mergeCell ref="AH47:AM47"/>
    <mergeCell ref="R48:T48"/>
    <mergeCell ref="U48:W48"/>
    <mergeCell ref="X48:Z48"/>
    <mergeCell ref="M33:O33"/>
    <mergeCell ref="S33:U33"/>
    <mergeCell ref="Z33:AE33"/>
    <mergeCell ref="V33:X33"/>
    <mergeCell ref="P33:R33"/>
    <mergeCell ref="V38:X38"/>
    <mergeCell ref="P38:R38"/>
    <mergeCell ref="Z38:AE38"/>
    <mergeCell ref="Z42:AE42"/>
    <mergeCell ref="AH48:AM48"/>
    <mergeCell ref="R47:T47"/>
    <mergeCell ref="U47:W47"/>
    <mergeCell ref="X47:Z47"/>
    <mergeCell ref="S43:U43"/>
    <mergeCell ref="P43:R43"/>
    <mergeCell ref="M38:O38"/>
    <mergeCell ref="S38:U38"/>
    <mergeCell ref="Z40:AE40"/>
    <mergeCell ref="M41:O41"/>
    <mergeCell ref="S41:U41"/>
    <mergeCell ref="P32:R32"/>
    <mergeCell ref="C25:E25"/>
    <mergeCell ref="C23:E23"/>
    <mergeCell ref="C24:E24"/>
    <mergeCell ref="M24:P24"/>
    <mergeCell ref="G25:J25"/>
    <mergeCell ref="M25:P25"/>
    <mergeCell ref="C30:E30"/>
    <mergeCell ref="C29:E29"/>
    <mergeCell ref="F29:H29"/>
    <mergeCell ref="F30:H30"/>
    <mergeCell ref="J30:L30"/>
    <mergeCell ref="J29:L29"/>
    <mergeCell ref="M29:O29"/>
    <mergeCell ref="M30:O30"/>
    <mergeCell ref="S29:U29"/>
    <mergeCell ref="S30:U30"/>
    <mergeCell ref="M31:O31"/>
    <mergeCell ref="C21:E21"/>
    <mergeCell ref="C22:E22"/>
    <mergeCell ref="G23:J23"/>
    <mergeCell ref="M23:P23"/>
    <mergeCell ref="G24:J24"/>
    <mergeCell ref="G22:J22"/>
    <mergeCell ref="G21:J21"/>
    <mergeCell ref="M22:P22"/>
    <mergeCell ref="M21:P21"/>
    <mergeCell ref="P29:R29"/>
    <mergeCell ref="C40:E40"/>
    <mergeCell ref="F40:H40"/>
    <mergeCell ref="J40:L40"/>
    <mergeCell ref="M40:O40"/>
    <mergeCell ref="S40:U40"/>
    <mergeCell ref="C39:E39"/>
    <mergeCell ref="F39:H39"/>
    <mergeCell ref="J39:L39"/>
    <mergeCell ref="V42:X42"/>
    <mergeCell ref="P42:R42"/>
    <mergeCell ref="M39:O39"/>
    <mergeCell ref="S39:U39"/>
    <mergeCell ref="V39:X39"/>
    <mergeCell ref="P39:R39"/>
    <mergeCell ref="C42:E42"/>
    <mergeCell ref="F42:H42"/>
    <mergeCell ref="J42:L42"/>
    <mergeCell ref="M42:O42"/>
    <mergeCell ref="S42:U42"/>
    <mergeCell ref="V40:X40"/>
    <mergeCell ref="P40:R40"/>
    <mergeCell ref="I47:K47"/>
    <mergeCell ref="M48:O48"/>
    <mergeCell ref="M47:O47"/>
    <mergeCell ref="R51:T51"/>
    <mergeCell ref="U51:W51"/>
    <mergeCell ref="C52:E52"/>
    <mergeCell ref="C49:E49"/>
    <mergeCell ref="C50:E50"/>
    <mergeCell ref="C51:E51"/>
    <mergeCell ref="C48:E48"/>
    <mergeCell ref="C47:E47"/>
    <mergeCell ref="I52:K52"/>
    <mergeCell ref="M52:O52"/>
    <mergeCell ref="F47:H47"/>
    <mergeCell ref="F48:H48"/>
    <mergeCell ref="F49:H49"/>
    <mergeCell ref="F50:H50"/>
    <mergeCell ref="F51:H51"/>
    <mergeCell ref="F52:H52"/>
    <mergeCell ref="I49:K49"/>
    <mergeCell ref="M49:O49"/>
    <mergeCell ref="I50:K50"/>
    <mergeCell ref="M50:O50"/>
    <mergeCell ref="I51:K51"/>
    <mergeCell ref="B57:D57"/>
    <mergeCell ref="E57:I57"/>
    <mergeCell ref="J57:K57"/>
    <mergeCell ref="L57:M57"/>
    <mergeCell ref="N57:R57"/>
    <mergeCell ref="B58:D58"/>
    <mergeCell ref="E58:I58"/>
    <mergeCell ref="J58:K58"/>
    <mergeCell ref="L58:M58"/>
    <mergeCell ref="N58:R58"/>
    <mergeCell ref="B59:D59"/>
    <mergeCell ref="E59:I59"/>
    <mergeCell ref="J59:K59"/>
    <mergeCell ref="L59:M59"/>
    <mergeCell ref="N59:R59"/>
    <mergeCell ref="B60:D60"/>
    <mergeCell ref="E60:I60"/>
    <mergeCell ref="J60:K60"/>
    <mergeCell ref="L60:M60"/>
    <mergeCell ref="N60:R60"/>
    <mergeCell ref="B61:D61"/>
    <mergeCell ref="E61:I61"/>
    <mergeCell ref="J61:K61"/>
    <mergeCell ref="L61:M61"/>
    <mergeCell ref="N61:R61"/>
    <mergeCell ref="B62:D62"/>
    <mergeCell ref="E62:I62"/>
    <mergeCell ref="J62:K62"/>
    <mergeCell ref="L62:M62"/>
    <mergeCell ref="N62:R62"/>
  </mergeCells>
  <conditionalFormatting sqref="C22 C14:O17">
    <cfRule type="containsBlanks" dxfId="650" priority="295">
      <formula>LEN(TRIM(C14))=0</formula>
    </cfRule>
  </conditionalFormatting>
  <conditionalFormatting sqref="G22">
    <cfRule type="containsBlanks" dxfId="649" priority="294">
      <formula>LEN(TRIM(G22))=0</formula>
    </cfRule>
  </conditionalFormatting>
  <conditionalFormatting sqref="F22">
    <cfRule type="containsBlanks" dxfId="648" priority="292">
      <formula>LEN(TRIM(F22))=0</formula>
    </cfRule>
  </conditionalFormatting>
  <conditionalFormatting sqref="K22">
    <cfRule type="containsBlanks" dxfId="647" priority="288">
      <formula>LEN(TRIM(K22))=0</formula>
    </cfRule>
  </conditionalFormatting>
  <conditionalFormatting sqref="M22">
    <cfRule type="containsBlanks" dxfId="646" priority="287">
      <formula>LEN(TRIM(M22))=0</formula>
    </cfRule>
  </conditionalFormatting>
  <conditionalFormatting sqref="L25">
    <cfRule type="containsBlanks" dxfId="645" priority="265">
      <formula>LEN(TRIM(L25))=0</formula>
    </cfRule>
  </conditionalFormatting>
  <conditionalFormatting sqref="M25">
    <cfRule type="containsBlanks" dxfId="644" priority="266">
      <formula>LEN(TRIM(M25))=0</formula>
    </cfRule>
  </conditionalFormatting>
  <conditionalFormatting sqref="L22">
    <cfRule type="containsBlanks" dxfId="643" priority="286">
      <formula>LEN(TRIM(L22))=0</formula>
    </cfRule>
  </conditionalFormatting>
  <conditionalFormatting sqref="C23">
    <cfRule type="containsBlanks" dxfId="642" priority="285">
      <formula>LEN(TRIM(C23))=0</formula>
    </cfRule>
  </conditionalFormatting>
  <conditionalFormatting sqref="G23">
    <cfRule type="containsBlanks" dxfId="641" priority="284">
      <formula>LEN(TRIM(G23))=0</formula>
    </cfRule>
  </conditionalFormatting>
  <conditionalFormatting sqref="F23">
    <cfRule type="containsBlanks" dxfId="640" priority="283">
      <formula>LEN(TRIM(F23))=0</formula>
    </cfRule>
  </conditionalFormatting>
  <conditionalFormatting sqref="K23">
    <cfRule type="containsBlanks" dxfId="639" priority="281">
      <formula>LEN(TRIM(K23))=0</formula>
    </cfRule>
  </conditionalFormatting>
  <conditionalFormatting sqref="M23">
    <cfRule type="containsBlanks" dxfId="638" priority="280">
      <formula>LEN(TRIM(M23))=0</formula>
    </cfRule>
  </conditionalFormatting>
  <conditionalFormatting sqref="L23">
    <cfRule type="containsBlanks" dxfId="637" priority="279">
      <formula>LEN(TRIM(L23))=0</formula>
    </cfRule>
  </conditionalFormatting>
  <conditionalFormatting sqref="C24">
    <cfRule type="containsBlanks" dxfId="636" priority="278">
      <formula>LEN(TRIM(C24))=0</formula>
    </cfRule>
  </conditionalFormatting>
  <conditionalFormatting sqref="G24">
    <cfRule type="containsBlanks" dxfId="635" priority="277">
      <formula>LEN(TRIM(G24))=0</formula>
    </cfRule>
  </conditionalFormatting>
  <conditionalFormatting sqref="F24">
    <cfRule type="containsBlanks" dxfId="634" priority="276">
      <formula>LEN(TRIM(F24))=0</formula>
    </cfRule>
  </conditionalFormatting>
  <conditionalFormatting sqref="K24">
    <cfRule type="containsBlanks" dxfId="633" priority="274">
      <formula>LEN(TRIM(K24))=0</formula>
    </cfRule>
  </conditionalFormatting>
  <conditionalFormatting sqref="M24">
    <cfRule type="containsBlanks" dxfId="632" priority="273">
      <formula>LEN(TRIM(M24))=0</formula>
    </cfRule>
  </conditionalFormatting>
  <conditionalFormatting sqref="L24">
    <cfRule type="containsBlanks" dxfId="631" priority="272">
      <formula>LEN(TRIM(L24))=0</formula>
    </cfRule>
  </conditionalFormatting>
  <conditionalFormatting sqref="C25">
    <cfRule type="containsBlanks" dxfId="630" priority="271">
      <formula>LEN(TRIM(C25))=0</formula>
    </cfRule>
  </conditionalFormatting>
  <conditionalFormatting sqref="G25">
    <cfRule type="containsBlanks" dxfId="629" priority="270">
      <formula>LEN(TRIM(G25))=0</formula>
    </cfRule>
  </conditionalFormatting>
  <conditionalFormatting sqref="F25">
    <cfRule type="containsBlanks" dxfId="628" priority="269">
      <formula>LEN(TRIM(F25))=0</formula>
    </cfRule>
  </conditionalFormatting>
  <conditionalFormatting sqref="K25">
    <cfRule type="containsBlanks" dxfId="627" priority="267">
      <formula>LEN(TRIM(K25))=0</formula>
    </cfRule>
  </conditionalFormatting>
  <conditionalFormatting sqref="C30:E30 C39:H43">
    <cfRule type="containsBlanks" dxfId="626" priority="264">
      <formula>LEN(TRIM(C30))=0</formula>
    </cfRule>
  </conditionalFormatting>
  <conditionalFormatting sqref="F30">
    <cfRule type="containsBlanks" dxfId="625" priority="263">
      <formula>LEN(TRIM(F30))=0</formula>
    </cfRule>
  </conditionalFormatting>
  <conditionalFormatting sqref="F31">
    <cfRule type="containsBlanks" dxfId="624" priority="255">
      <formula>LEN(TRIM(F31))=0</formula>
    </cfRule>
  </conditionalFormatting>
  <conditionalFormatting sqref="F32">
    <cfRule type="containsBlanks" dxfId="623" priority="248">
      <formula>LEN(TRIM(F32))=0</formula>
    </cfRule>
  </conditionalFormatting>
  <conditionalFormatting sqref="F33">
    <cfRule type="containsBlanks" dxfId="622" priority="241">
      <formula>LEN(TRIM(F33))=0</formula>
    </cfRule>
  </conditionalFormatting>
  <conditionalFormatting sqref="F34">
    <cfRule type="containsBlanks" dxfId="621" priority="234">
      <formula>LEN(TRIM(F34))=0</formula>
    </cfRule>
  </conditionalFormatting>
  <conditionalFormatting sqref="Z31">
    <cfRule type="containsBlanks" dxfId="620" priority="163">
      <formula>LEN(TRIM(Z31))=0</formula>
    </cfRule>
  </conditionalFormatting>
  <conditionalFormatting sqref="M32">
    <cfRule type="containsBlanks" dxfId="619" priority="162">
      <formula>LEN(TRIM(M32))=0</formula>
    </cfRule>
  </conditionalFormatting>
  <conditionalFormatting sqref="M30">
    <cfRule type="containsBlanks" dxfId="618" priority="170">
      <formula>LEN(TRIM(M30))=0</formula>
    </cfRule>
  </conditionalFormatting>
  <conditionalFormatting sqref="Z32">
    <cfRule type="containsBlanks" dxfId="617" priority="159">
      <formula>LEN(TRIM(Z32))=0</formula>
    </cfRule>
  </conditionalFormatting>
  <conditionalFormatting sqref="Z30">
    <cfRule type="containsBlanks" dxfId="616" priority="167">
      <formula>LEN(TRIM(Z30))=0</formula>
    </cfRule>
  </conditionalFormatting>
  <conditionalFormatting sqref="M31">
    <cfRule type="containsBlanks" dxfId="615" priority="166">
      <formula>LEN(TRIM(M31))=0</formula>
    </cfRule>
  </conditionalFormatting>
  <conditionalFormatting sqref="Z33">
    <cfRule type="containsBlanks" dxfId="614" priority="155">
      <formula>LEN(TRIM(Z33))=0</formula>
    </cfRule>
  </conditionalFormatting>
  <conditionalFormatting sqref="Z34">
    <cfRule type="containsBlanks" dxfId="613" priority="151">
      <formula>LEN(TRIM(Z34))=0</formula>
    </cfRule>
  </conditionalFormatting>
  <conditionalFormatting sqref="M33">
    <cfRule type="containsBlanks" dxfId="612" priority="158">
      <formula>LEN(TRIM(M33))=0</formula>
    </cfRule>
  </conditionalFormatting>
  <conditionalFormatting sqref="M34">
    <cfRule type="containsBlanks" dxfId="611" priority="154">
      <formula>LEN(TRIM(M34))=0</formula>
    </cfRule>
  </conditionalFormatting>
  <conditionalFormatting sqref="I48">
    <cfRule type="containsBlanks" dxfId="610" priority="77">
      <formula>LEN(TRIM(I48))=0</formula>
    </cfRule>
  </conditionalFormatting>
  <conditionalFormatting sqref="M48">
    <cfRule type="containsBlanks" dxfId="609" priority="76">
      <formula>LEN(TRIM(M48))=0</formula>
    </cfRule>
  </conditionalFormatting>
  <conditionalFormatting sqref="M40">
    <cfRule type="containsBlanks" dxfId="608" priority="98">
      <formula>LEN(TRIM(M40))=0</formula>
    </cfRule>
  </conditionalFormatting>
  <conditionalFormatting sqref="Z41">
    <cfRule type="containsBlanks" dxfId="607" priority="95">
      <formula>LEN(TRIM(Z41))=0</formula>
    </cfRule>
  </conditionalFormatting>
  <conditionalFormatting sqref="Z40">
    <cfRule type="containsBlanks" dxfId="606" priority="97">
      <formula>LEN(TRIM(Z40))=0</formula>
    </cfRule>
  </conditionalFormatting>
  <conditionalFormatting sqref="M41">
    <cfRule type="containsBlanks" dxfId="605" priority="96">
      <formula>LEN(TRIM(M41))=0</formula>
    </cfRule>
  </conditionalFormatting>
  <conditionalFormatting sqref="M39">
    <cfRule type="containsBlanks" dxfId="604" priority="100">
      <formula>LEN(TRIM(M39))=0</formula>
    </cfRule>
  </conditionalFormatting>
  <conditionalFormatting sqref="Z39">
    <cfRule type="containsBlanks" dxfId="603" priority="99">
      <formula>LEN(TRIM(Z39))=0</formula>
    </cfRule>
  </conditionalFormatting>
  <conditionalFormatting sqref="Z42">
    <cfRule type="containsBlanks" dxfId="602" priority="93">
      <formula>LEN(TRIM(Z42))=0</formula>
    </cfRule>
  </conditionalFormatting>
  <conditionalFormatting sqref="M42">
    <cfRule type="containsBlanks" dxfId="601" priority="94">
      <formula>LEN(TRIM(M42))=0</formula>
    </cfRule>
  </conditionalFormatting>
  <conditionalFormatting sqref="I49:I52">
    <cfRule type="containsBlanks" dxfId="600" priority="58">
      <formula>LEN(TRIM(I49))=0</formula>
    </cfRule>
  </conditionalFormatting>
  <conditionalFormatting sqref="C49:C52">
    <cfRule type="containsBlanks" dxfId="599" priority="59">
      <formula>LEN(TRIM(C49))=0</formula>
    </cfRule>
  </conditionalFormatting>
  <conditionalFormatting sqref="M49:M52">
    <cfRule type="containsBlanks" dxfId="598" priority="57">
      <formula>LEN(TRIM(M49))=0</formula>
    </cfRule>
  </conditionalFormatting>
  <conditionalFormatting sqref="C48">
    <cfRule type="containsBlanks" dxfId="597" priority="78">
      <formula>LEN(TRIM(C48))=0</formula>
    </cfRule>
  </conditionalFormatting>
  <conditionalFormatting sqref="L48">
    <cfRule type="containsBlanks" dxfId="596" priority="75">
      <formula>LEN(TRIM(L48))=0</formula>
    </cfRule>
  </conditionalFormatting>
  <conditionalFormatting sqref="U48:U52">
    <cfRule type="containsBlanks" dxfId="595" priority="55">
      <formula>LEN(TRIM(U48))=0</formula>
    </cfRule>
  </conditionalFormatting>
  <conditionalFormatting sqref="L49:L52">
    <cfRule type="containsBlanks" dxfId="594" priority="56">
      <formula>LEN(TRIM(L49))=0</formula>
    </cfRule>
  </conditionalFormatting>
  <conditionalFormatting sqref="AH48:AH52">
    <cfRule type="containsBlanks" dxfId="593" priority="53">
      <formula>LEN(TRIM(AH48))=0</formula>
    </cfRule>
  </conditionalFormatting>
  <conditionalFormatting sqref="Q48:Q52">
    <cfRule type="containsBlanks" dxfId="592" priority="52">
      <formula>LEN(TRIM(Q48))=0</formula>
    </cfRule>
  </conditionalFormatting>
  <conditionalFormatting sqref="Y30:Y34">
    <cfRule type="containsBlanks" dxfId="591" priority="38">
      <formula>LEN(TRIM(Y30))=0</formula>
    </cfRule>
  </conditionalFormatting>
  <conditionalFormatting sqref="Y39:Y42">
    <cfRule type="containsBlanks" dxfId="590" priority="33">
      <formula>LEN(TRIM(Y39))=0</formula>
    </cfRule>
  </conditionalFormatting>
  <conditionalFormatting sqref="AG48:AG52">
    <cfRule type="containsBlanks" dxfId="589" priority="28">
      <formula>LEN(TRIM(AG48))=0</formula>
    </cfRule>
  </conditionalFormatting>
  <conditionalFormatting sqref="C31">
    <cfRule type="containsBlanks" dxfId="588" priority="23">
      <formula>LEN(TRIM(C31))=0</formula>
    </cfRule>
  </conditionalFormatting>
  <conditionalFormatting sqref="C32">
    <cfRule type="containsBlanks" dxfId="587" priority="22">
      <formula>LEN(TRIM(C32))=0</formula>
    </cfRule>
  </conditionalFormatting>
  <conditionalFormatting sqref="C33">
    <cfRule type="containsBlanks" dxfId="586" priority="21">
      <formula>LEN(TRIM(C33))=0</formula>
    </cfRule>
  </conditionalFormatting>
  <conditionalFormatting sqref="C34">
    <cfRule type="containsBlanks" dxfId="585" priority="20">
      <formula>LEN(TRIM(C34))=0</formula>
    </cfRule>
  </conditionalFormatting>
  <conditionalFormatting sqref="F51">
    <cfRule type="containsBlanks" dxfId="584" priority="15">
      <formula>LEN(TRIM(F51))=0</formula>
    </cfRule>
  </conditionalFormatting>
  <conditionalFormatting sqref="F48">
    <cfRule type="containsBlanks" dxfId="583" priority="18">
      <formula>LEN(TRIM(F48))=0</formula>
    </cfRule>
  </conditionalFormatting>
  <conditionalFormatting sqref="F49">
    <cfRule type="containsBlanks" dxfId="582" priority="17">
      <formula>LEN(TRIM(F49))=0</formula>
    </cfRule>
  </conditionalFormatting>
  <conditionalFormatting sqref="F50">
    <cfRule type="containsBlanks" dxfId="581" priority="16">
      <formula>LEN(TRIM(F50))=0</formula>
    </cfRule>
  </conditionalFormatting>
  <conditionalFormatting sqref="F52">
    <cfRule type="containsBlanks" dxfId="580" priority="14">
      <formula>LEN(TRIM(F52))=0</formula>
    </cfRule>
  </conditionalFormatting>
  <conditionalFormatting sqref="I30 I39:I43">
    <cfRule type="containsBlanks" dxfId="579" priority="13">
      <formula>LEN(TRIM(I30))=0</formula>
    </cfRule>
  </conditionalFormatting>
  <conditionalFormatting sqref="I31:I34">
    <cfRule type="containsBlanks" dxfId="578" priority="12">
      <formula>LEN(TRIM(I31))=0</formula>
    </cfRule>
  </conditionalFormatting>
  <conditionalFormatting sqref="P48:P52">
    <cfRule type="containsBlanks" dxfId="577" priority="7">
      <formula>LEN(TRIM(P48))=0</formula>
    </cfRule>
  </conditionalFormatting>
  <conditionalFormatting sqref="Z43">
    <cfRule type="containsBlanks" dxfId="576" priority="9">
      <formula>LEN(TRIM(Z43))=0</formula>
    </cfRule>
  </conditionalFormatting>
  <conditionalFormatting sqref="M43">
    <cfRule type="containsBlanks" dxfId="575" priority="10">
      <formula>LEN(TRIM(M43))=0</formula>
    </cfRule>
  </conditionalFormatting>
  <conditionalFormatting sqref="Y43">
    <cfRule type="containsBlanks" dxfId="574" priority="8">
      <formula>LEN(TRIM(Y43))=0</formula>
    </cfRule>
  </conditionalFormatting>
  <conditionalFormatting sqref="F8">
    <cfRule type="containsBlanks" dxfId="573" priority="6">
      <formula>LEN(TRIM(F8))=0</formula>
    </cfRule>
  </conditionalFormatting>
  <conditionalFormatting sqref="P8">
    <cfRule type="containsBlanks" dxfId="572" priority="5">
      <formula>LEN(TRIM(P8))=0</formula>
    </cfRule>
  </conditionalFormatting>
  <conditionalFormatting sqref="F9">
    <cfRule type="containsBlanks" dxfId="571" priority="4">
      <formula>LEN(TRIM(F9))=0</formula>
    </cfRule>
  </conditionalFormatting>
  <conditionalFormatting sqref="P9">
    <cfRule type="containsBlanks" dxfId="570" priority="2">
      <formula>LEN(TRIM(P9))=0</formula>
    </cfRule>
  </conditionalFormatting>
  <conditionalFormatting sqref="B58:R62">
    <cfRule type="containsBlanks" dxfId="569" priority="1">
      <formula>LEN(TRIM(B58))=0</formula>
    </cfRule>
  </conditionalFormatting>
  <dataValidations count="3">
    <dataValidation type="list" allowBlank="1" sqref="F30:H34" xr:uid="{00000000-0002-0000-0300-000000000000}">
      <formula1>$C$22:$C$26</formula1>
    </dataValidation>
    <dataValidation allowBlank="1" sqref="C39:H43" xr:uid="{00000000-0002-0000-0300-000001000000}"/>
    <dataValidation type="list" allowBlank="1" sqref="I30:I34 P48:P52" xr:uid="{00000000-0002-0000-0300-000002000000}">
      <formula1>VLANList</formula1>
    </dataValidation>
  </dataValidations>
  <pageMargins left="0.7" right="0.7" top="0.75" bottom="0.75" header="0.3" footer="0.3"/>
  <pageSetup orientation="portrait"/>
  <drawing r:id="rId1"/>
  <extLst>
    <ext xmlns:x14="http://schemas.microsoft.com/office/spreadsheetml/2009/9/main" uri="{CCE6A557-97BC-4b89-ADB6-D9C93CAAB3DF}">
      <x14:dataValidations xmlns:xm="http://schemas.microsoft.com/office/excel/2006/main" count="8">
        <x14:dataValidation type="list" allowBlank="1" xr:uid="{00000000-0002-0000-0300-000003000000}">
          <x14:formula1>
            <xm:f>Dropdowns!$B$3:$B$4</xm:f>
          </x14:formula1>
          <xm:sqref>L22:L25 Q48:Q52</xm:sqref>
        </x14:dataValidation>
        <x14:dataValidation type="list" allowBlank="1" xr:uid="{00000000-0002-0000-0300-000004000000}">
          <x14:formula1>
            <xm:f>Dropdowns!$D$3:$D$5</xm:f>
          </x14:formula1>
          <xm:sqref>F22:F25 L48:L52</xm:sqref>
        </x14:dataValidation>
        <x14:dataValidation type="list" allowBlank="1" xr:uid="{00000000-0002-0000-0300-000005000000}">
          <x14:formula1>
            <xm:f>Dropdowns!$G$3:$G$4</xm:f>
          </x14:formula1>
          <xm:sqref>K22:K25</xm:sqref>
        </x14:dataValidation>
        <x14:dataValidation type="list" allowBlank="1" xr:uid="{00000000-0002-0000-0300-000006000000}">
          <x14:formula1>
            <xm:f>Inventory!$C$15:$C$16</xm:f>
          </x14:formula1>
          <xm:sqref>C48:E52</xm:sqref>
        </x14:dataValidation>
        <x14:dataValidation type="list" allowBlank="1" xr:uid="{00000000-0002-0000-0300-000007000000}">
          <x14:formula1>
            <xm:f>Dropdowns!$O$3:$O$4</xm:f>
          </x14:formula1>
          <xm:sqref>Y39:Y43 Y30:Y34 AG48:AG52</xm:sqref>
        </x14:dataValidation>
        <x14:dataValidation type="list" allowBlank="1" xr:uid="{00000000-0002-0000-0300-000008000000}">
          <x14:formula1>
            <xm:f>Dropdowns!$Q$3:$Q$5</xm:f>
          </x14:formula1>
          <xm:sqref>P8:S9</xm:sqref>
        </x14:dataValidation>
        <x14:dataValidation type="list" allowBlank="1" xr:uid="{00000000-0002-0000-0300-000009000000}">
          <x14:formula1>
            <xm:f>Dropdowns!$E$5:$E$16</xm:f>
          </x14:formula1>
          <xm:sqref>C30:E34 F48:H52</xm:sqref>
        </x14:dataValidation>
        <x14:dataValidation type="list" allowBlank="1" showInputMessage="1" showErrorMessage="1" xr:uid="{00000000-0002-0000-0300-00000A000000}">
          <x14:formula1>
            <xm:f>Inventory!$C$15:$C$22</xm:f>
          </x14:formula1>
          <xm:sqref>B58:D62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pageSetUpPr fitToPage="1"/>
  </sheetPr>
  <dimension ref="A2:AE158"/>
  <sheetViews>
    <sheetView zoomScaleNormal="100" workbookViewId="0">
      <pane ySplit="4" topLeftCell="A23" activePane="bottomLeft" state="frozenSplit"/>
      <selection activeCell="N65" sqref="N65:P65"/>
      <selection pane="bottomLeft" activeCell="C23" sqref="C23:E23"/>
    </sheetView>
  </sheetViews>
  <sheetFormatPr defaultColWidth="7.140625" defaultRowHeight="10.5" x14ac:dyDescent="0.25"/>
  <cols>
    <col min="1" max="1" width="1.42578125" style="3" customWidth="1"/>
    <col min="2" max="19" width="7.140625" style="3"/>
    <col min="20" max="20" width="7.140625" style="3" customWidth="1"/>
    <col min="21" max="16384" width="7.140625" style="3"/>
  </cols>
  <sheetData>
    <row r="2" spans="1:31" ht="30.75" customHeight="1" x14ac:dyDescent="0.25">
      <c r="A2" s="2" t="s">
        <v>1</v>
      </c>
      <c r="B2"/>
      <c r="V2" s="1" t="s">
        <v>993</v>
      </c>
    </row>
    <row r="3" spans="1:31" ht="9" customHeight="1" x14ac:dyDescent="0.25"/>
    <row r="4" spans="1:31" ht="15" x14ac:dyDescent="0.25">
      <c r="A4" s="5" t="s">
        <v>126</v>
      </c>
      <c r="Z4" s="3" t="s">
        <v>0</v>
      </c>
    </row>
    <row r="5" spans="1:31" ht="14.25" customHeight="1" x14ac:dyDescent="0.25">
      <c r="R5" s="350" t="str">
        <f>IF('Site Info'!$C$8=Dropdowns!$R$4,"",IF('Site Info'!$C$8=Dropdowns!$R$7,"",IF('Site Info'!$C$8=Dropdowns!$R$8,"","THIS TAB IS NOT APPLICABLE FOR THIS SOLUTION, HIDE THIS TAB")))</f>
        <v/>
      </c>
      <c r="S5" s="350"/>
      <c r="T5" s="350"/>
      <c r="U5" s="350"/>
      <c r="V5" s="350"/>
      <c r="W5" s="350"/>
      <c r="X5" s="350"/>
      <c r="Y5" s="350"/>
      <c r="Z5" s="350"/>
      <c r="AA5" s="350"/>
      <c r="AB5" s="350"/>
      <c r="AC5" s="350"/>
      <c r="AD5" s="350"/>
      <c r="AE5" s="350"/>
    </row>
    <row r="6" spans="1:31" s="35" customFormat="1" ht="14.25" customHeight="1" x14ac:dyDescent="0.25">
      <c r="B6" s="4" t="s">
        <v>872</v>
      </c>
      <c r="G6" s="6"/>
    </row>
    <row r="7" spans="1:31" s="35" customFormat="1" ht="6" customHeight="1" x14ac:dyDescent="0.25">
      <c r="B7" s="4"/>
      <c r="G7" s="6"/>
    </row>
    <row r="8" spans="1:31" s="35" customFormat="1" ht="14.25" customHeight="1" x14ac:dyDescent="0.25">
      <c r="B8" s="303" t="s">
        <v>1291</v>
      </c>
      <c r="C8" s="303"/>
      <c r="D8" s="303"/>
      <c r="E8" s="303"/>
      <c r="F8" s="288" t="str">
        <f>CONCATENATE("https://",Inventory!C39)</f>
        <v>https://</v>
      </c>
      <c r="G8" s="289"/>
      <c r="H8" s="289"/>
      <c r="I8" s="289"/>
      <c r="J8" s="289"/>
      <c r="K8" s="290"/>
      <c r="L8" s="303" t="s">
        <v>874</v>
      </c>
      <c r="M8" s="303"/>
      <c r="N8" s="303"/>
      <c r="O8" s="303"/>
      <c r="P8" s="288" t="s">
        <v>528</v>
      </c>
      <c r="Q8" s="289"/>
      <c r="R8" s="289"/>
      <c r="S8" s="290"/>
    </row>
    <row r="9" spans="1:31" s="35" customFormat="1" ht="14.25" customHeight="1" x14ac:dyDescent="0.25">
      <c r="B9" s="303" t="s">
        <v>952</v>
      </c>
      <c r="C9" s="303"/>
      <c r="D9" s="303"/>
      <c r="E9" s="303"/>
      <c r="F9" s="366" t="str">
        <f>CONCATENATE("https://",J34,"/spi")</f>
        <v>https://10.126.131.173/spi</v>
      </c>
      <c r="G9" s="367"/>
      <c r="H9" s="367"/>
      <c r="I9" s="367"/>
      <c r="J9" s="367"/>
      <c r="K9" s="368"/>
      <c r="L9" s="180"/>
      <c r="M9" s="180"/>
      <c r="N9" s="180"/>
      <c r="O9" s="180"/>
      <c r="P9" s="182"/>
      <c r="Q9" s="182"/>
      <c r="R9" s="182"/>
    </row>
    <row r="10" spans="1:31" s="35" customFormat="1" ht="14.25" customHeight="1" x14ac:dyDescent="0.25">
      <c r="G10" s="6"/>
    </row>
    <row r="11" spans="1:31" s="35" customFormat="1" ht="14.25" customHeight="1" x14ac:dyDescent="0.25">
      <c r="B11" s="4" t="s">
        <v>660</v>
      </c>
    </row>
    <row r="12" spans="1:31" s="35" customFormat="1" ht="14.25" x14ac:dyDescent="0.25">
      <c r="B12" s="4"/>
      <c r="G12" s="6"/>
    </row>
    <row r="13" spans="1:31" s="35" customFormat="1" ht="14.25" customHeight="1" thickBot="1" x14ac:dyDescent="0.3">
      <c r="C13" s="312" t="s">
        <v>662</v>
      </c>
      <c r="D13" s="321"/>
      <c r="E13" s="321"/>
      <c r="F13" s="321"/>
      <c r="G13" s="321"/>
      <c r="H13" s="313"/>
      <c r="I13" s="312" t="s">
        <v>661</v>
      </c>
      <c r="J13" s="321"/>
      <c r="K13" s="321"/>
      <c r="L13" s="313"/>
      <c r="M13" s="311" t="s">
        <v>25</v>
      </c>
      <c r="N13" s="311"/>
      <c r="O13" s="311"/>
      <c r="P13" s="312" t="s">
        <v>1011</v>
      </c>
      <c r="Q13" s="321"/>
      <c r="R13" s="313"/>
      <c r="S13" s="311" t="s">
        <v>664</v>
      </c>
      <c r="T13" s="311"/>
      <c r="U13" s="311"/>
      <c r="V13" s="311"/>
    </row>
    <row r="14" spans="1:31" s="35" customFormat="1" ht="14.25" customHeight="1" x14ac:dyDescent="0.25">
      <c r="C14" s="363" t="s">
        <v>967</v>
      </c>
      <c r="D14" s="364"/>
      <c r="E14" s="364"/>
      <c r="F14" s="364"/>
      <c r="G14" s="364"/>
      <c r="H14" s="365"/>
      <c r="I14" s="363" t="s">
        <v>963</v>
      </c>
      <c r="J14" s="364"/>
      <c r="K14" s="364"/>
      <c r="L14" s="365"/>
      <c r="M14" s="351" t="s">
        <v>968</v>
      </c>
      <c r="N14" s="351"/>
      <c r="O14" s="351"/>
      <c r="P14" s="363" t="s">
        <v>1012</v>
      </c>
      <c r="Q14" s="364"/>
      <c r="R14" s="365"/>
      <c r="S14" s="351" t="s">
        <v>963</v>
      </c>
      <c r="T14" s="351"/>
      <c r="U14" s="351"/>
      <c r="V14" s="351"/>
    </row>
    <row r="15" spans="1:31" s="35" customFormat="1" ht="14.25" customHeight="1" x14ac:dyDescent="0.25">
      <c r="C15" s="360" t="s">
        <v>1339</v>
      </c>
      <c r="D15" s="361"/>
      <c r="E15" s="361"/>
      <c r="F15" s="361"/>
      <c r="G15" s="361"/>
      <c r="H15" s="362"/>
      <c r="I15" s="360" t="s">
        <v>969</v>
      </c>
      <c r="J15" s="361"/>
      <c r="K15" s="361"/>
      <c r="L15" s="362"/>
      <c r="M15" s="352" t="s">
        <v>968</v>
      </c>
      <c r="N15" s="352"/>
      <c r="O15" s="352"/>
      <c r="P15" s="360" t="s">
        <v>1333</v>
      </c>
      <c r="Q15" s="361"/>
      <c r="R15" s="362"/>
      <c r="S15" s="352" t="s">
        <v>963</v>
      </c>
      <c r="T15" s="352"/>
      <c r="U15" s="352"/>
      <c r="V15" s="352"/>
    </row>
    <row r="16" spans="1:31" s="35" customFormat="1" ht="14.25" customHeight="1" x14ac:dyDescent="0.25">
      <c r="C16" s="360" t="s">
        <v>1013</v>
      </c>
      <c r="D16" s="361"/>
      <c r="E16" s="361"/>
      <c r="F16" s="361"/>
      <c r="G16" s="361"/>
      <c r="H16" s="362"/>
      <c r="I16" s="360" t="s">
        <v>1014</v>
      </c>
      <c r="J16" s="361"/>
      <c r="K16" s="361"/>
      <c r="L16" s="362"/>
      <c r="M16" s="352" t="s">
        <v>968</v>
      </c>
      <c r="N16" s="352"/>
      <c r="O16" s="352"/>
      <c r="P16" s="360" t="s">
        <v>1015</v>
      </c>
      <c r="Q16" s="361"/>
      <c r="R16" s="362"/>
      <c r="S16" s="352" t="s">
        <v>963</v>
      </c>
      <c r="T16" s="352"/>
      <c r="U16" s="352"/>
      <c r="V16" s="352"/>
    </row>
    <row r="17" spans="2:25" s="35" customFormat="1" ht="14.25" customHeight="1" x14ac:dyDescent="0.25"/>
    <row r="18" spans="2:25" ht="14.25" customHeight="1" x14ac:dyDescent="0.25">
      <c r="B18" s="4" t="s">
        <v>81</v>
      </c>
      <c r="F18" s="3" t="s">
        <v>1371</v>
      </c>
      <c r="Q18" s="19" t="s">
        <v>1370</v>
      </c>
    </row>
    <row r="19" spans="2:25" ht="6" customHeight="1" x14ac:dyDescent="0.25">
      <c r="B19" s="4"/>
      <c r="F19" s="3" t="s">
        <v>1372</v>
      </c>
      <c r="G19" s="6"/>
      <c r="Q19" s="3" t="s">
        <v>1373</v>
      </c>
    </row>
    <row r="20" spans="2:25" ht="14.25" customHeight="1" thickBot="1" x14ac:dyDescent="0.3">
      <c r="C20" s="312" t="s">
        <v>1128</v>
      </c>
      <c r="D20" s="321"/>
      <c r="E20" s="313"/>
      <c r="F20" s="312" t="s">
        <v>82</v>
      </c>
      <c r="G20" s="321"/>
      <c r="H20" s="313"/>
      <c r="I20" s="312" t="s">
        <v>83</v>
      </c>
      <c r="J20" s="321"/>
      <c r="K20" s="321"/>
      <c r="L20" s="313"/>
      <c r="M20" s="312" t="s">
        <v>42</v>
      </c>
      <c r="N20" s="321"/>
      <c r="O20" s="321"/>
      <c r="P20" s="321"/>
      <c r="Q20" s="313"/>
    </row>
    <row r="21" spans="2:25" ht="14.25" customHeight="1" x14ac:dyDescent="0.25">
      <c r="C21" s="298" t="s">
        <v>31</v>
      </c>
      <c r="D21" s="299"/>
      <c r="E21" s="300"/>
      <c r="F21" s="298" t="s">
        <v>485</v>
      </c>
      <c r="G21" s="299"/>
      <c r="H21" s="300"/>
      <c r="I21" s="353" t="s">
        <v>1394</v>
      </c>
      <c r="J21" s="354"/>
      <c r="K21" s="354"/>
      <c r="L21" s="355"/>
      <c r="M21" s="295" t="s">
        <v>360</v>
      </c>
      <c r="N21" s="296"/>
      <c r="O21" s="296"/>
      <c r="P21" s="296"/>
      <c r="Q21" s="297"/>
    </row>
    <row r="22" spans="2:25" ht="14.25" customHeight="1" x14ac:dyDescent="0.25">
      <c r="C22" s="288" t="s">
        <v>31</v>
      </c>
      <c r="D22" s="289"/>
      <c r="E22" s="290"/>
      <c r="F22" s="288" t="s">
        <v>31</v>
      </c>
      <c r="G22" s="289"/>
      <c r="H22" s="290"/>
      <c r="I22" s="332" t="s">
        <v>1394</v>
      </c>
      <c r="J22" s="333"/>
      <c r="K22" s="333"/>
      <c r="L22" s="334"/>
      <c r="M22" s="288" t="s">
        <v>1354</v>
      </c>
      <c r="N22" s="289"/>
      <c r="O22" s="289"/>
      <c r="P22" s="289"/>
      <c r="Q22" s="290"/>
    </row>
    <row r="23" spans="2:25" ht="14.25" customHeight="1" x14ac:dyDescent="0.25">
      <c r="C23" s="288" t="s">
        <v>1355</v>
      </c>
      <c r="D23" s="289"/>
      <c r="E23" s="290"/>
      <c r="F23" s="288" t="s">
        <v>1356</v>
      </c>
      <c r="G23" s="289"/>
      <c r="H23" s="290"/>
      <c r="I23" s="332" t="s">
        <v>1394</v>
      </c>
      <c r="J23" s="333"/>
      <c r="K23" s="333"/>
      <c r="L23" s="334"/>
      <c r="M23" s="288" t="s">
        <v>1395</v>
      </c>
      <c r="N23" s="289"/>
      <c r="O23" s="289"/>
      <c r="P23" s="289"/>
      <c r="Q23" s="290"/>
    </row>
    <row r="24" spans="2:25" ht="14.25" customHeight="1" x14ac:dyDescent="0.25">
      <c r="C24" s="288" t="s">
        <v>1396</v>
      </c>
      <c r="D24" s="289"/>
      <c r="E24" s="290"/>
      <c r="F24" s="288" t="s">
        <v>1396</v>
      </c>
      <c r="G24" s="289"/>
      <c r="H24" s="290"/>
      <c r="I24" s="332" t="s">
        <v>1398</v>
      </c>
      <c r="J24" s="333"/>
      <c r="K24" s="333"/>
      <c r="L24" s="334"/>
      <c r="M24" s="288" t="s">
        <v>1397</v>
      </c>
      <c r="N24" s="289"/>
      <c r="O24" s="289"/>
      <c r="P24" s="289"/>
      <c r="Q24" s="290"/>
    </row>
    <row r="25" spans="2:25" ht="14.25" customHeight="1" x14ac:dyDescent="0.25">
      <c r="C25" s="288"/>
      <c r="D25" s="289"/>
      <c r="E25" s="290"/>
      <c r="F25" s="288"/>
      <c r="G25" s="289"/>
      <c r="H25" s="290"/>
      <c r="I25" s="332"/>
      <c r="J25" s="333"/>
      <c r="K25" s="333"/>
      <c r="L25" s="334"/>
      <c r="M25" s="288"/>
      <c r="N25" s="289"/>
      <c r="O25" s="289"/>
      <c r="P25" s="289"/>
      <c r="Q25" s="290"/>
    </row>
    <row r="26" spans="2:25" ht="14.25" customHeight="1" x14ac:dyDescent="0.25">
      <c r="F26" s="3" t="s">
        <v>1374</v>
      </c>
      <c r="I26" s="3" t="s">
        <v>1375</v>
      </c>
    </row>
    <row r="27" spans="2:25" ht="14.1" customHeight="1" x14ac:dyDescent="0.25">
      <c r="B27" s="4" t="s">
        <v>84</v>
      </c>
    </row>
    <row r="28" spans="2:25" ht="6" customHeight="1" x14ac:dyDescent="0.25">
      <c r="B28" s="4"/>
      <c r="F28" s="3" t="s">
        <v>1374</v>
      </c>
      <c r="G28" s="6"/>
      <c r="I28" s="3" t="s">
        <v>1376</v>
      </c>
      <c r="Q28" s="3" t="s">
        <v>1374</v>
      </c>
    </row>
    <row r="29" spans="2:25" ht="14.25" customHeight="1" x14ac:dyDescent="0.25">
      <c r="B29" s="303" t="s">
        <v>85</v>
      </c>
      <c r="C29" s="303"/>
      <c r="D29" s="303"/>
      <c r="E29" s="303"/>
      <c r="F29" s="109">
        <v>1852</v>
      </c>
      <c r="G29" s="303" t="s">
        <v>86</v>
      </c>
      <c r="H29" s="303"/>
      <c r="I29" s="303"/>
      <c r="J29" s="303"/>
      <c r="K29" s="288" t="str">
        <f>IF(E34&lt;&gt;"",IF(F29&lt;&gt;0,VLOOKUP(F29,'Site Info'!$G$34:$P$69,8,FALSE),"enter VLAN"),"")</f>
        <v>10.126.131.1</v>
      </c>
      <c r="L29" s="289"/>
      <c r="M29" s="290"/>
      <c r="N29" s="310" t="s">
        <v>87</v>
      </c>
      <c r="O29" s="303"/>
      <c r="P29" s="303"/>
      <c r="Q29" s="356"/>
      <c r="R29" s="288" t="str">
        <f>IF(J32&lt;&gt;"",CONCATENATE("c",J32),"")</f>
        <v>c10.126.131.0/24</v>
      </c>
      <c r="S29" s="289"/>
      <c r="T29" s="290"/>
      <c r="U29" s="303" t="s">
        <v>107</v>
      </c>
      <c r="V29" s="303"/>
      <c r="W29" s="303"/>
      <c r="X29" s="303"/>
      <c r="Y29" s="18">
        <v>20</v>
      </c>
    </row>
    <row r="30" spans="2:25" ht="14.25" customHeight="1" x14ac:dyDescent="0.25">
      <c r="B30" s="303" t="s">
        <v>90</v>
      </c>
      <c r="C30" s="303"/>
      <c r="D30" s="303"/>
      <c r="E30" s="303"/>
      <c r="F30" s="21" t="s">
        <v>31</v>
      </c>
      <c r="G30" s="303" t="s">
        <v>89</v>
      </c>
      <c r="H30" s="303"/>
      <c r="I30" s="303"/>
      <c r="J30" s="303"/>
      <c r="K30" s="288" t="str">
        <f>IF(E34&lt;&gt;"",IF(F29&lt;&gt;0,VLOOKUP(F29,'Site Info'!$G$34:$P$69,5,FALSE),"enter VLAN"),"")</f>
        <v>255.255.255.0</v>
      </c>
      <c r="L30" s="289"/>
      <c r="M30" s="290"/>
      <c r="N30" s="310" t="s">
        <v>88</v>
      </c>
      <c r="O30" s="303"/>
      <c r="P30" s="303"/>
      <c r="Q30" s="356"/>
      <c r="R30" s="302" t="str">
        <f>IF(J32&lt;&gt;"","0.0.0.0/0","")</f>
        <v>0.0.0.0/0</v>
      </c>
      <c r="S30" s="302"/>
      <c r="T30" s="302"/>
    </row>
    <row r="31" spans="2:25" ht="14.25" customHeight="1" x14ac:dyDescent="0.25">
      <c r="B31" s="303" t="s">
        <v>91</v>
      </c>
      <c r="C31" s="303"/>
      <c r="D31" s="303"/>
      <c r="E31" s="303"/>
      <c r="F31" s="21" t="s">
        <v>17</v>
      </c>
    </row>
    <row r="32" spans="2:25" ht="14.25" customHeight="1" x14ac:dyDescent="0.25">
      <c r="J32" s="299" t="str">
        <f>IF($F$29&lt;&gt;0,IF(E34&lt;&gt;"",VLOOKUP($F$29,'Site Info'!$G$34:$P$69,2,FALSE),""),"")</f>
        <v>10.126.131.0/24</v>
      </c>
      <c r="K32" s="299"/>
      <c r="L32" s="299"/>
    </row>
    <row r="33" spans="1:31" ht="14.25" customHeight="1" thickBot="1" x14ac:dyDescent="0.3">
      <c r="B33" s="312" t="s">
        <v>92</v>
      </c>
      <c r="C33" s="321"/>
      <c r="D33" s="313"/>
      <c r="E33" s="312" t="s">
        <v>97</v>
      </c>
      <c r="F33" s="321"/>
      <c r="G33" s="321"/>
      <c r="H33" s="321"/>
      <c r="I33" s="313"/>
      <c r="J33" s="312" t="s">
        <v>71</v>
      </c>
      <c r="K33" s="321"/>
      <c r="L33" s="313"/>
      <c r="M33" s="312" t="s">
        <v>93</v>
      </c>
      <c r="N33" s="321"/>
      <c r="O33" s="321"/>
      <c r="P33" s="313"/>
      <c r="Q33" s="312" t="s">
        <v>94</v>
      </c>
      <c r="R33" s="321"/>
      <c r="S33" s="313"/>
      <c r="T33" s="312" t="s">
        <v>95</v>
      </c>
      <c r="U33" s="321"/>
      <c r="V33" s="313"/>
      <c r="W33" s="312" t="s">
        <v>96</v>
      </c>
      <c r="X33" s="321"/>
      <c r="Y33" s="313"/>
    </row>
    <row r="34" spans="1:31" ht="14.25" customHeight="1" x14ac:dyDescent="0.25">
      <c r="B34" s="302" t="str">
        <f>IF(E34&lt;&gt;"","Cluster","")</f>
        <v>Cluster</v>
      </c>
      <c r="C34" s="302"/>
      <c r="D34" s="302"/>
      <c r="E34" s="295" t="str">
        <f>IF(Inventory!G12&lt;&gt;"",CONCATENATE(Inventory!G12,".",'Site Info'!F25),"")</f>
        <v>shpsan.speedcast.com</v>
      </c>
      <c r="F34" s="296"/>
      <c r="G34" s="296"/>
      <c r="H34" s="296"/>
      <c r="I34" s="297"/>
      <c r="J34" s="295" t="s">
        <v>1390</v>
      </c>
      <c r="K34" s="296"/>
      <c r="L34" s="297"/>
      <c r="M34" s="295" t="str">
        <f>IF(E34&lt;&gt;"","cluster-mgmt","")</f>
        <v>cluster-mgmt</v>
      </c>
      <c r="N34" s="296"/>
      <c r="O34" s="296"/>
      <c r="P34" s="297"/>
      <c r="Q34" s="302" t="str">
        <f>M34</f>
        <v>cluster-mgmt</v>
      </c>
      <c r="R34" s="302"/>
      <c r="S34" s="302"/>
      <c r="T34" s="302" t="str">
        <f>IF(E43&lt;&gt;"",Inventory!C15,"")</f>
        <v>shpsan-01</v>
      </c>
      <c r="U34" s="302"/>
      <c r="V34" s="302"/>
      <c r="W34" s="302" t="str">
        <f>IF(AND(E34&lt;&gt;"",$F$31&lt;&gt;0,$F$30&lt;&gt;0,$F$29&lt;&gt;0),IF($F$31&lt;&gt;"Yes",$F$30,CONCATENATE($F$30,"-",$F$29)),"")</f>
        <v>e0M</v>
      </c>
      <c r="X34" s="302"/>
      <c r="Y34" s="302"/>
    </row>
    <row r="35" spans="1:31" ht="14.25" customHeight="1" x14ac:dyDescent="0.25">
      <c r="G35" s="3">
        <v>1852</v>
      </c>
      <c r="H35" s="3" t="s">
        <v>1377</v>
      </c>
      <c r="N35" s="3" t="s">
        <v>1378</v>
      </c>
    </row>
    <row r="36" spans="1:31" ht="14.25" customHeight="1" x14ac:dyDescent="0.25">
      <c r="B36" s="4" t="s">
        <v>98</v>
      </c>
      <c r="G36" s="3">
        <v>1852</v>
      </c>
      <c r="H36" s="3" t="s">
        <v>1377</v>
      </c>
      <c r="N36" s="3" t="s">
        <v>1378</v>
      </c>
    </row>
    <row r="37" spans="1:31" ht="6" customHeight="1" x14ac:dyDescent="0.25">
      <c r="B37" s="4"/>
      <c r="G37" s="6"/>
    </row>
    <row r="38" spans="1:31" ht="14.25" customHeight="1" x14ac:dyDescent="0.25">
      <c r="B38" s="303" t="s">
        <v>99</v>
      </c>
      <c r="C38" s="303"/>
      <c r="D38" s="303"/>
      <c r="E38" s="303"/>
      <c r="F38" s="109">
        <v>1852</v>
      </c>
      <c r="G38" s="303"/>
      <c r="H38" s="303"/>
      <c r="I38" s="303"/>
      <c r="J38" s="303"/>
      <c r="K38" s="288"/>
      <c r="L38" s="289"/>
      <c r="M38" s="290"/>
      <c r="N38" s="310" t="s">
        <v>105</v>
      </c>
      <c r="O38" s="303"/>
      <c r="P38" s="303"/>
      <c r="Q38" s="356"/>
      <c r="R38" s="18">
        <v>10</v>
      </c>
    </row>
    <row r="39" spans="1:31" ht="14.25" customHeight="1" x14ac:dyDescent="0.25">
      <c r="B39" s="303" t="s">
        <v>100</v>
      </c>
      <c r="C39" s="303"/>
      <c r="D39" s="303"/>
      <c r="E39" s="303"/>
      <c r="F39" s="21" t="s">
        <v>31</v>
      </c>
      <c r="G39" s="303">
        <v>1852</v>
      </c>
      <c r="H39" s="303"/>
      <c r="I39" s="303"/>
      <c r="J39" s="303"/>
      <c r="K39" s="288" t="str">
        <f>IF(E43&lt;&gt;"",IF(F38&lt;&gt;0,VLOOKUP(F38,'Site Info'!$G$34:$P$69,5,FALSE),"enter VLAN"),"")</f>
        <v>255.255.255.0</v>
      </c>
      <c r="L39" s="289"/>
      <c r="M39" s="290"/>
      <c r="N39" s="3" t="s">
        <v>1378</v>
      </c>
    </row>
    <row r="40" spans="1:31" ht="14.25" customHeight="1" x14ac:dyDescent="0.25">
      <c r="B40" s="303" t="s">
        <v>91</v>
      </c>
      <c r="C40" s="303"/>
      <c r="D40" s="303"/>
      <c r="E40" s="303"/>
      <c r="F40" s="21" t="s">
        <v>17</v>
      </c>
    </row>
    <row r="41" spans="1:31" ht="14.25" customHeight="1" x14ac:dyDescent="0.25">
      <c r="J41" s="299" t="str">
        <f>IF($F$38&lt;&gt;0,IF(E43&lt;&gt;"",VLOOKUP($F$38,'Site Info'!$G$34:$P$69,2,FALSE),""),"")</f>
        <v>10.126.131.0/24</v>
      </c>
      <c r="K41" s="299"/>
      <c r="L41" s="299"/>
    </row>
    <row r="42" spans="1:31" ht="14.25" customHeight="1" thickBot="1" x14ac:dyDescent="0.3">
      <c r="B42" s="312" t="s">
        <v>92</v>
      </c>
      <c r="C42" s="321"/>
      <c r="D42" s="313"/>
      <c r="E42" s="312" t="s">
        <v>97</v>
      </c>
      <c r="F42" s="321"/>
      <c r="G42" s="321"/>
      <c r="H42" s="321"/>
      <c r="I42" s="313"/>
      <c r="J42" s="312" t="s">
        <v>71</v>
      </c>
      <c r="K42" s="321"/>
      <c r="L42" s="313"/>
      <c r="M42" s="312" t="s">
        <v>93</v>
      </c>
      <c r="N42" s="321"/>
      <c r="O42" s="321"/>
      <c r="P42" s="313"/>
      <c r="Q42" s="312" t="s">
        <v>94</v>
      </c>
      <c r="R42" s="321"/>
      <c r="S42" s="313"/>
      <c r="T42" s="312" t="s">
        <v>95</v>
      </c>
      <c r="U42" s="321"/>
      <c r="V42" s="313"/>
      <c r="W42" s="312" t="s">
        <v>96</v>
      </c>
      <c r="X42" s="321"/>
      <c r="Y42" s="313"/>
      <c r="Z42" s="312" t="s">
        <v>103</v>
      </c>
      <c r="AA42" s="321"/>
      <c r="AB42" s="313"/>
      <c r="AC42" s="312" t="s">
        <v>104</v>
      </c>
      <c r="AD42" s="321"/>
      <c r="AE42" s="313"/>
    </row>
    <row r="43" spans="1:31" ht="14.25" customHeight="1" thickBot="1" x14ac:dyDescent="0.3">
      <c r="A43" s="26">
        <v>1</v>
      </c>
      <c r="B43" s="302" t="str">
        <f>IF(E43&lt;&gt;"",CONCATENATE("Node ",A43),"")</f>
        <v>Node 1</v>
      </c>
      <c r="C43" s="302"/>
      <c r="D43" s="302"/>
      <c r="E43" s="295" t="str">
        <f>IF(Inventory!C15&lt;&gt;"",CONCATENATE(Inventory!C15,".",'Site Info'!$F$25),"")</f>
        <v>shpsan-01.speedcast.com</v>
      </c>
      <c r="F43" s="296"/>
      <c r="G43" s="296"/>
      <c r="H43" s="296"/>
      <c r="I43" s="297"/>
      <c r="J43" s="295" t="s">
        <v>1388</v>
      </c>
      <c r="K43" s="296"/>
      <c r="L43" s="297"/>
      <c r="M43" s="295" t="str">
        <f t="shared" ref="M43" si="0">IF(E43&lt;&gt;"",CONCATENATE("mgmt0",A43),"")</f>
        <v>mgmt01</v>
      </c>
      <c r="N43" s="296"/>
      <c r="O43" s="296"/>
      <c r="P43" s="297"/>
      <c r="Q43" s="302" t="str">
        <f>IF(E43&lt;&gt;"","node-mgmt","")</f>
        <v>node-mgmt</v>
      </c>
      <c r="R43" s="302"/>
      <c r="S43" s="302"/>
      <c r="T43" s="302" t="str">
        <f>IF(E43&lt;&gt;"",Inventory!C15,"")</f>
        <v>shpsan-01</v>
      </c>
      <c r="U43" s="302"/>
      <c r="V43" s="302"/>
      <c r="W43" s="302" t="str">
        <f>IF(AND(E43&lt;&gt;"",$F$40&lt;&gt;0,$F$39&lt;&gt;0,$F$38&lt;&gt;0),IF($F$40&lt;&gt;"Yes",$F$39,CONCATENATE($F$39,"-",$F$38)),"")</f>
        <v>e0M</v>
      </c>
      <c r="X43" s="302"/>
      <c r="Y43" s="302"/>
      <c r="Z43" s="302" t="str">
        <f>IF(E43&lt;&gt;"",CONCATENATE("n",$J$41),"")</f>
        <v>n10.126.131.0/24</v>
      </c>
      <c r="AA43" s="302"/>
      <c r="AB43" s="302"/>
      <c r="AC43" s="302" t="str">
        <f>IF(E43&lt;&gt;"","0.0.0.0/0","")</f>
        <v>0.0.0.0/0</v>
      </c>
      <c r="AD43" s="302"/>
      <c r="AE43" s="302"/>
    </row>
    <row r="44" spans="1:31" ht="14.25" customHeight="1" x14ac:dyDescent="0.25">
      <c r="A44" s="26">
        <v>2</v>
      </c>
      <c r="B44" s="302" t="str">
        <f t="shared" ref="B44:B50" si="1">IF(E44&lt;&gt;"",CONCATENATE("Node ",A44),"")</f>
        <v>Node 2</v>
      </c>
      <c r="C44" s="302"/>
      <c r="D44" s="302"/>
      <c r="E44" s="288" t="str">
        <f>IF(Inventory!C16&lt;&gt;"",CONCATENATE(Inventory!C16,".",'Site Info'!$F$25),"")</f>
        <v>shpsan-02.speedcast.com</v>
      </c>
      <c r="F44" s="289"/>
      <c r="G44" s="289"/>
      <c r="H44" s="289"/>
      <c r="I44" s="290"/>
      <c r="J44" s="295" t="s">
        <v>1389</v>
      </c>
      <c r="K44" s="296"/>
      <c r="L44" s="297"/>
      <c r="M44" s="288" t="str">
        <f t="shared" ref="M44:M50" si="2">IF(E44&lt;&gt;"",CONCATENATE("mgmt0",A44),"")</f>
        <v>mgmt02</v>
      </c>
      <c r="N44" s="289"/>
      <c r="O44" s="289"/>
      <c r="P44" s="290"/>
      <c r="Q44" s="302" t="str">
        <f t="shared" ref="Q44:Q50" si="3">IF(E44&lt;&gt;"","node-mgmt","")</f>
        <v>node-mgmt</v>
      </c>
      <c r="R44" s="302"/>
      <c r="S44" s="302"/>
      <c r="T44" s="302" t="str">
        <f>IF(E44&lt;&gt;"",Inventory!C16,"")</f>
        <v>shpsan-02</v>
      </c>
      <c r="U44" s="302"/>
      <c r="V44" s="302"/>
      <c r="W44" s="302" t="str">
        <f t="shared" ref="W44:W50" si="4">IF(AND(E44&lt;&gt;"",$F$40&lt;&gt;0,$F$39&lt;&gt;0,$F$38&lt;&gt;0),IF($F$40&lt;&gt;"Yes",$F$39,CONCATENATE($F$39,"-",$F$38)),"")</f>
        <v>e0M</v>
      </c>
      <c r="X44" s="302"/>
      <c r="Y44" s="302"/>
      <c r="Z44" s="302" t="str">
        <f t="shared" ref="Z44:Z50" si="5">IF(E44&lt;&gt;"",CONCATENATE("n",$J$41),"")</f>
        <v>n10.126.131.0/24</v>
      </c>
      <c r="AA44" s="302"/>
      <c r="AB44" s="302"/>
      <c r="AC44" s="302" t="str">
        <f t="shared" ref="AC44:AC50" si="6">IF(E44&lt;&gt;"","0.0.0.0/0","")</f>
        <v>0.0.0.0/0</v>
      </c>
      <c r="AD44" s="302"/>
      <c r="AE44" s="302"/>
    </row>
    <row r="45" spans="1:31" ht="14.25" hidden="1" customHeight="1" x14ac:dyDescent="0.25">
      <c r="A45" s="26">
        <v>3</v>
      </c>
      <c r="B45" s="302" t="str">
        <f t="shared" si="1"/>
        <v/>
      </c>
      <c r="C45" s="302"/>
      <c r="D45" s="302"/>
      <c r="E45" s="288" t="str">
        <f>IF(Inventory!C17&lt;&gt;"",CONCATENATE(Inventory!C17,".",'Site Info'!$F$25),"")</f>
        <v/>
      </c>
      <c r="F45" s="289"/>
      <c r="G45" s="289"/>
      <c r="H45" s="289"/>
      <c r="I45" s="290"/>
      <c r="J45" s="288"/>
      <c r="K45" s="289"/>
      <c r="L45" s="290"/>
      <c r="M45" s="288" t="str">
        <f t="shared" si="2"/>
        <v/>
      </c>
      <c r="N45" s="289"/>
      <c r="O45" s="289"/>
      <c r="P45" s="290"/>
      <c r="Q45" s="302" t="str">
        <f t="shared" si="3"/>
        <v/>
      </c>
      <c r="R45" s="302"/>
      <c r="S45" s="302"/>
      <c r="T45" s="302" t="str">
        <f>IF(E45&lt;&gt;"",Inventory!C17,"")</f>
        <v/>
      </c>
      <c r="U45" s="302"/>
      <c r="V45" s="302"/>
      <c r="W45" s="302" t="str">
        <f t="shared" si="4"/>
        <v/>
      </c>
      <c r="X45" s="302"/>
      <c r="Y45" s="302"/>
      <c r="Z45" s="302" t="str">
        <f t="shared" si="5"/>
        <v/>
      </c>
      <c r="AA45" s="302"/>
      <c r="AB45" s="302"/>
      <c r="AC45" s="302" t="str">
        <f t="shared" si="6"/>
        <v/>
      </c>
      <c r="AD45" s="302"/>
      <c r="AE45" s="302"/>
    </row>
    <row r="46" spans="1:31" ht="14.25" hidden="1" customHeight="1" x14ac:dyDescent="0.25">
      <c r="A46" s="26">
        <v>4</v>
      </c>
      <c r="B46" s="302" t="str">
        <f t="shared" si="1"/>
        <v/>
      </c>
      <c r="C46" s="302"/>
      <c r="D46" s="302"/>
      <c r="E46" s="288" t="str">
        <f>IF(Inventory!C18&lt;&gt;"",CONCATENATE(Inventory!C18,".",'Site Info'!$F$25),"")</f>
        <v/>
      </c>
      <c r="F46" s="289"/>
      <c r="G46" s="289"/>
      <c r="H46" s="289"/>
      <c r="I46" s="290"/>
      <c r="J46" s="288"/>
      <c r="K46" s="289"/>
      <c r="L46" s="290"/>
      <c r="M46" s="288" t="str">
        <f t="shared" si="2"/>
        <v/>
      </c>
      <c r="N46" s="289"/>
      <c r="O46" s="289"/>
      <c r="P46" s="290"/>
      <c r="Q46" s="302" t="str">
        <f t="shared" si="3"/>
        <v/>
      </c>
      <c r="R46" s="302"/>
      <c r="S46" s="302"/>
      <c r="T46" s="302" t="str">
        <f>IF(E46&lt;&gt;"",Inventory!C18,"")</f>
        <v/>
      </c>
      <c r="U46" s="302"/>
      <c r="V46" s="302"/>
      <c r="W46" s="302" t="str">
        <f t="shared" si="4"/>
        <v/>
      </c>
      <c r="X46" s="302"/>
      <c r="Y46" s="302"/>
      <c r="Z46" s="302" t="str">
        <f t="shared" si="5"/>
        <v/>
      </c>
      <c r="AA46" s="302"/>
      <c r="AB46" s="302"/>
      <c r="AC46" s="302" t="str">
        <f t="shared" si="6"/>
        <v/>
      </c>
      <c r="AD46" s="302"/>
      <c r="AE46" s="302"/>
    </row>
    <row r="47" spans="1:31" ht="14.25" hidden="1" customHeight="1" x14ac:dyDescent="0.25">
      <c r="A47" s="26">
        <v>5</v>
      </c>
      <c r="B47" s="302" t="str">
        <f t="shared" si="1"/>
        <v/>
      </c>
      <c r="C47" s="302"/>
      <c r="D47" s="302"/>
      <c r="E47" s="288" t="str">
        <f>IF(Inventory!C19&lt;&gt;"",CONCATENATE(Inventory!C19,".",'Site Info'!$F$25),"")</f>
        <v/>
      </c>
      <c r="F47" s="289"/>
      <c r="G47" s="289"/>
      <c r="H47" s="289"/>
      <c r="I47" s="290"/>
      <c r="J47" s="288"/>
      <c r="K47" s="289"/>
      <c r="L47" s="290"/>
      <c r="M47" s="288" t="str">
        <f t="shared" si="2"/>
        <v/>
      </c>
      <c r="N47" s="289"/>
      <c r="O47" s="289"/>
      <c r="P47" s="290"/>
      <c r="Q47" s="302" t="str">
        <f t="shared" si="3"/>
        <v/>
      </c>
      <c r="R47" s="302"/>
      <c r="S47" s="302"/>
      <c r="T47" s="302" t="str">
        <f>IF(E47&lt;&gt;"",Inventory!C19,"")</f>
        <v/>
      </c>
      <c r="U47" s="302"/>
      <c r="V47" s="302"/>
      <c r="W47" s="302" t="str">
        <f t="shared" si="4"/>
        <v/>
      </c>
      <c r="X47" s="302"/>
      <c r="Y47" s="302"/>
      <c r="Z47" s="302" t="str">
        <f t="shared" si="5"/>
        <v/>
      </c>
      <c r="AA47" s="302"/>
      <c r="AB47" s="302"/>
      <c r="AC47" s="302" t="str">
        <f t="shared" si="6"/>
        <v/>
      </c>
      <c r="AD47" s="302"/>
      <c r="AE47" s="302"/>
    </row>
    <row r="48" spans="1:31" ht="14.25" hidden="1" customHeight="1" x14ac:dyDescent="0.25">
      <c r="A48" s="26">
        <v>6</v>
      </c>
      <c r="B48" s="302" t="str">
        <f t="shared" si="1"/>
        <v/>
      </c>
      <c r="C48" s="302"/>
      <c r="D48" s="302"/>
      <c r="E48" s="288" t="str">
        <f>IF(Inventory!C20&lt;&gt;"",CONCATENATE(Inventory!C20,".",'Site Info'!$F$25),"")</f>
        <v/>
      </c>
      <c r="F48" s="289"/>
      <c r="G48" s="289"/>
      <c r="H48" s="289"/>
      <c r="I48" s="290"/>
      <c r="J48" s="288"/>
      <c r="K48" s="289"/>
      <c r="L48" s="290"/>
      <c r="M48" s="288" t="str">
        <f t="shared" si="2"/>
        <v/>
      </c>
      <c r="N48" s="289"/>
      <c r="O48" s="289"/>
      <c r="P48" s="290"/>
      <c r="Q48" s="302" t="str">
        <f t="shared" si="3"/>
        <v/>
      </c>
      <c r="R48" s="302"/>
      <c r="S48" s="302"/>
      <c r="T48" s="302" t="str">
        <f>IF(E48&lt;&gt;"",Inventory!C20,"")</f>
        <v/>
      </c>
      <c r="U48" s="302"/>
      <c r="V48" s="302"/>
      <c r="W48" s="302" t="str">
        <f t="shared" si="4"/>
        <v/>
      </c>
      <c r="X48" s="302"/>
      <c r="Y48" s="302"/>
      <c r="Z48" s="302" t="str">
        <f t="shared" si="5"/>
        <v/>
      </c>
      <c r="AA48" s="302"/>
      <c r="AB48" s="302"/>
      <c r="AC48" s="302" t="str">
        <f t="shared" si="6"/>
        <v/>
      </c>
      <c r="AD48" s="302"/>
      <c r="AE48" s="302"/>
    </row>
    <row r="49" spans="1:31" ht="14.25" hidden="1" customHeight="1" x14ac:dyDescent="0.25">
      <c r="A49" s="26">
        <v>7</v>
      </c>
      <c r="B49" s="302" t="str">
        <f t="shared" si="1"/>
        <v/>
      </c>
      <c r="C49" s="302"/>
      <c r="D49" s="302"/>
      <c r="E49" s="288" t="str">
        <f>IF(Inventory!C21&lt;&gt;"",CONCATENATE(Inventory!C21,".",'Site Info'!$F$25),"")</f>
        <v/>
      </c>
      <c r="F49" s="289"/>
      <c r="G49" s="289"/>
      <c r="H49" s="289"/>
      <c r="I49" s="290"/>
      <c r="J49" s="288"/>
      <c r="K49" s="289"/>
      <c r="L49" s="290"/>
      <c r="M49" s="288" t="str">
        <f t="shared" si="2"/>
        <v/>
      </c>
      <c r="N49" s="289"/>
      <c r="O49" s="289"/>
      <c r="P49" s="290"/>
      <c r="Q49" s="302" t="str">
        <f t="shared" si="3"/>
        <v/>
      </c>
      <c r="R49" s="302"/>
      <c r="S49" s="302"/>
      <c r="T49" s="302" t="str">
        <f>IF(E49&lt;&gt;"",Inventory!C21,"")</f>
        <v/>
      </c>
      <c r="U49" s="302"/>
      <c r="V49" s="302"/>
      <c r="W49" s="302" t="str">
        <f t="shared" si="4"/>
        <v/>
      </c>
      <c r="X49" s="302"/>
      <c r="Y49" s="302"/>
      <c r="Z49" s="302" t="str">
        <f t="shared" si="5"/>
        <v/>
      </c>
      <c r="AA49" s="302"/>
      <c r="AB49" s="302"/>
      <c r="AC49" s="302" t="str">
        <f t="shared" si="6"/>
        <v/>
      </c>
      <c r="AD49" s="302"/>
      <c r="AE49" s="302"/>
    </row>
    <row r="50" spans="1:31" ht="14.25" hidden="1" customHeight="1" x14ac:dyDescent="0.25">
      <c r="A50" s="26">
        <v>8</v>
      </c>
      <c r="B50" s="302" t="str">
        <f t="shared" si="1"/>
        <v/>
      </c>
      <c r="C50" s="302"/>
      <c r="D50" s="302"/>
      <c r="E50" s="288" t="str">
        <f>IF(Inventory!C22&lt;&gt;"",CONCATENATE(Inventory!C22,".",'Site Info'!$F$25),"")</f>
        <v/>
      </c>
      <c r="F50" s="289"/>
      <c r="G50" s="289"/>
      <c r="H50" s="289"/>
      <c r="I50" s="290"/>
      <c r="J50" s="288"/>
      <c r="K50" s="289"/>
      <c r="L50" s="290"/>
      <c r="M50" s="288" t="str">
        <f t="shared" si="2"/>
        <v/>
      </c>
      <c r="N50" s="289"/>
      <c r="O50" s="289"/>
      <c r="P50" s="290"/>
      <c r="Q50" s="302" t="str">
        <f t="shared" si="3"/>
        <v/>
      </c>
      <c r="R50" s="302"/>
      <c r="S50" s="302"/>
      <c r="T50" s="302" t="str">
        <f>IF(E50&lt;&gt;"",Inventory!C22,"")</f>
        <v/>
      </c>
      <c r="U50" s="302"/>
      <c r="V50" s="302"/>
      <c r="W50" s="302" t="str">
        <f t="shared" si="4"/>
        <v/>
      </c>
      <c r="X50" s="302"/>
      <c r="Y50" s="302"/>
      <c r="Z50" s="302" t="str">
        <f t="shared" si="5"/>
        <v/>
      </c>
      <c r="AA50" s="302"/>
      <c r="AB50" s="302"/>
      <c r="AC50" s="302" t="str">
        <f t="shared" si="6"/>
        <v/>
      </c>
      <c r="AD50" s="302"/>
      <c r="AE50" s="302"/>
    </row>
    <row r="51" spans="1:31" ht="14.25" customHeight="1" x14ac:dyDescent="0.25"/>
    <row r="52" spans="1:31" ht="14.25" hidden="1" x14ac:dyDescent="0.25">
      <c r="B52" s="4" t="s">
        <v>108</v>
      </c>
    </row>
    <row r="53" spans="1:31" ht="14.25" hidden="1" x14ac:dyDescent="0.25">
      <c r="B53" s="4"/>
      <c r="G53" s="6">
        <v>11</v>
      </c>
      <c r="H53" s="3" t="s">
        <v>1379</v>
      </c>
      <c r="K53" s="3" t="s">
        <v>1349</v>
      </c>
      <c r="N53" s="3" t="s">
        <v>1380</v>
      </c>
    </row>
    <row r="54" spans="1:31" ht="14.25" hidden="1" customHeight="1" x14ac:dyDescent="0.25">
      <c r="B54" s="303" t="s">
        <v>184</v>
      </c>
      <c r="C54" s="303"/>
      <c r="D54" s="303"/>
      <c r="E54" s="356"/>
      <c r="F54" s="109"/>
      <c r="G54" s="303" t="s">
        <v>101</v>
      </c>
      <c r="H54" s="303"/>
      <c r="I54" s="303"/>
      <c r="J54" s="356"/>
      <c r="K54" s="288" t="str">
        <f>IF(E59&lt;&gt;"",IF(F54&lt;&gt;0,VLOOKUP(F54,'Site Info'!$G$34:$P$69,8,FALSE),"enter VLAN"),"")</f>
        <v/>
      </c>
      <c r="L54" s="289"/>
      <c r="M54" s="290"/>
      <c r="N54" s="310" t="s">
        <v>106</v>
      </c>
      <c r="O54" s="303"/>
      <c r="P54" s="303"/>
      <c r="Q54" s="356"/>
      <c r="R54" s="18">
        <v>40</v>
      </c>
    </row>
    <row r="55" spans="1:31" ht="14.25" hidden="1" customHeight="1" x14ac:dyDescent="0.25">
      <c r="B55" s="303" t="s">
        <v>185</v>
      </c>
      <c r="C55" s="303"/>
      <c r="D55" s="303"/>
      <c r="E55" s="356"/>
      <c r="F55" s="21"/>
      <c r="G55" s="303" t="s">
        <v>102</v>
      </c>
      <c r="H55" s="303"/>
      <c r="I55" s="303"/>
      <c r="J55" s="356"/>
      <c r="K55" s="288" t="str">
        <f>IF(E59&lt;&gt;"",IF(F54&lt;&gt;0,VLOOKUP(F54,'Site Info'!$G$34:$P$69,5,FALSE),"enter VLAN"),"")</f>
        <v/>
      </c>
      <c r="L55" s="289"/>
      <c r="M55" s="290"/>
    </row>
    <row r="56" spans="1:31" ht="14.25" hidden="1" customHeight="1" x14ac:dyDescent="0.25">
      <c r="B56" s="303" t="s">
        <v>91</v>
      </c>
      <c r="C56" s="303"/>
      <c r="D56" s="303"/>
      <c r="E56" s="356"/>
      <c r="F56" s="21"/>
    </row>
    <row r="57" spans="1:31" ht="14.25" hidden="1" customHeight="1" x14ac:dyDescent="0.25">
      <c r="J57" s="299" t="str">
        <f>IF($F$54&lt;&gt;0,IF(E59&lt;&gt;"",VLOOKUP($F$54,'Site Info'!$G$34:$P$69,2,FALSE),""),"")</f>
        <v/>
      </c>
      <c r="K57" s="299"/>
      <c r="L57" s="299"/>
    </row>
    <row r="58" spans="1:31" ht="14.25" hidden="1" customHeight="1" thickBot="1" x14ac:dyDescent="0.3">
      <c r="B58" s="312" t="s">
        <v>92</v>
      </c>
      <c r="C58" s="321"/>
      <c r="D58" s="313"/>
      <c r="E58" s="312" t="s">
        <v>113</v>
      </c>
      <c r="F58" s="321"/>
      <c r="G58" s="321"/>
      <c r="H58" s="321"/>
      <c r="I58" s="313"/>
      <c r="J58" s="312" t="s">
        <v>71</v>
      </c>
      <c r="K58" s="321"/>
      <c r="L58" s="313"/>
      <c r="M58" s="312" t="s">
        <v>93</v>
      </c>
      <c r="N58" s="321"/>
      <c r="O58" s="321"/>
      <c r="P58" s="313"/>
      <c r="Q58" s="312" t="s">
        <v>94</v>
      </c>
      <c r="R58" s="321"/>
      <c r="S58" s="313"/>
      <c r="T58" s="312" t="s">
        <v>95</v>
      </c>
      <c r="U58" s="321"/>
      <c r="V58" s="313"/>
      <c r="W58" s="312" t="s">
        <v>96</v>
      </c>
      <c r="X58" s="321"/>
      <c r="Y58" s="313"/>
      <c r="Z58" s="312" t="s">
        <v>103</v>
      </c>
      <c r="AA58" s="321"/>
      <c r="AB58" s="313"/>
      <c r="AC58" s="312" t="s">
        <v>104</v>
      </c>
      <c r="AD58" s="321"/>
      <c r="AE58" s="313"/>
    </row>
    <row r="59" spans="1:31" ht="14.25" hidden="1" customHeight="1" thickBot="1" x14ac:dyDescent="0.3">
      <c r="A59" s="26">
        <v>1</v>
      </c>
      <c r="B59" s="302" t="str">
        <f>IF(E59&lt;&gt;"",CONCATENATE("Node ",A59," - InterCluster"),"")</f>
        <v/>
      </c>
      <c r="C59" s="302"/>
      <c r="D59" s="302"/>
      <c r="E59" s="295"/>
      <c r="F59" s="296"/>
      <c r="G59" s="296"/>
      <c r="H59" s="296"/>
      <c r="I59" s="297"/>
      <c r="J59" s="295"/>
      <c r="K59" s="296"/>
      <c r="L59" s="297"/>
      <c r="M59" s="357"/>
      <c r="N59" s="358"/>
      <c r="O59" s="358"/>
      <c r="P59" s="359"/>
      <c r="Q59" s="302" t="str">
        <f>IF(E59&lt;&gt;"","intercluster","")</f>
        <v/>
      </c>
      <c r="R59" s="302"/>
      <c r="S59" s="302"/>
      <c r="T59" s="302" t="str">
        <f>IF(E59&lt;&gt;"",Inventory!C15,"")</f>
        <v/>
      </c>
      <c r="U59" s="302"/>
      <c r="V59" s="302"/>
      <c r="W59" s="302" t="str">
        <f t="shared" ref="W59:W62" si="7">IF(AND(E59&lt;&gt;"",$F$56&lt;&gt;0,$F$55&lt;&gt;0,$F$54&lt;&gt;0),IF($F$56&lt;&gt;"Yes",$F$55,CONCATENATE($F$55,"-",$F$54)),"")</f>
        <v/>
      </c>
      <c r="X59" s="302"/>
      <c r="Y59" s="302"/>
      <c r="Z59" s="302" t="str">
        <f>IF(E59&lt;&gt;"",CONCATENATE("i",$J$57),"")</f>
        <v/>
      </c>
      <c r="AA59" s="302"/>
      <c r="AB59" s="302"/>
      <c r="AC59" s="302" t="str">
        <f t="shared" ref="AC59" si="8">IF(E59&lt;&gt;"","0.0.0.0/0","")</f>
        <v/>
      </c>
      <c r="AD59" s="302"/>
      <c r="AE59" s="302"/>
    </row>
    <row r="60" spans="1:31" ht="14.25" hidden="1" customHeight="1" x14ac:dyDescent="0.25">
      <c r="A60" s="26">
        <v>2</v>
      </c>
      <c r="B60" s="302" t="str">
        <f t="shared" ref="B60:B66" si="9">IF(E60&lt;&gt;"",CONCATENATE("Node ",A60," - InterCluster"),"")</f>
        <v/>
      </c>
      <c r="C60" s="302"/>
      <c r="D60" s="302"/>
      <c r="E60" s="288"/>
      <c r="F60" s="289"/>
      <c r="G60" s="289"/>
      <c r="H60" s="289"/>
      <c r="I60" s="290"/>
      <c r="J60" s="295"/>
      <c r="K60" s="296"/>
      <c r="L60" s="297"/>
      <c r="M60" s="288"/>
      <c r="N60" s="289"/>
      <c r="O60" s="289"/>
      <c r="P60" s="290"/>
      <c r="Q60" s="302" t="str">
        <f t="shared" ref="Q60:Q66" si="10">IF(E60&lt;&gt;"","intercluster","")</f>
        <v/>
      </c>
      <c r="R60" s="302"/>
      <c r="S60" s="302"/>
      <c r="T60" s="302" t="str">
        <f>IF(E60&lt;&gt;"",Inventory!C16,"")</f>
        <v/>
      </c>
      <c r="U60" s="302"/>
      <c r="V60" s="302"/>
      <c r="W60" s="302" t="str">
        <f t="shared" si="7"/>
        <v/>
      </c>
      <c r="X60" s="302"/>
      <c r="Y60" s="302"/>
      <c r="Z60" s="302" t="str">
        <f t="shared" ref="Z60:Z66" si="11">IF(E60&lt;&gt;"",CONCATENATE("i",$J$57),"")</f>
        <v/>
      </c>
      <c r="AA60" s="302"/>
      <c r="AB60" s="302"/>
      <c r="AC60" s="302" t="str">
        <f t="shared" ref="AC60:AC66" si="12">IF(E60&lt;&gt;"","0.0.0.0/0","")</f>
        <v/>
      </c>
      <c r="AD60" s="302"/>
      <c r="AE60" s="302"/>
    </row>
    <row r="61" spans="1:31" ht="14.25" hidden="1" customHeight="1" x14ac:dyDescent="0.25">
      <c r="A61" s="26">
        <v>3</v>
      </c>
      <c r="B61" s="302" t="str">
        <f t="shared" si="9"/>
        <v/>
      </c>
      <c r="C61" s="302"/>
      <c r="D61" s="302"/>
      <c r="E61" s="288" t="str">
        <f>IF(Inventory!C17&lt;&gt;"",CONCATENATE(Inventory!C17,"-ic",".",'Site Info'!$F$25),"")</f>
        <v/>
      </c>
      <c r="F61" s="289"/>
      <c r="G61" s="289"/>
      <c r="H61" s="289"/>
      <c r="I61" s="290"/>
      <c r="J61" s="288"/>
      <c r="K61" s="289"/>
      <c r="L61" s="290"/>
      <c r="M61" s="288" t="str">
        <f>IF(Inventory!C17&lt;&gt;"",CONCATENATE(Inventory!C17,"-ic"),"")</f>
        <v/>
      </c>
      <c r="N61" s="289"/>
      <c r="O61" s="289"/>
      <c r="P61" s="290"/>
      <c r="Q61" s="302" t="str">
        <f t="shared" si="10"/>
        <v/>
      </c>
      <c r="R61" s="302"/>
      <c r="S61" s="302"/>
      <c r="T61" s="302" t="str">
        <f>IF(E61&lt;&gt;"",Inventory!C17,"")</f>
        <v/>
      </c>
      <c r="U61" s="302"/>
      <c r="V61" s="302"/>
      <c r="W61" s="302" t="str">
        <f t="shared" si="7"/>
        <v/>
      </c>
      <c r="X61" s="302"/>
      <c r="Y61" s="302"/>
      <c r="Z61" s="302" t="str">
        <f t="shared" si="11"/>
        <v/>
      </c>
      <c r="AA61" s="302"/>
      <c r="AB61" s="302"/>
      <c r="AC61" s="302" t="str">
        <f t="shared" si="12"/>
        <v/>
      </c>
      <c r="AD61" s="302"/>
      <c r="AE61" s="302"/>
    </row>
    <row r="62" spans="1:31" ht="14.25" hidden="1" customHeight="1" x14ac:dyDescent="0.25">
      <c r="A62" s="26">
        <v>4</v>
      </c>
      <c r="B62" s="302" t="str">
        <f t="shared" si="9"/>
        <v/>
      </c>
      <c r="C62" s="302"/>
      <c r="D62" s="302"/>
      <c r="E62" s="288" t="str">
        <f>IF(Inventory!C18&lt;&gt;"",CONCATENATE(Inventory!C18,"-ic",".",'Site Info'!$F$25),"")</f>
        <v/>
      </c>
      <c r="F62" s="289"/>
      <c r="G62" s="289"/>
      <c r="H62" s="289"/>
      <c r="I62" s="290"/>
      <c r="J62" s="288"/>
      <c r="K62" s="289"/>
      <c r="L62" s="290"/>
      <c r="M62" s="288" t="str">
        <f>IF(Inventory!C18&lt;&gt;"",CONCATENATE(Inventory!C18,"-ic"),"")</f>
        <v/>
      </c>
      <c r="N62" s="289"/>
      <c r="O62" s="289"/>
      <c r="P62" s="290"/>
      <c r="Q62" s="302" t="str">
        <f t="shared" si="10"/>
        <v/>
      </c>
      <c r="R62" s="302"/>
      <c r="S62" s="302"/>
      <c r="T62" s="302" t="str">
        <f>IF(E62&lt;&gt;"",Inventory!C18,"")</f>
        <v/>
      </c>
      <c r="U62" s="302"/>
      <c r="V62" s="302"/>
      <c r="W62" s="302" t="str">
        <f t="shared" si="7"/>
        <v/>
      </c>
      <c r="X62" s="302"/>
      <c r="Y62" s="302"/>
      <c r="Z62" s="302" t="str">
        <f t="shared" si="11"/>
        <v/>
      </c>
      <c r="AA62" s="302"/>
      <c r="AB62" s="302"/>
      <c r="AC62" s="302" t="str">
        <f t="shared" si="12"/>
        <v/>
      </c>
      <c r="AD62" s="302"/>
      <c r="AE62" s="302"/>
    </row>
    <row r="63" spans="1:31" ht="14.25" hidden="1" customHeight="1" x14ac:dyDescent="0.25">
      <c r="A63" s="26">
        <v>5</v>
      </c>
      <c r="B63" s="302" t="str">
        <f t="shared" si="9"/>
        <v/>
      </c>
      <c r="C63" s="302"/>
      <c r="D63" s="302"/>
      <c r="E63" s="288" t="str">
        <f>IF(Inventory!C19&lt;&gt;"",CONCATENATE(Inventory!C19,"-ic",".",'Site Info'!$F$25),"")</f>
        <v/>
      </c>
      <c r="F63" s="289"/>
      <c r="G63" s="289"/>
      <c r="H63" s="289"/>
      <c r="I63" s="290"/>
      <c r="J63" s="288"/>
      <c r="K63" s="289"/>
      <c r="L63" s="290"/>
      <c r="M63" s="288" t="str">
        <f>IF(Inventory!C19&lt;&gt;"",CONCATENATE(Inventory!C19,"-ic"),"")</f>
        <v/>
      </c>
      <c r="N63" s="289"/>
      <c r="O63" s="289"/>
      <c r="P63" s="290"/>
      <c r="Q63" s="302" t="str">
        <f t="shared" si="10"/>
        <v/>
      </c>
      <c r="R63" s="302"/>
      <c r="S63" s="302"/>
      <c r="T63" s="302" t="str">
        <f>IF(E63&lt;&gt;"",Inventory!C19,"")</f>
        <v/>
      </c>
      <c r="U63" s="302"/>
      <c r="V63" s="302"/>
      <c r="W63" s="302" t="str">
        <f>IF(AND(E63&lt;&gt;"",$F$56&lt;&gt;0,$F$55&lt;&gt;0,$F$54&lt;&gt;0),IF($F$56&lt;&gt;"Yes",$F$55,CONCATENATE($F$55,"-",$F$54)),"")</f>
        <v/>
      </c>
      <c r="X63" s="302"/>
      <c r="Y63" s="302"/>
      <c r="Z63" s="302" t="str">
        <f t="shared" si="11"/>
        <v/>
      </c>
      <c r="AA63" s="302"/>
      <c r="AB63" s="302"/>
      <c r="AC63" s="302" t="str">
        <f t="shared" si="12"/>
        <v/>
      </c>
      <c r="AD63" s="302"/>
      <c r="AE63" s="302"/>
    </row>
    <row r="64" spans="1:31" ht="14.25" hidden="1" customHeight="1" x14ac:dyDescent="0.25">
      <c r="A64" s="26">
        <v>6</v>
      </c>
      <c r="B64" s="302" t="str">
        <f t="shared" si="9"/>
        <v/>
      </c>
      <c r="C64" s="302"/>
      <c r="D64" s="302"/>
      <c r="E64" s="288" t="str">
        <f>IF(Inventory!C20&lt;&gt;"",CONCATENATE(Inventory!C20,"-ic",".",'Site Info'!$F$25),"")</f>
        <v/>
      </c>
      <c r="F64" s="289"/>
      <c r="G64" s="289"/>
      <c r="H64" s="289"/>
      <c r="I64" s="290"/>
      <c r="J64" s="288"/>
      <c r="K64" s="289"/>
      <c r="L64" s="290"/>
      <c r="M64" s="288" t="str">
        <f>IF(Inventory!C20&lt;&gt;"",CONCATENATE(Inventory!C20,"-ic"),"")</f>
        <v/>
      </c>
      <c r="N64" s="289"/>
      <c r="O64" s="289"/>
      <c r="P64" s="290"/>
      <c r="Q64" s="302" t="str">
        <f t="shared" si="10"/>
        <v/>
      </c>
      <c r="R64" s="302"/>
      <c r="S64" s="302"/>
      <c r="T64" s="302" t="str">
        <f>IF(E64&lt;&gt;"",Inventory!C20,"")</f>
        <v/>
      </c>
      <c r="U64" s="302"/>
      <c r="V64" s="302"/>
      <c r="W64" s="302" t="str">
        <f t="shared" ref="W64:W66" si="13">IF(AND(E64&lt;&gt;"",$F$56&lt;&gt;0,$F$55&lt;&gt;0,$F$54&lt;&gt;0),IF($F$56&lt;&gt;"Yes",$F$55,CONCATENATE($F$55,"-",$F$54)),"")</f>
        <v/>
      </c>
      <c r="X64" s="302"/>
      <c r="Y64" s="302"/>
      <c r="Z64" s="302" t="str">
        <f t="shared" si="11"/>
        <v/>
      </c>
      <c r="AA64" s="302"/>
      <c r="AB64" s="302"/>
      <c r="AC64" s="302" t="str">
        <f t="shared" si="12"/>
        <v/>
      </c>
      <c r="AD64" s="302"/>
      <c r="AE64" s="302"/>
    </row>
    <row r="65" spans="1:31" ht="14.25" hidden="1" customHeight="1" x14ac:dyDescent="0.25">
      <c r="A65" s="26">
        <v>7</v>
      </c>
      <c r="B65" s="302" t="str">
        <f t="shared" si="9"/>
        <v/>
      </c>
      <c r="C65" s="302"/>
      <c r="D65" s="302"/>
      <c r="E65" s="288" t="str">
        <f>IF(Inventory!C21&lt;&gt;"",CONCATENATE(Inventory!C21,"-ic",".",'Site Info'!$F$25),"")</f>
        <v/>
      </c>
      <c r="F65" s="289"/>
      <c r="G65" s="289"/>
      <c r="H65" s="289"/>
      <c r="I65" s="290"/>
      <c r="J65" s="288"/>
      <c r="K65" s="289"/>
      <c r="L65" s="290"/>
      <c r="M65" s="288" t="str">
        <f>IF(Inventory!C21&lt;&gt;"",CONCATENATE(Inventory!C21,"-ic"),"")</f>
        <v/>
      </c>
      <c r="N65" s="289"/>
      <c r="O65" s="289"/>
      <c r="P65" s="290"/>
      <c r="Q65" s="302" t="str">
        <f t="shared" si="10"/>
        <v/>
      </c>
      <c r="R65" s="302"/>
      <c r="S65" s="302"/>
      <c r="T65" s="302" t="str">
        <f>IF(E65&lt;&gt;"",Inventory!C21,"")</f>
        <v/>
      </c>
      <c r="U65" s="302"/>
      <c r="V65" s="302"/>
      <c r="W65" s="302" t="str">
        <f t="shared" si="13"/>
        <v/>
      </c>
      <c r="X65" s="302"/>
      <c r="Y65" s="302"/>
      <c r="Z65" s="302" t="str">
        <f t="shared" si="11"/>
        <v/>
      </c>
      <c r="AA65" s="302"/>
      <c r="AB65" s="302"/>
      <c r="AC65" s="302" t="str">
        <f t="shared" si="12"/>
        <v/>
      </c>
      <c r="AD65" s="302"/>
      <c r="AE65" s="302"/>
    </row>
    <row r="66" spans="1:31" ht="14.25" hidden="1" customHeight="1" x14ac:dyDescent="0.25">
      <c r="A66" s="26">
        <v>8</v>
      </c>
      <c r="B66" s="302" t="str">
        <f t="shared" si="9"/>
        <v/>
      </c>
      <c r="C66" s="302"/>
      <c r="D66" s="302"/>
      <c r="E66" s="288" t="str">
        <f>IF(Inventory!C22&lt;&gt;"",CONCATENATE(Inventory!C22,"-ic",".",'Site Info'!$F$25),"")</f>
        <v/>
      </c>
      <c r="F66" s="289"/>
      <c r="G66" s="289"/>
      <c r="H66" s="289"/>
      <c r="I66" s="290"/>
      <c r="J66" s="288"/>
      <c r="K66" s="289"/>
      <c r="L66" s="290"/>
      <c r="M66" s="288" t="str">
        <f>IF(Inventory!C22&lt;&gt;"",CONCATENATE(Inventory!C22,"-ic"),"")</f>
        <v/>
      </c>
      <c r="N66" s="289"/>
      <c r="O66" s="289"/>
      <c r="P66" s="290"/>
      <c r="Q66" s="302" t="str">
        <f t="shared" si="10"/>
        <v/>
      </c>
      <c r="R66" s="302"/>
      <c r="S66" s="302"/>
      <c r="T66" s="302" t="str">
        <f>IF(E66&lt;&gt;"",Inventory!C22,"")</f>
        <v/>
      </c>
      <c r="U66" s="302"/>
      <c r="V66" s="302"/>
      <c r="W66" s="302" t="str">
        <f t="shared" si="13"/>
        <v/>
      </c>
      <c r="X66" s="302"/>
      <c r="Y66" s="302"/>
      <c r="Z66" s="302" t="str">
        <f t="shared" si="11"/>
        <v/>
      </c>
      <c r="AA66" s="302"/>
      <c r="AB66" s="302"/>
      <c r="AC66" s="302" t="str">
        <f t="shared" si="12"/>
        <v/>
      </c>
      <c r="AD66" s="302"/>
      <c r="AE66" s="302"/>
    </row>
    <row r="67" spans="1:31" ht="14.25" hidden="1" customHeight="1" x14ac:dyDescent="0.25"/>
    <row r="68" spans="1:31" s="35" customFormat="1" ht="14.25" customHeight="1" x14ac:dyDescent="0.25">
      <c r="B68" s="261" t="s">
        <v>1160</v>
      </c>
    </row>
    <row r="69" spans="1:31" s="35" customFormat="1" ht="14.25" customHeight="1" x14ac:dyDescent="0.25"/>
    <row r="70" spans="1:31" s="35" customFormat="1" ht="14.25" customHeight="1" thickBot="1" x14ac:dyDescent="0.3">
      <c r="B70" s="311" t="s">
        <v>1161</v>
      </c>
      <c r="C70" s="311"/>
      <c r="D70" s="311"/>
      <c r="E70" s="312" t="s">
        <v>1162</v>
      </c>
      <c r="F70" s="321"/>
      <c r="G70" s="321"/>
      <c r="H70" s="321"/>
      <c r="I70" s="313"/>
      <c r="J70" s="311" t="s">
        <v>1163</v>
      </c>
      <c r="K70" s="311"/>
      <c r="L70" s="311" t="s">
        <v>1164</v>
      </c>
      <c r="M70" s="311"/>
      <c r="N70" s="311" t="s">
        <v>1268</v>
      </c>
      <c r="O70" s="311"/>
      <c r="P70" s="311"/>
      <c r="Q70" s="311"/>
      <c r="R70" s="311"/>
    </row>
    <row r="71" spans="1:31" s="35" customFormat="1" ht="14.25" customHeight="1" thickBot="1" x14ac:dyDescent="0.3">
      <c r="B71" s="302" t="s">
        <v>1401</v>
      </c>
      <c r="C71" s="302"/>
      <c r="D71" s="302"/>
      <c r="E71" s="295" t="s">
        <v>1403</v>
      </c>
      <c r="F71" s="296"/>
      <c r="G71" s="296"/>
      <c r="H71" s="296"/>
      <c r="I71" s="297"/>
      <c r="J71" s="302" t="s">
        <v>1405</v>
      </c>
      <c r="K71" s="302"/>
      <c r="L71" s="302"/>
      <c r="M71" s="302"/>
      <c r="N71" s="302" t="s">
        <v>1409</v>
      </c>
      <c r="O71" s="302"/>
      <c r="P71" s="302"/>
      <c r="Q71" s="302"/>
      <c r="R71" s="302"/>
    </row>
    <row r="72" spans="1:31" s="35" customFormat="1" ht="14.25" customHeight="1" x14ac:dyDescent="0.25">
      <c r="B72" s="291" t="s">
        <v>1402</v>
      </c>
      <c r="C72" s="291"/>
      <c r="D72" s="291"/>
      <c r="E72" s="295" t="s">
        <v>1404</v>
      </c>
      <c r="F72" s="296"/>
      <c r="G72" s="296"/>
      <c r="H72" s="296"/>
      <c r="I72" s="297"/>
      <c r="J72" s="302" t="s">
        <v>1405</v>
      </c>
      <c r="K72" s="302"/>
      <c r="L72" s="291"/>
      <c r="M72" s="291"/>
      <c r="N72" s="291" t="s">
        <v>1409</v>
      </c>
      <c r="O72" s="291"/>
      <c r="P72" s="291"/>
      <c r="Q72" s="291"/>
      <c r="R72" s="291"/>
    </row>
    <row r="73" spans="1:31" s="35" customFormat="1" ht="14.25" customHeight="1" x14ac:dyDescent="0.25">
      <c r="B73" s="291" t="s">
        <v>1401</v>
      </c>
      <c r="C73" s="291"/>
      <c r="D73" s="291"/>
      <c r="E73" s="288" t="s">
        <v>1406</v>
      </c>
      <c r="F73" s="289"/>
      <c r="G73" s="289"/>
      <c r="H73" s="289"/>
      <c r="I73" s="290"/>
      <c r="J73" s="291" t="s">
        <v>1408</v>
      </c>
      <c r="K73" s="291"/>
      <c r="L73" s="291"/>
      <c r="M73" s="291"/>
      <c r="N73" s="291" t="s">
        <v>1409</v>
      </c>
      <c r="O73" s="291"/>
      <c r="P73" s="291"/>
      <c r="Q73" s="291"/>
      <c r="R73" s="291"/>
    </row>
    <row r="74" spans="1:31" s="35" customFormat="1" ht="14.25" customHeight="1" x14ac:dyDescent="0.25">
      <c r="B74" s="291" t="s">
        <v>1402</v>
      </c>
      <c r="C74" s="291"/>
      <c r="D74" s="291"/>
      <c r="E74" s="288" t="s">
        <v>1407</v>
      </c>
      <c r="F74" s="289"/>
      <c r="G74" s="289"/>
      <c r="H74" s="289"/>
      <c r="I74" s="290"/>
      <c r="J74" s="291" t="s">
        <v>1408</v>
      </c>
      <c r="K74" s="291"/>
      <c r="L74" s="291"/>
      <c r="M74" s="291"/>
      <c r="N74" s="291" t="s">
        <v>1409</v>
      </c>
      <c r="O74" s="291"/>
      <c r="P74" s="291"/>
      <c r="Q74" s="291"/>
      <c r="R74" s="291"/>
    </row>
    <row r="75" spans="1:31" s="35" customFormat="1" ht="14.25" hidden="1" customHeight="1" x14ac:dyDescent="0.25">
      <c r="B75" s="291"/>
      <c r="C75" s="291"/>
      <c r="D75" s="291"/>
      <c r="E75" s="288"/>
      <c r="F75" s="289"/>
      <c r="G75" s="289"/>
      <c r="H75" s="289"/>
      <c r="I75" s="290"/>
      <c r="J75" s="291"/>
      <c r="K75" s="291"/>
      <c r="L75" s="291"/>
      <c r="M75" s="291"/>
      <c r="N75" s="291"/>
      <c r="O75" s="291"/>
      <c r="P75" s="291"/>
      <c r="Q75" s="291"/>
      <c r="R75" s="291"/>
    </row>
    <row r="76" spans="1:31" ht="14.25" customHeight="1" x14ac:dyDescent="0.25"/>
    <row r="77" spans="1:31" s="35" customFormat="1" ht="14.25" customHeight="1" x14ac:dyDescent="0.25"/>
    <row r="78" spans="1:31" s="35" customFormat="1" ht="14.25" customHeight="1" x14ac:dyDescent="0.25">
      <c r="B78" s="268" t="s">
        <v>1270</v>
      </c>
    </row>
    <row r="79" spans="1:31" s="35" customFormat="1" ht="6.75" customHeight="1" x14ac:dyDescent="0.25"/>
    <row r="80" spans="1:31" s="35" customFormat="1" ht="14.25" customHeight="1" x14ac:dyDescent="0.25">
      <c r="B80" s="268" t="s">
        <v>1277</v>
      </c>
    </row>
    <row r="81" spans="2:11" s="35" customFormat="1" ht="9.75" customHeight="1" x14ac:dyDescent="0.25"/>
    <row r="82" spans="2:11" s="35" customFormat="1" ht="14.25" customHeight="1" thickBot="1" x14ac:dyDescent="0.3">
      <c r="B82" s="311" t="s">
        <v>1271</v>
      </c>
      <c r="C82" s="311"/>
      <c r="D82" s="311"/>
      <c r="E82" s="312" t="s">
        <v>1272</v>
      </c>
      <c r="F82" s="321"/>
      <c r="G82" s="321"/>
      <c r="H82" s="321"/>
      <c r="I82" s="313"/>
    </row>
    <row r="83" spans="2:11" s="35" customFormat="1" ht="14.25" customHeight="1" x14ac:dyDescent="0.25">
      <c r="B83" s="302" t="s">
        <v>360</v>
      </c>
      <c r="C83" s="302"/>
      <c r="D83" s="302"/>
      <c r="E83" s="295" t="s">
        <v>1273</v>
      </c>
      <c r="F83" s="296"/>
      <c r="G83" s="296"/>
      <c r="H83" s="296"/>
      <c r="I83" s="297"/>
    </row>
    <row r="84" spans="2:11" s="35" customFormat="1" ht="14.25" customHeight="1" x14ac:dyDescent="0.25">
      <c r="B84" s="291" t="s">
        <v>1274</v>
      </c>
      <c r="C84" s="291"/>
      <c r="D84" s="291"/>
      <c r="E84" s="288" t="s">
        <v>1275</v>
      </c>
      <c r="F84" s="289"/>
      <c r="G84" s="289"/>
      <c r="H84" s="289"/>
      <c r="I84" s="290"/>
    </row>
    <row r="85" spans="2:11" s="35" customFormat="1" ht="14.25" hidden="1" customHeight="1" x14ac:dyDescent="0.25">
      <c r="B85" s="291"/>
      <c r="C85" s="291"/>
      <c r="D85" s="291"/>
      <c r="E85" s="288"/>
      <c r="F85" s="289"/>
      <c r="G85" s="289"/>
      <c r="H85" s="289"/>
      <c r="I85" s="290"/>
    </row>
    <row r="86" spans="2:11" s="35" customFormat="1" ht="14.25" hidden="1" customHeight="1" x14ac:dyDescent="0.25">
      <c r="B86" s="291"/>
      <c r="C86" s="291"/>
      <c r="D86" s="291"/>
      <c r="E86" s="288"/>
      <c r="F86" s="289"/>
      <c r="G86" s="289"/>
      <c r="H86" s="289"/>
      <c r="I86" s="290"/>
    </row>
    <row r="87" spans="2:11" s="35" customFormat="1" ht="14.25" customHeight="1" x14ac:dyDescent="0.25">
      <c r="B87" s="261"/>
    </row>
    <row r="88" spans="2:11" s="35" customFormat="1" ht="14.25" customHeight="1" x14ac:dyDescent="0.25">
      <c r="B88" s="268" t="s">
        <v>1276</v>
      </c>
    </row>
    <row r="89" spans="2:11" s="35" customFormat="1" ht="8.25" customHeight="1" x14ac:dyDescent="0.25">
      <c r="B89" s="268"/>
    </row>
    <row r="90" spans="2:11" s="35" customFormat="1" ht="14.25" customHeight="1" thickBot="1" x14ac:dyDescent="0.3">
      <c r="B90" s="311" t="s">
        <v>1278</v>
      </c>
      <c r="C90" s="311"/>
      <c r="D90" s="311"/>
      <c r="E90" s="312" t="s">
        <v>1279</v>
      </c>
      <c r="F90" s="321"/>
      <c r="G90" s="313"/>
      <c r="H90" s="266" t="s">
        <v>473</v>
      </c>
      <c r="I90" s="311" t="s">
        <v>1271</v>
      </c>
      <c r="J90" s="311"/>
      <c r="K90" s="311"/>
    </row>
    <row r="91" spans="2:11" s="35" customFormat="1" ht="14.25" customHeight="1" x14ac:dyDescent="0.25">
      <c r="B91" s="302" t="s">
        <v>1391</v>
      </c>
      <c r="C91" s="302"/>
      <c r="D91" s="302"/>
      <c r="E91" s="288" t="s">
        <v>1392</v>
      </c>
      <c r="F91" s="289"/>
      <c r="G91" s="290"/>
      <c r="H91" s="267">
        <v>1500</v>
      </c>
      <c r="I91" s="291" t="s">
        <v>1274</v>
      </c>
      <c r="J91" s="291"/>
      <c r="K91" s="291"/>
    </row>
    <row r="92" spans="2:11" s="35" customFormat="1" ht="14.25" customHeight="1" x14ac:dyDescent="0.25">
      <c r="B92" s="302"/>
      <c r="C92" s="302"/>
      <c r="D92" s="302"/>
      <c r="E92" s="288"/>
      <c r="F92" s="289"/>
      <c r="G92" s="290"/>
      <c r="H92" s="267"/>
      <c r="I92" s="291" t="s">
        <v>1274</v>
      </c>
      <c r="J92" s="291"/>
      <c r="K92" s="291"/>
    </row>
    <row r="93" spans="2:11" s="35" customFormat="1" ht="14.25" hidden="1" customHeight="1" x14ac:dyDescent="0.25">
      <c r="B93" s="302"/>
      <c r="C93" s="302"/>
      <c r="D93" s="302"/>
      <c r="E93" s="288"/>
      <c r="F93" s="289"/>
      <c r="G93" s="290"/>
      <c r="H93" s="267"/>
      <c r="I93" s="291" t="s">
        <v>1274</v>
      </c>
      <c r="J93" s="291"/>
      <c r="K93" s="291"/>
    </row>
    <row r="94" spans="2:11" s="35" customFormat="1" ht="14.25" hidden="1" customHeight="1" x14ac:dyDescent="0.25">
      <c r="B94" s="302"/>
      <c r="C94" s="302"/>
      <c r="D94" s="302"/>
      <c r="E94" s="288"/>
      <c r="F94" s="289"/>
      <c r="G94" s="290"/>
      <c r="H94" s="267"/>
      <c r="I94" s="291" t="s">
        <v>1274</v>
      </c>
      <c r="J94" s="291"/>
      <c r="K94" s="291"/>
    </row>
    <row r="95" spans="2:11" s="35" customFormat="1" ht="14.25" hidden="1" customHeight="1" x14ac:dyDescent="0.25">
      <c r="B95" s="302"/>
      <c r="C95" s="302"/>
      <c r="D95" s="302"/>
      <c r="E95" s="288"/>
      <c r="F95" s="289"/>
      <c r="G95" s="290"/>
      <c r="H95" s="267"/>
      <c r="I95" s="291" t="s">
        <v>1274</v>
      </c>
      <c r="J95" s="291"/>
      <c r="K95" s="291"/>
    </row>
    <row r="96" spans="2:11" s="35" customFormat="1" ht="14.25" hidden="1" customHeight="1" x14ac:dyDescent="0.25">
      <c r="B96" s="302"/>
      <c r="C96" s="302"/>
      <c r="D96" s="302"/>
      <c r="E96" s="288"/>
      <c r="F96" s="289"/>
      <c r="G96" s="290"/>
      <c r="H96" s="267"/>
      <c r="I96" s="291"/>
      <c r="J96" s="291"/>
      <c r="K96" s="291"/>
    </row>
    <row r="97" spans="2:18" s="35" customFormat="1" ht="14.25" hidden="1" customHeight="1" x14ac:dyDescent="0.25">
      <c r="B97" s="302"/>
      <c r="C97" s="302"/>
      <c r="D97" s="302"/>
      <c r="E97" s="288"/>
      <c r="F97" s="289"/>
      <c r="G97" s="290"/>
      <c r="H97" s="267"/>
      <c r="I97" s="291"/>
      <c r="J97" s="291"/>
      <c r="K97" s="291"/>
    </row>
    <row r="98" spans="2:18" s="35" customFormat="1" ht="14.25" hidden="1" customHeight="1" x14ac:dyDescent="0.25">
      <c r="B98" s="302"/>
      <c r="C98" s="302"/>
      <c r="D98" s="302"/>
      <c r="E98" s="288"/>
      <c r="F98" s="289"/>
      <c r="G98" s="290"/>
      <c r="H98" s="267"/>
      <c r="I98" s="291"/>
      <c r="J98" s="291"/>
      <c r="K98" s="291"/>
    </row>
    <row r="99" spans="2:18" s="35" customFormat="1" ht="14.25" hidden="1" customHeight="1" x14ac:dyDescent="0.25">
      <c r="B99" s="302"/>
      <c r="C99" s="302"/>
      <c r="D99" s="302"/>
      <c r="E99" s="288"/>
      <c r="F99" s="289"/>
      <c r="G99" s="290"/>
      <c r="H99" s="267"/>
      <c r="I99" s="291"/>
      <c r="J99" s="291"/>
      <c r="K99" s="291"/>
    </row>
    <row r="100" spans="2:18" s="35" customFormat="1" ht="14.25" customHeight="1" x14ac:dyDescent="0.25">
      <c r="B100" s="268"/>
    </row>
    <row r="101" spans="2:18" s="35" customFormat="1" ht="14.25" customHeight="1" x14ac:dyDescent="0.25">
      <c r="B101" s="268" t="s">
        <v>1282</v>
      </c>
    </row>
    <row r="102" spans="2:18" s="35" customFormat="1" ht="8.25" customHeight="1" x14ac:dyDescent="0.25">
      <c r="B102" s="268"/>
    </row>
    <row r="103" spans="2:18" s="35" customFormat="1" ht="14.25" customHeight="1" thickBot="1" x14ac:dyDescent="0.3">
      <c r="B103" s="311" t="s">
        <v>1280</v>
      </c>
      <c r="C103" s="311"/>
      <c r="D103" s="311"/>
      <c r="E103" s="312" t="s">
        <v>1281</v>
      </c>
      <c r="F103" s="321"/>
      <c r="G103" s="313"/>
      <c r="H103" s="312" t="s">
        <v>1283</v>
      </c>
      <c r="I103" s="321"/>
      <c r="J103" s="321"/>
      <c r="K103" s="321"/>
      <c r="L103" s="313"/>
      <c r="M103" s="311" t="s">
        <v>46</v>
      </c>
      <c r="N103" s="311"/>
      <c r="O103" s="311"/>
      <c r="P103" s="311" t="s">
        <v>1278</v>
      </c>
      <c r="Q103" s="311"/>
      <c r="R103" s="311"/>
    </row>
    <row r="104" spans="2:18" s="35" customFormat="1" ht="14.25" customHeight="1" x14ac:dyDescent="0.25">
      <c r="B104" s="302" t="s">
        <v>1393</v>
      </c>
      <c r="C104" s="302"/>
      <c r="D104" s="302"/>
      <c r="E104" s="295" t="s">
        <v>1377</v>
      </c>
      <c r="F104" s="296"/>
      <c r="G104" s="297"/>
      <c r="H104" s="295"/>
      <c r="I104" s="296"/>
      <c r="J104" s="296"/>
      <c r="K104" s="296"/>
      <c r="L104" s="297"/>
      <c r="M104" s="302" t="s">
        <v>1378</v>
      </c>
      <c r="N104" s="302"/>
      <c r="O104" s="302"/>
      <c r="P104" s="302" t="s">
        <v>1391</v>
      </c>
      <c r="Q104" s="302"/>
      <c r="R104" s="302"/>
    </row>
    <row r="105" spans="2:18" s="35" customFormat="1" ht="14.25" customHeight="1" x14ac:dyDescent="0.25">
      <c r="B105" s="302"/>
      <c r="C105" s="302"/>
      <c r="D105" s="302"/>
      <c r="E105" s="288"/>
      <c r="F105" s="289"/>
      <c r="G105" s="290"/>
      <c r="H105" s="288"/>
      <c r="I105" s="289"/>
      <c r="J105" s="289"/>
      <c r="K105" s="289"/>
      <c r="L105" s="290"/>
      <c r="M105" s="291"/>
      <c r="N105" s="291"/>
      <c r="O105" s="291"/>
      <c r="P105" s="291"/>
      <c r="Q105" s="291"/>
      <c r="R105" s="291"/>
    </row>
    <row r="106" spans="2:18" s="35" customFormat="1" ht="14.25" hidden="1" customHeight="1" x14ac:dyDescent="0.25">
      <c r="B106" s="302"/>
      <c r="C106" s="302"/>
      <c r="D106" s="302"/>
      <c r="E106" s="288"/>
      <c r="F106" s="289"/>
      <c r="G106" s="290"/>
      <c r="H106" s="288"/>
      <c r="I106" s="289"/>
      <c r="J106" s="289"/>
      <c r="K106" s="289"/>
      <c r="L106" s="290"/>
      <c r="M106" s="291"/>
      <c r="N106" s="291"/>
      <c r="O106" s="291"/>
      <c r="P106" s="291"/>
      <c r="Q106" s="291"/>
      <c r="R106" s="291"/>
    </row>
    <row r="107" spans="2:18" s="35" customFormat="1" ht="14.25" hidden="1" customHeight="1" x14ac:dyDescent="0.25">
      <c r="B107" s="302"/>
      <c r="C107" s="302"/>
      <c r="D107" s="302"/>
      <c r="E107" s="288"/>
      <c r="F107" s="289"/>
      <c r="G107" s="290"/>
      <c r="H107" s="288"/>
      <c r="I107" s="289"/>
      <c r="J107" s="289"/>
      <c r="K107" s="289"/>
      <c r="L107" s="290"/>
      <c r="M107" s="291"/>
      <c r="N107" s="291"/>
      <c r="O107" s="291"/>
      <c r="P107" s="291"/>
      <c r="Q107" s="291"/>
      <c r="R107" s="291"/>
    </row>
    <row r="108" spans="2:18" s="35" customFormat="1" ht="14.25" hidden="1" customHeight="1" x14ac:dyDescent="0.25">
      <c r="B108" s="302"/>
      <c r="C108" s="302"/>
      <c r="D108" s="302"/>
      <c r="E108" s="288"/>
      <c r="F108" s="289"/>
      <c r="G108" s="290"/>
      <c r="H108" s="288"/>
      <c r="I108" s="289"/>
      <c r="J108" s="289"/>
      <c r="K108" s="289"/>
      <c r="L108" s="290"/>
      <c r="M108" s="291"/>
      <c r="N108" s="291"/>
      <c r="O108" s="291"/>
      <c r="P108" s="291"/>
      <c r="Q108" s="291"/>
      <c r="R108" s="291"/>
    </row>
    <row r="109" spans="2:18" s="35" customFormat="1" ht="14.25" hidden="1" customHeight="1" x14ac:dyDescent="0.25">
      <c r="B109" s="302"/>
      <c r="C109" s="302"/>
      <c r="D109" s="302"/>
      <c r="E109" s="288"/>
      <c r="F109" s="289"/>
      <c r="G109" s="290"/>
      <c r="H109" s="288"/>
      <c r="I109" s="289"/>
      <c r="J109" s="289"/>
      <c r="K109" s="289"/>
      <c r="L109" s="290"/>
      <c r="M109" s="291"/>
      <c r="N109" s="291"/>
      <c r="O109" s="291"/>
      <c r="P109" s="291"/>
      <c r="Q109" s="291"/>
      <c r="R109" s="291"/>
    </row>
    <row r="110" spans="2:18" s="35" customFormat="1" ht="14.25" hidden="1" customHeight="1" x14ac:dyDescent="0.25">
      <c r="B110" s="302"/>
      <c r="C110" s="302"/>
      <c r="D110" s="302"/>
      <c r="E110" s="288"/>
      <c r="F110" s="289"/>
      <c r="G110" s="290"/>
      <c r="H110" s="288"/>
      <c r="I110" s="289"/>
      <c r="J110" s="289"/>
      <c r="K110" s="289"/>
      <c r="L110" s="290"/>
      <c r="M110" s="291"/>
      <c r="N110" s="291"/>
      <c r="O110" s="291"/>
      <c r="P110" s="291"/>
      <c r="Q110" s="291"/>
      <c r="R110" s="291"/>
    </row>
    <row r="111" spans="2:18" s="35" customFormat="1" ht="14.25" hidden="1" customHeight="1" x14ac:dyDescent="0.25">
      <c r="B111" s="302"/>
      <c r="C111" s="302"/>
      <c r="D111" s="302"/>
      <c r="E111" s="288"/>
      <c r="F111" s="289"/>
      <c r="G111" s="290"/>
      <c r="H111" s="288"/>
      <c r="I111" s="289"/>
      <c r="J111" s="289"/>
      <c r="K111" s="289"/>
      <c r="L111" s="290"/>
      <c r="M111" s="291"/>
      <c r="N111" s="291"/>
      <c r="O111" s="291"/>
      <c r="P111" s="291"/>
      <c r="Q111" s="291"/>
      <c r="R111" s="291"/>
    </row>
    <row r="112" spans="2:18" s="35" customFormat="1" ht="14.25" hidden="1" customHeight="1" x14ac:dyDescent="0.25">
      <c r="B112" s="302"/>
      <c r="C112" s="302"/>
      <c r="D112" s="302"/>
      <c r="E112" s="288"/>
      <c r="F112" s="289"/>
      <c r="G112" s="290"/>
      <c r="H112" s="288"/>
      <c r="I112" s="289"/>
      <c r="J112" s="289"/>
      <c r="K112" s="289"/>
      <c r="L112" s="290"/>
      <c r="M112" s="291"/>
      <c r="N112" s="291"/>
      <c r="O112" s="291"/>
      <c r="P112" s="291"/>
      <c r="Q112" s="291"/>
      <c r="R112" s="291"/>
    </row>
    <row r="113" spans="1:18" s="35" customFormat="1" ht="14.25" hidden="1" customHeight="1" x14ac:dyDescent="0.25">
      <c r="B113" s="302"/>
      <c r="C113" s="302"/>
      <c r="D113" s="302"/>
      <c r="E113" s="288"/>
      <c r="F113" s="289"/>
      <c r="G113" s="290"/>
      <c r="H113" s="288"/>
      <c r="I113" s="289"/>
      <c r="J113" s="289"/>
      <c r="K113" s="289"/>
      <c r="L113" s="290"/>
      <c r="M113" s="291"/>
      <c r="N113" s="291"/>
      <c r="O113" s="291"/>
      <c r="P113" s="291"/>
      <c r="Q113" s="291"/>
      <c r="R113" s="291"/>
    </row>
    <row r="114" spans="1:18" s="35" customFormat="1" ht="14.25" hidden="1" customHeight="1" x14ac:dyDescent="0.25">
      <c r="B114" s="268"/>
    </row>
    <row r="115" spans="1:18" s="35" customFormat="1" ht="14.25" hidden="1" customHeight="1" x14ac:dyDescent="0.25">
      <c r="B115" s="261"/>
    </row>
    <row r="116" spans="1:18" ht="14.25" hidden="1" customHeight="1" x14ac:dyDescent="0.25">
      <c r="B116" s="242" t="s">
        <v>1145</v>
      </c>
    </row>
    <row r="117" spans="1:18" ht="6.75" hidden="1" customHeight="1" x14ac:dyDescent="0.25"/>
    <row r="118" spans="1:18" ht="14.25" hidden="1" customHeight="1" x14ac:dyDescent="0.25">
      <c r="B118" s="303" t="s">
        <v>1146</v>
      </c>
      <c r="C118" s="303"/>
      <c r="D118" s="303"/>
      <c r="E118" s="356"/>
      <c r="F118" s="239"/>
      <c r="G118" s="303" t="s">
        <v>101</v>
      </c>
      <c r="H118" s="303"/>
      <c r="I118" s="303"/>
      <c r="J118" s="356"/>
      <c r="K118" s="288" t="str">
        <f>IF(F118&lt;&gt;"",IF(F118&lt;&gt;0,VLOOKUP(F118,'Site Info'!$G$34:$P$69,8,FALSE),"enter VLAN"),"")</f>
        <v/>
      </c>
      <c r="L118" s="289"/>
      <c r="M118" s="290"/>
    </row>
    <row r="119" spans="1:18" ht="14.25" hidden="1" customHeight="1" x14ac:dyDescent="0.25">
      <c r="B119" s="303" t="s">
        <v>1147</v>
      </c>
      <c r="C119" s="303"/>
      <c r="D119" s="303"/>
      <c r="E119" s="356"/>
      <c r="F119" s="239"/>
      <c r="G119" s="303" t="s">
        <v>102</v>
      </c>
      <c r="H119" s="303"/>
      <c r="I119" s="303"/>
      <c r="J119" s="356"/>
      <c r="K119" s="288" t="str">
        <f>IF(F118&lt;&gt;"",IF(F118&lt;&gt;0,VLOOKUP(F118,'Site Info'!$G$34:$P$69,5,FALSE),"enter VLAN"),"")</f>
        <v/>
      </c>
      <c r="L119" s="289"/>
      <c r="M119" s="290"/>
    </row>
    <row r="120" spans="1:18" ht="14.25" hidden="1" customHeight="1" x14ac:dyDescent="0.25">
      <c r="B120" s="303" t="s">
        <v>91</v>
      </c>
      <c r="C120" s="303"/>
      <c r="D120" s="303"/>
      <c r="E120" s="356"/>
      <c r="F120" s="239" t="s">
        <v>17</v>
      </c>
      <c r="G120" s="11" t="s">
        <v>1149</v>
      </c>
      <c r="H120" s="35"/>
      <c r="I120" s="35"/>
      <c r="J120" s="35"/>
      <c r="K120" s="35"/>
      <c r="L120" s="35"/>
      <c r="M120" s="35"/>
    </row>
    <row r="121" spans="1:18" ht="14.25" hidden="1" customHeight="1" x14ac:dyDescent="0.25"/>
    <row r="122" spans="1:18" ht="14.25" hidden="1" customHeight="1" thickBot="1" x14ac:dyDescent="0.3">
      <c r="B122" s="312" t="s">
        <v>92</v>
      </c>
      <c r="C122" s="321"/>
      <c r="D122" s="313"/>
      <c r="E122" s="312" t="s">
        <v>1148</v>
      </c>
      <c r="F122" s="321"/>
      <c r="G122" s="321"/>
      <c r="H122" s="321"/>
      <c r="I122" s="313"/>
      <c r="J122" s="312" t="s">
        <v>1150</v>
      </c>
      <c r="K122" s="313"/>
      <c r="L122" s="312" t="s">
        <v>1152</v>
      </c>
      <c r="M122" s="321"/>
      <c r="N122" s="313"/>
    </row>
    <row r="123" spans="1:18" ht="14.25" hidden="1" customHeight="1" x14ac:dyDescent="0.25">
      <c r="A123" s="3">
        <v>1</v>
      </c>
      <c r="B123" s="298" t="str">
        <f>IF(E123&lt;&gt;"",CONCATENATE("Node ",A123," - NSE"),"")</f>
        <v>Node 1 - NSE</v>
      </c>
      <c r="C123" s="299"/>
      <c r="D123" s="300"/>
      <c r="E123" s="295" t="str">
        <f>IF(Inventory!C15&lt;&gt;"",CONCATENATE(Inventory!C15,".",'Site Info'!$F$25),"")</f>
        <v>shpsan-01.speedcast.com</v>
      </c>
      <c r="F123" s="296"/>
      <c r="G123" s="296"/>
      <c r="H123" s="296"/>
      <c r="I123" s="297"/>
      <c r="J123" s="298">
        <f>IF(E123&lt;&gt;"", $F$119, "")</f>
        <v>0</v>
      </c>
      <c r="K123" s="300"/>
      <c r="L123" s="298"/>
      <c r="M123" s="299"/>
      <c r="N123" s="300"/>
    </row>
    <row r="124" spans="1:18" ht="14.25" hidden="1" customHeight="1" x14ac:dyDescent="0.25">
      <c r="A124" s="3">
        <v>2</v>
      </c>
      <c r="B124" s="288" t="str">
        <f>IF(E124&lt;&gt;"",CONCATENATE("Node ",A124," - NSE"),"")</f>
        <v>Node 2 - NSE</v>
      </c>
      <c r="C124" s="289"/>
      <c r="D124" s="290"/>
      <c r="E124" s="288" t="str">
        <f>IF(Inventory!C16&lt;&gt;"",CONCATENATE(Inventory!C16,".",'Site Info'!$F$25),"")</f>
        <v>shpsan-02.speedcast.com</v>
      </c>
      <c r="F124" s="289"/>
      <c r="G124" s="289"/>
      <c r="H124" s="289"/>
      <c r="I124" s="290"/>
      <c r="J124" s="288">
        <f>IF(E124&lt;&gt;"", $F$119, "")</f>
        <v>0</v>
      </c>
      <c r="K124" s="290"/>
      <c r="L124" s="288"/>
      <c r="M124" s="289"/>
      <c r="N124" s="290"/>
    </row>
    <row r="125" spans="1:18" ht="14.25" hidden="1" customHeight="1" x14ac:dyDescent="0.25">
      <c r="A125" s="3">
        <v>3</v>
      </c>
      <c r="B125" s="288" t="str">
        <f t="shared" ref="B125:B130" si="14">IF(E125&lt;&gt;"",CONCATENATE("Node ",A125," - NSE"),"")</f>
        <v/>
      </c>
      <c r="C125" s="289"/>
      <c r="D125" s="290"/>
      <c r="E125" s="288" t="str">
        <f>IF(Inventory!C17&lt;&gt;"",CONCATENATE(Inventory!C17,".",'Site Info'!$F$25),"")</f>
        <v/>
      </c>
      <c r="F125" s="289"/>
      <c r="G125" s="289"/>
      <c r="H125" s="289"/>
      <c r="I125" s="290"/>
      <c r="J125" s="288" t="str">
        <f t="shared" ref="J125:J130" si="15">IF(E125&lt;&gt;"", $F$119, "")</f>
        <v/>
      </c>
      <c r="K125" s="290"/>
      <c r="L125" s="288"/>
      <c r="M125" s="289"/>
      <c r="N125" s="290"/>
    </row>
    <row r="126" spans="1:18" ht="14.25" hidden="1" customHeight="1" x14ac:dyDescent="0.25">
      <c r="A126" s="3">
        <v>4</v>
      </c>
      <c r="B126" s="288" t="str">
        <f t="shared" si="14"/>
        <v/>
      </c>
      <c r="C126" s="289"/>
      <c r="D126" s="290"/>
      <c r="E126" s="288" t="str">
        <f>IF(Inventory!C18&lt;&gt;"",CONCATENATE(Inventory!C18,".",'Site Info'!$F$25),"")</f>
        <v/>
      </c>
      <c r="F126" s="289"/>
      <c r="G126" s="289"/>
      <c r="H126" s="289"/>
      <c r="I126" s="290"/>
      <c r="J126" s="288" t="str">
        <f t="shared" si="15"/>
        <v/>
      </c>
      <c r="K126" s="290"/>
      <c r="L126" s="288"/>
      <c r="M126" s="289"/>
      <c r="N126" s="290"/>
    </row>
    <row r="127" spans="1:18" ht="14.25" hidden="1" customHeight="1" x14ac:dyDescent="0.25">
      <c r="A127" s="3">
        <v>5</v>
      </c>
      <c r="B127" s="288" t="str">
        <f t="shared" si="14"/>
        <v/>
      </c>
      <c r="C127" s="289"/>
      <c r="D127" s="290"/>
      <c r="E127" s="288" t="str">
        <f>IF(Inventory!C19&lt;&gt;"",CONCATENATE(Inventory!C19,".",'Site Info'!$F$25),"")</f>
        <v/>
      </c>
      <c r="F127" s="289"/>
      <c r="G127" s="289"/>
      <c r="H127" s="289"/>
      <c r="I127" s="290"/>
      <c r="J127" s="288" t="str">
        <f t="shared" si="15"/>
        <v/>
      </c>
      <c r="K127" s="290"/>
      <c r="L127" s="288"/>
      <c r="M127" s="289"/>
      <c r="N127" s="290"/>
    </row>
    <row r="128" spans="1:18" ht="14.25" hidden="1" customHeight="1" x14ac:dyDescent="0.25">
      <c r="A128" s="3">
        <v>6</v>
      </c>
      <c r="B128" s="288" t="str">
        <f t="shared" si="14"/>
        <v/>
      </c>
      <c r="C128" s="289"/>
      <c r="D128" s="290"/>
      <c r="E128" s="288" t="str">
        <f>IF(Inventory!C20&lt;&gt;"",CONCATENATE(Inventory!C20,".",'Site Info'!$F$25),"")</f>
        <v/>
      </c>
      <c r="F128" s="289"/>
      <c r="G128" s="289"/>
      <c r="H128" s="289"/>
      <c r="I128" s="290"/>
      <c r="J128" s="288" t="str">
        <f t="shared" si="15"/>
        <v/>
      </c>
      <c r="K128" s="290"/>
      <c r="L128" s="288"/>
      <c r="M128" s="289"/>
      <c r="N128" s="290"/>
    </row>
    <row r="129" spans="1:14" ht="14.25" hidden="1" customHeight="1" x14ac:dyDescent="0.25">
      <c r="A129" s="3">
        <v>7</v>
      </c>
      <c r="B129" s="288" t="str">
        <f t="shared" si="14"/>
        <v/>
      </c>
      <c r="C129" s="289"/>
      <c r="D129" s="290"/>
      <c r="E129" s="288" t="str">
        <f>IF(Inventory!C21&lt;&gt;"",CONCATENATE(Inventory!C21,".",'Site Info'!$F$25),"")</f>
        <v/>
      </c>
      <c r="F129" s="289"/>
      <c r="G129" s="289"/>
      <c r="H129" s="289"/>
      <c r="I129" s="290"/>
      <c r="J129" s="288" t="str">
        <f t="shared" si="15"/>
        <v/>
      </c>
      <c r="K129" s="290"/>
      <c r="L129" s="288"/>
      <c r="M129" s="289"/>
      <c r="N129" s="290"/>
    </row>
    <row r="130" spans="1:14" ht="14.25" hidden="1" customHeight="1" x14ac:dyDescent="0.25">
      <c r="A130" s="3">
        <v>8</v>
      </c>
      <c r="B130" s="288" t="str">
        <f t="shared" si="14"/>
        <v/>
      </c>
      <c r="C130" s="289"/>
      <c r="D130" s="290"/>
      <c r="E130" s="288" t="str">
        <f>IF(Inventory!C22&lt;&gt;"",CONCATENATE(Inventory!C22,".",'Site Info'!$F$25),"")</f>
        <v/>
      </c>
      <c r="F130" s="289"/>
      <c r="G130" s="289"/>
      <c r="H130" s="289"/>
      <c r="I130" s="290"/>
      <c r="J130" s="288" t="str">
        <f t="shared" si="15"/>
        <v/>
      </c>
      <c r="K130" s="290"/>
      <c r="L130" s="288"/>
      <c r="M130" s="289"/>
      <c r="N130" s="290"/>
    </row>
    <row r="131" spans="1:14" ht="14.25" customHeight="1" x14ac:dyDescent="0.25"/>
    <row r="132" spans="1:14" ht="14.25" customHeight="1" x14ac:dyDescent="0.25"/>
    <row r="133" spans="1:14" ht="14.25" customHeight="1" x14ac:dyDescent="0.25"/>
    <row r="134" spans="1:14" ht="14.25" customHeight="1" x14ac:dyDescent="0.25"/>
    <row r="135" spans="1:14" ht="14.25" customHeight="1" x14ac:dyDescent="0.25"/>
    <row r="136" spans="1:14" ht="14.25" customHeight="1" x14ac:dyDescent="0.25"/>
    <row r="137" spans="1:14" ht="14.25" customHeight="1" x14ac:dyDescent="0.25"/>
    <row r="138" spans="1:14" ht="14.25" customHeight="1" x14ac:dyDescent="0.25"/>
    <row r="139" spans="1:14" ht="14.25" customHeight="1" x14ac:dyDescent="0.25"/>
    <row r="140" spans="1:14" ht="14.25" customHeight="1" x14ac:dyDescent="0.25"/>
    <row r="141" spans="1:14" ht="14.25" customHeight="1" x14ac:dyDescent="0.25"/>
    <row r="142" spans="1:14" ht="14.25" customHeight="1" x14ac:dyDescent="0.25"/>
    <row r="143" spans="1:14" ht="14.25" customHeight="1" x14ac:dyDescent="0.25"/>
    <row r="144" spans="1:1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sheetData>
  <mergeCells count="426">
    <mergeCell ref="P112:R112"/>
    <mergeCell ref="P113:R113"/>
    <mergeCell ref="M103:O103"/>
    <mergeCell ref="M104:O104"/>
    <mergeCell ref="M105:O105"/>
    <mergeCell ref="M106:O106"/>
    <mergeCell ref="M107:O107"/>
    <mergeCell ref="B106:D106"/>
    <mergeCell ref="E106:G106"/>
    <mergeCell ref="B107:D107"/>
    <mergeCell ref="E107:G107"/>
    <mergeCell ref="B103:D103"/>
    <mergeCell ref="M108:O108"/>
    <mergeCell ref="M109:O109"/>
    <mergeCell ref="M110:O110"/>
    <mergeCell ref="M111:O111"/>
    <mergeCell ref="B111:D111"/>
    <mergeCell ref="B112:D112"/>
    <mergeCell ref="B113:D113"/>
    <mergeCell ref="B108:D108"/>
    <mergeCell ref="B109:D109"/>
    <mergeCell ref="P103:R103"/>
    <mergeCell ref="P104:R104"/>
    <mergeCell ref="P105:R105"/>
    <mergeCell ref="P106:R106"/>
    <mergeCell ref="P107:R107"/>
    <mergeCell ref="P108:R108"/>
    <mergeCell ref="P109:R109"/>
    <mergeCell ref="P110:R110"/>
    <mergeCell ref="P111:R111"/>
    <mergeCell ref="B104:D104"/>
    <mergeCell ref="E104:G104"/>
    <mergeCell ref="B110:D110"/>
    <mergeCell ref="B105:D105"/>
    <mergeCell ref="H105:L105"/>
    <mergeCell ref="H104:L104"/>
    <mergeCell ref="E105:G105"/>
    <mergeCell ref="M113:O113"/>
    <mergeCell ref="B128:D128"/>
    <mergeCell ref="B129:D129"/>
    <mergeCell ref="B130:D130"/>
    <mergeCell ref="B123:D123"/>
    <mergeCell ref="B124:D124"/>
    <mergeCell ref="B125:D125"/>
    <mergeCell ref="B126:D126"/>
    <mergeCell ref="B127:D127"/>
    <mergeCell ref="E130:I130"/>
    <mergeCell ref="E129:I129"/>
    <mergeCell ref="E128:I128"/>
    <mergeCell ref="J128:K128"/>
    <mergeCell ref="J129:K129"/>
    <mergeCell ref="J130:K130"/>
    <mergeCell ref="L123:N123"/>
    <mergeCell ref="L124:N124"/>
    <mergeCell ref="L125:N125"/>
    <mergeCell ref="L126:N126"/>
    <mergeCell ref="L127:N127"/>
    <mergeCell ref="L128:N128"/>
    <mergeCell ref="L129:N129"/>
    <mergeCell ref="L130:N130"/>
    <mergeCell ref="J123:K123"/>
    <mergeCell ref="B82:D82"/>
    <mergeCell ref="B83:D83"/>
    <mergeCell ref="B84:D84"/>
    <mergeCell ref="B85:D85"/>
    <mergeCell ref="B86:D86"/>
    <mergeCell ref="B90:D90"/>
    <mergeCell ref="B91:D91"/>
    <mergeCell ref="B92:D92"/>
    <mergeCell ref="E122:I122"/>
    <mergeCell ref="H110:L110"/>
    <mergeCell ref="E110:G110"/>
    <mergeCell ref="H109:L109"/>
    <mergeCell ref="E109:G109"/>
    <mergeCell ref="H108:L108"/>
    <mergeCell ref="E108:G108"/>
    <mergeCell ref="H107:L107"/>
    <mergeCell ref="H106:L106"/>
    <mergeCell ref="L122:N122"/>
    <mergeCell ref="J122:K122"/>
    <mergeCell ref="H112:L112"/>
    <mergeCell ref="E112:G112"/>
    <mergeCell ref="H111:L111"/>
    <mergeCell ref="E111:G111"/>
    <mergeCell ref="M112:O112"/>
    <mergeCell ref="B99:D99"/>
    <mergeCell ref="B93:D93"/>
    <mergeCell ref="B94:D94"/>
    <mergeCell ref="B95:D95"/>
    <mergeCell ref="B96:D96"/>
    <mergeCell ref="B97:D97"/>
    <mergeCell ref="B98:D98"/>
    <mergeCell ref="J126:K126"/>
    <mergeCell ref="J127:K127"/>
    <mergeCell ref="E127:I127"/>
    <mergeCell ref="E126:I126"/>
    <mergeCell ref="E125:I125"/>
    <mergeCell ref="E124:I124"/>
    <mergeCell ref="E123:I123"/>
    <mergeCell ref="H113:L113"/>
    <mergeCell ref="E113:G113"/>
    <mergeCell ref="B118:E118"/>
    <mergeCell ref="G118:J118"/>
    <mergeCell ref="K118:M118"/>
    <mergeCell ref="B119:E119"/>
    <mergeCell ref="G119:J119"/>
    <mergeCell ref="K119:M119"/>
    <mergeCell ref="B120:E120"/>
    <mergeCell ref="B122:D122"/>
    <mergeCell ref="J124:K124"/>
    <mergeCell ref="J125:K125"/>
    <mergeCell ref="P13:R13"/>
    <mergeCell ref="M21:Q21"/>
    <mergeCell ref="M20:Q20"/>
    <mergeCell ref="P16:R16"/>
    <mergeCell ref="P15:R15"/>
    <mergeCell ref="C20:E20"/>
    <mergeCell ref="F20:H20"/>
    <mergeCell ref="I20:L20"/>
    <mergeCell ref="C21:E21"/>
    <mergeCell ref="P14:R14"/>
    <mergeCell ref="M64:P64"/>
    <mergeCell ref="M63:P63"/>
    <mergeCell ref="M62:P62"/>
    <mergeCell ref="M61:P61"/>
    <mergeCell ref="M60:P60"/>
    <mergeCell ref="M58:P58"/>
    <mergeCell ref="M43:P43"/>
    <mergeCell ref="M42:P42"/>
    <mergeCell ref="M22:Q22"/>
    <mergeCell ref="M65:P65"/>
    <mergeCell ref="Q65:S65"/>
    <mergeCell ref="B61:D61"/>
    <mergeCell ref="Z42:AB42"/>
    <mergeCell ref="R29:T29"/>
    <mergeCell ref="R30:T30"/>
    <mergeCell ref="T33:V33"/>
    <mergeCell ref="B8:E8"/>
    <mergeCell ref="F8:K8"/>
    <mergeCell ref="L8:O8"/>
    <mergeCell ref="P8:S8"/>
    <mergeCell ref="C16:H16"/>
    <mergeCell ref="I16:L16"/>
    <mergeCell ref="M16:O16"/>
    <mergeCell ref="C13:H13"/>
    <mergeCell ref="I13:L13"/>
    <mergeCell ref="M13:O13"/>
    <mergeCell ref="C14:H14"/>
    <mergeCell ref="I14:L14"/>
    <mergeCell ref="M14:O14"/>
    <mergeCell ref="C15:H15"/>
    <mergeCell ref="I15:L15"/>
    <mergeCell ref="M15:O15"/>
    <mergeCell ref="B9:E9"/>
    <mergeCell ref="F9:K9"/>
    <mergeCell ref="B40:E40"/>
    <mergeCell ref="E34:I34"/>
    <mergeCell ref="M66:P66"/>
    <mergeCell ref="Q66:S66"/>
    <mergeCell ref="T66:V66"/>
    <mergeCell ref="R5:AE5"/>
    <mergeCell ref="Q63:S63"/>
    <mergeCell ref="T63:V63"/>
    <mergeCell ref="W63:Y63"/>
    <mergeCell ref="T61:V61"/>
    <mergeCell ref="W61:Y61"/>
    <mergeCell ref="Q60:S60"/>
    <mergeCell ref="T60:V60"/>
    <mergeCell ref="W50:Y50"/>
    <mergeCell ref="W47:Y47"/>
    <mergeCell ref="W49:Y49"/>
    <mergeCell ref="Z46:AB46"/>
    <mergeCell ref="AC46:AE46"/>
    <mergeCell ref="U29:X29"/>
    <mergeCell ref="W33:Y33"/>
    <mergeCell ref="W46:Y46"/>
    <mergeCell ref="W48:Y48"/>
    <mergeCell ref="W58:Y58"/>
    <mergeCell ref="AC64:AE64"/>
    <mergeCell ref="AC65:AE65"/>
    <mergeCell ref="T59:V59"/>
    <mergeCell ref="B60:D60"/>
    <mergeCell ref="B64:D64"/>
    <mergeCell ref="B63:D63"/>
    <mergeCell ref="B62:D62"/>
    <mergeCell ref="B66:D66"/>
    <mergeCell ref="E66:I66"/>
    <mergeCell ref="J66:L66"/>
    <mergeCell ref="B65:D65"/>
    <mergeCell ref="E65:I65"/>
    <mergeCell ref="J65:L65"/>
    <mergeCell ref="J61:L61"/>
    <mergeCell ref="E61:I61"/>
    <mergeCell ref="J60:L60"/>
    <mergeCell ref="E60:I60"/>
    <mergeCell ref="E58:I58"/>
    <mergeCell ref="J58:L58"/>
    <mergeCell ref="M59:P59"/>
    <mergeCell ref="Q59:S59"/>
    <mergeCell ref="B58:D58"/>
    <mergeCell ref="B55:E55"/>
    <mergeCell ref="G55:J55"/>
    <mergeCell ref="K55:M55"/>
    <mergeCell ref="B56:E56"/>
    <mergeCell ref="B59:D59"/>
    <mergeCell ref="E59:I59"/>
    <mergeCell ref="J59:L59"/>
    <mergeCell ref="J57:L57"/>
    <mergeCell ref="Q58:S58"/>
    <mergeCell ref="B50:D50"/>
    <mergeCell ref="E50:I50"/>
    <mergeCell ref="J50:L50"/>
    <mergeCell ref="Q50:S50"/>
    <mergeCell ref="T50:V50"/>
    <mergeCell ref="M50:P50"/>
    <mergeCell ref="N54:Q54"/>
    <mergeCell ref="K54:M54"/>
    <mergeCell ref="G54:J54"/>
    <mergeCell ref="B54:E54"/>
    <mergeCell ref="B46:D46"/>
    <mergeCell ref="E46:I46"/>
    <mergeCell ref="J46:L46"/>
    <mergeCell ref="Q46:S46"/>
    <mergeCell ref="T46:V46"/>
    <mergeCell ref="M46:P46"/>
    <mergeCell ref="M47:P47"/>
    <mergeCell ref="B49:D49"/>
    <mergeCell ref="E49:I49"/>
    <mergeCell ref="J49:L49"/>
    <mergeCell ref="Q49:S49"/>
    <mergeCell ref="T49:V49"/>
    <mergeCell ref="B48:D48"/>
    <mergeCell ref="E48:I48"/>
    <mergeCell ref="J48:L48"/>
    <mergeCell ref="Q48:S48"/>
    <mergeCell ref="T48:V48"/>
    <mergeCell ref="M48:P48"/>
    <mergeCell ref="M49:P49"/>
    <mergeCell ref="B47:D47"/>
    <mergeCell ref="E47:I47"/>
    <mergeCell ref="J47:L47"/>
    <mergeCell ref="Q47:S47"/>
    <mergeCell ref="T47:V47"/>
    <mergeCell ref="B45:D45"/>
    <mergeCell ref="E45:I45"/>
    <mergeCell ref="J45:L45"/>
    <mergeCell ref="Q45:S45"/>
    <mergeCell ref="T45:V45"/>
    <mergeCell ref="W45:Y45"/>
    <mergeCell ref="B44:D44"/>
    <mergeCell ref="E44:I44"/>
    <mergeCell ref="J44:L44"/>
    <mergeCell ref="Q44:S44"/>
    <mergeCell ref="T44:V44"/>
    <mergeCell ref="M45:P45"/>
    <mergeCell ref="W44:Y44"/>
    <mergeCell ref="M44:P44"/>
    <mergeCell ref="B38:E38"/>
    <mergeCell ref="G38:J38"/>
    <mergeCell ref="K38:M38"/>
    <mergeCell ref="W42:Y42"/>
    <mergeCell ref="B43:D43"/>
    <mergeCell ref="E43:I43"/>
    <mergeCell ref="J43:L43"/>
    <mergeCell ref="Q43:S43"/>
    <mergeCell ref="T43:V43"/>
    <mergeCell ref="W43:Y43"/>
    <mergeCell ref="B42:D42"/>
    <mergeCell ref="E42:I42"/>
    <mergeCell ref="J42:L42"/>
    <mergeCell ref="Q42:S42"/>
    <mergeCell ref="T42:V42"/>
    <mergeCell ref="J41:L41"/>
    <mergeCell ref="M34:P34"/>
    <mergeCell ref="B34:D34"/>
    <mergeCell ref="J34:L34"/>
    <mergeCell ref="Q34:S34"/>
    <mergeCell ref="T34:V34"/>
    <mergeCell ref="W34:Y34"/>
    <mergeCell ref="E33:I33"/>
    <mergeCell ref="J33:L33"/>
    <mergeCell ref="B29:E29"/>
    <mergeCell ref="B30:E30"/>
    <mergeCell ref="G29:J29"/>
    <mergeCell ref="G30:J30"/>
    <mergeCell ref="K29:M29"/>
    <mergeCell ref="K30:M30"/>
    <mergeCell ref="J32:L32"/>
    <mergeCell ref="M33:P33"/>
    <mergeCell ref="N29:Q29"/>
    <mergeCell ref="N30:Q30"/>
    <mergeCell ref="C22:E22"/>
    <mergeCell ref="I21:L21"/>
    <mergeCell ref="I22:L22"/>
    <mergeCell ref="F21:H21"/>
    <mergeCell ref="F22:H22"/>
    <mergeCell ref="C23:E23"/>
    <mergeCell ref="C24:E24"/>
    <mergeCell ref="C25:E25"/>
    <mergeCell ref="B39:E39"/>
    <mergeCell ref="G39:J39"/>
    <mergeCell ref="K39:M39"/>
    <mergeCell ref="B31:E31"/>
    <mergeCell ref="F23:H23"/>
    <mergeCell ref="F24:H24"/>
    <mergeCell ref="F25:H25"/>
    <mergeCell ref="M23:Q23"/>
    <mergeCell ref="M24:Q24"/>
    <mergeCell ref="M25:Q25"/>
    <mergeCell ref="I23:L23"/>
    <mergeCell ref="I24:L24"/>
    <mergeCell ref="N38:Q38"/>
    <mergeCell ref="Q33:S33"/>
    <mergeCell ref="I25:L25"/>
    <mergeCell ref="B33:D33"/>
    <mergeCell ref="AC66:AE66"/>
    <mergeCell ref="Z59:AB59"/>
    <mergeCell ref="Q62:S62"/>
    <mergeCell ref="Q64:S64"/>
    <mergeCell ref="T64:V64"/>
    <mergeCell ref="W60:Y60"/>
    <mergeCell ref="W64:Y64"/>
    <mergeCell ref="Z63:AB63"/>
    <mergeCell ref="Z64:AB64"/>
    <mergeCell ref="Z65:AB65"/>
    <mergeCell ref="Z66:AB66"/>
    <mergeCell ref="W62:Y62"/>
    <mergeCell ref="T62:V62"/>
    <mergeCell ref="Q61:S61"/>
    <mergeCell ref="W65:Y65"/>
    <mergeCell ref="W66:Y66"/>
    <mergeCell ref="Z62:AB62"/>
    <mergeCell ref="AC61:AE61"/>
    <mergeCell ref="AC62:AE62"/>
    <mergeCell ref="Z60:AB60"/>
    <mergeCell ref="Z61:AB61"/>
    <mergeCell ref="AC59:AE59"/>
    <mergeCell ref="T65:V65"/>
    <mergeCell ref="W59:Y59"/>
    <mergeCell ref="S13:V13"/>
    <mergeCell ref="S14:V14"/>
    <mergeCell ref="S15:V15"/>
    <mergeCell ref="S16:V16"/>
    <mergeCell ref="T58:V58"/>
    <mergeCell ref="AC63:AE63"/>
    <mergeCell ref="AC42:AE42"/>
    <mergeCell ref="Z43:AB43"/>
    <mergeCell ref="AC43:AE43"/>
    <mergeCell ref="Z44:AB44"/>
    <mergeCell ref="AC44:AE44"/>
    <mergeCell ref="Z45:AB45"/>
    <mergeCell ref="AC45:AE45"/>
    <mergeCell ref="Z47:AB47"/>
    <mergeCell ref="AC47:AE47"/>
    <mergeCell ref="Z48:AB48"/>
    <mergeCell ref="AC48:AE48"/>
    <mergeCell ref="Z49:AB49"/>
    <mergeCell ref="AC49:AE49"/>
    <mergeCell ref="Z50:AB50"/>
    <mergeCell ref="AC50:AE50"/>
    <mergeCell ref="Z58:AB58"/>
    <mergeCell ref="AC58:AE58"/>
    <mergeCell ref="AC60:AE60"/>
    <mergeCell ref="B70:D70"/>
    <mergeCell ref="E70:I70"/>
    <mergeCell ref="J70:K70"/>
    <mergeCell ref="L70:M70"/>
    <mergeCell ref="N70:R70"/>
    <mergeCell ref="B71:D71"/>
    <mergeCell ref="E71:I71"/>
    <mergeCell ref="J71:K71"/>
    <mergeCell ref="L71:M71"/>
    <mergeCell ref="N71:R71"/>
    <mergeCell ref="B72:D72"/>
    <mergeCell ref="E72:I72"/>
    <mergeCell ref="J72:K72"/>
    <mergeCell ref="L72:M72"/>
    <mergeCell ref="N72:R72"/>
    <mergeCell ref="B73:D73"/>
    <mergeCell ref="E73:I73"/>
    <mergeCell ref="J73:K73"/>
    <mergeCell ref="L73:M73"/>
    <mergeCell ref="N73:R73"/>
    <mergeCell ref="B74:D74"/>
    <mergeCell ref="E74:I74"/>
    <mergeCell ref="J74:K74"/>
    <mergeCell ref="L74:M74"/>
    <mergeCell ref="N74:R74"/>
    <mergeCell ref="B75:D75"/>
    <mergeCell ref="E75:I75"/>
    <mergeCell ref="J75:K75"/>
    <mergeCell ref="L75:M75"/>
    <mergeCell ref="N75:R75"/>
    <mergeCell ref="H103:L103"/>
    <mergeCell ref="E99:G99"/>
    <mergeCell ref="E98:G98"/>
    <mergeCell ref="E97:G97"/>
    <mergeCell ref="E96:G96"/>
    <mergeCell ref="I99:K99"/>
    <mergeCell ref="I96:K96"/>
    <mergeCell ref="I97:K97"/>
    <mergeCell ref="I98:K98"/>
    <mergeCell ref="E103:G103"/>
    <mergeCell ref="E95:G95"/>
    <mergeCell ref="E94:G94"/>
    <mergeCell ref="E93:G93"/>
    <mergeCell ref="E92:G92"/>
    <mergeCell ref="E91:G91"/>
    <mergeCell ref="E90:G90"/>
    <mergeCell ref="E86:I86"/>
    <mergeCell ref="E85:I85"/>
    <mergeCell ref="I90:K90"/>
    <mergeCell ref="I91:K91"/>
    <mergeCell ref="I92:K92"/>
    <mergeCell ref="I93:K93"/>
    <mergeCell ref="I94:K94"/>
    <mergeCell ref="I95:K95"/>
    <mergeCell ref="E84:I84"/>
    <mergeCell ref="E83:I83"/>
    <mergeCell ref="E82:I82"/>
    <mergeCell ref="J64:L64"/>
    <mergeCell ref="E64:I64"/>
    <mergeCell ref="J63:L63"/>
    <mergeCell ref="E63:I63"/>
    <mergeCell ref="J62:L62"/>
    <mergeCell ref="E62:I62"/>
  </mergeCells>
  <conditionalFormatting sqref="C21 F8:K9 B91:K99">
    <cfRule type="containsBlanks" dxfId="568" priority="83">
      <formula>LEN(TRIM(B8))=0</formula>
    </cfRule>
  </conditionalFormatting>
  <conditionalFormatting sqref="C22:C25">
    <cfRule type="containsBlanks" dxfId="567" priority="82">
      <formula>LEN(TRIM(C22))=0</formula>
    </cfRule>
  </conditionalFormatting>
  <conditionalFormatting sqref="F21">
    <cfRule type="containsBlanks" dxfId="566" priority="81">
      <formula>LEN(TRIM(F21))=0</formula>
    </cfRule>
  </conditionalFormatting>
  <conditionalFormatting sqref="F22:F23 F25">
    <cfRule type="containsBlanks" dxfId="565" priority="80">
      <formula>LEN(TRIM(F22))=0</formula>
    </cfRule>
  </conditionalFormatting>
  <conditionalFormatting sqref="I21">
    <cfRule type="containsBlanks" dxfId="564" priority="79">
      <formula>LEN(TRIM(I21))=0</formula>
    </cfRule>
  </conditionalFormatting>
  <conditionalFormatting sqref="I22:I25">
    <cfRule type="containsBlanks" dxfId="563" priority="76">
      <formula>LEN(TRIM(I22))=0</formula>
    </cfRule>
  </conditionalFormatting>
  <conditionalFormatting sqref="M21">
    <cfRule type="containsBlanks" dxfId="562" priority="78">
      <formula>LEN(TRIM(M21))=0</formula>
    </cfRule>
  </conditionalFormatting>
  <conditionalFormatting sqref="M22:M25">
    <cfRule type="containsBlanks" dxfId="561" priority="77">
      <formula>LEN(TRIM(M22))=0</formula>
    </cfRule>
  </conditionalFormatting>
  <conditionalFormatting sqref="F30">
    <cfRule type="containsBlanks" dxfId="560" priority="74">
      <formula>LEN(TRIM(F30))=0</formula>
    </cfRule>
  </conditionalFormatting>
  <conditionalFormatting sqref="F31">
    <cfRule type="containsBlanks" dxfId="559" priority="66">
      <formula>LEN(TRIM(F31))=0</formula>
    </cfRule>
  </conditionalFormatting>
  <conditionalFormatting sqref="J34">
    <cfRule type="containsBlanks" dxfId="558" priority="63">
      <formula>LEN(TRIM(J34))=0</formula>
    </cfRule>
  </conditionalFormatting>
  <conditionalFormatting sqref="F40">
    <cfRule type="containsBlanks" dxfId="557" priority="56">
      <formula>LEN(TRIM(F40))=0</formula>
    </cfRule>
  </conditionalFormatting>
  <conditionalFormatting sqref="J43:J46">
    <cfRule type="containsBlanks" dxfId="556" priority="54">
      <formula>LEN(TRIM(J43))=0</formula>
    </cfRule>
  </conditionalFormatting>
  <conditionalFormatting sqref="J47:J50">
    <cfRule type="containsBlanks" dxfId="555" priority="52">
      <formula>LEN(TRIM(J47))=0</formula>
    </cfRule>
  </conditionalFormatting>
  <conditionalFormatting sqref="F56">
    <cfRule type="containsBlanks" dxfId="554" priority="45">
      <formula>LEN(TRIM(F56))=0</formula>
    </cfRule>
  </conditionalFormatting>
  <conditionalFormatting sqref="J63:J66">
    <cfRule type="containsBlanks" dxfId="553" priority="41">
      <formula>LEN(TRIM(J63))=0</formula>
    </cfRule>
  </conditionalFormatting>
  <conditionalFormatting sqref="R38">
    <cfRule type="containsBlanks" dxfId="552" priority="40">
      <formula>LEN(TRIM(R38))=0</formula>
    </cfRule>
  </conditionalFormatting>
  <conditionalFormatting sqref="R54">
    <cfRule type="containsBlanks" dxfId="551" priority="38">
      <formula>LEN(TRIM(R54))=0</formula>
    </cfRule>
  </conditionalFormatting>
  <conditionalFormatting sqref="Y29">
    <cfRule type="containsBlanks" dxfId="550" priority="37">
      <formula>LEN(TRIM(Y29))=0</formula>
    </cfRule>
  </conditionalFormatting>
  <conditionalFormatting sqref="F39">
    <cfRule type="containsBlanks" dxfId="549" priority="36">
      <formula>LEN(TRIM(F39))=0</formula>
    </cfRule>
  </conditionalFormatting>
  <conditionalFormatting sqref="F55">
    <cfRule type="containsBlanks" dxfId="548" priority="35">
      <formula>LEN(TRIM(F55))=0</formula>
    </cfRule>
  </conditionalFormatting>
  <conditionalFormatting sqref="J59:J62">
    <cfRule type="containsBlanks" dxfId="547" priority="32">
      <formula>LEN(TRIM(J59))=0</formula>
    </cfRule>
  </conditionalFormatting>
  <conditionalFormatting sqref="F29">
    <cfRule type="containsBlanks" dxfId="546" priority="30">
      <formula>LEN(TRIM(F29))=0</formula>
    </cfRule>
  </conditionalFormatting>
  <conditionalFormatting sqref="F38">
    <cfRule type="containsBlanks" dxfId="545" priority="29">
      <formula>LEN(TRIM(F38))=0</formula>
    </cfRule>
  </conditionalFormatting>
  <conditionalFormatting sqref="F54">
    <cfRule type="containsBlanks" dxfId="544" priority="28">
      <formula>LEN(TRIM(F54))=0</formula>
    </cfRule>
  </conditionalFormatting>
  <conditionalFormatting sqref="P8:S8 C14:R14">
    <cfRule type="containsBlanks" dxfId="543" priority="320">
      <formula>LEN(TRIM(C8))=0</formula>
    </cfRule>
  </conditionalFormatting>
  <conditionalFormatting sqref="S14">
    <cfRule type="containsBlanks" dxfId="542" priority="21">
      <formula>LEN(TRIM(S14))=0</formula>
    </cfRule>
  </conditionalFormatting>
  <conditionalFormatting sqref="F120">
    <cfRule type="containsBlanks" dxfId="541" priority="20">
      <formula>LEN(TRIM(F120))=0</formula>
    </cfRule>
  </conditionalFormatting>
  <conditionalFormatting sqref="F119">
    <cfRule type="containsBlanks" dxfId="540" priority="19">
      <formula>LEN(TRIM(F119))=0</formula>
    </cfRule>
  </conditionalFormatting>
  <conditionalFormatting sqref="F118">
    <cfRule type="containsBlanks" dxfId="539" priority="18">
      <formula>LEN(TRIM(F118))=0</formula>
    </cfRule>
  </conditionalFormatting>
  <conditionalFormatting sqref="E83:I86">
    <cfRule type="containsBlanks" dxfId="538" priority="321">
      <formula>LEN(TRIM(E83))=0</formula>
    </cfRule>
  </conditionalFormatting>
  <conditionalFormatting sqref="B83:I86">
    <cfRule type="containsBlanks" dxfId="537" priority="11">
      <formula>LEN(TRIM(B83))=0</formula>
    </cfRule>
  </conditionalFormatting>
  <conditionalFormatting sqref="B104:G113">
    <cfRule type="containsBlanks" dxfId="536" priority="10">
      <formula>LEN(TRIM(B104))=0</formula>
    </cfRule>
  </conditionalFormatting>
  <conditionalFormatting sqref="H104:L113">
    <cfRule type="containsBlanks" dxfId="535" priority="9">
      <formula>LEN(TRIM(H104))=0</formula>
    </cfRule>
  </conditionalFormatting>
  <conditionalFormatting sqref="H104:L113">
    <cfRule type="containsBlanks" dxfId="534" priority="8">
      <formula>LEN(TRIM(H104))=0</formula>
    </cfRule>
  </conditionalFormatting>
  <conditionalFormatting sqref="M104:O113">
    <cfRule type="containsBlanks" dxfId="533" priority="7">
      <formula>LEN(TRIM(M104))=0</formula>
    </cfRule>
  </conditionalFormatting>
  <conditionalFormatting sqref="P104:R113">
    <cfRule type="containsBlanks" dxfId="532" priority="6">
      <formula>LEN(TRIM(P104))=0</formula>
    </cfRule>
  </conditionalFormatting>
  <conditionalFormatting sqref="C15:R15">
    <cfRule type="containsBlanks" dxfId="531" priority="5">
      <formula>LEN(TRIM(C15))=0</formula>
    </cfRule>
  </conditionalFormatting>
  <conditionalFormatting sqref="S15">
    <cfRule type="containsBlanks" dxfId="530" priority="4">
      <formula>LEN(TRIM(S15))=0</formula>
    </cfRule>
  </conditionalFormatting>
  <conditionalFormatting sqref="C16:R16">
    <cfRule type="containsBlanks" dxfId="529" priority="3">
      <formula>LEN(TRIM(C16))=0</formula>
    </cfRule>
  </conditionalFormatting>
  <conditionalFormatting sqref="S16">
    <cfRule type="containsBlanks" dxfId="528" priority="2">
      <formula>LEN(TRIM(S16))=0</formula>
    </cfRule>
  </conditionalFormatting>
  <conditionalFormatting sqref="I91:K99">
    <cfRule type="duplicateValues" dxfId="527" priority="322"/>
  </conditionalFormatting>
  <conditionalFormatting sqref="F24">
    <cfRule type="containsBlanks" dxfId="526" priority="1">
      <formula>LEN(TRIM(F24))=0</formula>
    </cfRule>
  </conditionalFormatting>
  <dataValidations count="6">
    <dataValidation type="list" allowBlank="1" sqref="F30 F119 F55 F39" xr:uid="{00000000-0002-0000-0400-000000000000}">
      <formula1>$C$21:$C$25</formula1>
    </dataValidation>
    <dataValidation type="list" allowBlank="1" sqref="F29 F38 F54 F118" xr:uid="{00000000-0002-0000-0400-000001000000}">
      <formula1>VLANList</formula1>
    </dataValidation>
    <dataValidation type="list" allowBlank="1" showInputMessage="1" showErrorMessage="1" sqref="P104:R113" xr:uid="{00000000-0002-0000-0400-000002000000}">
      <formula1>$B$91:$B$99</formula1>
    </dataValidation>
    <dataValidation allowBlank="1" showInputMessage="1" showErrorMessage="1" promptTitle="Subnet Name" prompt="Use the format &quot;sub_vlanxxx&quot; for each VLAN" sqref="B104:D113" xr:uid="{00000000-0002-0000-0400-000003000000}"/>
    <dataValidation type="list" allowBlank="1" showInputMessage="1" showErrorMessage="1" sqref="I91:K99" xr:uid="{00000000-0002-0000-0400-000004000000}">
      <formula1>$B$83:$B$86</formula1>
    </dataValidation>
    <dataValidation allowBlank="1" showInputMessage="1" showErrorMessage="1" promptTitle="Broadcast Domain Name" prompt="Use the naming format &quot;bd_vlanxxx&quot; for each VLAN." sqref="B91:D99" xr:uid="{00000000-0002-0000-0400-000005000000}"/>
  </dataValidations>
  <printOptions gridLines="1"/>
  <pageMargins left="0.75" right="0.25" top="0.25" bottom="0.75" header="0.3" footer="0.3"/>
  <pageSetup paperSize="3" scale="94" fitToHeight="0" orientation="landscape" r:id="rId1"/>
  <headerFooter>
    <oddFooter>&amp;R&amp;A
&amp;P</oddFooter>
  </headerFooter>
  <drawing r:id="rId2"/>
  <legacyDrawing r:id="rId3"/>
  <extLst>
    <ext xmlns:x14="http://schemas.microsoft.com/office/spreadsheetml/2009/9/main" uri="{78C0D931-6437-407d-A8EE-F0AAD7539E65}">
      <x14:conditionalFormattings>
        <x14:conditionalFormatting xmlns:xm="http://schemas.microsoft.com/office/excel/2006/main">
          <x14:cfRule type="containsBlanks" priority="17" id="{D2AD2614-9528-477D-9FF7-AEEEB2D84E5F}">
            <xm:f>LEN(TRIM('7-Info'!B76))=0</xm:f>
            <x14:dxf>
              <fill>
                <patternFill>
                  <bgColor rgb="FFFFE17D"/>
                </patternFill>
              </fill>
            </x14:dxf>
          </x14:cfRule>
          <xm:sqref>B71:R75</xm:sqref>
        </x14:conditionalFormatting>
      </x14:conditionalFormattings>
    </ext>
    <ext xmlns:x14="http://schemas.microsoft.com/office/spreadsheetml/2009/9/main" uri="{CCE6A557-97BC-4b89-ADB6-D9C93CAAB3DF}">
      <x14:dataValidations xmlns:xm="http://schemas.microsoft.com/office/excel/2006/main" count="6">
        <x14:dataValidation type="list" allowBlank="1" xr:uid="{00000000-0002-0000-0400-000006000000}">
          <x14:formula1>
            <xm:f>Dropdowns!$B$3:$B$4</xm:f>
          </x14:formula1>
          <xm:sqref>F31 F40 F56 F120</xm:sqref>
        </x14:dataValidation>
        <x14:dataValidation type="list" allowBlank="1" xr:uid="{00000000-0002-0000-0400-000007000000}">
          <x14:formula1>
            <xm:f>Dropdowns!$Q$3:$Q$5</xm:f>
          </x14:formula1>
          <xm:sqref>P8:S8 P9:R9</xm:sqref>
        </x14:dataValidation>
        <x14:dataValidation type="list" allowBlank="1" showInputMessage="1" showErrorMessage="1" xr:uid="{00000000-0002-0000-0400-000008000000}">
          <x14:formula1>
            <xm:f>Inventory!$C$15:$C$22</xm:f>
          </x14:formula1>
          <xm:sqref>B71:D75</xm:sqref>
        </x14:dataValidation>
        <x14:dataValidation type="list" allowBlank="1" showInputMessage="1" showErrorMessage="1" xr:uid="{00000000-0002-0000-0400-000009000000}">
          <x14:formula1>
            <xm:f>'Site Info'!$H$35:$H$44</xm:f>
          </x14:formula1>
          <xm:sqref>E104:G113</xm:sqref>
        </x14:dataValidation>
        <x14:dataValidation type="list" allowBlank="1" showInputMessage="1" showErrorMessage="1" xr:uid="{00000000-0002-0000-0400-00000A000000}">
          <x14:formula1>
            <xm:f>'Site Info'!$N$35:$N$44</xm:f>
          </x14:formula1>
          <xm:sqref>M104:O113</xm:sqref>
        </x14:dataValidation>
        <x14:dataValidation type="list" allowBlank="1" showInputMessage="1" showErrorMessage="1" xr:uid="{00000000-0002-0000-0400-00000B000000}">
          <x14:formula1>
            <xm:f>Dropdowns!$O$3:$O$4</xm:f>
          </x14:formula1>
          <xm:sqref>H91:H99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sheetPr>
  <dimension ref="A2:AE92"/>
  <sheetViews>
    <sheetView workbookViewId="0">
      <pane ySplit="4" topLeftCell="A23" activePane="bottomLeft" state="frozenSplit"/>
      <selection pane="bottomLeft" activeCell="U37" sqref="U37"/>
    </sheetView>
  </sheetViews>
  <sheetFormatPr defaultColWidth="7.140625" defaultRowHeight="10.5" x14ac:dyDescent="0.25"/>
  <cols>
    <col min="1" max="1" width="1.42578125" style="35" customWidth="1"/>
    <col min="2" max="19" width="7.140625" style="35"/>
    <col min="20" max="20" width="7.140625" style="35" customWidth="1"/>
    <col min="21" max="16384" width="7.140625" style="35"/>
  </cols>
  <sheetData>
    <row r="2" spans="1:31" ht="30.75" customHeight="1" x14ac:dyDescent="0.25">
      <c r="A2" s="2" t="s">
        <v>1</v>
      </c>
      <c r="B2"/>
      <c r="V2" s="1" t="s">
        <v>1065</v>
      </c>
    </row>
    <row r="3" spans="1:31" ht="9" customHeight="1" x14ac:dyDescent="0.25"/>
    <row r="4" spans="1:31" ht="15" x14ac:dyDescent="0.25">
      <c r="A4" s="5" t="s">
        <v>1122</v>
      </c>
      <c r="Z4" s="35" t="s">
        <v>0</v>
      </c>
    </row>
    <row r="5" spans="1:31" ht="14.25" customHeight="1" x14ac:dyDescent="0.25">
      <c r="R5" s="350" t="str">
        <f>IF('Site Info'!$C$8=Dropdowns!$R$9,"",IF('Site Info'!$C$8=Dropdowns!$R$10,"","THIS TAB IS NOT APPLICABLE FOR THIS SOLUTION, HIDE THIS TAB"))</f>
        <v>THIS TAB IS NOT APPLICABLE FOR THIS SOLUTION, HIDE THIS TAB</v>
      </c>
      <c r="S5" s="350"/>
      <c r="T5" s="350"/>
      <c r="U5" s="350"/>
      <c r="V5" s="350"/>
      <c r="W5" s="350"/>
      <c r="X5" s="350"/>
      <c r="Y5" s="350"/>
      <c r="Z5" s="350"/>
      <c r="AA5" s="350"/>
      <c r="AB5" s="350"/>
      <c r="AC5" s="350"/>
      <c r="AD5" s="350"/>
      <c r="AE5" s="350"/>
    </row>
    <row r="6" spans="1:31" ht="14.25" customHeight="1" x14ac:dyDescent="0.25">
      <c r="B6" s="216" t="s">
        <v>872</v>
      </c>
      <c r="G6" s="6"/>
    </row>
    <row r="7" spans="1:31" ht="6" customHeight="1" x14ac:dyDescent="0.25">
      <c r="B7" s="216"/>
      <c r="G7" s="6"/>
    </row>
    <row r="8" spans="1:31" ht="14.25" customHeight="1" x14ac:dyDescent="0.25">
      <c r="B8" s="303" t="s">
        <v>1121</v>
      </c>
      <c r="C8" s="303"/>
      <c r="D8" s="303"/>
      <c r="E8" s="303"/>
      <c r="F8" s="288">
        <f>Inventory!C53</f>
        <v>0</v>
      </c>
      <c r="G8" s="289"/>
      <c r="H8" s="289"/>
      <c r="I8" s="289"/>
      <c r="J8" s="289"/>
      <c r="K8" s="290"/>
      <c r="L8" s="303"/>
      <c r="M8" s="303"/>
      <c r="N8" s="303"/>
      <c r="O8" s="303"/>
      <c r="P8" s="381"/>
      <c r="Q8" s="381"/>
      <c r="R8" s="381"/>
      <c r="S8" s="381"/>
    </row>
    <row r="9" spans="1:31" ht="14.25" customHeight="1" x14ac:dyDescent="0.25">
      <c r="G9" s="6"/>
    </row>
    <row r="10" spans="1:31" ht="14.25" customHeight="1" x14ac:dyDescent="0.25">
      <c r="B10" s="216" t="s">
        <v>660</v>
      </c>
    </row>
    <row r="11" spans="1:31" ht="6" customHeight="1" x14ac:dyDescent="0.25">
      <c r="B11" s="216"/>
      <c r="G11" s="6"/>
    </row>
    <row r="12" spans="1:31" ht="14.25" customHeight="1" thickBot="1" x14ac:dyDescent="0.3">
      <c r="C12" s="311" t="s">
        <v>662</v>
      </c>
      <c r="D12" s="311"/>
      <c r="E12" s="311"/>
      <c r="F12" s="311"/>
      <c r="G12" s="311"/>
      <c r="H12" s="311"/>
      <c r="I12" s="311" t="s">
        <v>661</v>
      </c>
      <c r="J12" s="311"/>
      <c r="K12" s="311"/>
      <c r="L12" s="311"/>
      <c r="M12" s="311" t="s">
        <v>25</v>
      </c>
      <c r="N12" s="311"/>
      <c r="O12" s="311"/>
    </row>
    <row r="13" spans="1:31" ht="14.25" customHeight="1" x14ac:dyDescent="0.25">
      <c r="C13" s="351" t="s">
        <v>1104</v>
      </c>
      <c r="D13" s="351"/>
      <c r="E13" s="351"/>
      <c r="F13" s="351"/>
      <c r="G13" s="351"/>
      <c r="H13" s="351"/>
      <c r="I13" s="351" t="s">
        <v>1105</v>
      </c>
      <c r="J13" s="351"/>
      <c r="K13" s="351"/>
      <c r="L13" s="351"/>
      <c r="M13" s="351" t="s">
        <v>1050</v>
      </c>
      <c r="N13" s="351"/>
      <c r="O13" s="351"/>
    </row>
    <row r="14" spans="1:31" ht="14.25" customHeight="1" x14ac:dyDescent="0.25"/>
    <row r="15" spans="1:31" ht="14.25" customHeight="1" x14ac:dyDescent="0.25"/>
    <row r="16" spans="1:31" ht="14.25" customHeight="1" x14ac:dyDescent="0.25">
      <c r="B16" s="216" t="s">
        <v>1066</v>
      </c>
    </row>
    <row r="17" spans="2:20" ht="14.25" customHeight="1" x14ac:dyDescent="0.25">
      <c r="B17" s="216"/>
      <c r="G17" s="6"/>
    </row>
    <row r="18" spans="2:20" ht="14.25" customHeight="1" thickBot="1" x14ac:dyDescent="0.3">
      <c r="C18" s="312" t="s">
        <v>123</v>
      </c>
      <c r="D18" s="321"/>
      <c r="E18" s="321"/>
      <c r="F18" s="313"/>
      <c r="G18" s="312" t="s">
        <v>1067</v>
      </c>
      <c r="H18" s="321"/>
      <c r="I18" s="313"/>
      <c r="J18" s="218" t="s">
        <v>1072</v>
      </c>
      <c r="K18" s="312" t="s">
        <v>1073</v>
      </c>
      <c r="L18" s="313"/>
      <c r="M18" s="312" t="s">
        <v>1074</v>
      </c>
      <c r="N18" s="313"/>
      <c r="O18" s="312" t="s">
        <v>92</v>
      </c>
      <c r="P18" s="321"/>
      <c r="Q18" s="321"/>
      <c r="R18" s="321"/>
      <c r="S18" s="321"/>
      <c r="T18" s="313"/>
    </row>
    <row r="19" spans="2:20" ht="14.25" customHeight="1" x14ac:dyDescent="0.25">
      <c r="C19" s="363"/>
      <c r="D19" s="364"/>
      <c r="E19" s="364"/>
      <c r="F19" s="365"/>
      <c r="G19" s="372"/>
      <c r="H19" s="373"/>
      <c r="I19" s="374"/>
      <c r="J19" s="219"/>
      <c r="K19" s="363"/>
      <c r="L19" s="365"/>
      <c r="M19" s="295"/>
      <c r="N19" s="297"/>
      <c r="O19" s="363"/>
      <c r="P19" s="364"/>
      <c r="Q19" s="364"/>
      <c r="R19" s="364"/>
      <c r="S19" s="364"/>
      <c r="T19" s="365"/>
    </row>
    <row r="20" spans="2:20" ht="14.25" customHeight="1" x14ac:dyDescent="0.25">
      <c r="C20" s="360"/>
      <c r="D20" s="361"/>
      <c r="E20" s="361"/>
      <c r="F20" s="362"/>
      <c r="G20" s="369"/>
      <c r="H20" s="370"/>
      <c r="I20" s="371"/>
      <c r="J20" s="215"/>
      <c r="K20" s="375"/>
      <c r="L20" s="377"/>
      <c r="M20" s="360"/>
      <c r="N20" s="362"/>
      <c r="O20" s="360"/>
      <c r="P20" s="361"/>
      <c r="Q20" s="361"/>
      <c r="R20" s="361"/>
      <c r="S20" s="361"/>
      <c r="T20" s="362"/>
    </row>
    <row r="21" spans="2:20" ht="14.25" customHeight="1" x14ac:dyDescent="0.25">
      <c r="C21" s="360"/>
      <c r="D21" s="361"/>
      <c r="E21" s="361"/>
      <c r="F21" s="362"/>
      <c r="G21" s="369"/>
      <c r="H21" s="370"/>
      <c r="I21" s="371"/>
      <c r="J21" s="215"/>
      <c r="K21" s="375"/>
      <c r="L21" s="377"/>
      <c r="M21" s="360"/>
      <c r="N21" s="362"/>
      <c r="O21" s="375"/>
      <c r="P21" s="376"/>
      <c r="Q21" s="376"/>
      <c r="R21" s="376"/>
      <c r="S21" s="376"/>
      <c r="T21" s="377"/>
    </row>
    <row r="22" spans="2:20" ht="14.25" customHeight="1" x14ac:dyDescent="0.25">
      <c r="C22" s="375"/>
      <c r="D22" s="376"/>
      <c r="E22" s="376"/>
      <c r="F22" s="377"/>
      <c r="G22" s="378"/>
      <c r="H22" s="379"/>
      <c r="I22" s="380"/>
      <c r="J22" s="215"/>
      <c r="K22" s="375"/>
      <c r="L22" s="377"/>
      <c r="M22" s="360"/>
      <c r="N22" s="362"/>
      <c r="O22" s="375"/>
      <c r="P22" s="376"/>
      <c r="Q22" s="376"/>
      <c r="R22" s="376"/>
      <c r="S22" s="376"/>
      <c r="T22" s="377"/>
    </row>
    <row r="23" spans="2:20" ht="14.25" customHeight="1" x14ac:dyDescent="0.25"/>
    <row r="24" spans="2:20" ht="14.25" customHeight="1" x14ac:dyDescent="0.25"/>
    <row r="25" spans="2:20" ht="14.25" customHeight="1" x14ac:dyDescent="0.25">
      <c r="B25" s="226" t="s">
        <v>1106</v>
      </c>
    </row>
    <row r="26" spans="2:20" ht="14.25" customHeight="1" x14ac:dyDescent="0.25">
      <c r="B26" s="226"/>
      <c r="G26" s="6"/>
    </row>
    <row r="27" spans="2:20" ht="14.25" customHeight="1" thickBot="1" x14ac:dyDescent="0.3">
      <c r="C27" s="312" t="s">
        <v>123</v>
      </c>
      <c r="D27" s="321"/>
      <c r="E27" s="321"/>
      <c r="F27" s="313"/>
      <c r="G27" s="225" t="s">
        <v>1107</v>
      </c>
      <c r="H27" s="311" t="s">
        <v>936</v>
      </c>
      <c r="I27" s="311"/>
      <c r="J27" s="311"/>
    </row>
    <row r="28" spans="2:20" ht="14.25" customHeight="1" x14ac:dyDescent="0.25">
      <c r="C28" s="363"/>
      <c r="D28" s="364"/>
      <c r="E28" s="364"/>
      <c r="F28" s="365"/>
      <c r="G28" s="228"/>
      <c r="H28" s="378"/>
      <c r="I28" s="379"/>
      <c r="J28" s="380"/>
    </row>
    <row r="29" spans="2:20" ht="14.25" customHeight="1" x14ac:dyDescent="0.25">
      <c r="C29" s="360"/>
      <c r="D29" s="361"/>
      <c r="E29" s="361"/>
      <c r="F29" s="362"/>
      <c r="G29" s="229"/>
      <c r="H29" s="378"/>
      <c r="I29" s="379"/>
      <c r="J29" s="380"/>
    </row>
    <row r="30" spans="2:20" ht="14.25" customHeight="1" x14ac:dyDescent="0.25">
      <c r="C30" s="360"/>
      <c r="D30" s="361"/>
      <c r="E30" s="361"/>
      <c r="F30" s="362"/>
      <c r="G30" s="229"/>
      <c r="H30" s="378"/>
      <c r="I30" s="379"/>
      <c r="J30" s="380"/>
    </row>
    <row r="31" spans="2:20" ht="14.25" customHeight="1" x14ac:dyDescent="0.25">
      <c r="C31" s="375"/>
      <c r="D31" s="376"/>
      <c r="E31" s="376"/>
      <c r="F31" s="377"/>
      <c r="G31" s="229"/>
      <c r="H31" s="378"/>
      <c r="I31" s="379"/>
      <c r="J31" s="380"/>
    </row>
    <row r="32" spans="2:20" ht="14.25" customHeight="1" x14ac:dyDescent="0.25"/>
    <row r="33" spans="2:18" ht="14.25" customHeight="1" x14ac:dyDescent="0.25"/>
    <row r="34" spans="2:18" ht="14.25" customHeight="1" x14ac:dyDescent="0.25">
      <c r="B34" s="226" t="s">
        <v>1108</v>
      </c>
    </row>
    <row r="35" spans="2:18" ht="14.25" customHeight="1" x14ac:dyDescent="0.25">
      <c r="B35" s="226"/>
      <c r="G35" s="6"/>
    </row>
    <row r="36" spans="2:18" ht="14.25" customHeight="1" thickBot="1" x14ac:dyDescent="0.3">
      <c r="C36" s="312" t="s">
        <v>123</v>
      </c>
      <c r="D36" s="321"/>
      <c r="E36" s="321"/>
      <c r="F36" s="313"/>
      <c r="G36" s="227" t="s">
        <v>1107</v>
      </c>
      <c r="H36" s="227" t="s">
        <v>43</v>
      </c>
      <c r="I36" s="321" t="s">
        <v>1111</v>
      </c>
      <c r="J36" s="321"/>
      <c r="K36" s="313"/>
      <c r="L36" s="312" t="s">
        <v>477</v>
      </c>
      <c r="M36" s="321"/>
      <c r="N36" s="313"/>
      <c r="O36" s="311" t="s">
        <v>1112</v>
      </c>
      <c r="P36" s="311"/>
      <c r="Q36" s="311" t="s">
        <v>1136</v>
      </c>
      <c r="R36" s="311"/>
    </row>
    <row r="37" spans="2:18" ht="14.25" customHeight="1" x14ac:dyDescent="0.25">
      <c r="C37" s="363"/>
      <c r="D37" s="364"/>
      <c r="E37" s="364"/>
      <c r="F37" s="365"/>
      <c r="G37" s="228"/>
      <c r="H37" s="228"/>
      <c r="I37" s="373"/>
      <c r="J37" s="373"/>
      <c r="K37" s="373"/>
      <c r="L37" s="372" t="str">
        <f>IF(C37&lt;&gt;"",IF(H37&lt;&gt;0,VLOOKUP(H37,'Site Info'!$G$34:$V$69,5,FALSE),"Enter VLAN"),"")</f>
        <v/>
      </c>
      <c r="M37" s="373"/>
      <c r="N37" s="374"/>
      <c r="O37" s="302"/>
      <c r="P37" s="302"/>
      <c r="Q37" s="302"/>
      <c r="R37" s="302"/>
    </row>
    <row r="38" spans="2:18" ht="14.25" customHeight="1" x14ac:dyDescent="0.25">
      <c r="C38" s="360"/>
      <c r="D38" s="361"/>
      <c r="E38" s="361"/>
      <c r="F38" s="362"/>
      <c r="G38" s="229"/>
      <c r="H38" s="229"/>
      <c r="I38" s="370"/>
      <c r="J38" s="370"/>
      <c r="K38" s="370"/>
      <c r="L38" s="369" t="str">
        <f>IF(C38&lt;&gt;"",IF(H38&lt;&gt;0,VLOOKUP(H38,'Site Info'!$G$34:$V$69,5,FALSE),"Enter VLAN"),"")</f>
        <v/>
      </c>
      <c r="M38" s="370"/>
      <c r="N38" s="371"/>
      <c r="O38" s="291"/>
      <c r="P38" s="291"/>
      <c r="Q38" s="291"/>
      <c r="R38" s="291"/>
    </row>
    <row r="39" spans="2:18" ht="14.25" customHeight="1" x14ac:dyDescent="0.25">
      <c r="C39" s="360"/>
      <c r="D39" s="361"/>
      <c r="E39" s="361"/>
      <c r="F39" s="362"/>
      <c r="G39" s="229"/>
      <c r="H39" s="229"/>
      <c r="I39" s="370"/>
      <c r="J39" s="370"/>
      <c r="K39" s="370"/>
      <c r="L39" s="369" t="str">
        <f>IF(C39&lt;&gt;"",IF(H39&lt;&gt;0,VLOOKUP(H39,'Site Info'!$G$34:$V$69,5,FALSE),"Enter VLAN"),"")</f>
        <v/>
      </c>
      <c r="M39" s="370"/>
      <c r="N39" s="371"/>
      <c r="O39" s="291"/>
      <c r="P39" s="291"/>
      <c r="Q39" s="291"/>
      <c r="R39" s="291"/>
    </row>
    <row r="40" spans="2:18" ht="14.25" customHeight="1" x14ac:dyDescent="0.25">
      <c r="C40" s="360"/>
      <c r="D40" s="361"/>
      <c r="E40" s="361"/>
      <c r="F40" s="362"/>
      <c r="G40" s="229"/>
      <c r="H40" s="229"/>
      <c r="I40" s="370"/>
      <c r="J40" s="370"/>
      <c r="K40" s="370"/>
      <c r="L40" s="369" t="str">
        <f>IF(C40&lt;&gt;"",IF(H40&lt;&gt;0,VLOOKUP(H40,'Site Info'!$G$34:$V$69,5,FALSE),"Enter VLAN"),"")</f>
        <v/>
      </c>
      <c r="M40" s="370"/>
      <c r="N40" s="371"/>
      <c r="O40" s="291"/>
      <c r="P40" s="291"/>
      <c r="Q40" s="291"/>
      <c r="R40" s="291"/>
    </row>
    <row r="41" spans="2:18" ht="14.25" customHeight="1" x14ac:dyDescent="0.25"/>
    <row r="42" spans="2:18" ht="14.25" customHeight="1" x14ac:dyDescent="0.25"/>
    <row r="43" spans="2:18" ht="14.25" customHeight="1" x14ac:dyDescent="0.25"/>
    <row r="44" spans="2:18" ht="14.25" customHeight="1" x14ac:dyDescent="0.25"/>
    <row r="45" spans="2:18" ht="14.25" customHeight="1" x14ac:dyDescent="0.25"/>
    <row r="46" spans="2:18" ht="14.25" customHeight="1" x14ac:dyDescent="0.25"/>
    <row r="47" spans="2:18" ht="14.25" customHeight="1" x14ac:dyDescent="0.25"/>
    <row r="48" spans="2:1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sheetData>
  <mergeCells count="71">
    <mergeCell ref="Q36:R36"/>
    <mergeCell ref="Q37:R37"/>
    <mergeCell ref="Q38:R38"/>
    <mergeCell ref="Q39:R39"/>
    <mergeCell ref="Q40:R40"/>
    <mergeCell ref="C27:F27"/>
    <mergeCell ref="C28:F28"/>
    <mergeCell ref="C29:F29"/>
    <mergeCell ref="C36:F36"/>
    <mergeCell ref="H27:J27"/>
    <mergeCell ref="H28:J28"/>
    <mergeCell ref="H29:J29"/>
    <mergeCell ref="H30:J30"/>
    <mergeCell ref="H31:J31"/>
    <mergeCell ref="C30:F30"/>
    <mergeCell ref="C31:F31"/>
    <mergeCell ref="R5:AE5"/>
    <mergeCell ref="B8:E8"/>
    <mergeCell ref="F8:K8"/>
    <mergeCell ref="L8:O8"/>
    <mergeCell ref="P8:S8"/>
    <mergeCell ref="C12:H12"/>
    <mergeCell ref="I12:L12"/>
    <mergeCell ref="M12:O12"/>
    <mergeCell ref="C13:H13"/>
    <mergeCell ref="I13:L13"/>
    <mergeCell ref="M13:O13"/>
    <mergeCell ref="O18:T18"/>
    <mergeCell ref="O19:T19"/>
    <mergeCell ref="O20:T20"/>
    <mergeCell ref="O21:T21"/>
    <mergeCell ref="O22:T22"/>
    <mergeCell ref="M18:N18"/>
    <mergeCell ref="M19:N19"/>
    <mergeCell ref="M20:N20"/>
    <mergeCell ref="M21:N21"/>
    <mergeCell ref="M22:N22"/>
    <mergeCell ref="K18:L18"/>
    <mergeCell ref="K19:L19"/>
    <mergeCell ref="K20:L20"/>
    <mergeCell ref="K21:L21"/>
    <mergeCell ref="K22:L22"/>
    <mergeCell ref="C21:F21"/>
    <mergeCell ref="G20:I20"/>
    <mergeCell ref="G21:I21"/>
    <mergeCell ref="C22:F22"/>
    <mergeCell ref="G22:I22"/>
    <mergeCell ref="C18:F18"/>
    <mergeCell ref="C19:F19"/>
    <mergeCell ref="G18:I18"/>
    <mergeCell ref="G19:I19"/>
    <mergeCell ref="C20:F20"/>
    <mergeCell ref="C40:F40"/>
    <mergeCell ref="I36:K36"/>
    <mergeCell ref="I37:K37"/>
    <mergeCell ref="I38:K38"/>
    <mergeCell ref="I39:K39"/>
    <mergeCell ref="I40:K40"/>
    <mergeCell ref="C39:F39"/>
    <mergeCell ref="C37:F37"/>
    <mergeCell ref="C38:F38"/>
    <mergeCell ref="L40:N40"/>
    <mergeCell ref="O36:P36"/>
    <mergeCell ref="O37:P37"/>
    <mergeCell ref="O38:P38"/>
    <mergeCell ref="O39:P39"/>
    <mergeCell ref="O40:P40"/>
    <mergeCell ref="L36:N36"/>
    <mergeCell ref="L37:N37"/>
    <mergeCell ref="L38:N38"/>
    <mergeCell ref="L39:N39"/>
  </mergeCells>
  <conditionalFormatting sqref="C13:O13">
    <cfRule type="containsBlanks" dxfId="524" priority="102">
      <formula>LEN(TRIM(C13))=0</formula>
    </cfRule>
  </conditionalFormatting>
  <conditionalFormatting sqref="F8">
    <cfRule type="containsBlanks" dxfId="523" priority="7">
      <formula>LEN(TRIM(F8))=0</formula>
    </cfRule>
  </conditionalFormatting>
  <conditionalFormatting sqref="C19:C22 G19:G22 J19:K22 M19:M22 O19:O22">
    <cfRule type="containsBlanks" dxfId="522" priority="3">
      <formula>LEN(TRIM(C19))=0</formula>
    </cfRule>
  </conditionalFormatting>
  <conditionalFormatting sqref="C28:H31">
    <cfRule type="containsBlanks" dxfId="521" priority="2">
      <formula>LEN(TRIM(C28))=0</formula>
    </cfRule>
  </conditionalFormatting>
  <conditionalFormatting sqref="C37:R40">
    <cfRule type="containsBlanks" dxfId="520" priority="1">
      <formula>LEN(TRIM(C37))=0</formula>
    </cfRule>
  </conditionalFormatting>
  <dataValidations count="2">
    <dataValidation allowBlank="1" sqref="P8:S8" xr:uid="{00000000-0002-0000-0500-000000000000}"/>
    <dataValidation type="list" allowBlank="1" showInputMessage="1" showErrorMessage="1" sqref="H37:H40" xr:uid="{00000000-0002-0000-0500-000001000000}">
      <formula1>VLANList</formula1>
    </dataValidation>
  </dataValidations>
  <pageMargins left="0.7" right="0.7" top="0.75" bottom="0.75" header="0.3" footer="0.3"/>
  <pageSetup orientation="portrait"/>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500-000002000000}">
          <x14:formula1>
            <xm:f>Dropdowns!$G$25:$G$26</xm:f>
          </x14:formula1>
          <xm:sqref>G19:I22</xm:sqref>
        </x14:dataValidation>
        <x14:dataValidation type="list" allowBlank="1" showInputMessage="1" showErrorMessage="1" xr:uid="{00000000-0002-0000-0500-000003000000}">
          <x14:formula1>
            <xm:f>Dropdowns!$G$29:$G$35</xm:f>
          </x14:formula1>
          <xm:sqref>K19:L22</xm:sqref>
        </x14:dataValidation>
        <x14:dataValidation type="list" allowBlank="1" showInputMessage="1" showErrorMessage="1" xr:uid="{00000000-0002-0000-0500-000004000000}">
          <x14:formula1>
            <xm:f>Inventory!$C$27:$C$34</xm:f>
          </x14:formula1>
          <xm:sqref>C19:F22 C28:F31 C37:F40</xm:sqref>
        </x14:dataValidation>
        <x14:dataValidation type="list" allowBlank="1" showInputMessage="1" showErrorMessage="1" xr:uid="{00000000-0002-0000-0500-000005000000}">
          <x14:formula1>
            <xm:f>Dropdowns!$B$3:$B$4</xm:f>
          </x14:formula1>
          <xm:sqref>O37:R40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pageSetUpPr fitToPage="1"/>
  </sheetPr>
  <dimension ref="A2:AF173"/>
  <sheetViews>
    <sheetView zoomScale="110" zoomScaleNormal="110" workbookViewId="0">
      <pane ySplit="4" topLeftCell="A14" activePane="bottomLeft" state="frozenSplit"/>
      <selection activeCell="N65" sqref="N65:P65"/>
      <selection pane="bottomLeft" activeCell="AE108" sqref="AE108"/>
    </sheetView>
  </sheetViews>
  <sheetFormatPr defaultColWidth="7.140625" defaultRowHeight="10.5" x14ac:dyDescent="0.25"/>
  <cols>
    <col min="1" max="1" width="1.42578125" style="3" customWidth="1"/>
    <col min="2" max="31" width="7.140625" style="3" customWidth="1"/>
    <col min="32" max="16384" width="7.140625" style="3"/>
  </cols>
  <sheetData>
    <row r="2" spans="1:31" ht="30.75" customHeight="1" x14ac:dyDescent="0.25">
      <c r="A2" s="2" t="s">
        <v>1</v>
      </c>
      <c r="B2"/>
      <c r="V2" s="1" t="s">
        <v>1114</v>
      </c>
    </row>
    <row r="3" spans="1:31" ht="9" customHeight="1" x14ac:dyDescent="0.25"/>
    <row r="4" spans="1:31" s="35" customFormat="1" ht="9" customHeight="1" x14ac:dyDescent="0.25"/>
    <row r="5" spans="1:31" s="34" customFormat="1" ht="15" x14ac:dyDescent="0.25">
      <c r="A5" s="5"/>
      <c r="R5" s="350" t="str">
        <f>IF('Site Info'!$C$8=Dropdowns!$R$4,"",IF('Site Info'!$C$8=Dropdowns!$R$7,"",IF('Site Info'!$C$8=Dropdowns!$R$8,"","THIS TAB IS NOT APPLICABLE FOR THIS SOLUTION, HIDE THIS TAB")))</f>
        <v/>
      </c>
      <c r="S5" s="350"/>
      <c r="T5" s="350"/>
      <c r="U5" s="350"/>
      <c r="V5" s="350"/>
      <c r="W5" s="350"/>
      <c r="X5" s="350"/>
      <c r="Y5" s="350"/>
      <c r="Z5" s="350"/>
      <c r="AA5" s="350"/>
      <c r="AB5" s="350"/>
      <c r="AC5" s="350"/>
      <c r="AD5" s="350"/>
      <c r="AE5" s="350"/>
    </row>
    <row r="6" spans="1:31" s="29" customFormat="1" ht="14.25" customHeight="1" x14ac:dyDescent="0.25">
      <c r="B6" s="4" t="str">
        <f>CONCATENATE("SVM #",F9," - General Information")</f>
        <v>SVM #01 - General Information</v>
      </c>
      <c r="AB6" s="76" t="s">
        <v>986</v>
      </c>
    </row>
    <row r="7" spans="1:31" s="29" customFormat="1" ht="6" customHeight="1" x14ac:dyDescent="0.25">
      <c r="B7" s="4"/>
      <c r="G7" s="6"/>
    </row>
    <row r="8" spans="1:31" s="35" customFormat="1" ht="14.25" customHeight="1" x14ac:dyDescent="0.25">
      <c r="B8" s="303"/>
      <c r="C8" s="303"/>
      <c r="D8" s="303"/>
      <c r="E8" s="303"/>
      <c r="F8" s="176"/>
      <c r="G8" s="303" t="s">
        <v>985</v>
      </c>
      <c r="H8" s="303"/>
      <c r="I8" s="303"/>
      <c r="J8" s="303"/>
      <c r="K8" s="288" t="s">
        <v>1400</v>
      </c>
      <c r="L8" s="289"/>
      <c r="M8" s="289"/>
      <c r="N8" s="289"/>
      <c r="O8" s="290"/>
    </row>
    <row r="9" spans="1:31" ht="14.25" customHeight="1" x14ac:dyDescent="0.25">
      <c r="B9" s="303" t="s">
        <v>976</v>
      </c>
      <c r="C9" s="303"/>
      <c r="D9" s="303"/>
      <c r="E9" s="303"/>
      <c r="F9" s="40" t="s">
        <v>1325</v>
      </c>
      <c r="G9" s="303" t="s">
        <v>975</v>
      </c>
      <c r="H9" s="303"/>
      <c r="I9" s="303"/>
      <c r="J9" s="303"/>
      <c r="K9" s="288" t="str">
        <f>IF(Inventory!$F$10="Clustered OnTap",CONCATENATE(Inventory!$G$12,"-",$K$8,"-",$F$9),"")</f>
        <v>shpsan-nas-01</v>
      </c>
      <c r="L9" s="289"/>
      <c r="M9" s="289"/>
      <c r="N9" s="289"/>
      <c r="O9" s="290"/>
      <c r="S9" s="83"/>
      <c r="T9" s="304" t="s">
        <v>1092</v>
      </c>
      <c r="U9" s="304"/>
      <c r="V9" s="304"/>
      <c r="W9" s="356"/>
      <c r="X9" s="291" t="str">
        <f>IF(Inventory!$F$10="Clustered OnTap",CONCATENATE("svm",$K$8,$F$9),"")</f>
        <v>svmnas01</v>
      </c>
      <c r="Y9" s="291"/>
      <c r="Z9" s="291"/>
      <c r="AA9" s="291"/>
      <c r="AB9" s="291"/>
    </row>
    <row r="10" spans="1:31" ht="6" customHeight="1" thickBot="1" x14ac:dyDescent="0.3"/>
    <row r="11" spans="1:31" ht="14.25" customHeight="1" x14ac:dyDescent="0.25">
      <c r="B11" s="303" t="s">
        <v>987</v>
      </c>
      <c r="C11" s="303"/>
      <c r="D11" s="303"/>
      <c r="E11" s="303"/>
      <c r="F11" s="288" t="str">
        <f>IF('Site Info'!$F$25&lt;&gt;0,'Site Info'!$F$25,"")</f>
        <v>speedcast.com</v>
      </c>
      <c r="G11" s="289"/>
      <c r="H11" s="289"/>
      <c r="I11" s="290"/>
      <c r="S11" s="382" t="s">
        <v>483</v>
      </c>
      <c r="T11" s="383"/>
      <c r="U11" s="383"/>
      <c r="V11" s="383"/>
      <c r="W11" s="383"/>
      <c r="X11" s="383"/>
      <c r="Y11" s="383"/>
      <c r="Z11" s="383"/>
      <c r="AA11" s="383"/>
      <c r="AB11" s="384"/>
    </row>
    <row r="12" spans="1:31" ht="14.25" customHeight="1" x14ac:dyDescent="0.25">
      <c r="B12" s="303" t="s">
        <v>988</v>
      </c>
      <c r="C12" s="303"/>
      <c r="D12" s="303"/>
      <c r="E12" s="303"/>
      <c r="F12" s="288" t="s">
        <v>1366</v>
      </c>
      <c r="G12" s="289"/>
      <c r="H12" s="290"/>
      <c r="I12" s="288" t="str">
        <f>IF('Site Info'!$I$26&lt;&gt;0,'Site Info'!$I$26,"")</f>
        <v>175.176.252.8</v>
      </c>
      <c r="J12" s="289"/>
      <c r="K12" s="290"/>
      <c r="L12" s="288" t="str">
        <f>IF('Site Info'!$L$26&lt;&gt;0,'Site Info'!$L$26,"")</f>
        <v/>
      </c>
      <c r="M12" s="289"/>
      <c r="N12" s="290"/>
      <c r="O12" s="3" t="s">
        <v>1367</v>
      </c>
      <c r="S12" s="87"/>
      <c r="T12" s="82">
        <f>IF(G14="Yes",COUNTA(E35:I42)-COUNTIF(E35:I42," "),"0")</f>
        <v>2</v>
      </c>
      <c r="U12" s="83" t="s">
        <v>358</v>
      </c>
      <c r="V12" s="82">
        <f>IF(I14="Yes",COUNTA(E51:I58)-COUNTIF(E51:I58," "),0)</f>
        <v>0</v>
      </c>
      <c r="W12" s="83" t="s">
        <v>359</v>
      </c>
      <c r="X12" s="82">
        <f>IF(M14="Yes",(COUNTA(E67:I74)-COUNTIF(E67:I74," "))+(COUNTA(E83:I90)-COUNTIF(E83:I90," ")),0)</f>
        <v>0</v>
      </c>
      <c r="Y12" s="83" t="s">
        <v>175</v>
      </c>
      <c r="Z12" s="82">
        <v>1</v>
      </c>
      <c r="AA12" s="83" t="s">
        <v>990</v>
      </c>
      <c r="AB12" s="88"/>
    </row>
    <row r="13" spans="1:31" s="35" customFormat="1" ht="14.25" customHeight="1" thickBot="1" x14ac:dyDescent="0.3">
      <c r="F13" s="35" t="s">
        <v>1369</v>
      </c>
      <c r="O13" s="35" t="s">
        <v>1368</v>
      </c>
      <c r="S13" s="89"/>
      <c r="T13" s="79"/>
      <c r="U13" s="79"/>
      <c r="V13" s="79"/>
      <c r="W13" s="79"/>
      <c r="X13" s="79"/>
      <c r="Y13" s="79"/>
      <c r="Z13" s="79"/>
      <c r="AA13" s="79"/>
      <c r="AB13" s="90"/>
    </row>
    <row r="14" spans="1:31" s="35" customFormat="1" ht="14.25" customHeight="1" x14ac:dyDescent="0.25">
      <c r="B14" s="303" t="s">
        <v>445</v>
      </c>
      <c r="C14" s="303"/>
      <c r="D14" s="303"/>
      <c r="E14" s="303"/>
      <c r="F14" s="68" t="s">
        <v>446</v>
      </c>
      <c r="G14" s="69" t="s">
        <v>16</v>
      </c>
      <c r="H14" s="68" t="s">
        <v>447</v>
      </c>
      <c r="I14" s="69" t="s">
        <v>17</v>
      </c>
      <c r="J14" s="68" t="s">
        <v>448</v>
      </c>
      <c r="K14" s="69" t="s">
        <v>17</v>
      </c>
      <c r="L14" s="68" t="s">
        <v>449</v>
      </c>
      <c r="M14" s="69" t="s">
        <v>17</v>
      </c>
      <c r="V14" s="35">
        <v>77048</v>
      </c>
    </row>
    <row r="15" spans="1:31" s="35" customFormat="1" ht="6" customHeight="1" x14ac:dyDescent="0.25">
      <c r="B15" s="4"/>
      <c r="G15" s="6"/>
    </row>
    <row r="16" spans="1:31" ht="14.25" customHeight="1" x14ac:dyDescent="0.25">
      <c r="B16" s="303" t="s">
        <v>977</v>
      </c>
      <c r="C16" s="303"/>
      <c r="D16" s="303"/>
      <c r="E16" s="303"/>
      <c r="F16" s="288" t="s">
        <v>1407</v>
      </c>
      <c r="G16" s="289"/>
      <c r="H16" s="289"/>
      <c r="I16" s="289"/>
      <c r="J16" s="290"/>
      <c r="S16" s="303" t="s">
        <v>1284</v>
      </c>
      <c r="T16" s="303"/>
      <c r="U16" s="303"/>
      <c r="V16" s="303"/>
      <c r="W16" s="288" t="s">
        <v>1274</v>
      </c>
      <c r="X16" s="289"/>
      <c r="Y16" s="290"/>
    </row>
    <row r="17" spans="1:32" s="35" customFormat="1" ht="14.25" customHeight="1" x14ac:dyDescent="0.25"/>
    <row r="18" spans="1:32" s="34" customFormat="1" ht="14.25" x14ac:dyDescent="0.25">
      <c r="B18" s="4" t="s">
        <v>984</v>
      </c>
      <c r="Q18" s="34" t="s">
        <v>1370</v>
      </c>
    </row>
    <row r="19" spans="1:32" s="34" customFormat="1" ht="14.25" x14ac:dyDescent="0.25">
      <c r="B19" s="4"/>
      <c r="G19" s="6"/>
      <c r="Q19" s="34" t="s">
        <v>1373</v>
      </c>
      <c r="AF19" s="34" t="s">
        <v>1399</v>
      </c>
    </row>
    <row r="20" spans="1:32" s="34" customFormat="1" ht="14.25" customHeight="1" x14ac:dyDescent="0.25">
      <c r="B20" s="303" t="s">
        <v>982</v>
      </c>
      <c r="C20" s="303"/>
      <c r="D20" s="303"/>
      <c r="E20" s="303"/>
      <c r="F20" s="109">
        <v>1852</v>
      </c>
      <c r="G20" s="303" t="s">
        <v>978</v>
      </c>
      <c r="H20" s="303"/>
      <c r="I20" s="303"/>
      <c r="J20" s="303"/>
      <c r="K20" s="288" t="str">
        <f>IF(E25&lt;&gt;"",IF(F20&lt;&gt;0,VLOOKUP(F20,'Site Info'!$G$34:$P$69,8,FALSE),"enter VLAN"),"")</f>
        <v>10.126.131.1</v>
      </c>
      <c r="L20" s="289"/>
      <c r="M20" s="290"/>
      <c r="N20" s="303" t="s">
        <v>980</v>
      </c>
      <c r="O20" s="303"/>
      <c r="P20" s="303"/>
      <c r="Q20" s="303"/>
      <c r="R20" s="33">
        <v>10</v>
      </c>
    </row>
    <row r="21" spans="1:32" s="34" customFormat="1" ht="14.25" customHeight="1" x14ac:dyDescent="0.25">
      <c r="B21" s="303" t="s">
        <v>983</v>
      </c>
      <c r="C21" s="303"/>
      <c r="D21" s="303"/>
      <c r="E21" s="303"/>
      <c r="F21" s="33" t="s">
        <v>1355</v>
      </c>
      <c r="G21" s="303" t="s">
        <v>979</v>
      </c>
      <c r="H21" s="303"/>
      <c r="I21" s="303"/>
      <c r="J21" s="303"/>
      <c r="K21" s="288" t="str">
        <f>IF(E25&lt;&gt;"",IF(F20&lt;&gt;0,VLOOKUP(F20,'Site Info'!$G$34:$P$69,5,FALSE),"enter VLAN"),"")</f>
        <v>255.255.255.0</v>
      </c>
      <c r="L21" s="289"/>
      <c r="M21" s="290"/>
    </row>
    <row r="22" spans="1:32" s="34" customFormat="1" ht="14.25" customHeight="1" x14ac:dyDescent="0.25">
      <c r="B22" s="303" t="s">
        <v>91</v>
      </c>
      <c r="C22" s="303"/>
      <c r="D22" s="303"/>
      <c r="E22" s="303"/>
      <c r="F22" s="33" t="s">
        <v>16</v>
      </c>
    </row>
    <row r="23" spans="1:32" s="34" customFormat="1" ht="14.25" customHeight="1" x14ac:dyDescent="0.25">
      <c r="J23" s="299" t="str">
        <f>IF($F$20&lt;&gt;0,IF(E25&lt;&gt;"",VLOOKUP($F$20,'Site Info'!$G$34:$P$69,2,FALSE),""),"")</f>
        <v>10.126.131.0/24</v>
      </c>
      <c r="K23" s="299"/>
      <c r="L23" s="299"/>
    </row>
    <row r="24" spans="1:32" s="34" customFormat="1" ht="14.25" customHeight="1" thickBot="1" x14ac:dyDescent="0.3">
      <c r="B24" s="312" t="s">
        <v>92</v>
      </c>
      <c r="C24" s="321"/>
      <c r="D24" s="313"/>
      <c r="E24" s="312" t="s">
        <v>991</v>
      </c>
      <c r="F24" s="321"/>
      <c r="G24" s="321"/>
      <c r="H24" s="321"/>
      <c r="I24" s="313"/>
      <c r="J24" s="312" t="s">
        <v>71</v>
      </c>
      <c r="K24" s="321"/>
      <c r="L24" s="313"/>
      <c r="M24" s="312" t="s">
        <v>93</v>
      </c>
      <c r="N24" s="321"/>
      <c r="O24" s="321"/>
      <c r="P24" s="313"/>
      <c r="Q24" s="312" t="s">
        <v>95</v>
      </c>
      <c r="R24" s="321"/>
      <c r="S24" s="313"/>
      <c r="T24" s="312" t="s">
        <v>96</v>
      </c>
      <c r="U24" s="321"/>
      <c r="V24" s="313"/>
      <c r="W24" s="312" t="s">
        <v>1269</v>
      </c>
      <c r="X24" s="321"/>
      <c r="Y24" s="313"/>
    </row>
    <row r="25" spans="1:32" s="34" customFormat="1" ht="14.25" customHeight="1" x14ac:dyDescent="0.25">
      <c r="A25" s="26">
        <v>1</v>
      </c>
      <c r="B25" s="302" t="str">
        <f>IF(E25&lt;&gt;"","SVM Administration","")</f>
        <v>SVM Administration</v>
      </c>
      <c r="C25" s="302"/>
      <c r="D25" s="302"/>
      <c r="E25" s="302" t="str">
        <f>IF(K9&lt;&gt;"",CONCATENATE(K9,"-admin.",F11),"")</f>
        <v>shpsan-nas-01-admin.speedcast.com</v>
      </c>
      <c r="F25" s="302"/>
      <c r="G25" s="302"/>
      <c r="H25" s="302"/>
      <c r="I25" s="302"/>
      <c r="J25" s="288"/>
      <c r="K25" s="289"/>
      <c r="L25" s="290"/>
      <c r="M25" s="288" t="str">
        <f>IF(K9&lt;&gt;"",CONCATENATE(K9,"-admin",""),"")</f>
        <v>shpsan-nas-01-admin</v>
      </c>
      <c r="N25" s="289"/>
      <c r="O25" s="289"/>
      <c r="P25" s="290"/>
      <c r="Q25" s="302" t="str">
        <f>IF(E25&lt;&gt;"",Inventory!$C$15,"")</f>
        <v>shpsan-01</v>
      </c>
      <c r="R25" s="302"/>
      <c r="S25" s="302"/>
      <c r="T25" s="302" t="str">
        <f>IF(AND(E25&lt;&gt;"",$F$22&lt;&gt;0,$F$21&lt;&gt;0,$F$20&lt;&gt;0),IF($F$22&lt;&gt;"Yes",$F$21,CONCATENATE($F$21,"-",$F$20)),"")</f>
        <v>a0a-1852</v>
      </c>
      <c r="U25" s="302"/>
      <c r="V25" s="302"/>
      <c r="W25" s="302" t="s">
        <v>1357</v>
      </c>
      <c r="X25" s="302"/>
      <c r="Y25" s="302"/>
    </row>
    <row r="26" spans="1:32" ht="14.25" customHeight="1" x14ac:dyDescent="0.25">
      <c r="F26" s="3" t="s">
        <v>1374</v>
      </c>
      <c r="I26" s="3" t="s">
        <v>1375</v>
      </c>
      <c r="AB26" s="36" t="s">
        <v>143</v>
      </c>
    </row>
    <row r="27" spans="1:32" s="34" customFormat="1" ht="14.25" x14ac:dyDescent="0.25">
      <c r="B27" s="4" t="s">
        <v>127</v>
      </c>
    </row>
    <row r="28" spans="1:32" s="34" customFormat="1" ht="14.25" x14ac:dyDescent="0.25">
      <c r="B28" s="4"/>
      <c r="F28" s="34" t="s">
        <v>1374</v>
      </c>
      <c r="G28" s="6"/>
      <c r="I28" s="34" t="s">
        <v>1376</v>
      </c>
      <c r="Q28" s="34" t="s">
        <v>1374</v>
      </c>
    </row>
    <row r="29" spans="1:32" s="34" customFormat="1" ht="14.25" customHeight="1" x14ac:dyDescent="0.25">
      <c r="B29" s="303" t="s">
        <v>131</v>
      </c>
      <c r="C29" s="303"/>
      <c r="D29" s="303"/>
      <c r="E29" s="303"/>
      <c r="F29" s="109">
        <v>1852</v>
      </c>
      <c r="G29" s="303" t="s">
        <v>128</v>
      </c>
      <c r="H29" s="303"/>
      <c r="I29" s="303"/>
      <c r="J29" s="303"/>
      <c r="K29" s="288" t="str">
        <f>IF(E35&lt;&gt;"",IF(F29&lt;&gt;0,VLOOKUP(F29,'Site Info'!$G$34:$P$69,8,FALSE),"enter VLAN"),"")</f>
        <v>10.126.131.1</v>
      </c>
      <c r="L29" s="289"/>
      <c r="M29" s="290"/>
      <c r="N29" s="303" t="s">
        <v>129</v>
      </c>
      <c r="O29" s="303"/>
      <c r="P29" s="303"/>
      <c r="Q29" s="303"/>
      <c r="R29" s="33">
        <v>10</v>
      </c>
    </row>
    <row r="30" spans="1:32" s="34" customFormat="1" ht="14.25" customHeight="1" x14ac:dyDescent="0.25">
      <c r="B30" s="303" t="s">
        <v>132</v>
      </c>
      <c r="C30" s="303"/>
      <c r="D30" s="303"/>
      <c r="E30" s="303"/>
      <c r="F30" s="69" t="s">
        <v>1355</v>
      </c>
      <c r="G30" s="303" t="s">
        <v>130</v>
      </c>
      <c r="H30" s="303"/>
      <c r="I30" s="303"/>
      <c r="J30" s="303"/>
      <c r="K30" s="288" t="str">
        <f>IF(E35&lt;&gt;"",IF(F29&lt;&gt;0,VLOOKUP(F29,'Site Info'!$G$34:$P$69,5,FALSE),"enter VLAN"),"")</f>
        <v>255.255.255.0</v>
      </c>
      <c r="L30" s="289"/>
      <c r="M30" s="290"/>
    </row>
    <row r="31" spans="1:32" s="34" customFormat="1" ht="14.25" customHeight="1" x14ac:dyDescent="0.25">
      <c r="B31" s="303" t="s">
        <v>91</v>
      </c>
      <c r="C31" s="303"/>
      <c r="D31" s="303"/>
      <c r="E31" s="303"/>
      <c r="F31" s="69" t="s">
        <v>16</v>
      </c>
      <c r="G31" s="303" t="s">
        <v>134</v>
      </c>
      <c r="H31" s="303"/>
      <c r="I31" s="303"/>
      <c r="J31" s="303"/>
      <c r="K31" s="288" t="str">
        <f>IF(K9&lt;&gt;"",CONCATENATE(K9,".",F11),"")</f>
        <v>shpsan-nas-01.speedcast.com</v>
      </c>
      <c r="L31" s="289"/>
      <c r="M31" s="289"/>
      <c r="N31" s="289"/>
      <c r="O31" s="290"/>
    </row>
    <row r="32" spans="1:32" s="34" customFormat="1" ht="6" customHeight="1" x14ac:dyDescent="0.25">
      <c r="B32" s="4"/>
      <c r="G32" s="6"/>
    </row>
    <row r="33" spans="1:28" s="34" customFormat="1" ht="14.25" customHeight="1" x14ac:dyDescent="0.25">
      <c r="J33" s="299" t="str">
        <f>IF(F29&lt;&gt;0,IF(E35&lt;&gt;"",VLOOKUP(F29,'Site Info'!$G$34:$P$69,2,FALSE),""),"")</f>
        <v>10.126.131.0/24</v>
      </c>
      <c r="K33" s="299"/>
      <c r="L33" s="299"/>
    </row>
    <row r="34" spans="1:28" s="34" customFormat="1" ht="14.25" customHeight="1" thickBot="1" x14ac:dyDescent="0.3">
      <c r="B34" s="312" t="s">
        <v>92</v>
      </c>
      <c r="C34" s="321"/>
      <c r="D34" s="313"/>
      <c r="E34" s="312" t="s">
        <v>133</v>
      </c>
      <c r="F34" s="321"/>
      <c r="G34" s="321"/>
      <c r="H34" s="321"/>
      <c r="I34" s="313"/>
      <c r="J34" s="312" t="s">
        <v>71</v>
      </c>
      <c r="K34" s="321"/>
      <c r="L34" s="313"/>
      <c r="M34" s="312" t="s">
        <v>93</v>
      </c>
      <c r="N34" s="321"/>
      <c r="O34" s="321"/>
      <c r="P34" s="313"/>
      <c r="Q34" s="312" t="s">
        <v>95</v>
      </c>
      <c r="R34" s="321"/>
      <c r="S34" s="313"/>
      <c r="T34" s="312" t="s">
        <v>96</v>
      </c>
      <c r="U34" s="321"/>
      <c r="V34" s="313"/>
      <c r="W34" s="312" t="s">
        <v>1269</v>
      </c>
      <c r="X34" s="321"/>
      <c r="Y34" s="313"/>
      <c r="Z34" s="258" t="s">
        <v>473</v>
      </c>
    </row>
    <row r="35" spans="1:28" s="34" customFormat="1" ht="14.25" customHeight="1" x14ac:dyDescent="0.25">
      <c r="A35" s="26">
        <v>1</v>
      </c>
      <c r="B35" s="302" t="str">
        <f>IF(Inventory!$C$15&lt;&gt;"",CONCATENATE("CIFS - Node ",A35),"")</f>
        <v>CIFS - Node 1</v>
      </c>
      <c r="C35" s="302"/>
      <c r="D35" s="302"/>
      <c r="E35" s="302" t="str">
        <f>IF(B35&lt;&gt;"",CONCATENATE(K9,"-0",A35,".",F11)," ")</f>
        <v>shpsan-nas-01-01.speedcast.com</v>
      </c>
      <c r="F35" s="302"/>
      <c r="G35" s="302"/>
      <c r="H35" s="302"/>
      <c r="I35" s="302"/>
      <c r="J35" s="288" t="s">
        <v>1413</v>
      </c>
      <c r="K35" s="289"/>
      <c r="L35" s="290"/>
      <c r="M35" s="288" t="str">
        <f>IF(B35&lt;&gt;"",CONCATENATE(K9,"-0",A35),"")</f>
        <v>shpsan-nas-01-01</v>
      </c>
      <c r="N35" s="289"/>
      <c r="O35" s="289"/>
      <c r="P35" s="290"/>
      <c r="Q35" s="302" t="str">
        <f>IF(E35&lt;&gt;"",Inventory!$C$15,"")</f>
        <v>shpsan-01</v>
      </c>
      <c r="R35" s="302"/>
      <c r="S35" s="302"/>
      <c r="T35" s="302" t="str">
        <f>IF(AND(E35&lt;&gt;"",F31&lt;&gt;0,F30&lt;&gt;0,F29&lt;&gt;0),IF(F31&lt;&gt;"Yes",F30,CONCATENATE(F30,"-",F29)),"")</f>
        <v>a0a-1852</v>
      </c>
      <c r="U35" s="302"/>
      <c r="V35" s="302"/>
      <c r="W35" s="302"/>
      <c r="X35" s="302"/>
      <c r="Y35" s="302"/>
      <c r="Z35" s="255">
        <f>IF($F$29&lt;&gt;0,IF(VLOOKUP($F$29,'Site Info'!$G$34:$V$69,8,FALSE)&lt;&gt;0,VLOOKUP($F$29,'Site Info'!$G$34:$V$69,11,FALSE),""),"")</f>
        <v>1500</v>
      </c>
    </row>
    <row r="36" spans="1:28" ht="14.25" customHeight="1" x14ac:dyDescent="0.25">
      <c r="A36" s="26">
        <v>2</v>
      </c>
      <c r="B36" s="302" t="str">
        <f>IF(Inventory!$C$16&lt;&gt;"",CONCATENATE("CIFS - Node ",A36),"")</f>
        <v>CIFS - Node 2</v>
      </c>
      <c r="C36" s="302"/>
      <c r="D36" s="302"/>
      <c r="E36" s="302" t="str">
        <f>IF(B36&lt;&gt;"",CONCATENATE(K9,"-0",A36,".",F11)," ")</f>
        <v>shpsan-nas-01-02.speedcast.com</v>
      </c>
      <c r="F36" s="302"/>
      <c r="G36" s="302"/>
      <c r="H36" s="302"/>
      <c r="I36" s="302"/>
      <c r="J36" s="288" t="s">
        <v>1414</v>
      </c>
      <c r="K36" s="289"/>
      <c r="L36" s="290"/>
      <c r="M36" s="288" t="str">
        <f>IF(B36&lt;&gt;"",CONCATENATE(K9,"-0",A36),"")</f>
        <v>shpsan-nas-01-02</v>
      </c>
      <c r="N36" s="289"/>
      <c r="O36" s="289"/>
      <c r="P36" s="290"/>
      <c r="Q36" s="302" t="str">
        <f>IF(E36&lt;&gt;"",Inventory!$C$16,"")</f>
        <v>shpsan-02</v>
      </c>
      <c r="R36" s="302"/>
      <c r="S36" s="302"/>
      <c r="T36" s="302" t="str">
        <f>IF(AND(E36&lt;&gt;"",F31&lt;&gt;0,F30&lt;&gt;0,F29&lt;&gt;0),IF(F31&lt;&gt;"Yes",F30,CONCATENATE(F30,"-",F29)),"")</f>
        <v>a0a-1852</v>
      </c>
      <c r="U36" s="302"/>
      <c r="V36" s="302"/>
      <c r="W36" s="302"/>
      <c r="X36" s="302"/>
      <c r="Y36" s="302"/>
      <c r="Z36" s="255">
        <f>IF($F$29&lt;&gt;0,IF(VLOOKUP($F$29,'Site Info'!$G$34:$V$69,8,FALSE)&lt;&gt;0,VLOOKUP($F$29,'Site Info'!$G$34:$V$69,11,FALSE),""),"")</f>
        <v>1500</v>
      </c>
    </row>
    <row r="37" spans="1:28" ht="14.25" hidden="1" customHeight="1" x14ac:dyDescent="0.25">
      <c r="A37" s="26">
        <v>3</v>
      </c>
      <c r="B37" s="302" t="str">
        <f>IF(Inventory!$C$17&lt;&gt;"",CONCATENATE("CIFS - Node ",A37),"")</f>
        <v/>
      </c>
      <c r="C37" s="302"/>
      <c r="D37" s="302"/>
      <c r="E37" s="302" t="str">
        <f>IF(B37&lt;&gt;"",CONCATENATE(K9,"-0",A37,".",F11)," ")</f>
        <v xml:space="preserve"> </v>
      </c>
      <c r="F37" s="302"/>
      <c r="G37" s="302"/>
      <c r="H37" s="302"/>
      <c r="I37" s="302"/>
      <c r="J37" s="288"/>
      <c r="K37" s="289"/>
      <c r="L37" s="290"/>
      <c r="M37" s="288" t="str">
        <f>IF(B37&lt;&gt;"",CONCATENATE(K9,"-0",A37),"")</f>
        <v/>
      </c>
      <c r="N37" s="289"/>
      <c r="O37" s="289"/>
      <c r="P37" s="290"/>
      <c r="Q37" s="302"/>
      <c r="R37" s="302"/>
      <c r="S37" s="302"/>
      <c r="T37" s="302" t="str">
        <f>IF(AND(E37&lt;&gt;"",F31&lt;&gt;0,F30&lt;&gt;0,F29&lt;&gt;0),IF(F31&lt;&gt;"Yes",F30,CONCATENATE(F30,"-",F29)),"")</f>
        <v>a0a-1852</v>
      </c>
      <c r="U37" s="302"/>
      <c r="V37" s="302"/>
      <c r="W37" s="302"/>
      <c r="X37" s="302"/>
      <c r="Y37" s="302"/>
      <c r="Z37" s="255">
        <f>IF($F$29&lt;&gt;0,IF(VLOOKUP($F$29,'Site Info'!$G$34:$V$69,8,FALSE)&lt;&gt;0,VLOOKUP($F$29,'Site Info'!$G$34:$V$69,11,FALSE),""),"")</f>
        <v>1500</v>
      </c>
    </row>
    <row r="38" spans="1:28" ht="14.25" hidden="1" customHeight="1" x14ac:dyDescent="0.25">
      <c r="A38" s="26">
        <v>4</v>
      </c>
      <c r="B38" s="302" t="str">
        <f>IF(Inventory!$C$18&lt;&gt;"",CONCATENATE("CIFS - Node ",A38),"")</f>
        <v/>
      </c>
      <c r="C38" s="302"/>
      <c r="D38" s="302"/>
      <c r="E38" s="302" t="str">
        <f>IF(B38&lt;&gt;"",CONCATENATE(K9,"-0",A38,".",F11)," ")</f>
        <v xml:space="preserve"> </v>
      </c>
      <c r="F38" s="302"/>
      <c r="G38" s="302"/>
      <c r="H38" s="302"/>
      <c r="I38" s="302"/>
      <c r="J38" s="288"/>
      <c r="K38" s="289"/>
      <c r="L38" s="290"/>
      <c r="M38" s="288" t="str">
        <f>IF(B38&lt;&gt;"",CONCATENATE(K9,"-0",A38),"")</f>
        <v/>
      </c>
      <c r="N38" s="289"/>
      <c r="O38" s="289"/>
      <c r="P38" s="290"/>
      <c r="Q38" s="302"/>
      <c r="R38" s="302"/>
      <c r="S38" s="302"/>
      <c r="T38" s="302" t="str">
        <f>IF(AND(E38&lt;&gt;"",F31&lt;&gt;0,F30&lt;&gt;0,F29&lt;&gt;0),IF(F31&lt;&gt;"Yes",F30,CONCATENATE(F30,"-",F29)),"")</f>
        <v>a0a-1852</v>
      </c>
      <c r="U38" s="302"/>
      <c r="V38" s="302"/>
      <c r="W38" s="302"/>
      <c r="X38" s="302"/>
      <c r="Y38" s="302"/>
      <c r="Z38" s="255">
        <f>IF($F$29&lt;&gt;0,IF(VLOOKUP($F$29,'Site Info'!$G$34:$V$69,8,FALSE)&lt;&gt;0,VLOOKUP($F$29,'Site Info'!$G$34:$V$69,11,FALSE),""),"")</f>
        <v>1500</v>
      </c>
    </row>
    <row r="39" spans="1:28" ht="14.25" hidden="1" customHeight="1" x14ac:dyDescent="0.25">
      <c r="A39" s="26">
        <v>5</v>
      </c>
      <c r="B39" s="288" t="str">
        <f>IF(Inventory!$C$19&lt;&gt;"",CONCATENATE("CIFS - Node ",A39),"")</f>
        <v/>
      </c>
      <c r="C39" s="289"/>
      <c r="D39" s="290"/>
      <c r="E39" s="288" t="str">
        <f>IF(B39&lt;&gt;"",CONCATENATE(K9,"-0",A39,".",F11)," ")</f>
        <v xml:space="preserve"> </v>
      </c>
      <c r="F39" s="289"/>
      <c r="G39" s="289"/>
      <c r="H39" s="289"/>
      <c r="I39" s="290"/>
      <c r="J39" s="288"/>
      <c r="K39" s="289"/>
      <c r="L39" s="290"/>
      <c r="M39" s="288" t="str">
        <f>IF(B39&lt;&gt;"",CONCATENATE(K9,"-0",A39),"")</f>
        <v/>
      </c>
      <c r="N39" s="289"/>
      <c r="O39" s="289"/>
      <c r="P39" s="290"/>
      <c r="Q39" s="288" t="str">
        <f>IF(E39&lt;&gt;"",Inventory!$C$19,"")</f>
        <v/>
      </c>
      <c r="R39" s="289"/>
      <c r="S39" s="290"/>
      <c r="T39" s="288" t="str">
        <f>IF(AND(E39&lt;&gt;"",F31&lt;&gt;0,F30&lt;&gt;0,F29&lt;&gt;0),IF(F31&lt;&gt;"Yes",F30,CONCATENATE(F30,"-",F29)),"")</f>
        <v>a0a-1852</v>
      </c>
      <c r="U39" s="289"/>
      <c r="V39" s="290"/>
      <c r="W39" s="288"/>
      <c r="X39" s="289"/>
      <c r="Y39" s="290"/>
      <c r="Z39" s="255">
        <f>IF($F$29&lt;&gt;0,IF(VLOOKUP($F$29,'Site Info'!$G$34:$V$69,8,FALSE)&lt;&gt;0,VLOOKUP($F$29,'Site Info'!$G$34:$V$69,11,FALSE),""),"")</f>
        <v>1500</v>
      </c>
    </row>
    <row r="40" spans="1:28" ht="14.25" hidden="1" customHeight="1" x14ac:dyDescent="0.25">
      <c r="A40" s="26">
        <v>6</v>
      </c>
      <c r="B40" s="302" t="str">
        <f>IF(Inventory!$C$20&lt;&gt;"",CONCATENATE("CIFS - Node ",A40),"")</f>
        <v/>
      </c>
      <c r="C40" s="302"/>
      <c r="D40" s="302"/>
      <c r="E40" s="302" t="str">
        <f>IF(B40&lt;&gt;"",CONCATENATE(K9,"-0",A40,".",F11)," ")</f>
        <v xml:space="preserve"> </v>
      </c>
      <c r="F40" s="302"/>
      <c r="G40" s="302"/>
      <c r="H40" s="302"/>
      <c r="I40" s="302"/>
      <c r="J40" s="288"/>
      <c r="K40" s="289"/>
      <c r="L40" s="290"/>
      <c r="M40" s="288" t="str">
        <f>IF(B40&lt;&gt;"",CONCATENATE(K9,"-0",A40),"")</f>
        <v/>
      </c>
      <c r="N40" s="289"/>
      <c r="O40" s="289"/>
      <c r="P40" s="290"/>
      <c r="Q40" s="302"/>
      <c r="R40" s="302"/>
      <c r="S40" s="302"/>
      <c r="T40" s="288" t="str">
        <f>IF(AND(E40&lt;&gt;"",F31&lt;&gt;0,F30&lt;&gt;0,F29&lt;&gt;0),IF(F31&lt;&gt;"Yes",F30,CONCATENATE(F30,"-",F29)),"")</f>
        <v>a0a-1852</v>
      </c>
      <c r="U40" s="289"/>
      <c r="V40" s="290"/>
      <c r="W40" s="288"/>
      <c r="X40" s="289"/>
      <c r="Y40" s="290"/>
      <c r="Z40" s="255">
        <f>IF($F$29&lt;&gt;0,IF(VLOOKUP($F$29,'Site Info'!$G$34:$V$69,8,FALSE)&lt;&gt;0,VLOOKUP($F$29,'Site Info'!$G$34:$V$69,11,FALSE),""),"")</f>
        <v>1500</v>
      </c>
    </row>
    <row r="41" spans="1:28" ht="14.25" hidden="1" customHeight="1" x14ac:dyDescent="0.25">
      <c r="A41" s="26">
        <v>7</v>
      </c>
      <c r="B41" s="302" t="str">
        <f>IF(Inventory!$C$21&lt;&gt;"",CONCATENATE("CIFS - Node ",A41),"")</f>
        <v/>
      </c>
      <c r="C41" s="302"/>
      <c r="D41" s="302"/>
      <c r="E41" s="302" t="str">
        <f>IF(B41&lt;&gt;"",CONCATENATE(K9,"-0",A41,".",F11)," ")</f>
        <v xml:space="preserve"> </v>
      </c>
      <c r="F41" s="302"/>
      <c r="G41" s="302"/>
      <c r="H41" s="302"/>
      <c r="I41" s="302"/>
      <c r="J41" s="288"/>
      <c r="K41" s="289"/>
      <c r="L41" s="290"/>
      <c r="M41" s="288" t="str">
        <f>IF(B41&lt;&gt;"",CONCATENATE(K9,"-0",A41),"")</f>
        <v/>
      </c>
      <c r="N41" s="289"/>
      <c r="O41" s="289"/>
      <c r="P41" s="290"/>
      <c r="Q41" s="302" t="str">
        <f>IF(E41&lt;&gt;"",Inventory!$C$21,"")</f>
        <v/>
      </c>
      <c r="R41" s="302"/>
      <c r="S41" s="302"/>
      <c r="T41" s="302" t="str">
        <f>IF(AND(E41&lt;&gt;"",F31&lt;&gt;0,F30&lt;&gt;0,F29&lt;&gt;0),IF(F31&lt;&gt;"Yes",F30,CONCATENATE(F30,"-",F29)),"")</f>
        <v>a0a-1852</v>
      </c>
      <c r="U41" s="302"/>
      <c r="V41" s="302"/>
      <c r="W41" s="302"/>
      <c r="X41" s="302"/>
      <c r="Y41" s="302"/>
      <c r="Z41" s="255">
        <f>IF($F$29&lt;&gt;0,IF(VLOOKUP($F$29,'Site Info'!$G$34:$V$69,8,FALSE)&lt;&gt;0,VLOOKUP($F$29,'Site Info'!$G$34:$V$69,11,FALSE),""),"")</f>
        <v>1500</v>
      </c>
    </row>
    <row r="42" spans="1:28" ht="14.25" hidden="1" customHeight="1" x14ac:dyDescent="0.25">
      <c r="A42" s="26">
        <v>8</v>
      </c>
      <c r="B42" s="302" t="str">
        <f>IF(Inventory!$C$22&lt;&gt;"",CONCATENATE("CIFS - Node ",A42),"")</f>
        <v/>
      </c>
      <c r="C42" s="302"/>
      <c r="D42" s="302"/>
      <c r="E42" s="302" t="str">
        <f>IF(B42&lt;&gt;"",CONCATENATE(K9,"-0",A42,".",F11)," ")</f>
        <v xml:space="preserve"> </v>
      </c>
      <c r="F42" s="302"/>
      <c r="G42" s="302"/>
      <c r="H42" s="302"/>
      <c r="I42" s="302"/>
      <c r="J42" s="288"/>
      <c r="K42" s="289"/>
      <c r="L42" s="290"/>
      <c r="M42" s="288" t="str">
        <f>IF(B42&lt;&gt;"",CONCATENATE(K9,"-0",A42),"")</f>
        <v/>
      </c>
      <c r="N42" s="289"/>
      <c r="O42" s="289"/>
      <c r="P42" s="290"/>
      <c r="Q42" s="302" t="str">
        <f>IF(E42&lt;&gt;"",Inventory!$C$22,"")</f>
        <v/>
      </c>
      <c r="R42" s="302"/>
      <c r="S42" s="302"/>
      <c r="T42" s="302" t="str">
        <f>IF(AND(E42&lt;&gt;"",F31&lt;&gt;0,F30&lt;&gt;0,F29&lt;&gt;0),IF(F31&lt;&gt;"Yes",F30,CONCATENATE(F30,"-",F29)),"")</f>
        <v>a0a-1852</v>
      </c>
      <c r="U42" s="302"/>
      <c r="V42" s="302"/>
      <c r="W42" s="302"/>
      <c r="X42" s="302"/>
      <c r="Y42" s="302"/>
      <c r="Z42" s="255">
        <f>IF($F$29&lt;&gt;0,IF(VLOOKUP($F$29,'Site Info'!$G$34:$V$69,8,FALSE)&lt;&gt;0,VLOOKUP($F$29,'Site Info'!$G$34:$V$69,11,FALSE),""),"")</f>
        <v>1500</v>
      </c>
    </row>
    <row r="43" spans="1:28" ht="14.25" customHeight="1" x14ac:dyDescent="0.25">
      <c r="AB43" s="36" t="s">
        <v>143</v>
      </c>
    </row>
    <row r="44" spans="1:28" s="34" customFormat="1" ht="14.25" hidden="1" customHeight="1" x14ac:dyDescent="0.25">
      <c r="B44" s="4" t="s">
        <v>135</v>
      </c>
    </row>
    <row r="45" spans="1:28" s="34" customFormat="1" ht="6" hidden="1" customHeight="1" x14ac:dyDescent="0.25">
      <c r="B45" s="4"/>
      <c r="G45" s="6"/>
    </row>
    <row r="46" spans="1:28" s="34" customFormat="1" ht="14.25" hidden="1" customHeight="1" x14ac:dyDescent="0.25">
      <c r="B46" s="303" t="s">
        <v>136</v>
      </c>
      <c r="C46" s="303"/>
      <c r="D46" s="303"/>
      <c r="E46" s="303"/>
      <c r="F46" s="109"/>
      <c r="G46" s="303" t="s">
        <v>137</v>
      </c>
      <c r="H46" s="303"/>
      <c r="I46" s="303"/>
      <c r="J46" s="303"/>
      <c r="K46" s="288" t="str">
        <f>IF(E51&lt;&gt;"",IF(F46&lt;&gt;0,VLOOKUP(F46,'Site Info'!$G$34:$P$69,8,FALSE),"enter VLAN"),"")</f>
        <v>enter VLAN</v>
      </c>
      <c r="L46" s="289"/>
      <c r="M46" s="290"/>
      <c r="N46" s="303" t="s">
        <v>138</v>
      </c>
      <c r="O46" s="303"/>
      <c r="P46" s="303"/>
      <c r="Q46" s="303"/>
      <c r="R46" s="33">
        <v>10</v>
      </c>
    </row>
    <row r="47" spans="1:28" s="34" customFormat="1" ht="14.25" hidden="1" customHeight="1" x14ac:dyDescent="0.25">
      <c r="B47" s="303" t="s">
        <v>139</v>
      </c>
      <c r="C47" s="303"/>
      <c r="D47" s="303"/>
      <c r="E47" s="303"/>
      <c r="F47" s="69"/>
      <c r="G47" s="303" t="s">
        <v>140</v>
      </c>
      <c r="H47" s="303"/>
      <c r="I47" s="303"/>
      <c r="J47" s="303"/>
      <c r="K47" s="288" t="str">
        <f>IF(E51&lt;&gt;"",IF(F46&lt;&gt;0,VLOOKUP(F46,'Site Info'!$G$34:$P$69,5,FALSE),"enter VLAN"),"")</f>
        <v>enter VLAN</v>
      </c>
      <c r="L47" s="289"/>
      <c r="M47" s="290"/>
    </row>
    <row r="48" spans="1:28" s="34" customFormat="1" ht="14.25" hidden="1" customHeight="1" x14ac:dyDescent="0.25">
      <c r="B48" s="303" t="s">
        <v>91</v>
      </c>
      <c r="C48" s="303"/>
      <c r="D48" s="303"/>
      <c r="E48" s="303"/>
      <c r="F48" s="69"/>
      <c r="G48" s="303" t="s">
        <v>141</v>
      </c>
      <c r="H48" s="303"/>
      <c r="I48" s="303"/>
      <c r="J48" s="303"/>
      <c r="K48" s="288"/>
      <c r="L48" s="289"/>
      <c r="M48" s="289"/>
      <c r="N48" s="289"/>
      <c r="O48" s="290"/>
    </row>
    <row r="49" spans="1:28" s="34" customFormat="1" ht="14.25" hidden="1" customHeight="1" x14ac:dyDescent="0.25">
      <c r="G49" s="34">
        <v>1852</v>
      </c>
      <c r="H49" s="34" t="s">
        <v>1377</v>
      </c>
      <c r="J49" s="299" t="str">
        <f>IF(F46&lt;&gt;0,IF(E51&lt;&gt;"",VLOOKUP(F46,'Site Info'!$G$34:$P$69,2,FALSE),""),"")</f>
        <v/>
      </c>
      <c r="K49" s="299"/>
      <c r="L49" s="299"/>
      <c r="N49" s="34" t="s">
        <v>1378</v>
      </c>
    </row>
    <row r="50" spans="1:28" s="34" customFormat="1" ht="14.25" hidden="1" customHeight="1" thickBot="1" x14ac:dyDescent="0.3">
      <c r="B50" s="312" t="s">
        <v>92</v>
      </c>
      <c r="C50" s="321"/>
      <c r="D50" s="313"/>
      <c r="E50" s="312" t="s">
        <v>142</v>
      </c>
      <c r="F50" s="321"/>
      <c r="G50" s="321"/>
      <c r="H50" s="321"/>
      <c r="I50" s="313"/>
      <c r="J50" s="312" t="s">
        <v>71</v>
      </c>
      <c r="K50" s="321"/>
      <c r="L50" s="313"/>
      <c r="M50" s="312" t="s">
        <v>93</v>
      </c>
      <c r="N50" s="321"/>
      <c r="O50" s="321"/>
      <c r="P50" s="313"/>
      <c r="Q50" s="312" t="s">
        <v>95</v>
      </c>
      <c r="R50" s="321"/>
      <c r="S50" s="313"/>
      <c r="T50" s="312" t="s">
        <v>96</v>
      </c>
      <c r="U50" s="321"/>
      <c r="V50" s="313"/>
      <c r="W50" s="312" t="s">
        <v>103</v>
      </c>
      <c r="X50" s="321"/>
      <c r="Y50" s="313"/>
      <c r="Z50" s="312" t="s">
        <v>104</v>
      </c>
      <c r="AA50" s="321"/>
      <c r="AB50" s="313"/>
    </row>
    <row r="51" spans="1:28" s="34" customFormat="1" ht="14.25" hidden="1" customHeight="1" x14ac:dyDescent="0.25">
      <c r="A51" s="26">
        <v>1</v>
      </c>
      <c r="B51" s="302" t="str">
        <f>IF(Inventory!$C$15&lt;&gt;"",CONCATENATE("NFS - Node ",A51),"")</f>
        <v>NFS - Node 1</v>
      </c>
      <c r="C51" s="302"/>
      <c r="D51" s="302"/>
      <c r="E51" s="302" t="str">
        <f>IF(B51&lt;&gt;"",CONCATENATE(K9,"-n0",A51,".",F11)," ")</f>
        <v>shpsan-nas-01-n01.speedcast.com</v>
      </c>
      <c r="F51" s="302"/>
      <c r="G51" s="302"/>
      <c r="H51" s="302"/>
      <c r="I51" s="302"/>
      <c r="J51" s="288"/>
      <c r="K51" s="289"/>
      <c r="L51" s="290"/>
      <c r="M51" s="288" t="str">
        <f>IF(B51&lt;&gt;"",CONCATENATE(K9,"-n0",A51),"")</f>
        <v>shpsan-nas-01-n01</v>
      </c>
      <c r="N51" s="289"/>
      <c r="O51" s="289"/>
      <c r="P51" s="290"/>
      <c r="Q51" s="302" t="str">
        <f>IF(E51&lt;&gt;"",Inventory!$C$15,"")</f>
        <v>shpsan-01</v>
      </c>
      <c r="R51" s="302"/>
      <c r="S51" s="302"/>
      <c r="T51" s="302" t="str">
        <f>IF(AND(E51&lt;&gt;"",F48&lt;&gt;0,F47&lt;&gt;0,F46&lt;&gt;0),IF(F48&lt;&gt;"Yes",F47,CONCATENATE(F47,"-",F46)),"")</f>
        <v/>
      </c>
      <c r="U51" s="302"/>
      <c r="V51" s="302"/>
      <c r="W51" s="302" t="str">
        <f>IF(E51&lt;&gt;"",CONCATENATE("d",J49),"")</f>
        <v>d</v>
      </c>
      <c r="X51" s="302"/>
      <c r="Y51" s="302"/>
      <c r="Z51" s="302" t="str">
        <f>IF(E51&lt;&gt;"","0.0.0.0/0","")</f>
        <v>0.0.0.0/0</v>
      </c>
      <c r="AA51" s="302"/>
      <c r="AB51" s="302"/>
    </row>
    <row r="52" spans="1:28" s="34" customFormat="1" ht="14.25" hidden="1" customHeight="1" x14ac:dyDescent="0.25">
      <c r="A52" s="26">
        <v>2</v>
      </c>
      <c r="B52" s="302" t="str">
        <f>IF(Inventory!$C$16&lt;&gt;"",CONCATENATE("NFS - Node ",A52),"")</f>
        <v>NFS - Node 2</v>
      </c>
      <c r="C52" s="302"/>
      <c r="D52" s="302"/>
      <c r="E52" s="302" t="str">
        <f>IF(B52&lt;&gt;"",CONCATENATE(K9,"-n0",A52,".",F11)," ")</f>
        <v>shpsan-nas-01-n02.speedcast.com</v>
      </c>
      <c r="F52" s="302"/>
      <c r="G52" s="302"/>
      <c r="H52" s="302"/>
      <c r="I52" s="302"/>
      <c r="J52" s="288"/>
      <c r="K52" s="289"/>
      <c r="L52" s="290"/>
      <c r="M52" s="288" t="str">
        <f>IF(B52&lt;&gt;"",CONCATENATE(K9,"-n0",A52),"")</f>
        <v>shpsan-nas-01-n02</v>
      </c>
      <c r="N52" s="289"/>
      <c r="O52" s="289"/>
      <c r="P52" s="290"/>
      <c r="Q52" s="302" t="str">
        <f>IF(E52&lt;&gt;"",Inventory!$C$16,"")</f>
        <v>shpsan-02</v>
      </c>
      <c r="R52" s="302"/>
      <c r="S52" s="302"/>
      <c r="T52" s="302" t="str">
        <f>IF(AND(E52&lt;&gt;"",F48&lt;&gt;0,F47&lt;&gt;0,F46&lt;&gt;0),IF(F48&lt;&gt;"Yes",F47,CONCATENATE(F47,"-",F46)),"")</f>
        <v/>
      </c>
      <c r="U52" s="302"/>
      <c r="V52" s="302"/>
      <c r="W52" s="302" t="str">
        <f>IF(E52&lt;&gt;"",CONCATENATE("d",J49),"")</f>
        <v>d</v>
      </c>
      <c r="X52" s="302"/>
      <c r="Y52" s="302"/>
      <c r="Z52" s="302" t="str">
        <f t="shared" ref="Z52:Z58" si="0">IF(E52&lt;&gt;"","0.0.0.0/0","")</f>
        <v>0.0.0.0/0</v>
      </c>
      <c r="AA52" s="302"/>
      <c r="AB52" s="302"/>
    </row>
    <row r="53" spans="1:28" s="34" customFormat="1" ht="14.25" hidden="1" customHeight="1" x14ac:dyDescent="0.25">
      <c r="A53" s="26">
        <v>3</v>
      </c>
      <c r="B53" s="302" t="str">
        <f>IF(Inventory!$C$17&lt;&gt;"",CONCATENATE("NFS - Node ",A53),"")</f>
        <v/>
      </c>
      <c r="C53" s="302"/>
      <c r="D53" s="302"/>
      <c r="E53" s="302" t="str">
        <f>IF(B53&lt;&gt;"",CONCATENATE(K9,"-n0",A53,".",F11)," ")</f>
        <v xml:space="preserve"> </v>
      </c>
      <c r="F53" s="302"/>
      <c r="G53" s="302"/>
      <c r="H53" s="302"/>
      <c r="I53" s="302"/>
      <c r="J53" s="288"/>
      <c r="K53" s="289"/>
      <c r="L53" s="290"/>
      <c r="M53" s="288" t="str">
        <f>IF(B53&lt;&gt;"",CONCATENATE(K9,"-n0",A53),"")</f>
        <v/>
      </c>
      <c r="N53" s="289"/>
      <c r="O53" s="289"/>
      <c r="P53" s="290"/>
      <c r="Q53" s="302" t="str">
        <f>IF(E53&lt;&gt;"",Inventory!$C$17,"")</f>
        <v/>
      </c>
      <c r="R53" s="302"/>
      <c r="S53" s="302"/>
      <c r="T53" s="302" t="str">
        <f>IF(AND(E53&lt;&gt;"",F48&lt;&gt;0,F47&lt;&gt;0,F46&lt;&gt;0),IF(F48&lt;&gt;"Yes",F47,CONCATENATE(F47,"-",F46)),"")</f>
        <v/>
      </c>
      <c r="U53" s="302"/>
      <c r="V53" s="302"/>
      <c r="W53" s="302" t="str">
        <f>IF(E53&lt;&gt;"",CONCATENATE("d",J49),"")</f>
        <v>d</v>
      </c>
      <c r="X53" s="302"/>
      <c r="Y53" s="302"/>
      <c r="Z53" s="302" t="str">
        <f t="shared" si="0"/>
        <v>0.0.0.0/0</v>
      </c>
      <c r="AA53" s="302"/>
      <c r="AB53" s="302"/>
    </row>
    <row r="54" spans="1:28" s="34" customFormat="1" ht="14.25" hidden="1" customHeight="1" x14ac:dyDescent="0.25">
      <c r="A54" s="26">
        <v>4</v>
      </c>
      <c r="B54" s="302" t="str">
        <f>IF(Inventory!$C$18&lt;&gt;"",CONCATENATE("NFS - Node ",A54),"")</f>
        <v/>
      </c>
      <c r="C54" s="302"/>
      <c r="D54" s="302"/>
      <c r="E54" s="302" t="str">
        <f>IF(B54&lt;&gt;"",CONCATENATE(K9,"-n0",A54,".",F11)," ")</f>
        <v xml:space="preserve"> </v>
      </c>
      <c r="F54" s="302"/>
      <c r="G54" s="302"/>
      <c r="H54" s="302"/>
      <c r="I54" s="302"/>
      <c r="J54" s="288"/>
      <c r="K54" s="289"/>
      <c r="L54" s="290"/>
      <c r="M54" s="288" t="str">
        <f>IF(B54&lt;&gt;"",CONCATENATE(K9,"-n0",A54),"")</f>
        <v/>
      </c>
      <c r="N54" s="289"/>
      <c r="O54" s="289"/>
      <c r="P54" s="290"/>
      <c r="Q54" s="302" t="str">
        <f>IF(E54&lt;&gt;"",Inventory!$C$18,"")</f>
        <v/>
      </c>
      <c r="R54" s="302"/>
      <c r="S54" s="302"/>
      <c r="T54" s="302" t="str">
        <f>IF(AND(E54&lt;&gt;"",F48&lt;&gt;0,F47&lt;&gt;0,F46&lt;&gt;0),IF(F48&lt;&gt;"Yes",F47,CONCATENATE(F47,"-",F46)),"")</f>
        <v/>
      </c>
      <c r="U54" s="302"/>
      <c r="V54" s="302"/>
      <c r="W54" s="302" t="str">
        <f>IF(E54&lt;&gt;"",CONCATENATE("d",J49),"")</f>
        <v>d</v>
      </c>
      <c r="X54" s="302"/>
      <c r="Y54" s="302"/>
      <c r="Z54" s="302" t="str">
        <f t="shared" si="0"/>
        <v>0.0.0.0/0</v>
      </c>
      <c r="AA54" s="302"/>
      <c r="AB54" s="302"/>
    </row>
    <row r="55" spans="1:28" s="34" customFormat="1" ht="14.25" hidden="1" customHeight="1" x14ac:dyDescent="0.25">
      <c r="A55" s="26">
        <v>5</v>
      </c>
      <c r="B55" s="302" t="str">
        <f>IF(Inventory!$C$19&lt;&gt;"",CONCATENATE("NFS - Node ",A55),"")</f>
        <v/>
      </c>
      <c r="C55" s="302"/>
      <c r="D55" s="302"/>
      <c r="E55" s="302" t="str">
        <f>IF(B55&lt;&gt;"",CONCATENATE(K9,"-n0",A55,".",F11)," ")</f>
        <v xml:space="preserve"> </v>
      </c>
      <c r="F55" s="302"/>
      <c r="G55" s="302"/>
      <c r="H55" s="302"/>
      <c r="I55" s="302"/>
      <c r="J55" s="288"/>
      <c r="K55" s="289"/>
      <c r="L55" s="290"/>
      <c r="M55" s="288" t="str">
        <f>IF(B55&lt;&gt;"",CONCATENATE(K9,"-n0",A55),"")</f>
        <v/>
      </c>
      <c r="N55" s="289"/>
      <c r="O55" s="289"/>
      <c r="P55" s="290"/>
      <c r="Q55" s="302" t="str">
        <f>IF(E55&lt;&gt;"",Inventory!$C$19,"")</f>
        <v/>
      </c>
      <c r="R55" s="302"/>
      <c r="S55" s="302"/>
      <c r="T55" s="302" t="str">
        <f>IF(AND(E55&lt;&gt;"",F48&lt;&gt;0,F47&lt;&gt;0,F46&lt;&gt;0),IF(F48&lt;&gt;"Yes",F47,CONCATENATE(F47,"-",F46)),"")</f>
        <v/>
      </c>
      <c r="U55" s="302"/>
      <c r="V55" s="302"/>
      <c r="W55" s="302" t="str">
        <f>IF(E55&lt;&gt;"",CONCATENATE("d",J49),"")</f>
        <v>d</v>
      </c>
      <c r="X55" s="302"/>
      <c r="Y55" s="302"/>
      <c r="Z55" s="302" t="str">
        <f t="shared" si="0"/>
        <v>0.0.0.0/0</v>
      </c>
      <c r="AA55" s="302"/>
      <c r="AB55" s="302"/>
    </row>
    <row r="56" spans="1:28" s="34" customFormat="1" ht="14.25" hidden="1" customHeight="1" x14ac:dyDescent="0.25">
      <c r="A56" s="26">
        <v>6</v>
      </c>
      <c r="B56" s="302" t="str">
        <f>IF(Inventory!$C$20&lt;&gt;"",CONCATENATE("NFS - Node ",A56),"")</f>
        <v/>
      </c>
      <c r="C56" s="302"/>
      <c r="D56" s="302"/>
      <c r="E56" s="302" t="str">
        <f>IF(B56&lt;&gt;"",CONCATENATE(K9,"-n0",A56,".",F11)," ")</f>
        <v xml:space="preserve"> </v>
      </c>
      <c r="F56" s="302"/>
      <c r="G56" s="302"/>
      <c r="H56" s="302"/>
      <c r="I56" s="302"/>
      <c r="J56" s="288"/>
      <c r="K56" s="289"/>
      <c r="L56" s="290"/>
      <c r="M56" s="288" t="str">
        <f>IF(B56&lt;&gt;"",CONCATENATE(K9,"-n0",A56),"")</f>
        <v/>
      </c>
      <c r="N56" s="289"/>
      <c r="O56" s="289"/>
      <c r="P56" s="290"/>
      <c r="Q56" s="302" t="str">
        <f>IF(E56&lt;&gt;"",Inventory!$C$20,"")</f>
        <v/>
      </c>
      <c r="R56" s="302"/>
      <c r="S56" s="302"/>
      <c r="T56" s="302" t="str">
        <f>IF(AND(E56&lt;&gt;"",F48&lt;&gt;0,F47&lt;&gt;0,F46&lt;&gt;0),IF(F48&lt;&gt;"Yes",F47,CONCATENATE(F47,"-",F46)),"")</f>
        <v/>
      </c>
      <c r="U56" s="302"/>
      <c r="V56" s="302"/>
      <c r="W56" s="302" t="str">
        <f>IF(E56&lt;&gt;"",CONCATENATE("d",J49),"")</f>
        <v>d</v>
      </c>
      <c r="X56" s="302"/>
      <c r="Y56" s="302"/>
      <c r="Z56" s="302" t="str">
        <f t="shared" si="0"/>
        <v>0.0.0.0/0</v>
      </c>
      <c r="AA56" s="302"/>
      <c r="AB56" s="302"/>
    </row>
    <row r="57" spans="1:28" s="34" customFormat="1" ht="14.25" hidden="1" customHeight="1" x14ac:dyDescent="0.25">
      <c r="A57" s="26">
        <v>7</v>
      </c>
      <c r="B57" s="302" t="str">
        <f>IF(Inventory!$C$21&lt;&gt;"",CONCATENATE("NFS - Node ",A57),"")</f>
        <v/>
      </c>
      <c r="C57" s="302"/>
      <c r="D57" s="302"/>
      <c r="E57" s="302" t="str">
        <f>IF(B57&lt;&gt;"",CONCATENATE(K9,"-n0",A57,".",F11)," ")</f>
        <v xml:space="preserve"> </v>
      </c>
      <c r="F57" s="302"/>
      <c r="G57" s="302"/>
      <c r="H57" s="302"/>
      <c r="I57" s="302"/>
      <c r="J57" s="288"/>
      <c r="K57" s="289"/>
      <c r="L57" s="290"/>
      <c r="M57" s="288" t="str">
        <f>IF(B57&lt;&gt;"",CONCATENATE(K9,"-n0",A57),"")</f>
        <v/>
      </c>
      <c r="N57" s="289"/>
      <c r="O57" s="289"/>
      <c r="P57" s="290"/>
      <c r="Q57" s="302" t="str">
        <f>IF(E57&lt;&gt;"",Inventory!$C$21,"")</f>
        <v/>
      </c>
      <c r="R57" s="302"/>
      <c r="S57" s="302"/>
      <c r="T57" s="302" t="str">
        <f>IF(AND(E57&lt;&gt;"",F48&lt;&gt;0,F47&lt;&gt;0,F46&lt;&gt;0),IF(F48&lt;&gt;"Yes",F47,CONCATENATE(F47,"-",F46)),"")</f>
        <v/>
      </c>
      <c r="U57" s="302"/>
      <c r="V57" s="302"/>
      <c r="W57" s="302" t="str">
        <f>IF(E57&lt;&gt;"",CONCATENATE("d",J49),"")</f>
        <v>d</v>
      </c>
      <c r="X57" s="302"/>
      <c r="Y57" s="302"/>
      <c r="Z57" s="302" t="str">
        <f t="shared" si="0"/>
        <v>0.0.0.0/0</v>
      </c>
      <c r="AA57" s="302"/>
      <c r="AB57" s="302"/>
    </row>
    <row r="58" spans="1:28" s="34" customFormat="1" ht="14.25" hidden="1" customHeight="1" x14ac:dyDescent="0.25">
      <c r="A58" s="26">
        <v>8</v>
      </c>
      <c r="B58" s="302" t="str">
        <f>IF(Inventory!$C$22&lt;&gt;"",CONCATENATE("NFS - Node ",A58),"")</f>
        <v/>
      </c>
      <c r="C58" s="302"/>
      <c r="D58" s="302"/>
      <c r="E58" s="302" t="str">
        <f>IF(B58&lt;&gt;"",CONCATENATE(K9,"-n0",A58,".",F11)," ")</f>
        <v xml:space="preserve"> </v>
      </c>
      <c r="F58" s="302"/>
      <c r="G58" s="302"/>
      <c r="H58" s="302"/>
      <c r="I58" s="302"/>
      <c r="J58" s="288"/>
      <c r="K58" s="289"/>
      <c r="L58" s="290"/>
      <c r="M58" s="288" t="str">
        <f>IF(B58&lt;&gt;"",CONCATENATE(K9,"-n0",A58),"")</f>
        <v/>
      </c>
      <c r="N58" s="289"/>
      <c r="O58" s="289"/>
      <c r="P58" s="290"/>
      <c r="Q58" s="302" t="str">
        <f>IF(E58&lt;&gt;"",Inventory!$C$22,"")</f>
        <v/>
      </c>
      <c r="R58" s="302"/>
      <c r="S58" s="302"/>
      <c r="T58" s="302" t="str">
        <f>IF(AND(E58&lt;&gt;"",F48&lt;&gt;0,F47&lt;&gt;0,F46&lt;&gt;0),IF(F48&lt;&gt;"Yes",F47,CONCATENATE(F47,"-",F46)),"")</f>
        <v/>
      </c>
      <c r="U58" s="302"/>
      <c r="V58" s="302"/>
      <c r="W58" s="302" t="str">
        <f>IF(E58&lt;&gt;"",CONCATENATE("d",J49),"")</f>
        <v>d</v>
      </c>
      <c r="X58" s="302"/>
      <c r="Y58" s="302"/>
      <c r="Z58" s="302" t="str">
        <f t="shared" si="0"/>
        <v>0.0.0.0/0</v>
      </c>
      <c r="AA58" s="302"/>
      <c r="AB58" s="302"/>
    </row>
    <row r="59" spans="1:28" ht="14.25" hidden="1" customHeight="1" x14ac:dyDescent="0.25">
      <c r="AB59" s="36" t="s">
        <v>143</v>
      </c>
    </row>
    <row r="60" spans="1:28" s="34" customFormat="1" ht="14.25" hidden="1" customHeight="1" x14ac:dyDescent="0.25">
      <c r="A60" s="35"/>
      <c r="B60" s="4" t="s">
        <v>144</v>
      </c>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row>
    <row r="61" spans="1:28" s="34" customFormat="1" ht="6" hidden="1" customHeight="1" x14ac:dyDescent="0.25">
      <c r="A61" s="35"/>
      <c r="B61" s="4"/>
      <c r="C61" s="35"/>
      <c r="D61" s="35"/>
      <c r="E61" s="35"/>
      <c r="F61" s="35"/>
      <c r="G61" s="6"/>
      <c r="H61" s="35"/>
      <c r="I61" s="35"/>
      <c r="J61" s="35"/>
      <c r="K61" s="35"/>
      <c r="L61" s="35"/>
      <c r="M61" s="35"/>
      <c r="N61" s="35"/>
      <c r="O61" s="35"/>
      <c r="P61" s="35"/>
      <c r="Q61" s="35"/>
      <c r="R61" s="35"/>
      <c r="S61" s="35"/>
      <c r="T61" s="35"/>
      <c r="U61" s="35"/>
      <c r="V61" s="35"/>
      <c r="W61" s="35"/>
      <c r="X61" s="35"/>
      <c r="Y61" s="35"/>
      <c r="Z61" s="35"/>
      <c r="AA61" s="35"/>
      <c r="AB61" s="35"/>
    </row>
    <row r="62" spans="1:28" s="34" customFormat="1" ht="14.25" hidden="1" customHeight="1" x14ac:dyDescent="0.25">
      <c r="A62" s="35"/>
      <c r="B62" s="303" t="s">
        <v>147</v>
      </c>
      <c r="C62" s="303"/>
      <c r="D62" s="303"/>
      <c r="E62" s="303"/>
      <c r="F62" s="181"/>
      <c r="G62" s="303" t="s">
        <v>148</v>
      </c>
      <c r="H62" s="303"/>
      <c r="I62" s="303"/>
      <c r="J62" s="303"/>
      <c r="K62" s="288" t="str">
        <f>IF(E67&lt;&gt;"",IF(F62&lt;&gt;0,VLOOKUP(F62,'Site Info'!$G$34:$P$69,8,FALSE),"enter VLAN"),"")</f>
        <v>enter VLAN</v>
      </c>
      <c r="L62" s="289"/>
      <c r="M62" s="290"/>
      <c r="N62" s="303" t="s">
        <v>149</v>
      </c>
      <c r="O62" s="303"/>
      <c r="P62" s="303"/>
      <c r="Q62" s="303"/>
      <c r="R62" s="181">
        <v>10</v>
      </c>
      <c r="S62" s="35"/>
      <c r="T62" s="35"/>
      <c r="U62" s="35"/>
      <c r="V62" s="35"/>
      <c r="W62" s="35"/>
      <c r="X62" s="35"/>
      <c r="Y62" s="35"/>
      <c r="Z62" s="35"/>
      <c r="AA62" s="35"/>
      <c r="AB62" s="35"/>
    </row>
    <row r="63" spans="1:28" s="34" customFormat="1" ht="14.25" hidden="1" customHeight="1" x14ac:dyDescent="0.25">
      <c r="A63" s="35"/>
      <c r="B63" s="303" t="s">
        <v>150</v>
      </c>
      <c r="C63" s="303"/>
      <c r="D63" s="303"/>
      <c r="E63" s="303"/>
      <c r="F63" s="181"/>
      <c r="G63" s="303"/>
      <c r="H63" s="303"/>
      <c r="I63" s="303"/>
      <c r="J63" s="303"/>
      <c r="K63" s="288"/>
      <c r="L63" s="289"/>
      <c r="M63" s="290"/>
      <c r="N63" s="35"/>
      <c r="O63" s="35"/>
      <c r="P63" s="35"/>
      <c r="Q63" s="35"/>
      <c r="R63" s="35"/>
      <c r="S63" s="35"/>
      <c r="T63" s="35"/>
      <c r="U63" s="35"/>
      <c r="V63" s="35"/>
      <c r="W63" s="35"/>
      <c r="X63" s="35"/>
      <c r="Y63" s="35"/>
      <c r="Z63" s="35"/>
      <c r="AA63" s="35"/>
      <c r="AB63" s="35"/>
    </row>
    <row r="64" spans="1:28" s="34" customFormat="1" ht="14.25" hidden="1" customHeight="1" x14ac:dyDescent="0.25">
      <c r="A64" s="35"/>
      <c r="B64" s="303" t="s">
        <v>91</v>
      </c>
      <c r="C64" s="303"/>
      <c r="D64" s="303"/>
      <c r="E64" s="303"/>
      <c r="F64" s="181"/>
      <c r="G64" s="35">
        <v>1852</v>
      </c>
      <c r="H64" s="35" t="s">
        <v>1377</v>
      </c>
      <c r="I64" s="35"/>
      <c r="J64" s="35"/>
      <c r="K64" s="35" t="s">
        <v>1349</v>
      </c>
      <c r="L64" s="35"/>
      <c r="M64" s="35"/>
      <c r="N64" s="35" t="s">
        <v>1378</v>
      </c>
      <c r="O64" s="35"/>
      <c r="P64" s="35"/>
      <c r="Q64" s="35"/>
      <c r="R64" s="35"/>
      <c r="S64" s="35"/>
      <c r="T64" s="35"/>
      <c r="U64" s="35"/>
      <c r="V64" s="35"/>
      <c r="W64" s="35"/>
      <c r="X64" s="35"/>
      <c r="Y64" s="35"/>
      <c r="Z64" s="35"/>
      <c r="AA64" s="35"/>
      <c r="AB64" s="35"/>
    </row>
    <row r="65" spans="1:28" s="34" customFormat="1" ht="14.25" hidden="1" customHeight="1" x14ac:dyDescent="0.25">
      <c r="A65" s="35"/>
      <c r="B65" s="35"/>
      <c r="C65" s="35"/>
      <c r="D65" s="35"/>
      <c r="E65" s="35"/>
      <c r="F65" s="35"/>
      <c r="G65" s="35"/>
      <c r="H65" s="35"/>
      <c r="I65" s="35"/>
      <c r="J65" s="299" t="str">
        <f>IF(F62&lt;&gt;0,IF(E67&lt;&gt;"",VLOOKUP(F62,'Site Info'!$G$34:$P$69,2,FALSE),""),"")</f>
        <v/>
      </c>
      <c r="K65" s="299"/>
      <c r="L65" s="299"/>
      <c r="M65" s="35"/>
      <c r="N65" s="35"/>
      <c r="O65" s="35"/>
      <c r="P65" s="35"/>
      <c r="Q65" s="35"/>
      <c r="R65" s="35"/>
      <c r="S65" s="35"/>
      <c r="T65" s="35"/>
      <c r="U65" s="35"/>
      <c r="V65" s="35"/>
      <c r="W65" s="35"/>
      <c r="X65" s="35"/>
      <c r="Y65" s="35"/>
      <c r="Z65" s="35"/>
      <c r="AA65" s="35"/>
      <c r="AB65" s="35"/>
    </row>
    <row r="66" spans="1:28" s="34" customFormat="1" ht="14.25" hidden="1" customHeight="1" thickBot="1" x14ac:dyDescent="0.3">
      <c r="A66" s="35"/>
      <c r="B66" s="312" t="s">
        <v>92</v>
      </c>
      <c r="C66" s="321"/>
      <c r="D66" s="313"/>
      <c r="E66" s="312" t="s">
        <v>146</v>
      </c>
      <c r="F66" s="321"/>
      <c r="G66" s="321"/>
      <c r="H66" s="321"/>
      <c r="I66" s="313"/>
      <c r="J66" s="312" t="s">
        <v>71</v>
      </c>
      <c r="K66" s="321"/>
      <c r="L66" s="313"/>
      <c r="M66" s="312" t="s">
        <v>93</v>
      </c>
      <c r="N66" s="321"/>
      <c r="O66" s="321"/>
      <c r="P66" s="313"/>
      <c r="Q66" s="312" t="s">
        <v>95</v>
      </c>
      <c r="R66" s="321"/>
      <c r="S66" s="313"/>
      <c r="T66" s="312" t="s">
        <v>96</v>
      </c>
      <c r="U66" s="321"/>
      <c r="V66" s="313"/>
      <c r="W66" s="312" t="s">
        <v>103</v>
      </c>
      <c r="X66" s="321"/>
      <c r="Y66" s="313"/>
      <c r="Z66" s="312" t="s">
        <v>104</v>
      </c>
      <c r="AA66" s="321"/>
      <c r="AB66" s="313"/>
    </row>
    <row r="67" spans="1:28" s="34" customFormat="1" ht="14.25" hidden="1" customHeight="1" x14ac:dyDescent="0.25">
      <c r="A67" s="26">
        <v>1</v>
      </c>
      <c r="B67" s="302" t="str">
        <f>IF(Inventory!$C$15&lt;&gt;"",CONCATENATE("iSCSI - Node ",A67),"")</f>
        <v>iSCSI - Node 1</v>
      </c>
      <c r="C67" s="302"/>
      <c r="D67" s="302"/>
      <c r="E67" s="302" t="str">
        <f>IF(B67&lt;&gt;"",CONCATENATE($K$9,"-i0",A67,"-01.",$F$11)," ")</f>
        <v>shpsan-nas-01-i01-01.speedcast.com</v>
      </c>
      <c r="F67" s="302"/>
      <c r="G67" s="302"/>
      <c r="H67" s="302"/>
      <c r="I67" s="302"/>
      <c r="J67" s="288"/>
      <c r="K67" s="289"/>
      <c r="L67" s="290"/>
      <c r="M67" s="288" t="str">
        <f>IF(B67&lt;&gt;"",CONCATENATE($K$9,"-i0",A67,"-01")," ")</f>
        <v>shpsan-nas-01-i01-01</v>
      </c>
      <c r="N67" s="289"/>
      <c r="O67" s="289"/>
      <c r="P67" s="290"/>
      <c r="Q67" s="302" t="str">
        <f>IF(B67&lt;&gt;"",Inventory!$C$15,"")</f>
        <v>shpsan-01</v>
      </c>
      <c r="R67" s="302"/>
      <c r="S67" s="302"/>
      <c r="T67" s="302" t="str">
        <f>IF(AND(E67&lt;&gt;"",F64&lt;&gt;0,F63&lt;&gt;0,F62&lt;&gt;0),IF(F64&lt;&gt;"Yes",F63,CONCATENATE(F63,"-",F62)),"")</f>
        <v/>
      </c>
      <c r="U67" s="302"/>
      <c r="V67" s="302"/>
      <c r="W67" s="302" t="str">
        <f>IF(E67&lt;&gt;"",CONCATENATE("d",J65),"")</f>
        <v>d</v>
      </c>
      <c r="X67" s="302"/>
      <c r="Y67" s="302"/>
      <c r="Z67" s="302" t="str">
        <f>IF(E67&lt;&gt;"","0.0.0.0/0","")</f>
        <v>0.0.0.0/0</v>
      </c>
      <c r="AA67" s="302"/>
      <c r="AB67" s="302"/>
    </row>
    <row r="68" spans="1:28" s="34" customFormat="1" ht="14.25" hidden="1" customHeight="1" x14ac:dyDescent="0.25">
      <c r="A68" s="26">
        <v>2</v>
      </c>
      <c r="B68" s="302" t="str">
        <f>IF(Inventory!$C$16&lt;&gt;"",CONCATENATE("iSCSI - Node ",A68),"")</f>
        <v>iSCSI - Node 2</v>
      </c>
      <c r="C68" s="302"/>
      <c r="D68" s="302"/>
      <c r="E68" s="302" t="str">
        <f>IF(B68&lt;&gt;"",CONCATENATE($K$9,"-i0",A68,"-01.",$F$11)," ")</f>
        <v>shpsan-nas-01-i02-01.speedcast.com</v>
      </c>
      <c r="F68" s="302"/>
      <c r="G68" s="302"/>
      <c r="H68" s="302"/>
      <c r="I68" s="302"/>
      <c r="J68" s="288"/>
      <c r="K68" s="289"/>
      <c r="L68" s="290"/>
      <c r="M68" s="288" t="str">
        <f>IF(B68&lt;&gt;"",CONCATENATE($K$9,"-i0",A68,"-01")," ")</f>
        <v>shpsan-nas-01-i02-01</v>
      </c>
      <c r="N68" s="289"/>
      <c r="O68" s="289"/>
      <c r="P68" s="290"/>
      <c r="Q68" s="302" t="str">
        <f>IF(B68&lt;&gt;"",Inventory!$C$16,"")</f>
        <v>shpsan-02</v>
      </c>
      <c r="R68" s="302"/>
      <c r="S68" s="302"/>
      <c r="T68" s="302" t="str">
        <f>IF(AND(E68&lt;&gt;"",F64&lt;&gt;0,F63&lt;&gt;0,F62&lt;&gt;0),IF(F64&lt;&gt;"Yes",F63,CONCATENATE(F63,"-",F62)),"")</f>
        <v/>
      </c>
      <c r="U68" s="302"/>
      <c r="V68" s="302"/>
      <c r="W68" s="302" t="str">
        <f>IF(E68&lt;&gt;"",CONCATENATE("d",J65),"")</f>
        <v>d</v>
      </c>
      <c r="X68" s="302"/>
      <c r="Y68" s="302"/>
      <c r="Z68" s="302" t="str">
        <f t="shared" ref="Z68:Z74" si="1">IF(E68&lt;&gt;"","0.0.0.0/0","")</f>
        <v>0.0.0.0/0</v>
      </c>
      <c r="AA68" s="302"/>
      <c r="AB68" s="302"/>
    </row>
    <row r="69" spans="1:28" s="34" customFormat="1" ht="14.25" hidden="1" customHeight="1" x14ac:dyDescent="0.25">
      <c r="A69" s="26">
        <v>3</v>
      </c>
      <c r="B69" s="302" t="str">
        <f>IF(Inventory!$C$17&lt;&gt;"",CONCATENATE("iSCSI - Node ",A69),"")</f>
        <v/>
      </c>
      <c r="C69" s="302"/>
      <c r="D69" s="302"/>
      <c r="E69" s="302" t="str">
        <f>IF(B69&lt;&gt;"",CONCATENATE($K$9,"-i0",A69,"-01.",$F$11)," ")</f>
        <v xml:space="preserve"> </v>
      </c>
      <c r="F69" s="302"/>
      <c r="G69" s="302"/>
      <c r="H69" s="302"/>
      <c r="I69" s="302"/>
      <c r="J69" s="288"/>
      <c r="K69" s="289"/>
      <c r="L69" s="290"/>
      <c r="M69" s="288" t="str">
        <f t="shared" ref="M69:M74" si="2">IF(B69&lt;&gt;"",CONCATENATE($K$9,"-i0",A69,"-01")," ")</f>
        <v xml:space="preserve"> </v>
      </c>
      <c r="N69" s="289"/>
      <c r="O69" s="289"/>
      <c r="P69" s="290"/>
      <c r="Q69" s="302" t="str">
        <f>IF(B69&lt;&gt;"",Inventory!$C$16,"")</f>
        <v/>
      </c>
      <c r="R69" s="302"/>
      <c r="S69" s="302"/>
      <c r="T69" s="302" t="str">
        <f>IF(AND(E69&lt;&gt;"",F64&lt;&gt;0,F63&lt;&gt;0,F62&lt;&gt;0),IF(F64&lt;&gt;"Yes",F63,CONCATENATE(F63,"-",F62)),"")</f>
        <v/>
      </c>
      <c r="U69" s="302"/>
      <c r="V69" s="302"/>
      <c r="W69" s="302" t="str">
        <f>IF(E69&lt;&gt;"",CONCATENATE("d",J65),"")</f>
        <v>d</v>
      </c>
      <c r="X69" s="302"/>
      <c r="Y69" s="302"/>
      <c r="Z69" s="302" t="str">
        <f t="shared" si="1"/>
        <v>0.0.0.0/0</v>
      </c>
      <c r="AA69" s="302"/>
      <c r="AB69" s="302"/>
    </row>
    <row r="70" spans="1:28" s="34" customFormat="1" ht="14.25" hidden="1" customHeight="1" x14ac:dyDescent="0.25">
      <c r="A70" s="26">
        <v>4</v>
      </c>
      <c r="B70" s="302" t="str">
        <f>IF(Inventory!$C$18&lt;&gt;"",CONCATENATE("iSCSI - Node ",A70),"")</f>
        <v/>
      </c>
      <c r="C70" s="302"/>
      <c r="D70" s="302"/>
      <c r="E70" s="302" t="str">
        <f t="shared" ref="E70:E74" si="3">IF(B70&lt;&gt;"",CONCATENATE($K$9,"-i0",A70,"-01.",$F$11)," ")</f>
        <v xml:space="preserve"> </v>
      </c>
      <c r="F70" s="302"/>
      <c r="G70" s="302"/>
      <c r="H70" s="302"/>
      <c r="I70" s="302"/>
      <c r="J70" s="288"/>
      <c r="K70" s="289"/>
      <c r="L70" s="290"/>
      <c r="M70" s="288" t="str">
        <f t="shared" si="2"/>
        <v xml:space="preserve"> </v>
      </c>
      <c r="N70" s="289"/>
      <c r="O70" s="289"/>
      <c r="P70" s="290"/>
      <c r="Q70" s="302" t="str">
        <f>IF(B70&lt;&gt;"",Inventory!$C$16,"")</f>
        <v/>
      </c>
      <c r="R70" s="302"/>
      <c r="S70" s="302"/>
      <c r="T70" s="302" t="str">
        <f>IF(AND(E70&lt;&gt;"",F64&lt;&gt;0,F63&lt;&gt;0,F62&lt;&gt;0),IF(F64&lt;&gt;"Yes",F63,CONCATENATE(F63,"-",F62)),"")</f>
        <v/>
      </c>
      <c r="U70" s="302"/>
      <c r="V70" s="302"/>
      <c r="W70" s="302" t="str">
        <f>IF(E70&lt;&gt;"",CONCATENATE("d",J65),"")</f>
        <v>d</v>
      </c>
      <c r="X70" s="302"/>
      <c r="Y70" s="302"/>
      <c r="Z70" s="302" t="str">
        <f t="shared" si="1"/>
        <v>0.0.0.0/0</v>
      </c>
      <c r="AA70" s="302"/>
      <c r="AB70" s="302"/>
    </row>
    <row r="71" spans="1:28" s="34" customFormat="1" ht="14.25" hidden="1" customHeight="1" x14ac:dyDescent="0.25">
      <c r="A71" s="26">
        <v>5</v>
      </c>
      <c r="B71" s="302" t="str">
        <f>IF(Inventory!$C$19&lt;&gt;"",CONCATENATE("iSCSI - Node ",A71),"")</f>
        <v/>
      </c>
      <c r="C71" s="302"/>
      <c r="D71" s="302"/>
      <c r="E71" s="302" t="str">
        <f t="shared" si="3"/>
        <v xml:space="preserve"> </v>
      </c>
      <c r="F71" s="302"/>
      <c r="G71" s="302"/>
      <c r="H71" s="302"/>
      <c r="I71" s="302"/>
      <c r="J71" s="288"/>
      <c r="K71" s="289"/>
      <c r="L71" s="290"/>
      <c r="M71" s="288" t="str">
        <f t="shared" si="2"/>
        <v xml:space="preserve"> </v>
      </c>
      <c r="N71" s="289"/>
      <c r="O71" s="289"/>
      <c r="P71" s="290"/>
      <c r="Q71" s="302" t="str">
        <f>IF(B71&lt;&gt;"",Inventory!$C$16,"")</f>
        <v/>
      </c>
      <c r="R71" s="302"/>
      <c r="S71" s="302"/>
      <c r="T71" s="302" t="str">
        <f>IF(AND(E71&lt;&gt;"",F64&lt;&gt;0,F63&lt;&gt;0,F62&lt;&gt;0),IF(F64&lt;&gt;"Yes",F63,CONCATENATE(F63,"-",F62)),"")</f>
        <v/>
      </c>
      <c r="U71" s="302"/>
      <c r="V71" s="302"/>
      <c r="W71" s="302" t="str">
        <f>IF(E71&lt;&gt;"",CONCATENATE("d",J65),"")</f>
        <v>d</v>
      </c>
      <c r="X71" s="302"/>
      <c r="Y71" s="302"/>
      <c r="Z71" s="302" t="str">
        <f t="shared" si="1"/>
        <v>0.0.0.0/0</v>
      </c>
      <c r="AA71" s="302"/>
      <c r="AB71" s="302"/>
    </row>
    <row r="72" spans="1:28" s="34" customFormat="1" ht="14.25" hidden="1" customHeight="1" x14ac:dyDescent="0.25">
      <c r="A72" s="26">
        <v>6</v>
      </c>
      <c r="B72" s="302" t="str">
        <f>IF(Inventory!$C$20&lt;&gt;"",CONCATENATE("iSCSI - Node ",A72),"")</f>
        <v/>
      </c>
      <c r="C72" s="302"/>
      <c r="D72" s="302"/>
      <c r="E72" s="302" t="str">
        <f t="shared" si="3"/>
        <v xml:space="preserve"> </v>
      </c>
      <c r="F72" s="302"/>
      <c r="G72" s="302"/>
      <c r="H72" s="302"/>
      <c r="I72" s="302"/>
      <c r="J72" s="288"/>
      <c r="K72" s="289"/>
      <c r="L72" s="290"/>
      <c r="M72" s="288" t="str">
        <f t="shared" si="2"/>
        <v xml:space="preserve"> </v>
      </c>
      <c r="N72" s="289"/>
      <c r="O72" s="289"/>
      <c r="P72" s="290"/>
      <c r="Q72" s="302" t="str">
        <f>IF(B72&lt;&gt;"",Inventory!$C$16,"")</f>
        <v/>
      </c>
      <c r="R72" s="302"/>
      <c r="S72" s="302"/>
      <c r="T72" s="302" t="str">
        <f>IF(AND(E72&lt;&gt;"",F64&lt;&gt;0,F63&lt;&gt;0,F62&lt;&gt;0),IF(F64&lt;&gt;"Yes",F63,CONCATENATE(F63,"-",F62)),"")</f>
        <v/>
      </c>
      <c r="U72" s="302"/>
      <c r="V72" s="302"/>
      <c r="W72" s="302" t="str">
        <f>IF(E72&lt;&gt;"",CONCATENATE("d",J65),"")</f>
        <v>d</v>
      </c>
      <c r="X72" s="302"/>
      <c r="Y72" s="302"/>
      <c r="Z72" s="302" t="str">
        <f t="shared" si="1"/>
        <v>0.0.0.0/0</v>
      </c>
      <c r="AA72" s="302"/>
      <c r="AB72" s="302"/>
    </row>
    <row r="73" spans="1:28" s="34" customFormat="1" ht="14.25" hidden="1" customHeight="1" x14ac:dyDescent="0.25">
      <c r="A73" s="26">
        <v>7</v>
      </c>
      <c r="B73" s="302" t="str">
        <f>IF(Inventory!$C$21&lt;&gt;"",CONCATENATE("iSCSI - Node ",A73),"")</f>
        <v/>
      </c>
      <c r="C73" s="302"/>
      <c r="D73" s="302"/>
      <c r="E73" s="302" t="str">
        <f t="shared" si="3"/>
        <v xml:space="preserve"> </v>
      </c>
      <c r="F73" s="302"/>
      <c r="G73" s="302"/>
      <c r="H73" s="302"/>
      <c r="I73" s="302"/>
      <c r="J73" s="288"/>
      <c r="K73" s="289"/>
      <c r="L73" s="290"/>
      <c r="M73" s="288" t="str">
        <f t="shared" si="2"/>
        <v xml:space="preserve"> </v>
      </c>
      <c r="N73" s="289"/>
      <c r="O73" s="289"/>
      <c r="P73" s="290"/>
      <c r="Q73" s="302" t="str">
        <f>IF(B73&lt;&gt;"",Inventory!$C$16,"")</f>
        <v/>
      </c>
      <c r="R73" s="302"/>
      <c r="S73" s="302"/>
      <c r="T73" s="302" t="str">
        <f>IF(AND(E73&lt;&gt;"",F64&lt;&gt;0,F63&lt;&gt;0,F62&lt;&gt;0),IF(F64&lt;&gt;"Yes",F63,CONCATENATE(F63,"-",F62)),"")</f>
        <v/>
      </c>
      <c r="U73" s="302"/>
      <c r="V73" s="302"/>
      <c r="W73" s="302" t="str">
        <f>IF(E73&lt;&gt;"",CONCATENATE("d",J65),"")</f>
        <v>d</v>
      </c>
      <c r="X73" s="302"/>
      <c r="Y73" s="302"/>
      <c r="Z73" s="302" t="str">
        <f t="shared" si="1"/>
        <v>0.0.0.0/0</v>
      </c>
      <c r="AA73" s="302"/>
      <c r="AB73" s="302"/>
    </row>
    <row r="74" spans="1:28" s="34" customFormat="1" ht="14.25" hidden="1" customHeight="1" x14ac:dyDescent="0.25">
      <c r="A74" s="26">
        <v>8</v>
      </c>
      <c r="B74" s="302" t="str">
        <f>IF(Inventory!$C$22&lt;&gt;"",CONCATENATE("iSCSI - Node ",A74),"")</f>
        <v/>
      </c>
      <c r="C74" s="302"/>
      <c r="D74" s="302"/>
      <c r="E74" s="302" t="str">
        <f t="shared" si="3"/>
        <v xml:space="preserve"> </v>
      </c>
      <c r="F74" s="302"/>
      <c r="G74" s="302"/>
      <c r="H74" s="302"/>
      <c r="I74" s="302"/>
      <c r="J74" s="288"/>
      <c r="K74" s="289"/>
      <c r="L74" s="290"/>
      <c r="M74" s="288" t="str">
        <f t="shared" si="2"/>
        <v xml:space="preserve"> </v>
      </c>
      <c r="N74" s="289"/>
      <c r="O74" s="289"/>
      <c r="P74" s="290"/>
      <c r="Q74" s="302" t="str">
        <f>IF(B74&lt;&gt;"",Inventory!$C$16,"")</f>
        <v/>
      </c>
      <c r="R74" s="302"/>
      <c r="S74" s="302"/>
      <c r="T74" s="302" t="str">
        <f>IF(AND(E74&lt;&gt;"",F64&lt;&gt;0,F63&lt;&gt;0,F62&lt;&gt;0),IF(F64&lt;&gt;"Yes",F63,CONCATENATE(F63,"-",F62)),"")</f>
        <v/>
      </c>
      <c r="U74" s="302"/>
      <c r="V74" s="302"/>
      <c r="W74" s="302" t="str">
        <f>IF(E74&lt;&gt;"",CONCATENATE("d",J65),"")</f>
        <v>d</v>
      </c>
      <c r="X74" s="302"/>
      <c r="Y74" s="302"/>
      <c r="Z74" s="302" t="str">
        <f t="shared" si="1"/>
        <v>0.0.0.0/0</v>
      </c>
      <c r="AA74" s="302"/>
      <c r="AB74" s="302"/>
    </row>
    <row r="75" spans="1:28" s="34" customFormat="1" ht="14.25" hidden="1" customHeight="1" x14ac:dyDescent="0.2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t="s">
        <v>143</v>
      </c>
    </row>
    <row r="76" spans="1:28" s="34" customFormat="1" ht="14.25" hidden="1" customHeight="1" x14ac:dyDescent="0.25">
      <c r="A76" s="35"/>
      <c r="B76" s="4" t="s">
        <v>145</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row>
    <row r="77" spans="1:28" s="34" customFormat="1" ht="6" hidden="1" customHeight="1" x14ac:dyDescent="0.25">
      <c r="A77" s="35"/>
      <c r="B77" s="4"/>
      <c r="C77" s="35"/>
      <c r="D77" s="35"/>
      <c r="E77" s="35"/>
      <c r="F77" s="35"/>
      <c r="G77" s="6"/>
      <c r="H77" s="35"/>
      <c r="I77" s="35"/>
      <c r="J77" s="35"/>
      <c r="K77" s="35"/>
      <c r="L77" s="35"/>
      <c r="M77" s="35"/>
      <c r="N77" s="35"/>
      <c r="O77" s="35"/>
      <c r="P77" s="35"/>
      <c r="Q77" s="35"/>
      <c r="R77" s="35"/>
      <c r="S77" s="35"/>
      <c r="T77" s="35"/>
      <c r="U77" s="35"/>
      <c r="V77" s="35"/>
      <c r="W77" s="35"/>
      <c r="X77" s="35"/>
      <c r="Y77" s="35"/>
      <c r="Z77" s="35"/>
      <c r="AA77" s="35"/>
      <c r="AB77" s="35"/>
    </row>
    <row r="78" spans="1:28" s="34" customFormat="1" ht="14.25" hidden="1" customHeight="1" x14ac:dyDescent="0.25">
      <c r="A78" s="35"/>
      <c r="B78" s="303" t="s">
        <v>147</v>
      </c>
      <c r="C78" s="303"/>
      <c r="D78" s="303"/>
      <c r="E78" s="303"/>
      <c r="F78" s="181"/>
      <c r="G78" s="303" t="s">
        <v>148</v>
      </c>
      <c r="H78" s="303"/>
      <c r="I78" s="303"/>
      <c r="J78" s="303"/>
      <c r="K78" s="288" t="str">
        <f>IF(E83&lt;&gt;"",IF(F78&lt;&gt;0,VLOOKUP(F78,'Site Info'!$G$34:$P$69,8,FALSE),"enter VLAN"),"")</f>
        <v>enter VLAN</v>
      </c>
      <c r="L78" s="289"/>
      <c r="M78" s="290"/>
      <c r="N78" s="303" t="s">
        <v>149</v>
      </c>
      <c r="O78" s="303"/>
      <c r="P78" s="303"/>
      <c r="Q78" s="303"/>
      <c r="R78" s="181">
        <v>10</v>
      </c>
      <c r="S78" s="35"/>
      <c r="T78" s="35"/>
      <c r="U78" s="35"/>
      <c r="V78" s="35"/>
      <c r="W78" s="35"/>
      <c r="X78" s="35"/>
      <c r="Y78" s="35"/>
      <c r="Z78" s="35"/>
      <c r="AA78" s="35"/>
      <c r="AB78" s="35"/>
    </row>
    <row r="79" spans="1:28" s="34" customFormat="1" ht="14.25" hidden="1" customHeight="1" x14ac:dyDescent="0.25">
      <c r="A79" s="35"/>
      <c r="B79" s="303" t="s">
        <v>150</v>
      </c>
      <c r="C79" s="303"/>
      <c r="D79" s="303"/>
      <c r="E79" s="303"/>
      <c r="F79" s="181"/>
      <c r="G79" s="303" t="s">
        <v>151</v>
      </c>
      <c r="H79" s="303"/>
      <c r="I79" s="303"/>
      <c r="J79" s="303"/>
      <c r="K79" s="288" t="str">
        <f>IF(E83&lt;&gt;"",IF(F78&lt;&gt;0,VLOOKUP(F78,'Site Info'!$G$34:$P$69,5,FALSE),"enter VLAN"),"")</f>
        <v>enter VLAN</v>
      </c>
      <c r="L79" s="289"/>
      <c r="M79" s="290"/>
      <c r="N79" s="35"/>
      <c r="O79" s="35"/>
      <c r="P79" s="35"/>
      <c r="Q79" s="35"/>
      <c r="R79" s="35"/>
      <c r="S79" s="35"/>
      <c r="T79" s="35"/>
      <c r="U79" s="35"/>
      <c r="V79" s="35"/>
      <c r="W79" s="35"/>
      <c r="X79" s="35"/>
      <c r="Y79" s="35"/>
      <c r="Z79" s="35"/>
      <c r="AA79" s="35"/>
      <c r="AB79" s="35"/>
    </row>
    <row r="80" spans="1:28" s="34" customFormat="1" ht="14.25" hidden="1" customHeight="1" x14ac:dyDescent="0.25">
      <c r="A80" s="35"/>
      <c r="B80" s="303" t="s">
        <v>91</v>
      </c>
      <c r="C80" s="303"/>
      <c r="D80" s="303"/>
      <c r="E80" s="303"/>
      <c r="F80" s="181"/>
      <c r="G80" s="35"/>
      <c r="H80" s="35"/>
      <c r="I80" s="35"/>
      <c r="J80" s="35"/>
      <c r="K80" s="35"/>
      <c r="L80" s="35"/>
      <c r="M80" s="35"/>
      <c r="N80" s="35"/>
      <c r="O80" s="35"/>
      <c r="P80" s="35"/>
      <c r="Q80" s="35"/>
      <c r="R80" s="35"/>
      <c r="S80" s="35"/>
      <c r="T80" s="35"/>
      <c r="U80" s="35"/>
      <c r="V80" s="35"/>
      <c r="W80" s="35"/>
      <c r="X80" s="35"/>
      <c r="Y80" s="35"/>
      <c r="Z80" s="35"/>
      <c r="AA80" s="35"/>
      <c r="AB80" s="35"/>
    </row>
    <row r="81" spans="1:32" s="34" customFormat="1" ht="14.25" hidden="1" customHeight="1" x14ac:dyDescent="0.25">
      <c r="A81" s="35"/>
      <c r="B81" s="35"/>
      <c r="C81" s="35"/>
      <c r="D81" s="35"/>
      <c r="E81" s="35"/>
      <c r="F81" s="35"/>
      <c r="G81" s="35"/>
      <c r="H81" s="35"/>
      <c r="I81" s="35"/>
      <c r="J81" s="299" t="str">
        <f>IF(F78&lt;&gt;0,IF(E83&lt;&gt;"",VLOOKUP(F78,'Site Info'!$G$34:$P$69,2,FALSE),""),"")</f>
        <v/>
      </c>
      <c r="K81" s="299"/>
      <c r="L81" s="299"/>
      <c r="M81" s="35"/>
      <c r="N81" s="35"/>
      <c r="O81" s="35"/>
      <c r="P81" s="35"/>
      <c r="Q81" s="35"/>
      <c r="R81" s="35"/>
      <c r="S81" s="35"/>
      <c r="T81" s="35"/>
      <c r="U81" s="35"/>
      <c r="V81" s="35"/>
      <c r="W81" s="35"/>
      <c r="X81" s="35"/>
      <c r="Y81" s="35"/>
      <c r="Z81" s="35"/>
      <c r="AA81" s="35"/>
      <c r="AB81" s="35"/>
    </row>
    <row r="82" spans="1:32" s="34" customFormat="1" ht="14.25" hidden="1" customHeight="1" thickBot="1" x14ac:dyDescent="0.3">
      <c r="A82" s="35"/>
      <c r="B82" s="312" t="s">
        <v>92</v>
      </c>
      <c r="C82" s="321"/>
      <c r="D82" s="313"/>
      <c r="E82" s="312" t="s">
        <v>146</v>
      </c>
      <c r="F82" s="321"/>
      <c r="G82" s="321"/>
      <c r="H82" s="321"/>
      <c r="I82" s="313"/>
      <c r="J82" s="312" t="s">
        <v>71</v>
      </c>
      <c r="K82" s="321"/>
      <c r="L82" s="313"/>
      <c r="M82" s="312" t="s">
        <v>93</v>
      </c>
      <c r="N82" s="321"/>
      <c r="O82" s="321"/>
      <c r="P82" s="313"/>
      <c r="Q82" s="312" t="s">
        <v>95</v>
      </c>
      <c r="R82" s="321"/>
      <c r="S82" s="313"/>
      <c r="T82" s="312" t="s">
        <v>96</v>
      </c>
      <c r="U82" s="321"/>
      <c r="V82" s="313"/>
      <c r="W82" s="312" t="s">
        <v>103</v>
      </c>
      <c r="X82" s="321"/>
      <c r="Y82" s="313"/>
      <c r="Z82" s="312" t="s">
        <v>104</v>
      </c>
      <c r="AA82" s="321"/>
      <c r="AB82" s="313"/>
    </row>
    <row r="83" spans="1:32" s="34" customFormat="1" ht="14.25" hidden="1" customHeight="1" x14ac:dyDescent="0.25">
      <c r="A83" s="26">
        <v>1</v>
      </c>
      <c r="B83" s="302" t="str">
        <f>IF(Inventory!$C$15&lt;&gt;"",CONCATENATE("iSCSI - Node ",A83),"")</f>
        <v>iSCSI - Node 1</v>
      </c>
      <c r="C83" s="302"/>
      <c r="D83" s="302"/>
      <c r="E83" s="302" t="str">
        <f>IF(B83&lt;&gt;"",CONCATENATE($K$9,"-i0",A83,"-02.",$F$11)," ")</f>
        <v>shpsan-nas-01-i01-02.speedcast.com</v>
      </c>
      <c r="F83" s="302"/>
      <c r="G83" s="302"/>
      <c r="H83" s="302"/>
      <c r="I83" s="302"/>
      <c r="J83" s="288"/>
      <c r="K83" s="289"/>
      <c r="L83" s="290"/>
      <c r="M83" s="288" t="str">
        <f>IF(B83&lt;&gt;"",CONCATENATE($K$9,"-i0",A83,"-01")," ")</f>
        <v>shpsan-nas-01-i01-01</v>
      </c>
      <c r="N83" s="289"/>
      <c r="O83" s="289"/>
      <c r="P83" s="290"/>
      <c r="Q83" s="302" t="str">
        <f>IF(B83&lt;&gt;"",Inventory!$C$15,"")</f>
        <v>shpsan-01</v>
      </c>
      <c r="R83" s="302"/>
      <c r="S83" s="302"/>
      <c r="T83" s="302" t="str">
        <f>IF(AND(E83&lt;&gt;"",F80&lt;&gt;0,F79&lt;&gt;0,F78&lt;&gt;0),IF(F80&lt;&gt;"Yes",F79,CONCATENATE(F79,"-",F78)),"")</f>
        <v/>
      </c>
      <c r="U83" s="302"/>
      <c r="V83" s="302"/>
      <c r="W83" s="302" t="str">
        <f>IF(E83&lt;&gt;"",CONCATENATE("d",J81),"")</f>
        <v>d</v>
      </c>
      <c r="X83" s="302"/>
      <c r="Y83" s="302"/>
      <c r="Z83" s="302" t="str">
        <f>IF(E83&lt;&gt;"","0.0.0.0/0","")</f>
        <v>0.0.0.0/0</v>
      </c>
      <c r="AA83" s="302"/>
      <c r="AB83" s="302"/>
    </row>
    <row r="84" spans="1:32" s="34" customFormat="1" ht="14.25" hidden="1" customHeight="1" x14ac:dyDescent="0.25">
      <c r="A84" s="26">
        <v>2</v>
      </c>
      <c r="B84" s="302" t="str">
        <f>IF(Inventory!$C$16&lt;&gt;"",CONCATENATE("iSCSI - Node ",A84),"")</f>
        <v>iSCSI - Node 2</v>
      </c>
      <c r="C84" s="302"/>
      <c r="D84" s="302"/>
      <c r="E84" s="302" t="str">
        <f>IF(B84&lt;&gt;"",CONCATENATE($K$9,"-i0",A84,"-02.",$F$11)," ")</f>
        <v>shpsan-nas-01-i02-02.speedcast.com</v>
      </c>
      <c r="F84" s="302"/>
      <c r="G84" s="302"/>
      <c r="H84" s="302"/>
      <c r="I84" s="302"/>
      <c r="J84" s="288"/>
      <c r="K84" s="289"/>
      <c r="L84" s="290"/>
      <c r="M84" s="288" t="str">
        <f>IF(B84&lt;&gt;"",CONCATENATE($K$9,"-i0",A84,"-01")," ")</f>
        <v>shpsan-nas-01-i02-01</v>
      </c>
      <c r="N84" s="289"/>
      <c r="O84" s="289"/>
      <c r="P84" s="290"/>
      <c r="Q84" s="302" t="str">
        <f>IF(B84&lt;&gt;"",Inventory!$C$16,"")</f>
        <v>shpsan-02</v>
      </c>
      <c r="R84" s="302"/>
      <c r="S84" s="302"/>
      <c r="T84" s="302" t="str">
        <f>IF(AND(E84&lt;&gt;"",F80&lt;&gt;0,F79&lt;&gt;0,F78&lt;&gt;0),IF(F80&lt;&gt;"Yes",F79,CONCATENATE(F79,"-",F78)),"")</f>
        <v/>
      </c>
      <c r="U84" s="302"/>
      <c r="V84" s="302"/>
      <c r="W84" s="302" t="str">
        <f>IF(E84&lt;&gt;"",CONCATENATE("d",J81),"")</f>
        <v>d</v>
      </c>
      <c r="X84" s="302"/>
      <c r="Y84" s="302"/>
      <c r="Z84" s="302" t="str">
        <f t="shared" ref="Z84:Z90" si="4">IF(E84&lt;&gt;"","0.0.0.0/0","")</f>
        <v>0.0.0.0/0</v>
      </c>
      <c r="AA84" s="302"/>
      <c r="AB84" s="302"/>
    </row>
    <row r="85" spans="1:32" s="34" customFormat="1" ht="14.25" hidden="1" customHeight="1" x14ac:dyDescent="0.25">
      <c r="A85" s="26">
        <v>3</v>
      </c>
      <c r="B85" s="302" t="str">
        <f>IF(Inventory!$C$17&lt;&gt;"",CONCATENATE("iSCSI - Node ",A85),"")</f>
        <v/>
      </c>
      <c r="C85" s="302"/>
      <c r="D85" s="302"/>
      <c r="E85" s="302" t="str">
        <f t="shared" ref="E85:E90" si="5">IF(B85&lt;&gt;"",CONCATENATE($K$9,"-i0",A85,"-02.",$F$11)," ")</f>
        <v xml:space="preserve"> </v>
      </c>
      <c r="F85" s="302"/>
      <c r="G85" s="302"/>
      <c r="H85" s="302"/>
      <c r="I85" s="302"/>
      <c r="J85" s="288"/>
      <c r="K85" s="289"/>
      <c r="L85" s="290"/>
      <c r="M85" s="288" t="str">
        <f t="shared" ref="M85:M90" si="6">IF(B85&lt;&gt;"",CONCATENATE($K$9,"-i0",A85,"-01")," ")</f>
        <v xml:space="preserve"> </v>
      </c>
      <c r="N85" s="289"/>
      <c r="O85" s="289"/>
      <c r="P85" s="290"/>
      <c r="Q85" s="302" t="str">
        <f>IF(B85&lt;&gt;"",Inventory!$C$16,"")</f>
        <v/>
      </c>
      <c r="R85" s="302"/>
      <c r="S85" s="302"/>
      <c r="T85" s="302" t="str">
        <f>IF(AND(E85&lt;&gt;"",F80&lt;&gt;0,F79&lt;&gt;0,F78&lt;&gt;0),IF(F80&lt;&gt;"Yes",F79,CONCATENATE(F79,"-",F78)),"")</f>
        <v/>
      </c>
      <c r="U85" s="302"/>
      <c r="V85" s="302"/>
      <c r="W85" s="302" t="str">
        <f>IF(E85&lt;&gt;"",CONCATENATE("d",J81),"")</f>
        <v>d</v>
      </c>
      <c r="X85" s="302"/>
      <c r="Y85" s="302"/>
      <c r="Z85" s="302" t="str">
        <f t="shared" si="4"/>
        <v>0.0.0.0/0</v>
      </c>
      <c r="AA85" s="302"/>
      <c r="AB85" s="302"/>
    </row>
    <row r="86" spans="1:32" s="34" customFormat="1" ht="14.25" hidden="1" customHeight="1" x14ac:dyDescent="0.25">
      <c r="A86" s="26">
        <v>4</v>
      </c>
      <c r="B86" s="302" t="str">
        <f>IF(Inventory!$C$18&lt;&gt;"",CONCATENATE("iSCSI - Node ",A86),"")</f>
        <v/>
      </c>
      <c r="C86" s="302"/>
      <c r="D86" s="302"/>
      <c r="E86" s="302" t="str">
        <f t="shared" si="5"/>
        <v xml:space="preserve"> </v>
      </c>
      <c r="F86" s="302"/>
      <c r="G86" s="302"/>
      <c r="H86" s="302"/>
      <c r="I86" s="302"/>
      <c r="J86" s="288"/>
      <c r="K86" s="289"/>
      <c r="L86" s="290"/>
      <c r="M86" s="288" t="str">
        <f t="shared" si="6"/>
        <v xml:space="preserve"> </v>
      </c>
      <c r="N86" s="289"/>
      <c r="O86" s="289"/>
      <c r="P86" s="290"/>
      <c r="Q86" s="302" t="str">
        <f>IF(B86&lt;&gt;"",Inventory!$C$16,"")</f>
        <v/>
      </c>
      <c r="R86" s="302"/>
      <c r="S86" s="302"/>
      <c r="T86" s="302" t="str">
        <f>IF(AND(E86&lt;&gt;"",F80&lt;&gt;0,F79&lt;&gt;0,F78&lt;&gt;0),IF(F80&lt;&gt;"Yes",F79,CONCATENATE(F79,"-",F78)),"")</f>
        <v/>
      </c>
      <c r="U86" s="302"/>
      <c r="V86" s="302"/>
      <c r="W86" s="302" t="str">
        <f>IF(E86&lt;&gt;"",CONCATENATE("d",J81),"")</f>
        <v>d</v>
      </c>
      <c r="X86" s="302"/>
      <c r="Y86" s="302"/>
      <c r="Z86" s="302" t="str">
        <f t="shared" si="4"/>
        <v>0.0.0.0/0</v>
      </c>
      <c r="AA86" s="302"/>
      <c r="AB86" s="302"/>
    </row>
    <row r="87" spans="1:32" s="34" customFormat="1" ht="14.25" hidden="1" customHeight="1" x14ac:dyDescent="0.25">
      <c r="A87" s="26">
        <v>5</v>
      </c>
      <c r="B87" s="302" t="str">
        <f>IF(Inventory!$C$19&lt;&gt;"",CONCATENATE("iSCSI - Node ",A87),"")</f>
        <v/>
      </c>
      <c r="C87" s="302"/>
      <c r="D87" s="302"/>
      <c r="E87" s="302" t="str">
        <f t="shared" si="5"/>
        <v xml:space="preserve"> </v>
      </c>
      <c r="F87" s="302"/>
      <c r="G87" s="302"/>
      <c r="H87" s="302"/>
      <c r="I87" s="302"/>
      <c r="J87" s="288"/>
      <c r="K87" s="289"/>
      <c r="L87" s="290"/>
      <c r="M87" s="288" t="str">
        <f t="shared" si="6"/>
        <v xml:space="preserve"> </v>
      </c>
      <c r="N87" s="289"/>
      <c r="O87" s="289"/>
      <c r="P87" s="290"/>
      <c r="Q87" s="302" t="str">
        <f>IF(B87&lt;&gt;"",Inventory!$C$16,"")</f>
        <v/>
      </c>
      <c r="R87" s="302"/>
      <c r="S87" s="302"/>
      <c r="T87" s="302" t="str">
        <f>IF(AND(E87&lt;&gt;"",F80&lt;&gt;0,F79&lt;&gt;0,F78&lt;&gt;0),IF(F80&lt;&gt;"Yes",F79,CONCATENATE(F79,"-",F78)),"")</f>
        <v/>
      </c>
      <c r="U87" s="302"/>
      <c r="V87" s="302"/>
      <c r="W87" s="302" t="str">
        <f>IF(E87&lt;&gt;"",CONCATENATE("d",J81),"")</f>
        <v>d</v>
      </c>
      <c r="X87" s="302"/>
      <c r="Y87" s="302"/>
      <c r="Z87" s="302" t="str">
        <f t="shared" si="4"/>
        <v>0.0.0.0/0</v>
      </c>
      <c r="AA87" s="302"/>
      <c r="AB87" s="302"/>
    </row>
    <row r="88" spans="1:32" s="34" customFormat="1" ht="14.25" hidden="1" customHeight="1" x14ac:dyDescent="0.25">
      <c r="A88" s="26">
        <v>6</v>
      </c>
      <c r="B88" s="302" t="str">
        <f>IF(Inventory!$C$20&lt;&gt;"",CONCATENATE("iSCSI - Node ",A88),"")</f>
        <v/>
      </c>
      <c r="C88" s="302"/>
      <c r="D88" s="302"/>
      <c r="E88" s="302" t="str">
        <f t="shared" si="5"/>
        <v xml:space="preserve"> </v>
      </c>
      <c r="F88" s="302"/>
      <c r="G88" s="302"/>
      <c r="H88" s="302"/>
      <c r="I88" s="302"/>
      <c r="J88" s="288"/>
      <c r="K88" s="289"/>
      <c r="L88" s="290"/>
      <c r="M88" s="288" t="str">
        <f t="shared" si="6"/>
        <v xml:space="preserve"> </v>
      </c>
      <c r="N88" s="289"/>
      <c r="O88" s="289"/>
      <c r="P88" s="290"/>
      <c r="Q88" s="302" t="str">
        <f>IF(B88&lt;&gt;"",Inventory!$C$16,"")</f>
        <v/>
      </c>
      <c r="R88" s="302"/>
      <c r="S88" s="302"/>
      <c r="T88" s="302" t="str">
        <f>IF(AND(E88&lt;&gt;"",F80&lt;&gt;0,F79&lt;&gt;0,F78&lt;&gt;0),IF(F80&lt;&gt;"Yes",F79,CONCATENATE(F79,"-",F78)),"")</f>
        <v/>
      </c>
      <c r="U88" s="302"/>
      <c r="V88" s="302"/>
      <c r="W88" s="302" t="str">
        <f>IF(E88&lt;&gt;"",CONCATENATE("d",J81),"")</f>
        <v>d</v>
      </c>
      <c r="X88" s="302"/>
      <c r="Y88" s="302"/>
      <c r="Z88" s="302" t="str">
        <f t="shared" si="4"/>
        <v>0.0.0.0/0</v>
      </c>
      <c r="AA88" s="302"/>
      <c r="AB88" s="302"/>
    </row>
    <row r="89" spans="1:32" s="34" customFormat="1" ht="14.25" hidden="1" customHeight="1" x14ac:dyDescent="0.25">
      <c r="A89" s="26">
        <v>7</v>
      </c>
      <c r="B89" s="302" t="str">
        <f>IF(Inventory!$C$21&lt;&gt;"",CONCATENATE("iSCSI - Node ",A89),"")</f>
        <v/>
      </c>
      <c r="C89" s="302"/>
      <c r="D89" s="302"/>
      <c r="E89" s="302" t="str">
        <f t="shared" si="5"/>
        <v xml:space="preserve"> </v>
      </c>
      <c r="F89" s="302"/>
      <c r="G89" s="302"/>
      <c r="H89" s="302"/>
      <c r="I89" s="302"/>
      <c r="J89" s="288"/>
      <c r="K89" s="289"/>
      <c r="L89" s="290"/>
      <c r="M89" s="288" t="str">
        <f t="shared" si="6"/>
        <v xml:space="preserve"> </v>
      </c>
      <c r="N89" s="289"/>
      <c r="O89" s="289"/>
      <c r="P89" s="290"/>
      <c r="Q89" s="302" t="str">
        <f>IF(B89&lt;&gt;"",Inventory!$C$16,"")</f>
        <v/>
      </c>
      <c r="R89" s="302"/>
      <c r="S89" s="302"/>
      <c r="T89" s="302" t="str">
        <f>IF(AND(E89&lt;&gt;"",F80&lt;&gt;0,F79&lt;&gt;0,F78&lt;&gt;0),IF(F80&lt;&gt;"Yes",F79,CONCATENATE(F79,"-",F78)),"")</f>
        <v/>
      </c>
      <c r="U89" s="302"/>
      <c r="V89" s="302"/>
      <c r="W89" s="302" t="str">
        <f>IF(E89&lt;&gt;"",CONCATENATE("d",J81),"")</f>
        <v>d</v>
      </c>
      <c r="X89" s="302"/>
      <c r="Y89" s="302"/>
      <c r="Z89" s="302" t="str">
        <f t="shared" si="4"/>
        <v>0.0.0.0/0</v>
      </c>
      <c r="AA89" s="302"/>
      <c r="AB89" s="302"/>
    </row>
    <row r="90" spans="1:32" s="34" customFormat="1" ht="14.25" hidden="1" customHeight="1" x14ac:dyDescent="0.25">
      <c r="A90" s="26">
        <v>8</v>
      </c>
      <c r="B90" s="302" t="str">
        <f>IF(Inventory!$C$22&lt;&gt;"",CONCATENATE("iSCSI - Node ",A90),"")</f>
        <v/>
      </c>
      <c r="C90" s="302"/>
      <c r="D90" s="302"/>
      <c r="E90" s="302" t="str">
        <f t="shared" si="5"/>
        <v xml:space="preserve"> </v>
      </c>
      <c r="F90" s="302"/>
      <c r="G90" s="302"/>
      <c r="H90" s="302"/>
      <c r="I90" s="302"/>
      <c r="J90" s="288"/>
      <c r="K90" s="289"/>
      <c r="L90" s="290"/>
      <c r="M90" s="288" t="str">
        <f t="shared" si="6"/>
        <v xml:space="preserve"> </v>
      </c>
      <c r="N90" s="289"/>
      <c r="O90" s="289"/>
      <c r="P90" s="290"/>
      <c r="Q90" s="302" t="str">
        <f>IF(B90&lt;&gt;"",Inventory!$C$16,"")</f>
        <v/>
      </c>
      <c r="R90" s="302"/>
      <c r="S90" s="302"/>
      <c r="T90" s="302" t="str">
        <f>IF(AND(E90&lt;&gt;"",F80&lt;&gt;0,F79&lt;&gt;0,F78&lt;&gt;0),IF(F80&lt;&gt;"Yes",F79,CONCATENATE(F79,"-",F78)),"")</f>
        <v/>
      </c>
      <c r="U90" s="302"/>
      <c r="V90" s="302"/>
      <c r="W90" s="302" t="str">
        <f>IF(E90&lt;&gt;"",CONCATENATE("d",J81),"")</f>
        <v>d</v>
      </c>
      <c r="X90" s="302"/>
      <c r="Y90" s="302"/>
      <c r="Z90" s="302" t="str">
        <f t="shared" si="4"/>
        <v>0.0.0.0/0</v>
      </c>
      <c r="AA90" s="302"/>
      <c r="AB90" s="302"/>
    </row>
    <row r="91" spans="1:32" s="35" customFormat="1" ht="14.25" hidden="1" customHeight="1" x14ac:dyDescent="0.25">
      <c r="AB91" s="36" t="s">
        <v>143</v>
      </c>
    </row>
    <row r="92" spans="1:32" s="35" customFormat="1" ht="14.25" hidden="1" customHeight="1" x14ac:dyDescent="0.25">
      <c r="B92" s="4" t="s">
        <v>476</v>
      </c>
    </row>
    <row r="93" spans="1:32" s="35" customFormat="1" ht="6" hidden="1" customHeight="1" x14ac:dyDescent="0.25">
      <c r="B93" s="4"/>
      <c r="G93" s="6"/>
    </row>
    <row r="94" spans="1:32" s="35" customFormat="1" ht="14.25" hidden="1" customHeight="1" thickBot="1" x14ac:dyDescent="0.3">
      <c r="B94" s="311" t="s">
        <v>475</v>
      </c>
      <c r="C94" s="311"/>
      <c r="D94" s="311"/>
      <c r="E94" s="311"/>
      <c r="F94" s="311"/>
      <c r="G94" s="312" t="s">
        <v>362</v>
      </c>
      <c r="H94" s="313"/>
      <c r="I94" s="311" t="s">
        <v>93</v>
      </c>
      <c r="J94" s="311"/>
      <c r="K94" s="311"/>
      <c r="L94" s="311"/>
      <c r="M94" s="81" t="s">
        <v>43</v>
      </c>
      <c r="N94" s="311" t="s">
        <v>71</v>
      </c>
      <c r="O94" s="311"/>
      <c r="P94" s="311"/>
      <c r="Q94" s="311" t="s">
        <v>46</v>
      </c>
      <c r="R94" s="311"/>
      <c r="S94" s="311"/>
      <c r="T94" s="311" t="s">
        <v>477</v>
      </c>
      <c r="U94" s="311"/>
      <c r="V94" s="311"/>
      <c r="W94" s="311" t="s">
        <v>95</v>
      </c>
      <c r="X94" s="311"/>
      <c r="Y94" s="311"/>
      <c r="Z94" s="311" t="s">
        <v>96</v>
      </c>
      <c r="AA94" s="311"/>
      <c r="AB94" s="311"/>
      <c r="AC94" s="312" t="s">
        <v>1269</v>
      </c>
      <c r="AD94" s="321"/>
      <c r="AE94" s="313"/>
      <c r="AF94" s="258" t="s">
        <v>473</v>
      </c>
    </row>
    <row r="95" spans="1:32" s="35" customFormat="1" ht="14.25" hidden="1" customHeight="1" x14ac:dyDescent="0.25">
      <c r="B95" s="298"/>
      <c r="C95" s="299"/>
      <c r="D95" s="299"/>
      <c r="E95" s="299"/>
      <c r="F95" s="300"/>
      <c r="G95" s="295"/>
      <c r="H95" s="296"/>
      <c r="I95" s="298"/>
      <c r="J95" s="299"/>
      <c r="K95" s="299"/>
      <c r="L95" s="300"/>
      <c r="M95" s="109"/>
      <c r="N95" s="298"/>
      <c r="O95" s="299"/>
      <c r="P95" s="300"/>
      <c r="Q95" s="298"/>
      <c r="R95" s="299"/>
      <c r="S95" s="300"/>
      <c r="T95" s="298"/>
      <c r="U95" s="299"/>
      <c r="V95" s="300"/>
      <c r="W95" s="298"/>
      <c r="X95" s="299"/>
      <c r="Y95" s="300"/>
      <c r="Z95" s="298"/>
      <c r="AA95" s="299"/>
      <c r="AB95" s="300"/>
      <c r="AC95" s="298"/>
      <c r="AD95" s="299"/>
      <c r="AE95" s="300"/>
      <c r="AF95" s="255">
        <f>IF($F$29&lt;&gt;0,IF(VLOOKUP($F$29,'Site Info'!$G$34:$V$69,8,FALSE)&lt;&gt;0,VLOOKUP($F$29,'Site Info'!$G$34:$V$69,11,FALSE),""),"")</f>
        <v>1500</v>
      </c>
    </row>
    <row r="96" spans="1:32" s="35" customFormat="1" ht="14.25" hidden="1" customHeight="1" x14ac:dyDescent="0.25">
      <c r="B96" s="298"/>
      <c r="C96" s="299"/>
      <c r="D96" s="299"/>
      <c r="E96" s="299"/>
      <c r="F96" s="300"/>
      <c r="G96" s="288"/>
      <c r="H96" s="289"/>
      <c r="I96" s="298"/>
      <c r="J96" s="299"/>
      <c r="K96" s="299"/>
      <c r="L96" s="300"/>
      <c r="M96" s="109"/>
      <c r="N96" s="298"/>
      <c r="O96" s="299"/>
      <c r="P96" s="300"/>
      <c r="Q96" s="298"/>
      <c r="R96" s="299"/>
      <c r="S96" s="300"/>
      <c r="T96" s="298"/>
      <c r="U96" s="299"/>
      <c r="V96" s="300"/>
      <c r="W96" s="298"/>
      <c r="X96" s="299"/>
      <c r="Y96" s="300"/>
      <c r="Z96" s="298"/>
      <c r="AA96" s="299"/>
      <c r="AB96" s="300"/>
      <c r="AC96" s="298"/>
      <c r="AD96" s="299"/>
      <c r="AE96" s="300"/>
      <c r="AF96" s="255">
        <f>IF($F$29&lt;&gt;0,IF(VLOOKUP($F$29,'Site Info'!$G$34:$V$69,8,FALSE)&lt;&gt;0,VLOOKUP($F$29,'Site Info'!$G$34:$V$69,11,FALSE),""),"")</f>
        <v>1500</v>
      </c>
    </row>
    <row r="97" spans="2:32" s="35" customFormat="1" ht="14.25" hidden="1" customHeight="1" x14ac:dyDescent="0.25">
      <c r="B97" s="298"/>
      <c r="C97" s="299"/>
      <c r="D97" s="299"/>
      <c r="E97" s="299"/>
      <c r="F97" s="300"/>
      <c r="G97" s="288"/>
      <c r="H97" s="289"/>
      <c r="I97" s="298"/>
      <c r="J97" s="299"/>
      <c r="K97" s="299"/>
      <c r="L97" s="300"/>
      <c r="M97" s="109"/>
      <c r="N97" s="298"/>
      <c r="O97" s="299"/>
      <c r="P97" s="300"/>
      <c r="Q97" s="298"/>
      <c r="R97" s="299"/>
      <c r="S97" s="300"/>
      <c r="T97" s="298"/>
      <c r="U97" s="299"/>
      <c r="V97" s="300"/>
      <c r="W97" s="298"/>
      <c r="X97" s="299"/>
      <c r="Y97" s="300"/>
      <c r="Z97" s="298"/>
      <c r="AA97" s="299"/>
      <c r="AB97" s="300"/>
      <c r="AC97" s="298"/>
      <c r="AD97" s="299"/>
      <c r="AE97" s="300"/>
      <c r="AF97" s="255">
        <f>IF($F$29&lt;&gt;0,IF(VLOOKUP($F$29,'Site Info'!$G$34:$V$69,8,FALSE)&lt;&gt;0,VLOOKUP($F$29,'Site Info'!$G$34:$V$69,11,FALSE),""),"")</f>
        <v>1500</v>
      </c>
    </row>
    <row r="98" spans="2:32" s="35" customFormat="1" ht="14.25" hidden="1" customHeight="1" x14ac:dyDescent="0.25">
      <c r="B98" s="298"/>
      <c r="C98" s="299"/>
      <c r="D98" s="299"/>
      <c r="E98" s="299"/>
      <c r="F98" s="300"/>
      <c r="G98" s="288"/>
      <c r="H98" s="289"/>
      <c r="I98" s="298"/>
      <c r="J98" s="299"/>
      <c r="K98" s="299"/>
      <c r="L98" s="300"/>
      <c r="M98" s="109"/>
      <c r="N98" s="298"/>
      <c r="O98" s="299"/>
      <c r="P98" s="300"/>
      <c r="Q98" s="298"/>
      <c r="R98" s="299"/>
      <c r="S98" s="300"/>
      <c r="T98" s="298"/>
      <c r="U98" s="299"/>
      <c r="V98" s="300"/>
      <c r="W98" s="298"/>
      <c r="X98" s="299"/>
      <c r="Y98" s="300"/>
      <c r="Z98" s="298"/>
      <c r="AA98" s="299"/>
      <c r="AB98" s="300"/>
      <c r="AC98" s="298"/>
      <c r="AD98" s="299"/>
      <c r="AE98" s="300"/>
      <c r="AF98" s="255">
        <f>IF($F$29&lt;&gt;0,IF(VLOOKUP($F$29,'Site Info'!$G$34:$V$69,8,FALSE)&lt;&gt;0,VLOOKUP($F$29,'Site Info'!$G$34:$V$69,11,FALSE),""),"")</f>
        <v>1500</v>
      </c>
    </row>
    <row r="99" spans="2:32" s="34" customFormat="1" ht="14.25" hidden="1" customHeight="1" x14ac:dyDescent="0.25">
      <c r="AB99" s="36"/>
    </row>
    <row r="100" spans="2:32" s="35" customFormat="1" ht="14.25" hidden="1" customHeight="1" x14ac:dyDescent="0.25">
      <c r="B100" s="183" t="s">
        <v>934</v>
      </c>
      <c r="C100" s="183"/>
      <c r="D100" s="183"/>
      <c r="E100" s="183"/>
      <c r="F100" s="183"/>
      <c r="G100" s="184"/>
      <c r="H100" s="184"/>
      <c r="I100" s="184"/>
      <c r="J100" s="184"/>
      <c r="K100" s="184"/>
      <c r="L100" s="184"/>
      <c r="M100" s="184"/>
      <c r="N100" s="184"/>
      <c r="O100" s="184"/>
      <c r="P100" s="184"/>
      <c r="Q100" s="184"/>
      <c r="R100" s="184"/>
      <c r="S100" s="184"/>
      <c r="AB100" s="36"/>
    </row>
    <row r="101" spans="2:32" s="35" customFormat="1" ht="14.25" hidden="1" customHeight="1" x14ac:dyDescent="0.25">
      <c r="B101" s="184"/>
      <c r="C101" s="184"/>
      <c r="D101" s="184"/>
      <c r="E101" s="184"/>
      <c r="F101" s="184"/>
      <c r="G101" s="184"/>
      <c r="H101" s="184"/>
      <c r="I101" s="184"/>
      <c r="J101" s="184"/>
      <c r="K101" s="184"/>
      <c r="L101" s="184"/>
      <c r="M101" s="184"/>
      <c r="N101" s="184"/>
      <c r="O101" s="184"/>
      <c r="P101" s="184"/>
      <c r="Q101" s="184"/>
      <c r="R101" s="184"/>
      <c r="S101" s="184"/>
      <c r="AB101" s="36"/>
    </row>
    <row r="102" spans="2:32" s="35" customFormat="1" ht="14.25" hidden="1" customHeight="1" thickBot="1" x14ac:dyDescent="0.3">
      <c r="B102" s="385" t="s">
        <v>92</v>
      </c>
      <c r="C102" s="386"/>
      <c r="D102" s="387"/>
      <c r="E102" s="388" t="s">
        <v>935</v>
      </c>
      <c r="F102" s="386"/>
      <c r="G102" s="386"/>
      <c r="H102" s="386"/>
      <c r="I102" s="387"/>
      <c r="J102" s="388" t="s">
        <v>936</v>
      </c>
      <c r="K102" s="386"/>
      <c r="L102" s="387"/>
      <c r="M102" s="388" t="s">
        <v>937</v>
      </c>
      <c r="N102" s="386"/>
      <c r="O102" s="386"/>
      <c r="P102" s="387"/>
      <c r="Q102" s="388" t="s">
        <v>938</v>
      </c>
      <c r="R102" s="386"/>
      <c r="S102" s="387"/>
      <c r="AB102" s="36"/>
    </row>
    <row r="103" spans="2:32" s="35" customFormat="1" ht="14.25" hidden="1" customHeight="1" x14ac:dyDescent="0.25">
      <c r="B103" s="389" t="s">
        <v>939</v>
      </c>
      <c r="C103" s="390"/>
      <c r="D103" s="391"/>
      <c r="E103" s="392" t="str">
        <f>IF(B103&lt;&gt;"",CONCATENATE(K9,"-f01-",Q103)," ")</f>
        <v>shpsan-nas-01-f01-3a</v>
      </c>
      <c r="F103" s="390"/>
      <c r="G103" s="390"/>
      <c r="H103" s="390"/>
      <c r="I103" s="391"/>
      <c r="J103" s="392" t="s">
        <v>940</v>
      </c>
      <c r="K103" s="390"/>
      <c r="L103" s="391"/>
      <c r="M103" s="392" t="str">
        <f>IF(B103&lt;&gt;"",Inventory!$C$15,"")</f>
        <v>shpsan-01</v>
      </c>
      <c r="N103" s="390"/>
      <c r="O103" s="390"/>
      <c r="P103" s="391"/>
      <c r="Q103" s="392" t="s">
        <v>941</v>
      </c>
      <c r="R103" s="390"/>
      <c r="S103" s="391"/>
      <c r="AB103" s="36"/>
    </row>
    <row r="104" spans="2:32" s="35" customFormat="1" ht="14.25" hidden="1" customHeight="1" x14ac:dyDescent="0.25">
      <c r="B104" s="393" t="s">
        <v>939</v>
      </c>
      <c r="C104" s="394"/>
      <c r="D104" s="395"/>
      <c r="E104" s="396" t="str">
        <f>IF(B104&lt;&gt;"",CONCATENATE(K9,"-f01-",Q104)," ")</f>
        <v>shpsan-nas-01-f01-4a</v>
      </c>
      <c r="F104" s="394"/>
      <c r="G104" s="394"/>
      <c r="H104" s="394"/>
      <c r="I104" s="395"/>
      <c r="J104" s="396" t="s">
        <v>942</v>
      </c>
      <c r="K104" s="394"/>
      <c r="L104" s="395"/>
      <c r="M104" s="396" t="str">
        <f>IF(B104&lt;&gt;"",Inventory!$C$15,"")</f>
        <v>shpsan-01</v>
      </c>
      <c r="N104" s="394"/>
      <c r="O104" s="394"/>
      <c r="P104" s="395"/>
      <c r="Q104" s="396" t="s">
        <v>943</v>
      </c>
      <c r="R104" s="394"/>
      <c r="S104" s="395"/>
      <c r="AB104" s="36"/>
    </row>
    <row r="105" spans="2:32" s="35" customFormat="1" ht="14.25" hidden="1" customHeight="1" x14ac:dyDescent="0.25">
      <c r="B105" s="393" t="s">
        <v>944</v>
      </c>
      <c r="C105" s="394"/>
      <c r="D105" s="395"/>
      <c r="E105" s="396" t="str">
        <f>IF(B105&lt;&gt;"",CONCATENATE(K9,"-f02-",Q105)," ")</f>
        <v>shpsan-nas-01-f02-3a</v>
      </c>
      <c r="F105" s="394"/>
      <c r="G105" s="394"/>
      <c r="H105" s="394"/>
      <c r="I105" s="395"/>
      <c r="J105" s="396" t="s">
        <v>945</v>
      </c>
      <c r="K105" s="394"/>
      <c r="L105" s="395"/>
      <c r="M105" s="396" t="str">
        <f>IF(B105&lt;&gt;"",Inventory!$C$16,"")</f>
        <v>shpsan-02</v>
      </c>
      <c r="N105" s="394"/>
      <c r="O105" s="394"/>
      <c r="P105" s="395"/>
      <c r="Q105" s="396" t="s">
        <v>941</v>
      </c>
      <c r="R105" s="394"/>
      <c r="S105" s="395"/>
      <c r="AB105" s="36"/>
    </row>
    <row r="106" spans="2:32" s="35" customFormat="1" ht="14.25" hidden="1" customHeight="1" x14ac:dyDescent="0.25">
      <c r="B106" s="393" t="s">
        <v>944</v>
      </c>
      <c r="C106" s="394"/>
      <c r="D106" s="395"/>
      <c r="E106" s="396" t="str">
        <f>IF(B106&lt;&gt;"",CONCATENATE(K9,"-f02-",Q106)," ")</f>
        <v>shpsan-nas-01-f02-4a</v>
      </c>
      <c r="F106" s="394"/>
      <c r="G106" s="394"/>
      <c r="H106" s="394"/>
      <c r="I106" s="395"/>
      <c r="J106" s="396" t="s">
        <v>946</v>
      </c>
      <c r="K106" s="394"/>
      <c r="L106" s="395"/>
      <c r="M106" s="396" t="str">
        <f>IF(B106&lt;&gt;"",Inventory!$C$16,"")</f>
        <v>shpsan-02</v>
      </c>
      <c r="N106" s="394"/>
      <c r="O106" s="394"/>
      <c r="P106" s="395"/>
      <c r="Q106" s="396" t="s">
        <v>943</v>
      </c>
      <c r="R106" s="394"/>
      <c r="S106" s="395"/>
      <c r="AB106" s="36"/>
    </row>
    <row r="107" spans="2:32" s="35" customFormat="1" ht="14.25" hidden="1" customHeight="1" x14ac:dyDescent="0.25">
      <c r="AB107" s="36"/>
    </row>
    <row r="108" spans="2:32" s="35" customFormat="1" ht="14.25" customHeight="1" x14ac:dyDescent="0.25">
      <c r="B108" s="4" t="s">
        <v>450</v>
      </c>
    </row>
    <row r="109" spans="2:32" s="35" customFormat="1" ht="6" customHeight="1" x14ac:dyDescent="0.25">
      <c r="B109" s="4"/>
      <c r="G109" s="6"/>
    </row>
    <row r="110" spans="2:32" ht="14.25" customHeight="1" x14ac:dyDescent="0.25">
      <c r="B110" s="303" t="s">
        <v>451</v>
      </c>
      <c r="C110" s="303"/>
      <c r="D110" s="303"/>
      <c r="E110" s="303"/>
      <c r="F110" s="288"/>
      <c r="G110" s="289"/>
      <c r="H110" s="290"/>
      <c r="J110" s="303" t="s">
        <v>458</v>
      </c>
      <c r="K110" s="303"/>
      <c r="L110" s="303"/>
      <c r="M110" s="303"/>
      <c r="N110" s="288"/>
      <c r="O110" s="289"/>
      <c r="P110" s="290"/>
      <c r="Q110" s="288"/>
      <c r="R110" s="289"/>
      <c r="S110" s="290"/>
    </row>
    <row r="111" spans="2:32" ht="14.25" customHeight="1" x14ac:dyDescent="0.25">
      <c r="B111" s="303" t="s">
        <v>452</v>
      </c>
      <c r="C111" s="303"/>
      <c r="D111" s="303"/>
      <c r="E111" s="303"/>
      <c r="F111" s="288"/>
      <c r="G111" s="289"/>
      <c r="H111" s="290"/>
      <c r="J111" s="303" t="s">
        <v>454</v>
      </c>
      <c r="K111" s="303"/>
      <c r="L111" s="303"/>
      <c r="M111" s="303"/>
      <c r="N111" s="288"/>
      <c r="O111" s="289"/>
      <c r="P111" s="289"/>
      <c r="Q111" s="289"/>
      <c r="R111" s="290"/>
    </row>
    <row r="112" spans="2:32" ht="14.25" customHeight="1" x14ac:dyDescent="0.25">
      <c r="B112" s="303" t="s">
        <v>453</v>
      </c>
      <c r="C112" s="303"/>
      <c r="D112" s="303"/>
      <c r="E112" s="303"/>
      <c r="F112" s="288"/>
      <c r="G112" s="289"/>
      <c r="H112" s="290"/>
    </row>
    <row r="113" spans="2:19" ht="14.25" customHeight="1" x14ac:dyDescent="0.25"/>
    <row r="114" spans="2:19" s="35" customFormat="1" ht="14.25" customHeight="1" x14ac:dyDescent="0.25">
      <c r="B114" s="4" t="s">
        <v>474</v>
      </c>
    </row>
    <row r="115" spans="2:19" s="35" customFormat="1" ht="6" customHeight="1" x14ac:dyDescent="0.25">
      <c r="B115" s="4"/>
      <c r="G115" s="6"/>
    </row>
    <row r="116" spans="2:19" s="35" customFormat="1" ht="14.25" customHeight="1" x14ac:dyDescent="0.25">
      <c r="B116" s="303" t="s">
        <v>600</v>
      </c>
      <c r="C116" s="303"/>
      <c r="D116" s="303"/>
      <c r="E116" s="303"/>
      <c r="F116" s="288"/>
      <c r="G116" s="289"/>
      <c r="H116" s="289"/>
      <c r="I116" s="289"/>
      <c r="J116" s="290"/>
      <c r="K116" s="303" t="s">
        <v>602</v>
      </c>
      <c r="L116" s="303"/>
      <c r="M116" s="303"/>
      <c r="N116" s="303"/>
      <c r="O116" s="288"/>
      <c r="P116" s="289"/>
      <c r="Q116" s="289"/>
      <c r="R116" s="289"/>
      <c r="S116" s="290"/>
    </row>
    <row r="117" spans="2:19" ht="14.25" customHeight="1" x14ac:dyDescent="0.25">
      <c r="B117" s="303" t="s">
        <v>601</v>
      </c>
      <c r="C117" s="303"/>
      <c r="D117" s="303"/>
      <c r="E117" s="303"/>
      <c r="F117" s="288"/>
      <c r="G117" s="289"/>
      <c r="H117" s="289"/>
      <c r="I117" s="289"/>
      <c r="J117" s="290"/>
      <c r="K117" s="303" t="s">
        <v>603</v>
      </c>
      <c r="L117" s="303"/>
      <c r="M117" s="303"/>
      <c r="N117" s="303"/>
      <c r="O117" s="288"/>
      <c r="P117" s="289"/>
      <c r="Q117" s="289"/>
      <c r="R117" s="289"/>
      <c r="S117" s="290"/>
    </row>
    <row r="118" spans="2:19" ht="14.25" customHeight="1" x14ac:dyDescent="0.25"/>
    <row r="119" spans="2:19" s="35" customFormat="1" ht="14.25" customHeight="1" x14ac:dyDescent="0.25">
      <c r="B119" s="4" t="s">
        <v>455</v>
      </c>
    </row>
    <row r="120" spans="2:19" s="35" customFormat="1" ht="6" customHeight="1" x14ac:dyDescent="0.25">
      <c r="B120" s="4"/>
      <c r="G120" s="6"/>
    </row>
    <row r="121" spans="2:19" ht="14.25" customHeight="1" x14ac:dyDescent="0.25">
      <c r="B121" s="303" t="s">
        <v>456</v>
      </c>
      <c r="C121" s="303"/>
      <c r="D121" s="303"/>
      <c r="E121" s="303"/>
      <c r="F121" s="288"/>
      <c r="G121" s="289"/>
      <c r="H121" s="289"/>
      <c r="I121" s="289"/>
      <c r="J121" s="290"/>
    </row>
    <row r="122" spans="2:19" ht="14.25" customHeight="1" x14ac:dyDescent="0.25">
      <c r="B122" s="303" t="s">
        <v>457</v>
      </c>
      <c r="C122" s="303"/>
      <c r="D122" s="303"/>
      <c r="E122" s="303"/>
      <c r="F122" s="288"/>
      <c r="G122" s="289"/>
      <c r="H122" s="290"/>
      <c r="I122" s="288"/>
      <c r="J122" s="289"/>
      <c r="K122" s="290"/>
    </row>
    <row r="123" spans="2:19" ht="14.25" customHeight="1" x14ac:dyDescent="0.25"/>
    <row r="124" spans="2:19" ht="14.25" customHeight="1" x14ac:dyDescent="0.25"/>
    <row r="125" spans="2:19" ht="14.25" customHeight="1" x14ac:dyDescent="0.25"/>
    <row r="126" spans="2:19" ht="14.25" customHeight="1" x14ac:dyDescent="0.25"/>
    <row r="127" spans="2:19" ht="14.25" customHeight="1" x14ac:dyDescent="0.25"/>
    <row r="128" spans="2:19"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sheetData>
  <mergeCells count="457">
    <mergeCell ref="B106:D106"/>
    <mergeCell ref="E106:I106"/>
    <mergeCell ref="J106:L106"/>
    <mergeCell ref="M106:P106"/>
    <mergeCell ref="Q106:S106"/>
    <mergeCell ref="B104:D104"/>
    <mergeCell ref="E104:I104"/>
    <mergeCell ref="J104:L104"/>
    <mergeCell ref="M104:P104"/>
    <mergeCell ref="Q104:S104"/>
    <mergeCell ref="B105:D105"/>
    <mergeCell ref="E105:I105"/>
    <mergeCell ref="J105:L105"/>
    <mergeCell ref="M105:P105"/>
    <mergeCell ref="Q105:S105"/>
    <mergeCell ref="B102:D102"/>
    <mergeCell ref="E102:I102"/>
    <mergeCell ref="J102:L102"/>
    <mergeCell ref="M102:P102"/>
    <mergeCell ref="Q102:S102"/>
    <mergeCell ref="B103:D103"/>
    <mergeCell ref="E103:I103"/>
    <mergeCell ref="J103:L103"/>
    <mergeCell ref="M103:P103"/>
    <mergeCell ref="Q103:S103"/>
    <mergeCell ref="R5:AE5"/>
    <mergeCell ref="B16:E16"/>
    <mergeCell ref="F16:J16"/>
    <mergeCell ref="S11:AB11"/>
    <mergeCell ref="B9:E9"/>
    <mergeCell ref="G9:J9"/>
    <mergeCell ref="K9:O9"/>
    <mergeCell ref="B11:E11"/>
    <mergeCell ref="F11:I11"/>
    <mergeCell ref="B12:E12"/>
    <mergeCell ref="F12:H12"/>
    <mergeCell ref="I12:K12"/>
    <mergeCell ref="L12:N12"/>
    <mergeCell ref="B8:E8"/>
    <mergeCell ref="G8:J8"/>
    <mergeCell ref="K8:O8"/>
    <mergeCell ref="X9:AB9"/>
    <mergeCell ref="T9:W9"/>
    <mergeCell ref="S16:V16"/>
    <mergeCell ref="W16:Y16"/>
    <mergeCell ref="B22:E22"/>
    <mergeCell ref="J23:L23"/>
    <mergeCell ref="B24:D24"/>
    <mergeCell ref="E24:I24"/>
    <mergeCell ref="J24:L24"/>
    <mergeCell ref="B20:E20"/>
    <mergeCell ref="G20:J20"/>
    <mergeCell ref="K20:M20"/>
    <mergeCell ref="N20:Q20"/>
    <mergeCell ref="B21:E21"/>
    <mergeCell ref="G21:J21"/>
    <mergeCell ref="K21:M21"/>
    <mergeCell ref="B25:D25"/>
    <mergeCell ref="E25:I25"/>
    <mergeCell ref="J25:L25"/>
    <mergeCell ref="M25:P25"/>
    <mergeCell ref="Q25:S25"/>
    <mergeCell ref="T25:V25"/>
    <mergeCell ref="W25:Y25"/>
    <mergeCell ref="M24:P24"/>
    <mergeCell ref="Q24:S24"/>
    <mergeCell ref="T24:V24"/>
    <mergeCell ref="W24:Y24"/>
    <mergeCell ref="T37:V37"/>
    <mergeCell ref="W37:Y37"/>
    <mergeCell ref="B36:D36"/>
    <mergeCell ref="E36:I36"/>
    <mergeCell ref="Q34:S34"/>
    <mergeCell ref="T34:V34"/>
    <mergeCell ref="W34:Y34"/>
    <mergeCell ref="B35:D35"/>
    <mergeCell ref="E35:I35"/>
    <mergeCell ref="J35:L35"/>
    <mergeCell ref="M35:P35"/>
    <mergeCell ref="Q35:S35"/>
    <mergeCell ref="T35:V35"/>
    <mergeCell ref="W35:Y35"/>
    <mergeCell ref="B34:D34"/>
    <mergeCell ref="E34:I34"/>
    <mergeCell ref="J34:L34"/>
    <mergeCell ref="M34:P34"/>
    <mergeCell ref="J36:L36"/>
    <mergeCell ref="M36:P36"/>
    <mergeCell ref="Q36:S36"/>
    <mergeCell ref="T36:V36"/>
    <mergeCell ref="W36:Y36"/>
    <mergeCell ref="B37:D37"/>
    <mergeCell ref="Q38:S38"/>
    <mergeCell ref="T38:V38"/>
    <mergeCell ref="W38:Y38"/>
    <mergeCell ref="B39:D39"/>
    <mergeCell ref="E39:I39"/>
    <mergeCell ref="J39:L39"/>
    <mergeCell ref="M39:P39"/>
    <mergeCell ref="W39:Y39"/>
    <mergeCell ref="M38:P38"/>
    <mergeCell ref="J38:L38"/>
    <mergeCell ref="B38:D38"/>
    <mergeCell ref="E38:I38"/>
    <mergeCell ref="Q39:S39"/>
    <mergeCell ref="T39:V39"/>
    <mergeCell ref="E37:I37"/>
    <mergeCell ref="J37:L37"/>
    <mergeCell ref="M37:P37"/>
    <mergeCell ref="Q37:S37"/>
    <mergeCell ref="B29:E29"/>
    <mergeCell ref="G29:J29"/>
    <mergeCell ref="K29:M29"/>
    <mergeCell ref="N29:Q29"/>
    <mergeCell ref="B30:E30"/>
    <mergeCell ref="G30:J30"/>
    <mergeCell ref="K30:M30"/>
    <mergeCell ref="B31:E31"/>
    <mergeCell ref="J33:L33"/>
    <mergeCell ref="G31:J31"/>
    <mergeCell ref="W41:Y41"/>
    <mergeCell ref="W42:Y42"/>
    <mergeCell ref="B41:D41"/>
    <mergeCell ref="B42:D42"/>
    <mergeCell ref="E41:I41"/>
    <mergeCell ref="E42:I42"/>
    <mergeCell ref="Q41:S41"/>
    <mergeCell ref="Q42:S42"/>
    <mergeCell ref="J40:L40"/>
    <mergeCell ref="J41:L41"/>
    <mergeCell ref="J42:L42"/>
    <mergeCell ref="M40:P40"/>
    <mergeCell ref="M41:P41"/>
    <mergeCell ref="M42:P42"/>
    <mergeCell ref="T41:V41"/>
    <mergeCell ref="T42:V42"/>
    <mergeCell ref="Q40:S40"/>
    <mergeCell ref="T40:V40"/>
    <mergeCell ref="W40:Y40"/>
    <mergeCell ref="B40:D40"/>
    <mergeCell ref="E40:I40"/>
    <mergeCell ref="B48:E48"/>
    <mergeCell ref="G48:J48"/>
    <mergeCell ref="K48:O48"/>
    <mergeCell ref="J49:L49"/>
    <mergeCell ref="B50:D50"/>
    <mergeCell ref="E50:I50"/>
    <mergeCell ref="J50:L50"/>
    <mergeCell ref="M50:P50"/>
    <mergeCell ref="B46:E46"/>
    <mergeCell ref="G46:J46"/>
    <mergeCell ref="K46:M46"/>
    <mergeCell ref="N46:Q46"/>
    <mergeCell ref="B47:E47"/>
    <mergeCell ref="G47:J47"/>
    <mergeCell ref="K47:M47"/>
    <mergeCell ref="Q50:S50"/>
    <mergeCell ref="T50:V50"/>
    <mergeCell ref="W50:Y50"/>
    <mergeCell ref="Z50:AB50"/>
    <mergeCell ref="B51:D51"/>
    <mergeCell ref="E51:I51"/>
    <mergeCell ref="J51:L51"/>
    <mergeCell ref="M51:P51"/>
    <mergeCell ref="Q51:S51"/>
    <mergeCell ref="T51:V51"/>
    <mergeCell ref="W51:Y51"/>
    <mergeCell ref="Z51:AB51"/>
    <mergeCell ref="T52:V52"/>
    <mergeCell ref="W52:Y52"/>
    <mergeCell ref="Z52:AB52"/>
    <mergeCell ref="B53:D53"/>
    <mergeCell ref="E53:I53"/>
    <mergeCell ref="J53:L53"/>
    <mergeCell ref="M53:P53"/>
    <mergeCell ref="Q53:S53"/>
    <mergeCell ref="T53:V53"/>
    <mergeCell ref="W53:Y53"/>
    <mergeCell ref="Z53:AB53"/>
    <mergeCell ref="B52:D52"/>
    <mergeCell ref="E52:I52"/>
    <mergeCell ref="J52:L52"/>
    <mergeCell ref="M52:P52"/>
    <mergeCell ref="Q52:S52"/>
    <mergeCell ref="T54:V54"/>
    <mergeCell ref="W54:Y54"/>
    <mergeCell ref="Z54:AB54"/>
    <mergeCell ref="B55:D55"/>
    <mergeCell ref="E55:I55"/>
    <mergeCell ref="J55:L55"/>
    <mergeCell ref="M55:P55"/>
    <mergeCell ref="Q55:S55"/>
    <mergeCell ref="T55:V55"/>
    <mergeCell ref="W55:Y55"/>
    <mergeCell ref="Z55:AB55"/>
    <mergeCell ref="B54:D54"/>
    <mergeCell ref="E54:I54"/>
    <mergeCell ref="J54:L54"/>
    <mergeCell ref="M54:P54"/>
    <mergeCell ref="Q54:S54"/>
    <mergeCell ref="T56:V56"/>
    <mergeCell ref="W56:Y56"/>
    <mergeCell ref="Z56:AB56"/>
    <mergeCell ref="B57:D57"/>
    <mergeCell ref="E57:I57"/>
    <mergeCell ref="J57:L57"/>
    <mergeCell ref="M57:P57"/>
    <mergeCell ref="Q57:S57"/>
    <mergeCell ref="T57:V57"/>
    <mergeCell ref="W57:Y57"/>
    <mergeCell ref="Z57:AB57"/>
    <mergeCell ref="B56:D56"/>
    <mergeCell ref="E56:I56"/>
    <mergeCell ref="J56:L56"/>
    <mergeCell ref="M56:P56"/>
    <mergeCell ref="Q56:S56"/>
    <mergeCell ref="B64:E64"/>
    <mergeCell ref="T58:V58"/>
    <mergeCell ref="W58:Y58"/>
    <mergeCell ref="Z58:AB58"/>
    <mergeCell ref="B58:D58"/>
    <mergeCell ref="E58:I58"/>
    <mergeCell ref="J58:L58"/>
    <mergeCell ref="M58:P58"/>
    <mergeCell ref="Q58:S58"/>
    <mergeCell ref="B62:E62"/>
    <mergeCell ref="G62:J62"/>
    <mergeCell ref="K62:M62"/>
    <mergeCell ref="N62:Q62"/>
    <mergeCell ref="B63:E63"/>
    <mergeCell ref="G63:J63"/>
    <mergeCell ref="K63:M63"/>
    <mergeCell ref="J65:L65"/>
    <mergeCell ref="B66:D66"/>
    <mergeCell ref="E66:I66"/>
    <mergeCell ref="J66:L66"/>
    <mergeCell ref="M66:P66"/>
    <mergeCell ref="Q66:S66"/>
    <mergeCell ref="B68:D68"/>
    <mergeCell ref="E68:I68"/>
    <mergeCell ref="J68:L68"/>
    <mergeCell ref="M68:P68"/>
    <mergeCell ref="W73:Y73"/>
    <mergeCell ref="Z73:AB73"/>
    <mergeCell ref="B74:D74"/>
    <mergeCell ref="E74:I74"/>
    <mergeCell ref="J74:L74"/>
    <mergeCell ref="M74:P74"/>
    <mergeCell ref="Q74:S74"/>
    <mergeCell ref="T74:V74"/>
    <mergeCell ref="W74:Y74"/>
    <mergeCell ref="Z74:AB74"/>
    <mergeCell ref="B73:D73"/>
    <mergeCell ref="E73:I73"/>
    <mergeCell ref="J73:L73"/>
    <mergeCell ref="M73:P73"/>
    <mergeCell ref="Q73:S73"/>
    <mergeCell ref="Z82:AB82"/>
    <mergeCell ref="B83:D83"/>
    <mergeCell ref="E83:I83"/>
    <mergeCell ref="J83:L83"/>
    <mergeCell ref="M83:P83"/>
    <mergeCell ref="Q83:S83"/>
    <mergeCell ref="T83:V83"/>
    <mergeCell ref="W83:Y83"/>
    <mergeCell ref="Z83:AB83"/>
    <mergeCell ref="B82:D82"/>
    <mergeCell ref="E82:I82"/>
    <mergeCell ref="J82:L82"/>
    <mergeCell ref="M82:P82"/>
    <mergeCell ref="Q82:S82"/>
    <mergeCell ref="T82:V82"/>
    <mergeCell ref="W82:Y82"/>
    <mergeCell ref="Z84:AB84"/>
    <mergeCell ref="B85:D85"/>
    <mergeCell ref="E85:I85"/>
    <mergeCell ref="J85:L85"/>
    <mergeCell ref="M85:P85"/>
    <mergeCell ref="Q85:S85"/>
    <mergeCell ref="T85:V85"/>
    <mergeCell ref="W85:Y85"/>
    <mergeCell ref="Z85:AB85"/>
    <mergeCell ref="B84:D84"/>
    <mergeCell ref="E84:I84"/>
    <mergeCell ref="J84:L84"/>
    <mergeCell ref="M84:P84"/>
    <mergeCell ref="Q84:S84"/>
    <mergeCell ref="T84:V84"/>
    <mergeCell ref="W84:Y84"/>
    <mergeCell ref="T90:V90"/>
    <mergeCell ref="W90:Y90"/>
    <mergeCell ref="Z86:AB86"/>
    <mergeCell ref="B87:D87"/>
    <mergeCell ref="E87:I87"/>
    <mergeCell ref="J87:L87"/>
    <mergeCell ref="M87:P87"/>
    <mergeCell ref="Q87:S87"/>
    <mergeCell ref="T87:V87"/>
    <mergeCell ref="W87:Y87"/>
    <mergeCell ref="Z87:AB87"/>
    <mergeCell ref="B86:D86"/>
    <mergeCell ref="E86:I86"/>
    <mergeCell ref="J86:L86"/>
    <mergeCell ref="M86:P86"/>
    <mergeCell ref="Q86:S86"/>
    <mergeCell ref="T86:V86"/>
    <mergeCell ref="W86:Y86"/>
    <mergeCell ref="K79:M79"/>
    <mergeCell ref="T73:V73"/>
    <mergeCell ref="Z90:AB90"/>
    <mergeCell ref="B90:D90"/>
    <mergeCell ref="E90:I90"/>
    <mergeCell ref="J90:L90"/>
    <mergeCell ref="M90:P90"/>
    <mergeCell ref="Q90:S90"/>
    <mergeCell ref="T88:V88"/>
    <mergeCell ref="W88:Y88"/>
    <mergeCell ref="Z88:AB88"/>
    <mergeCell ref="B89:D89"/>
    <mergeCell ref="E89:I89"/>
    <mergeCell ref="J89:L89"/>
    <mergeCell ref="M89:P89"/>
    <mergeCell ref="Q89:S89"/>
    <mergeCell ref="T89:V89"/>
    <mergeCell ref="W89:Y89"/>
    <mergeCell ref="Z89:AB89"/>
    <mergeCell ref="B88:D88"/>
    <mergeCell ref="E88:I88"/>
    <mergeCell ref="J88:L88"/>
    <mergeCell ref="M88:P88"/>
    <mergeCell ref="Q88:S88"/>
    <mergeCell ref="W66:Y66"/>
    <mergeCell ref="Z66:AB66"/>
    <mergeCell ref="B67:D67"/>
    <mergeCell ref="E67:I67"/>
    <mergeCell ref="J67:L67"/>
    <mergeCell ref="M67:P67"/>
    <mergeCell ref="Q67:S67"/>
    <mergeCell ref="T67:V67"/>
    <mergeCell ref="W67:Y67"/>
    <mergeCell ref="Z67:AB67"/>
    <mergeCell ref="T66:V66"/>
    <mergeCell ref="W68:Y68"/>
    <mergeCell ref="Z68:AB68"/>
    <mergeCell ref="B69:D69"/>
    <mergeCell ref="E69:I69"/>
    <mergeCell ref="J69:L69"/>
    <mergeCell ref="M69:P69"/>
    <mergeCell ref="Q69:S69"/>
    <mergeCell ref="T69:V69"/>
    <mergeCell ref="W69:Y69"/>
    <mergeCell ref="Z69:AB69"/>
    <mergeCell ref="Q68:S68"/>
    <mergeCell ref="T68:V68"/>
    <mergeCell ref="W72:Y72"/>
    <mergeCell ref="Z72:AB72"/>
    <mergeCell ref="Q70:S70"/>
    <mergeCell ref="T70:V70"/>
    <mergeCell ref="W70:Y70"/>
    <mergeCell ref="Z70:AB70"/>
    <mergeCell ref="B71:D71"/>
    <mergeCell ref="E71:I71"/>
    <mergeCell ref="J71:L71"/>
    <mergeCell ref="M71:P71"/>
    <mergeCell ref="Q71:S71"/>
    <mergeCell ref="T71:V71"/>
    <mergeCell ref="W71:Y71"/>
    <mergeCell ref="Z71:AB71"/>
    <mergeCell ref="J72:L72"/>
    <mergeCell ref="B70:D70"/>
    <mergeCell ref="E70:I70"/>
    <mergeCell ref="J70:L70"/>
    <mergeCell ref="M70:P70"/>
    <mergeCell ref="B72:D72"/>
    <mergeCell ref="E72:I72"/>
    <mergeCell ref="M72:P72"/>
    <mergeCell ref="Q72:S72"/>
    <mergeCell ref="T72:V72"/>
    <mergeCell ref="B121:E121"/>
    <mergeCell ref="B122:E122"/>
    <mergeCell ref="F122:H122"/>
    <mergeCell ref="F121:J121"/>
    <mergeCell ref="I122:K122"/>
    <mergeCell ref="K31:O31"/>
    <mergeCell ref="B14:E14"/>
    <mergeCell ref="B110:E110"/>
    <mergeCell ref="F110:H110"/>
    <mergeCell ref="F111:H111"/>
    <mergeCell ref="F112:H112"/>
    <mergeCell ref="B111:E111"/>
    <mergeCell ref="B112:E112"/>
    <mergeCell ref="J110:M110"/>
    <mergeCell ref="J111:M111"/>
    <mergeCell ref="N110:P110"/>
    <mergeCell ref="B80:E80"/>
    <mergeCell ref="J81:L81"/>
    <mergeCell ref="B78:E78"/>
    <mergeCell ref="G78:J78"/>
    <mergeCell ref="K78:M78"/>
    <mergeCell ref="N78:Q78"/>
    <mergeCell ref="B79:E79"/>
    <mergeCell ref="G79:J79"/>
    <mergeCell ref="B116:E116"/>
    <mergeCell ref="F116:J116"/>
    <mergeCell ref="B117:E117"/>
    <mergeCell ref="K116:N116"/>
    <mergeCell ref="O116:S116"/>
    <mergeCell ref="F117:J117"/>
    <mergeCell ref="K117:N117"/>
    <mergeCell ref="O117:S117"/>
    <mergeCell ref="Q110:S110"/>
    <mergeCell ref="N111:R111"/>
    <mergeCell ref="T94:V94"/>
    <mergeCell ref="T95:V95"/>
    <mergeCell ref="AC94:AE94"/>
    <mergeCell ref="AC95:AE95"/>
    <mergeCell ref="B96:F96"/>
    <mergeCell ref="I96:L96"/>
    <mergeCell ref="N96:P96"/>
    <mergeCell ref="Q96:S96"/>
    <mergeCell ref="T96:V96"/>
    <mergeCell ref="W96:Y96"/>
    <mergeCell ref="Z96:AB96"/>
    <mergeCell ref="AC96:AE96"/>
    <mergeCell ref="B94:F94"/>
    <mergeCell ref="B95:F95"/>
    <mergeCell ref="I95:L95"/>
    <mergeCell ref="I94:L94"/>
    <mergeCell ref="W95:Y95"/>
    <mergeCell ref="W94:Y94"/>
    <mergeCell ref="Z95:AB95"/>
    <mergeCell ref="Z94:AB94"/>
    <mergeCell ref="N94:P94"/>
    <mergeCell ref="G94:H94"/>
    <mergeCell ref="G95:H95"/>
    <mergeCell ref="G96:H96"/>
    <mergeCell ref="B97:F97"/>
    <mergeCell ref="I97:L97"/>
    <mergeCell ref="N97:P97"/>
    <mergeCell ref="Q97:S97"/>
    <mergeCell ref="Q95:S95"/>
    <mergeCell ref="N95:P95"/>
    <mergeCell ref="Q94:S94"/>
    <mergeCell ref="B98:F98"/>
    <mergeCell ref="I98:L98"/>
    <mergeCell ref="N98:P98"/>
    <mergeCell ref="Q98:S98"/>
    <mergeCell ref="T98:V98"/>
    <mergeCell ref="W98:Y98"/>
    <mergeCell ref="Z98:AB98"/>
    <mergeCell ref="AC98:AE98"/>
    <mergeCell ref="T97:V97"/>
    <mergeCell ref="W97:Y97"/>
    <mergeCell ref="Z97:AB97"/>
    <mergeCell ref="AC97:AE97"/>
    <mergeCell ref="G97:H97"/>
    <mergeCell ref="G98:H98"/>
  </mergeCells>
  <conditionalFormatting sqref="F22 W16:Y16">
    <cfRule type="containsBlanks" dxfId="519" priority="152">
      <formula>LEN(TRIM(F16))=0</formula>
    </cfRule>
  </conditionalFormatting>
  <conditionalFormatting sqref="F31">
    <cfRule type="containsBlanks" dxfId="518" priority="124">
      <formula>LEN(TRIM(F31))=0</formula>
    </cfRule>
  </conditionalFormatting>
  <conditionalFormatting sqref="F48">
    <cfRule type="containsBlanks" dxfId="517" priority="120">
      <formula>LEN(TRIM(F48))=0</formula>
    </cfRule>
  </conditionalFormatting>
  <conditionalFormatting sqref="F21">
    <cfRule type="containsBlanks" dxfId="516" priority="109">
      <formula>LEN(TRIM(F21))=0</formula>
    </cfRule>
  </conditionalFormatting>
  <conditionalFormatting sqref="F47">
    <cfRule type="containsBlanks" dxfId="515" priority="111">
      <formula>LEN(TRIM(F47))=0</formula>
    </cfRule>
  </conditionalFormatting>
  <conditionalFormatting sqref="F30">
    <cfRule type="containsBlanks" dxfId="514" priority="110">
      <formula>LEN(TRIM(F30))=0</formula>
    </cfRule>
  </conditionalFormatting>
  <conditionalFormatting sqref="G14">
    <cfRule type="containsBlanks" dxfId="513" priority="88">
      <formula>LEN(TRIM(G14))=0</formula>
    </cfRule>
  </conditionalFormatting>
  <conditionalFormatting sqref="I14">
    <cfRule type="containsBlanks" dxfId="512" priority="87">
      <formula>LEN(TRIM(I14))=0</formula>
    </cfRule>
  </conditionalFormatting>
  <conditionalFormatting sqref="K14">
    <cfRule type="containsBlanks" dxfId="511" priority="86">
      <formula>LEN(TRIM(K14))=0</formula>
    </cfRule>
  </conditionalFormatting>
  <conditionalFormatting sqref="J51:J58">
    <cfRule type="containsBlanks" dxfId="510" priority="93">
      <formula>LEN(TRIM(J51))=0</formula>
    </cfRule>
  </conditionalFormatting>
  <conditionalFormatting sqref="J35:J42">
    <cfRule type="containsBlanks" dxfId="509" priority="92">
      <formula>LEN(TRIM(J35))=0</formula>
    </cfRule>
  </conditionalFormatting>
  <conditionalFormatting sqref="J25">
    <cfRule type="containsBlanks" dxfId="508" priority="91">
      <formula>LEN(TRIM(J25))=0</formula>
    </cfRule>
  </conditionalFormatting>
  <conditionalFormatting sqref="K48">
    <cfRule type="containsBlanks" dxfId="507" priority="90">
      <formula>LEN(TRIM(K48))=0</formula>
    </cfRule>
  </conditionalFormatting>
  <conditionalFormatting sqref="K31">
    <cfRule type="containsBlanks" dxfId="506" priority="89">
      <formula>LEN(TRIM(K31))=0</formula>
    </cfRule>
  </conditionalFormatting>
  <conditionalFormatting sqref="M14">
    <cfRule type="containsBlanks" dxfId="505" priority="85">
      <formula>LEN(TRIM(M14))=0</formula>
    </cfRule>
  </conditionalFormatting>
  <conditionalFormatting sqref="O116">
    <cfRule type="containsBlanks" dxfId="504" priority="73">
      <formula>LEN(TRIM(O116))=0</formula>
    </cfRule>
  </conditionalFormatting>
  <conditionalFormatting sqref="F117">
    <cfRule type="containsBlanks" dxfId="503" priority="72">
      <formula>LEN(TRIM(F117))=0</formula>
    </cfRule>
  </conditionalFormatting>
  <conditionalFormatting sqref="F116">
    <cfRule type="containsBlanks" dxfId="502" priority="71">
      <formula>LEN(TRIM(F116))=0</formula>
    </cfRule>
  </conditionalFormatting>
  <conditionalFormatting sqref="O117">
    <cfRule type="containsBlanks" dxfId="501" priority="70">
      <formula>LEN(TRIM(O117))=0</formula>
    </cfRule>
  </conditionalFormatting>
  <conditionalFormatting sqref="F121 F110:H112 F122:K122 Q110 N110:N111">
    <cfRule type="containsBlanks" dxfId="500" priority="69">
      <formula>LEN(TRIM(F110))=0</formula>
    </cfRule>
  </conditionalFormatting>
  <conditionalFormatting sqref="B95">
    <cfRule type="containsBlanks" dxfId="499" priority="64">
      <formula>LEN(TRIM(B95))=0</formula>
    </cfRule>
  </conditionalFormatting>
  <conditionalFormatting sqref="I95">
    <cfRule type="containsBlanks" dxfId="498" priority="63">
      <formula>LEN(TRIM(I95))=0</formula>
    </cfRule>
  </conditionalFormatting>
  <conditionalFormatting sqref="W95">
    <cfRule type="containsBlanks" dxfId="497" priority="62">
      <formula>LEN(TRIM(W95))=0</formula>
    </cfRule>
  </conditionalFormatting>
  <conditionalFormatting sqref="Z95">
    <cfRule type="containsBlanks" dxfId="496" priority="61">
      <formula>LEN(TRIM(Z95))=0</formula>
    </cfRule>
  </conditionalFormatting>
  <conditionalFormatting sqref="G95">
    <cfRule type="containsBlanks" dxfId="495" priority="60">
      <formula>LEN(TRIM(G95))=0</formula>
    </cfRule>
  </conditionalFormatting>
  <conditionalFormatting sqref="N95">
    <cfRule type="containsBlanks" dxfId="494" priority="58">
      <formula>LEN(TRIM(N95))=0</formula>
    </cfRule>
  </conditionalFormatting>
  <conditionalFormatting sqref="Q95">
    <cfRule type="containsBlanks" dxfId="493" priority="57">
      <formula>LEN(TRIM(Q95))=0</formula>
    </cfRule>
  </conditionalFormatting>
  <conditionalFormatting sqref="T95">
    <cfRule type="containsBlanks" dxfId="492" priority="56">
      <formula>LEN(TRIM(T95))=0</formula>
    </cfRule>
  </conditionalFormatting>
  <conditionalFormatting sqref="AC95">
    <cfRule type="containsBlanks" dxfId="491" priority="53">
      <formula>LEN(TRIM(AC95))=0</formula>
    </cfRule>
  </conditionalFormatting>
  <conditionalFormatting sqref="B96">
    <cfRule type="containsBlanks" dxfId="490" priority="51">
      <formula>LEN(TRIM(B96))=0</formula>
    </cfRule>
  </conditionalFormatting>
  <conditionalFormatting sqref="I96">
    <cfRule type="containsBlanks" dxfId="489" priority="50">
      <formula>LEN(TRIM(I96))=0</formula>
    </cfRule>
  </conditionalFormatting>
  <conditionalFormatting sqref="W96">
    <cfRule type="containsBlanks" dxfId="488" priority="49">
      <formula>LEN(TRIM(W96))=0</formula>
    </cfRule>
  </conditionalFormatting>
  <conditionalFormatting sqref="Z96">
    <cfRule type="containsBlanks" dxfId="487" priority="48">
      <formula>LEN(TRIM(Z96))=0</formula>
    </cfRule>
  </conditionalFormatting>
  <conditionalFormatting sqref="G96">
    <cfRule type="containsBlanks" dxfId="486" priority="47">
      <formula>LEN(TRIM(G96))=0</formula>
    </cfRule>
  </conditionalFormatting>
  <conditionalFormatting sqref="N96">
    <cfRule type="containsBlanks" dxfId="485" priority="46">
      <formula>LEN(TRIM(N96))=0</formula>
    </cfRule>
  </conditionalFormatting>
  <conditionalFormatting sqref="Q96">
    <cfRule type="containsBlanks" dxfId="484" priority="45">
      <formula>LEN(TRIM(Q96))=0</formula>
    </cfRule>
  </conditionalFormatting>
  <conditionalFormatting sqref="T96">
    <cfRule type="containsBlanks" dxfId="483" priority="44">
      <formula>LEN(TRIM(T96))=0</formula>
    </cfRule>
  </conditionalFormatting>
  <conditionalFormatting sqref="AC96">
    <cfRule type="containsBlanks" dxfId="482" priority="42">
      <formula>LEN(TRIM(AC96))=0</formula>
    </cfRule>
  </conditionalFormatting>
  <conditionalFormatting sqref="B97">
    <cfRule type="containsBlanks" dxfId="481" priority="40">
      <formula>LEN(TRIM(B97))=0</formula>
    </cfRule>
  </conditionalFormatting>
  <conditionalFormatting sqref="I97">
    <cfRule type="containsBlanks" dxfId="480" priority="39">
      <formula>LEN(TRIM(I97))=0</formula>
    </cfRule>
  </conditionalFormatting>
  <conditionalFormatting sqref="W97">
    <cfRule type="containsBlanks" dxfId="479" priority="38">
      <formula>LEN(TRIM(W97))=0</formula>
    </cfRule>
  </conditionalFormatting>
  <conditionalFormatting sqref="Z97">
    <cfRule type="containsBlanks" dxfId="478" priority="37">
      <formula>LEN(TRIM(Z97))=0</formula>
    </cfRule>
  </conditionalFormatting>
  <conditionalFormatting sqref="G97">
    <cfRule type="containsBlanks" dxfId="477" priority="36">
      <formula>LEN(TRIM(G97))=0</formula>
    </cfRule>
  </conditionalFormatting>
  <conditionalFormatting sqref="N97">
    <cfRule type="containsBlanks" dxfId="476" priority="35">
      <formula>LEN(TRIM(N97))=0</formula>
    </cfRule>
  </conditionalFormatting>
  <conditionalFormatting sqref="Q97">
    <cfRule type="containsBlanks" dxfId="475" priority="34">
      <formula>LEN(TRIM(Q97))=0</formula>
    </cfRule>
  </conditionalFormatting>
  <conditionalFormatting sqref="T97">
    <cfRule type="containsBlanks" dxfId="474" priority="33">
      <formula>LEN(TRIM(T97))=0</formula>
    </cfRule>
  </conditionalFormatting>
  <conditionalFormatting sqref="AC97">
    <cfRule type="containsBlanks" dxfId="473" priority="31">
      <formula>LEN(TRIM(AC97))=0</formula>
    </cfRule>
  </conditionalFormatting>
  <conditionalFormatting sqref="B98">
    <cfRule type="containsBlanks" dxfId="472" priority="29">
      <formula>LEN(TRIM(B98))=0</formula>
    </cfRule>
  </conditionalFormatting>
  <conditionalFormatting sqref="I98">
    <cfRule type="containsBlanks" dxfId="471" priority="28">
      <formula>LEN(TRIM(I98))=0</formula>
    </cfRule>
  </conditionalFormatting>
  <conditionalFormatting sqref="W98">
    <cfRule type="containsBlanks" dxfId="470" priority="27">
      <formula>LEN(TRIM(W98))=0</formula>
    </cfRule>
  </conditionalFormatting>
  <conditionalFormatting sqref="Z98">
    <cfRule type="containsBlanks" dxfId="469" priority="26">
      <formula>LEN(TRIM(Z98))=0</formula>
    </cfRule>
  </conditionalFormatting>
  <conditionalFormatting sqref="G98">
    <cfRule type="containsBlanks" dxfId="468" priority="25">
      <formula>LEN(TRIM(G98))=0</formula>
    </cfRule>
  </conditionalFormatting>
  <conditionalFormatting sqref="N98">
    <cfRule type="containsBlanks" dxfId="467" priority="24">
      <formula>LEN(TRIM(N98))=0</formula>
    </cfRule>
  </conditionalFormatting>
  <conditionalFormatting sqref="Q98">
    <cfRule type="containsBlanks" dxfId="466" priority="23">
      <formula>LEN(TRIM(Q98))=0</formula>
    </cfRule>
  </conditionalFormatting>
  <conditionalFormatting sqref="T98">
    <cfRule type="containsBlanks" dxfId="465" priority="22">
      <formula>LEN(TRIM(T98))=0</formula>
    </cfRule>
  </conditionalFormatting>
  <conditionalFormatting sqref="AC98">
    <cfRule type="containsBlanks" dxfId="464" priority="20">
      <formula>LEN(TRIM(AC98))=0</formula>
    </cfRule>
  </conditionalFormatting>
  <conditionalFormatting sqref="F9 F16:J16">
    <cfRule type="containsBlanks" dxfId="463" priority="18">
      <formula>LEN(TRIM(F9))=0</formula>
    </cfRule>
  </conditionalFormatting>
  <conditionalFormatting sqref="F20">
    <cfRule type="containsBlanks" dxfId="462" priority="17">
      <formula>LEN(TRIM(F20))=0</formula>
    </cfRule>
  </conditionalFormatting>
  <conditionalFormatting sqref="F29">
    <cfRule type="containsBlanks" dxfId="461" priority="16">
      <formula>LEN(TRIM(F29))=0</formula>
    </cfRule>
  </conditionalFormatting>
  <conditionalFormatting sqref="F46">
    <cfRule type="containsBlanks" dxfId="460" priority="15">
      <formula>LEN(TRIM(F46))=0</formula>
    </cfRule>
  </conditionalFormatting>
  <conditionalFormatting sqref="J67:J74">
    <cfRule type="containsBlanks" dxfId="459" priority="6">
      <formula>LEN(TRIM(J67))=0</formula>
    </cfRule>
  </conditionalFormatting>
  <conditionalFormatting sqref="F62">
    <cfRule type="containsBlanks" dxfId="458" priority="5">
      <formula>LEN(TRIM(F62))=0</formula>
    </cfRule>
  </conditionalFormatting>
  <conditionalFormatting sqref="M95:M98">
    <cfRule type="containsBlanks" dxfId="457" priority="12">
      <formula>LEN(TRIM(M95))=0</formula>
    </cfRule>
  </conditionalFormatting>
  <conditionalFormatting sqref="F64">
    <cfRule type="containsBlanks" dxfId="456" priority="11">
      <formula>LEN(TRIM(F64))=0</formula>
    </cfRule>
  </conditionalFormatting>
  <conditionalFormatting sqref="F79:F80">
    <cfRule type="containsBlanks" dxfId="455" priority="10">
      <formula>LEN(TRIM(F79))=0</formula>
    </cfRule>
  </conditionalFormatting>
  <conditionalFormatting sqref="F63">
    <cfRule type="containsBlanks" dxfId="454" priority="9">
      <formula>LEN(TRIM(F63))=0</formula>
    </cfRule>
  </conditionalFormatting>
  <conditionalFormatting sqref="J87:J90">
    <cfRule type="containsBlanks" dxfId="453" priority="8">
      <formula>LEN(TRIM(J87))=0</formula>
    </cfRule>
  </conditionalFormatting>
  <conditionalFormatting sqref="J83:J86">
    <cfRule type="containsBlanks" dxfId="452" priority="7">
      <formula>LEN(TRIM(J83))=0</formula>
    </cfRule>
  </conditionalFormatting>
  <conditionalFormatting sqref="F78">
    <cfRule type="containsBlanks" dxfId="451" priority="4">
      <formula>LEN(TRIM(F78))=0</formula>
    </cfRule>
  </conditionalFormatting>
  <conditionalFormatting sqref="W25">
    <cfRule type="containsBlanks" dxfId="450" priority="2">
      <formula>LEN(TRIM(W25))=0</formula>
    </cfRule>
  </conditionalFormatting>
  <conditionalFormatting sqref="W35:W42">
    <cfRule type="containsBlanks" dxfId="449" priority="1">
      <formula>LEN(TRIM(W35))=0</formula>
    </cfRule>
  </conditionalFormatting>
  <dataValidations count="3">
    <dataValidation type="list" allowBlank="1" sqref="F20 F29 F46 M95:M98 F62 F78" xr:uid="{00000000-0002-0000-0600-000000000000}">
      <formula1>VLANList</formula1>
    </dataValidation>
    <dataValidation type="list" allowBlank="1" sqref="F47 F63" xr:uid="{00000000-0002-0000-0600-000001000000}">
      <formula1>$C$17:$C$22</formula1>
    </dataValidation>
    <dataValidation type="list" allowBlank="1" showInputMessage="1" showErrorMessage="1" sqref="W35:Y42 AC95:AE98" xr:uid="{00000000-0002-0000-0600-000002000000}">
      <formula1>$B$109:$B$118</formula1>
    </dataValidation>
  </dataValidations>
  <printOptions gridLines="1"/>
  <pageMargins left="0.75" right="0.25" top="0.25" bottom="0.75" header="0.3" footer="0.3"/>
  <pageSetup paperSize="3" scale="91" fitToHeight="0" orientation="landscape" r:id="rId1"/>
  <headerFooter>
    <oddFooter>&amp;R&amp;A
&amp;P</oddFooter>
  </headerFooter>
  <drawing r:id="rId2"/>
  <legacyDrawing r:id="rId3"/>
  <extLst>
    <ext xmlns:x14="http://schemas.microsoft.com/office/spreadsheetml/2009/9/main" uri="{CCE6A557-97BC-4b89-ADB6-D9C93CAAB3DF}">
      <x14:dataValidations xmlns:xm="http://schemas.microsoft.com/office/excel/2006/main" count="8">
        <x14:dataValidation type="list" allowBlank="1" xr:uid="{00000000-0002-0000-0600-000004000000}">
          <x14:formula1>
            <xm:f>Dropdowns!$B$3:$B$4</xm:f>
          </x14:formula1>
          <xm:sqref>F22 F48 F31 M14 G14 I14 K14 F64 F80</xm:sqref>
        </x14:dataValidation>
        <x14:dataValidation type="list" allowBlank="1" xr:uid="{00000000-0002-0000-0600-000005000000}">
          <x14:formula1>
            <xm:f>'c-Cluster'!$C$21:$C$26</xm:f>
          </x14:formula1>
          <xm:sqref>F79</xm:sqref>
        </x14:dataValidation>
        <x14:dataValidation type="list" allowBlank="1" xr:uid="{00000000-0002-0000-0600-000006000000}">
          <x14:formula1>
            <xm:f>Dropdowns!$I$5:$I$6</xm:f>
          </x14:formula1>
          <xm:sqref>G95:G98</xm:sqref>
        </x14:dataValidation>
        <x14:dataValidation type="list" allowBlank="1" xr:uid="{00000000-0002-0000-0600-000007000000}">
          <x14:formula1>
            <xm:f>'c-Cluster'!$C$21:$C$25</xm:f>
          </x14:formula1>
          <xm:sqref>F21</xm:sqref>
        </x14:dataValidation>
        <x14:dataValidation type="list" allowBlank="1" showInputMessage="1" showErrorMessage="1" xr:uid="{00000000-0002-0000-0600-000008000000}">
          <x14:formula1>
            <xm:f>'c-Cluster'!$E$71:$E$75</xm:f>
          </x14:formula1>
          <xm:sqref>F16:J16</xm:sqref>
        </x14:dataValidation>
        <x14:dataValidation type="list" allowBlank="1" showInputMessage="1" showErrorMessage="1" xr:uid="{00000000-0002-0000-0600-000009000000}">
          <x14:formula1>
            <xm:f>'c-Cluster'!$B$104:$B$113</xm:f>
          </x14:formula1>
          <xm:sqref>W25:Y25</xm:sqref>
        </x14:dataValidation>
        <x14:dataValidation type="list" allowBlank="1" showInputMessage="1" showErrorMessage="1" xr:uid="{00000000-0002-0000-0600-00000A000000}">
          <x14:formula1>
            <xm:f>'c-Cluster'!$B$83:$B$86</xm:f>
          </x14:formula1>
          <xm:sqref>W16:Y16</xm:sqref>
        </x14:dataValidation>
        <x14:dataValidation type="list" allowBlank="1" xr:uid="{00000000-0002-0000-0600-00000B000000}">
          <x14:formula1>
            <xm:f>'c-Cluster'!$C21:C25</xm:f>
          </x14:formula1>
          <xm:sqref>F30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pageSetUpPr fitToPage="1"/>
  </sheetPr>
  <dimension ref="A2:AI173"/>
  <sheetViews>
    <sheetView workbookViewId="0">
      <pane ySplit="4" topLeftCell="A5" activePane="bottomLeft" state="frozenSplit"/>
      <selection activeCell="N65" sqref="N65:P65"/>
      <selection pane="bottomLeft" activeCell="N65" sqref="N65:P65"/>
    </sheetView>
  </sheetViews>
  <sheetFormatPr defaultColWidth="7.140625" defaultRowHeight="10.5" x14ac:dyDescent="0.25"/>
  <cols>
    <col min="1" max="1" width="1.42578125" style="35" customWidth="1"/>
    <col min="2" max="31" width="7.140625" style="35" customWidth="1"/>
    <col min="32" max="16384" width="7.140625" style="35"/>
  </cols>
  <sheetData>
    <row r="2" spans="1:31" ht="30.75" customHeight="1" x14ac:dyDescent="0.25">
      <c r="A2" s="2" t="s">
        <v>1</v>
      </c>
      <c r="B2"/>
      <c r="V2" s="1" t="s">
        <v>1114</v>
      </c>
    </row>
    <row r="3" spans="1:31" ht="9" customHeight="1" x14ac:dyDescent="0.25"/>
    <row r="4" spans="1:31" ht="9" customHeight="1" x14ac:dyDescent="0.25"/>
    <row r="5" spans="1:31" ht="15" x14ac:dyDescent="0.25">
      <c r="A5" s="5"/>
      <c r="R5" s="350" t="str">
        <f>IF('Site Info'!$C$8=Dropdowns!$R$4,"",IF('Site Info'!$C$8=Dropdowns!$R$7,"",IF('Site Info'!$C$8=Dropdowns!$R$8,"","THIS TAB IS NOT APPLICABLE FOR THIS SOLUTION, HIDE THIS TAB")))</f>
        <v/>
      </c>
      <c r="S5" s="350"/>
      <c r="T5" s="350"/>
      <c r="U5" s="350"/>
      <c r="V5" s="350"/>
      <c r="W5" s="350"/>
      <c r="X5" s="350"/>
      <c r="Y5" s="350"/>
      <c r="Z5" s="350"/>
      <c r="AA5" s="350"/>
      <c r="AB5" s="350"/>
      <c r="AC5" s="350"/>
      <c r="AD5" s="350"/>
      <c r="AE5" s="350"/>
    </row>
    <row r="6" spans="1:31" ht="14.25" customHeight="1" x14ac:dyDescent="0.25">
      <c r="B6" s="4" t="str">
        <f>CONCATENATE("SVM #",F9," - General Information")</f>
        <v>SVM #01 - General Information</v>
      </c>
      <c r="AB6" s="76" t="s">
        <v>986</v>
      </c>
    </row>
    <row r="7" spans="1:31" ht="6" customHeight="1" x14ac:dyDescent="0.25">
      <c r="B7" s="4"/>
      <c r="G7" s="6"/>
    </row>
    <row r="8" spans="1:31" ht="14.25" customHeight="1" x14ac:dyDescent="0.25">
      <c r="B8" s="303"/>
      <c r="C8" s="303"/>
      <c r="D8" s="303"/>
      <c r="E8" s="303"/>
      <c r="F8" s="176"/>
      <c r="G8" s="303" t="s">
        <v>985</v>
      </c>
      <c r="H8" s="303"/>
      <c r="I8" s="303"/>
      <c r="J8" s="303"/>
      <c r="K8" s="288" t="s">
        <v>911</v>
      </c>
      <c r="L8" s="289"/>
      <c r="M8" s="289"/>
      <c r="N8" s="289"/>
      <c r="O8" s="290"/>
    </row>
    <row r="9" spans="1:31" ht="14.25" customHeight="1" x14ac:dyDescent="0.25">
      <c r="B9" s="303" t="s">
        <v>976</v>
      </c>
      <c r="C9" s="303"/>
      <c r="D9" s="303"/>
      <c r="E9" s="303"/>
      <c r="F9" s="40" t="s">
        <v>1325</v>
      </c>
      <c r="G9" s="303" t="s">
        <v>975</v>
      </c>
      <c r="H9" s="303"/>
      <c r="I9" s="303"/>
      <c r="J9" s="303"/>
      <c r="K9" s="288" t="str">
        <f>IF(Inventory!$F$10="Clustered OnTap",CONCATENATE(Inventory!$G$12,"-",$K$8,"-",$F$9),"")</f>
        <v>shpsan-nfs-01</v>
      </c>
      <c r="L9" s="289"/>
      <c r="M9" s="289"/>
      <c r="N9" s="289"/>
      <c r="O9" s="290"/>
    </row>
    <row r="10" spans="1:31" ht="6" customHeight="1" thickBot="1" x14ac:dyDescent="0.3"/>
    <row r="11" spans="1:31" ht="14.25" customHeight="1" x14ac:dyDescent="0.25">
      <c r="B11" s="303" t="s">
        <v>987</v>
      </c>
      <c r="C11" s="303"/>
      <c r="D11" s="303"/>
      <c r="E11" s="303"/>
      <c r="F11" s="288" t="str">
        <f>IF('Site Info'!$F$25&lt;&gt;0,'Site Info'!$F$25,"")</f>
        <v>speedcast.com</v>
      </c>
      <c r="G11" s="289"/>
      <c r="H11" s="289"/>
      <c r="I11" s="290"/>
      <c r="S11" s="382" t="s">
        <v>483</v>
      </c>
      <c r="T11" s="383"/>
      <c r="U11" s="383"/>
      <c r="V11" s="383"/>
      <c r="W11" s="383"/>
      <c r="X11" s="383"/>
      <c r="Y11" s="383"/>
      <c r="Z11" s="383"/>
      <c r="AA11" s="383"/>
      <c r="AB11" s="384"/>
    </row>
    <row r="12" spans="1:31" ht="14.25" customHeight="1" x14ac:dyDescent="0.25">
      <c r="B12" s="303" t="s">
        <v>988</v>
      </c>
      <c r="C12" s="303"/>
      <c r="D12" s="303"/>
      <c r="E12" s="303"/>
      <c r="F12" s="288" t="s">
        <v>1366</v>
      </c>
      <c r="G12" s="289"/>
      <c r="H12" s="290"/>
      <c r="I12" s="288" t="str">
        <f>IF('Site Info'!$I$26&lt;&gt;0,'Site Info'!$I$26,"")</f>
        <v>175.176.252.8</v>
      </c>
      <c r="J12" s="289"/>
      <c r="K12" s="290"/>
      <c r="L12" s="288" t="str">
        <f>IF('Site Info'!$L$26&lt;&gt;0,'Site Info'!$L$26,"")</f>
        <v/>
      </c>
      <c r="M12" s="289"/>
      <c r="N12" s="290"/>
      <c r="O12" s="35" t="s">
        <v>1367</v>
      </c>
      <c r="S12" s="87"/>
      <c r="T12" s="171" t="str">
        <f>IF(G14="Yes",COUNTA(E35:I42)-COUNTIF(E35:I42," "),"0")</f>
        <v>0</v>
      </c>
      <c r="U12" s="83" t="s">
        <v>358</v>
      </c>
      <c r="V12" s="171">
        <f>IF(I14="Yes",COUNTA(E51:I58)-COUNTIF(E51:I58," "),0)</f>
        <v>2</v>
      </c>
      <c r="W12" s="83" t="s">
        <v>359</v>
      </c>
      <c r="X12" s="171">
        <f>IF(M14="Yes",(COUNTA(E67:I74)-COUNTIF(E67:I74," "))+(COUNTA(E83:I90)-COUNTIF(E83:I90," ")),0)</f>
        <v>0</v>
      </c>
      <c r="Y12" s="83" t="s">
        <v>175</v>
      </c>
      <c r="Z12" s="171">
        <v>1</v>
      </c>
      <c r="AA12" s="83" t="s">
        <v>990</v>
      </c>
      <c r="AB12" s="88"/>
    </row>
    <row r="13" spans="1:31" ht="14.25" customHeight="1" thickBot="1" x14ac:dyDescent="0.3">
      <c r="F13" s="35" t="s">
        <v>1369</v>
      </c>
      <c r="O13" s="35" t="s">
        <v>1368</v>
      </c>
      <c r="S13" s="89"/>
      <c r="T13" s="79"/>
      <c r="U13" s="79"/>
      <c r="V13" s="79"/>
      <c r="W13" s="79"/>
      <c r="X13" s="79"/>
      <c r="Y13" s="79"/>
      <c r="Z13" s="79"/>
      <c r="AA13" s="79"/>
      <c r="AB13" s="90"/>
    </row>
    <row r="14" spans="1:31" ht="14.25" customHeight="1" x14ac:dyDescent="0.25">
      <c r="B14" s="303" t="s">
        <v>445</v>
      </c>
      <c r="C14" s="303"/>
      <c r="D14" s="303"/>
      <c r="E14" s="303"/>
      <c r="F14" s="172" t="s">
        <v>446</v>
      </c>
      <c r="G14" s="171" t="s">
        <v>17</v>
      </c>
      <c r="H14" s="172" t="s">
        <v>447</v>
      </c>
      <c r="I14" s="171" t="s">
        <v>16</v>
      </c>
      <c r="J14" s="172" t="s">
        <v>448</v>
      </c>
      <c r="K14" s="171" t="s">
        <v>17</v>
      </c>
      <c r="L14" s="172" t="s">
        <v>449</v>
      </c>
      <c r="M14" s="171" t="s">
        <v>17</v>
      </c>
      <c r="V14" s="35">
        <v>77048</v>
      </c>
    </row>
    <row r="15" spans="1:31" ht="6" customHeight="1" x14ac:dyDescent="0.25">
      <c r="B15" s="4"/>
      <c r="G15" s="6"/>
    </row>
    <row r="16" spans="1:31" ht="14.25" customHeight="1" x14ac:dyDescent="0.25">
      <c r="B16" s="303" t="s">
        <v>977</v>
      </c>
      <c r="C16" s="303"/>
      <c r="D16" s="303"/>
      <c r="E16" s="303"/>
      <c r="F16" s="288" t="s">
        <v>1358</v>
      </c>
      <c r="G16" s="289"/>
      <c r="H16" s="289"/>
      <c r="I16" s="289"/>
      <c r="J16" s="290"/>
      <c r="S16" s="303" t="s">
        <v>1284</v>
      </c>
      <c r="T16" s="303"/>
      <c r="U16" s="303"/>
      <c r="V16" s="303"/>
      <c r="W16" s="288" t="s">
        <v>1274</v>
      </c>
      <c r="X16" s="289"/>
      <c r="Y16" s="290"/>
    </row>
    <row r="17" spans="1:28" ht="14.25" customHeight="1" x14ac:dyDescent="0.25"/>
    <row r="18" spans="1:28" ht="14.25" customHeight="1" x14ac:dyDescent="0.25">
      <c r="B18" s="4" t="s">
        <v>984</v>
      </c>
      <c r="F18" s="35" t="s">
        <v>1371</v>
      </c>
      <c r="Q18" s="35" t="s">
        <v>1370</v>
      </c>
    </row>
    <row r="19" spans="1:28" ht="6" customHeight="1" x14ac:dyDescent="0.25">
      <c r="B19" s="4"/>
      <c r="F19" s="35" t="s">
        <v>1372</v>
      </c>
      <c r="G19" s="6"/>
      <c r="Q19" s="35" t="s">
        <v>1373</v>
      </c>
    </row>
    <row r="20" spans="1:28" ht="14.25" customHeight="1" x14ac:dyDescent="0.25">
      <c r="B20" s="303" t="s">
        <v>982</v>
      </c>
      <c r="C20" s="303"/>
      <c r="D20" s="303"/>
      <c r="E20" s="303"/>
      <c r="F20" s="171">
        <v>12</v>
      </c>
      <c r="G20" s="303" t="s">
        <v>978</v>
      </c>
      <c r="H20" s="303"/>
      <c r="I20" s="303"/>
      <c r="J20" s="303"/>
      <c r="K20" s="288" t="e">
        <f>IF(E25&lt;&gt;"",IF(F20&lt;&gt;0,VLOOKUP(F20,'Site Info'!$G$34:$P$69,8,FALSE),"enter VLAN"),"")</f>
        <v>#N/A</v>
      </c>
      <c r="L20" s="289"/>
      <c r="M20" s="290"/>
      <c r="N20" s="303" t="s">
        <v>980</v>
      </c>
      <c r="O20" s="303"/>
      <c r="P20" s="303"/>
      <c r="Q20" s="303"/>
      <c r="R20" s="171">
        <v>10</v>
      </c>
    </row>
    <row r="21" spans="1:28" ht="14.25" customHeight="1" x14ac:dyDescent="0.25">
      <c r="B21" s="303" t="s">
        <v>983</v>
      </c>
      <c r="C21" s="303"/>
      <c r="D21" s="303"/>
      <c r="E21" s="303"/>
      <c r="F21" s="171" t="s">
        <v>1355</v>
      </c>
      <c r="G21" s="303" t="s">
        <v>979</v>
      </c>
      <c r="H21" s="303"/>
      <c r="I21" s="303"/>
      <c r="J21" s="303"/>
      <c r="K21" s="288" t="e">
        <f>IF(E25&lt;&gt;"",IF(F20&lt;&gt;0,VLOOKUP(F20,'Site Info'!$G$34:$P$69,5,FALSE),"enter VLAN"),"")</f>
        <v>#N/A</v>
      </c>
      <c r="L21" s="289"/>
      <c r="M21" s="290"/>
    </row>
    <row r="22" spans="1:28" ht="14.25" customHeight="1" x14ac:dyDescent="0.25">
      <c r="B22" s="303" t="s">
        <v>91</v>
      </c>
      <c r="C22" s="303"/>
      <c r="D22" s="303"/>
      <c r="E22" s="303"/>
      <c r="F22" s="171" t="s">
        <v>16</v>
      </c>
    </row>
    <row r="23" spans="1:28" ht="14.25" customHeight="1" x14ac:dyDescent="0.25">
      <c r="J23" s="299" t="e">
        <f>IF($F$20&lt;&gt;0,IF(E25&lt;&gt;"",VLOOKUP($F$20,'Site Info'!$G$34:$P$69,2,FALSE),""),"")</f>
        <v>#N/A</v>
      </c>
      <c r="K23" s="299"/>
      <c r="L23" s="299"/>
    </row>
    <row r="24" spans="1:28" ht="14.25" customHeight="1" thickBot="1" x14ac:dyDescent="0.3">
      <c r="B24" s="312" t="s">
        <v>92</v>
      </c>
      <c r="C24" s="321"/>
      <c r="D24" s="313"/>
      <c r="E24" s="312" t="s">
        <v>991</v>
      </c>
      <c r="F24" s="321"/>
      <c r="G24" s="321"/>
      <c r="H24" s="321"/>
      <c r="I24" s="313"/>
      <c r="J24" s="312" t="s">
        <v>71</v>
      </c>
      <c r="K24" s="321"/>
      <c r="L24" s="313"/>
      <c r="M24" s="312" t="s">
        <v>93</v>
      </c>
      <c r="N24" s="321"/>
      <c r="O24" s="321"/>
      <c r="P24" s="313"/>
      <c r="Q24" s="312" t="s">
        <v>95</v>
      </c>
      <c r="R24" s="321"/>
      <c r="S24" s="313"/>
      <c r="T24" s="312" t="s">
        <v>96</v>
      </c>
      <c r="U24" s="321"/>
      <c r="V24" s="313"/>
      <c r="W24" s="312" t="s">
        <v>1269</v>
      </c>
      <c r="X24" s="321"/>
      <c r="Y24" s="313"/>
    </row>
    <row r="25" spans="1:28" ht="14.25" customHeight="1" x14ac:dyDescent="0.25">
      <c r="A25" s="26">
        <v>1</v>
      </c>
      <c r="B25" s="302" t="str">
        <f>IF(E25&lt;&gt;"","SVM Administration","")</f>
        <v>SVM Administration</v>
      </c>
      <c r="C25" s="302"/>
      <c r="D25" s="302"/>
      <c r="E25" s="302" t="str">
        <f>IF(K9&lt;&gt;"",CONCATENATE(K9,"-admin.",F11),"")</f>
        <v>shpsan-nfs-01-admin.speedcast.com</v>
      </c>
      <c r="F25" s="302"/>
      <c r="G25" s="302"/>
      <c r="H25" s="302"/>
      <c r="I25" s="302"/>
      <c r="J25" s="288" t="s">
        <v>1359</v>
      </c>
      <c r="K25" s="289"/>
      <c r="L25" s="290"/>
      <c r="M25" s="288" t="str">
        <f>IF(K9&lt;&gt;"",CONCATENATE(K9,"-admin",""),"")</f>
        <v>shpsan-nfs-01-admin</v>
      </c>
      <c r="N25" s="289"/>
      <c r="O25" s="289"/>
      <c r="P25" s="290"/>
      <c r="Q25" s="302" t="str">
        <f>IF(E25&lt;&gt;"",Inventory!$C$15,"")</f>
        <v>shpsan-01</v>
      </c>
      <c r="R25" s="302"/>
      <c r="S25" s="302"/>
      <c r="T25" s="302" t="str">
        <f>IF(AND(E25&lt;&gt;"",$F$22&lt;&gt;0,$F$21&lt;&gt;0,$F$20&lt;&gt;0),IF($F$22&lt;&gt;"Yes",$F$21,CONCATENATE($F$21,"-",$F$20)),"")</f>
        <v>a0a-12</v>
      </c>
      <c r="U25" s="302"/>
      <c r="V25" s="302"/>
      <c r="W25" s="302" t="s">
        <v>1357</v>
      </c>
      <c r="X25" s="302"/>
      <c r="Y25" s="302"/>
    </row>
    <row r="26" spans="1:28" ht="14.25" customHeight="1" x14ac:dyDescent="0.25">
      <c r="F26" s="35" t="s">
        <v>1374</v>
      </c>
      <c r="I26" s="35" t="s">
        <v>1375</v>
      </c>
      <c r="AB26" s="36" t="s">
        <v>143</v>
      </c>
    </row>
    <row r="27" spans="1:28" ht="14.25" hidden="1" customHeight="1" x14ac:dyDescent="0.25">
      <c r="B27" s="4" t="s">
        <v>127</v>
      </c>
    </row>
    <row r="28" spans="1:28" ht="6" hidden="1" customHeight="1" x14ac:dyDescent="0.25">
      <c r="B28" s="4"/>
      <c r="F28" s="35" t="s">
        <v>1374</v>
      </c>
      <c r="G28" s="6"/>
      <c r="I28" s="35" t="s">
        <v>1376</v>
      </c>
      <c r="Q28" s="35" t="s">
        <v>1374</v>
      </c>
    </row>
    <row r="29" spans="1:28" ht="14.25" hidden="1" customHeight="1" x14ac:dyDescent="0.25">
      <c r="B29" s="303" t="s">
        <v>131</v>
      </c>
      <c r="C29" s="303"/>
      <c r="D29" s="303"/>
      <c r="E29" s="303"/>
      <c r="F29" s="171"/>
      <c r="G29" s="303" t="s">
        <v>128</v>
      </c>
      <c r="H29" s="303"/>
      <c r="I29" s="303"/>
      <c r="J29" s="303"/>
      <c r="K29" s="288" t="str">
        <f>IF(E35&lt;&gt;"",IF(F29&lt;&gt;0,VLOOKUP(F29,'Site Info'!$G$34:$P$69,8,FALSE),"enter VLAN"),"")</f>
        <v>enter VLAN</v>
      </c>
      <c r="L29" s="289"/>
      <c r="M29" s="290"/>
      <c r="N29" s="303" t="s">
        <v>129</v>
      </c>
      <c r="O29" s="303"/>
      <c r="P29" s="303"/>
      <c r="Q29" s="303"/>
      <c r="R29" s="171">
        <v>10</v>
      </c>
    </row>
    <row r="30" spans="1:28" ht="14.25" hidden="1" customHeight="1" x14ac:dyDescent="0.25">
      <c r="B30" s="303" t="s">
        <v>132</v>
      </c>
      <c r="C30" s="303"/>
      <c r="D30" s="303"/>
      <c r="E30" s="303"/>
      <c r="F30" s="171"/>
      <c r="G30" s="303" t="s">
        <v>130</v>
      </c>
      <c r="H30" s="303"/>
      <c r="I30" s="303"/>
      <c r="J30" s="303"/>
      <c r="K30" s="288" t="str">
        <f>IF(E35&lt;&gt;"",IF(F29&lt;&gt;0,VLOOKUP(F29,'Site Info'!$G$34:$P$69,5,FALSE),"enter VLAN"),"")</f>
        <v>enter VLAN</v>
      </c>
      <c r="L30" s="289"/>
      <c r="M30" s="290"/>
    </row>
    <row r="31" spans="1:28" ht="14.25" hidden="1" customHeight="1" x14ac:dyDescent="0.25">
      <c r="B31" s="303" t="s">
        <v>91</v>
      </c>
      <c r="C31" s="303"/>
      <c r="D31" s="303"/>
      <c r="E31" s="303"/>
      <c r="F31" s="171"/>
      <c r="G31" s="303" t="s">
        <v>134</v>
      </c>
      <c r="H31" s="303"/>
      <c r="I31" s="303"/>
      <c r="J31" s="303"/>
      <c r="K31" s="288" t="str">
        <f>IF(K9&lt;&gt;"",CONCATENATE(K9,".",F11),"")</f>
        <v>shpsan-nfs-01.speedcast.com</v>
      </c>
      <c r="L31" s="289"/>
      <c r="M31" s="289"/>
      <c r="N31" s="289"/>
      <c r="O31" s="290"/>
    </row>
    <row r="32" spans="1:28" ht="6" hidden="1" customHeight="1" x14ac:dyDescent="0.25">
      <c r="B32" s="4"/>
      <c r="G32" s="6"/>
    </row>
    <row r="33" spans="1:28" ht="14.25" hidden="1" customHeight="1" x14ac:dyDescent="0.25">
      <c r="J33" s="299" t="str">
        <f>IF(F29&lt;&gt;0,IF(E35&lt;&gt;"",VLOOKUP(F29,'Site Info'!$G$34:$P$69,2,FALSE),""),"")</f>
        <v/>
      </c>
      <c r="K33" s="299"/>
      <c r="L33" s="299"/>
    </row>
    <row r="34" spans="1:28" ht="14.25" hidden="1" customHeight="1" thickBot="1" x14ac:dyDescent="0.3">
      <c r="B34" s="312" t="s">
        <v>92</v>
      </c>
      <c r="C34" s="321"/>
      <c r="D34" s="313"/>
      <c r="E34" s="312" t="s">
        <v>133</v>
      </c>
      <c r="F34" s="321"/>
      <c r="G34" s="321"/>
      <c r="H34" s="321"/>
      <c r="I34" s="313"/>
      <c r="J34" s="312" t="s">
        <v>71</v>
      </c>
      <c r="K34" s="321"/>
      <c r="L34" s="313"/>
      <c r="M34" s="312" t="s">
        <v>93</v>
      </c>
      <c r="N34" s="321"/>
      <c r="O34" s="321"/>
      <c r="P34" s="313"/>
      <c r="Q34" s="312" t="s">
        <v>95</v>
      </c>
      <c r="R34" s="321"/>
      <c r="S34" s="313"/>
      <c r="T34" s="312" t="s">
        <v>96</v>
      </c>
      <c r="U34" s="321"/>
      <c r="V34" s="313"/>
      <c r="W34" s="312" t="s">
        <v>103</v>
      </c>
      <c r="X34" s="321"/>
      <c r="Y34" s="313"/>
      <c r="Z34" s="312" t="s">
        <v>104</v>
      </c>
      <c r="AA34" s="321"/>
      <c r="AB34" s="313"/>
    </row>
    <row r="35" spans="1:28" ht="14.25" hidden="1" customHeight="1" x14ac:dyDescent="0.25">
      <c r="A35" s="26">
        <v>1</v>
      </c>
      <c r="B35" s="302" t="str">
        <f>IF(Inventory!$C$15&lt;&gt;"",CONCATENATE("CIFS - Node ",A35),"")</f>
        <v>CIFS - Node 1</v>
      </c>
      <c r="C35" s="302"/>
      <c r="D35" s="302"/>
      <c r="E35" s="302" t="str">
        <f>IF(B35&lt;&gt;"",CONCATENATE(K9,"-c0",A35,".",F11)," ")</f>
        <v>shpsan-nfs-01-c01.speedcast.com</v>
      </c>
      <c r="F35" s="302"/>
      <c r="G35" s="302"/>
      <c r="H35" s="302"/>
      <c r="I35" s="302"/>
      <c r="J35" s="288"/>
      <c r="K35" s="289"/>
      <c r="L35" s="290"/>
      <c r="M35" s="288" t="str">
        <f>IF(B35&lt;&gt;"",CONCATENATE(K9,"-c0",A35),"")</f>
        <v>shpsan-nfs-01-c01</v>
      </c>
      <c r="N35" s="289"/>
      <c r="O35" s="289"/>
      <c r="P35" s="290"/>
      <c r="Q35" s="302" t="str">
        <f>IF(E35&lt;&gt;"",Inventory!$C$15,"")</f>
        <v>shpsan-01</v>
      </c>
      <c r="R35" s="302"/>
      <c r="S35" s="302"/>
      <c r="T35" s="302" t="str">
        <f>IF(AND(E35&lt;&gt;"",F31&lt;&gt;0,F30&lt;&gt;0,F29&lt;&gt;0),IF(F31&lt;&gt;"Yes",F30,CONCATENATE(F30,"-",F29)),"")</f>
        <v/>
      </c>
      <c r="U35" s="302"/>
      <c r="V35" s="302"/>
      <c r="W35" s="302" t="str">
        <f>IF(E35&lt;&gt;"",CONCATENATE("d",J33),"")</f>
        <v>d</v>
      </c>
      <c r="X35" s="302"/>
      <c r="Y35" s="302"/>
      <c r="Z35" s="302" t="str">
        <f>IF(E35&lt;&gt;"","0.0.0.0/0","")</f>
        <v>0.0.0.0/0</v>
      </c>
      <c r="AA35" s="302"/>
      <c r="AB35" s="302"/>
    </row>
    <row r="36" spans="1:28" ht="14.25" hidden="1" customHeight="1" x14ac:dyDescent="0.25">
      <c r="A36" s="26">
        <v>2</v>
      </c>
      <c r="B36" s="302" t="str">
        <f>IF(Inventory!$C$16&lt;&gt;"",CONCATENATE("CIFS - Node ",A36),"")</f>
        <v>CIFS - Node 2</v>
      </c>
      <c r="C36" s="302"/>
      <c r="D36" s="302"/>
      <c r="E36" s="302" t="str">
        <f>IF(B36&lt;&gt;"",CONCATENATE(K9,"-c0",A36,".",F11)," ")</f>
        <v>shpsan-nfs-01-c02.speedcast.com</v>
      </c>
      <c r="F36" s="302"/>
      <c r="G36" s="302"/>
      <c r="H36" s="302"/>
      <c r="I36" s="302"/>
      <c r="J36" s="288"/>
      <c r="K36" s="289"/>
      <c r="L36" s="290"/>
      <c r="M36" s="288" t="str">
        <f>IF(B36&lt;&gt;"",CONCATENATE(K9,"-c0",A36),"")</f>
        <v>shpsan-nfs-01-c02</v>
      </c>
      <c r="N36" s="289"/>
      <c r="O36" s="289"/>
      <c r="P36" s="290"/>
      <c r="Q36" s="302" t="str">
        <f>IF(E36&lt;&gt;"",Inventory!$C$16,"")</f>
        <v>shpsan-02</v>
      </c>
      <c r="R36" s="302"/>
      <c r="S36" s="302"/>
      <c r="T36" s="302" t="str">
        <f>IF(AND(E36&lt;&gt;"",F31&lt;&gt;0,F30&lt;&gt;0,F29&lt;&gt;0),IF(F31&lt;&gt;"Yes",F30,CONCATENATE(F30,"-",F29)),"")</f>
        <v/>
      </c>
      <c r="U36" s="302"/>
      <c r="V36" s="302"/>
      <c r="W36" s="302" t="str">
        <f>IF(E36&lt;&gt;"",CONCATENATE("d",J33),"")</f>
        <v>d</v>
      </c>
      <c r="X36" s="302"/>
      <c r="Y36" s="302"/>
      <c r="Z36" s="302" t="str">
        <f t="shared" ref="Z36:Z42" si="0">IF(E36&lt;&gt;"","0.0.0.0/0","")</f>
        <v>0.0.0.0/0</v>
      </c>
      <c r="AA36" s="302"/>
      <c r="AB36" s="302"/>
    </row>
    <row r="37" spans="1:28" ht="14.25" hidden="1" customHeight="1" x14ac:dyDescent="0.25">
      <c r="A37" s="26">
        <v>3</v>
      </c>
      <c r="B37" s="302" t="str">
        <f>IF(Inventory!$C$17&lt;&gt;"",CONCATENATE("CIFS - Node ",A37),"")</f>
        <v/>
      </c>
      <c r="C37" s="302"/>
      <c r="D37" s="302"/>
      <c r="E37" s="302" t="str">
        <f>IF(B37&lt;&gt;"",CONCATENATE(K9,"-c0",A37,".",F11)," ")</f>
        <v xml:space="preserve"> </v>
      </c>
      <c r="F37" s="302"/>
      <c r="G37" s="302"/>
      <c r="H37" s="302"/>
      <c r="I37" s="302"/>
      <c r="J37" s="288"/>
      <c r="K37" s="289"/>
      <c r="L37" s="290"/>
      <c r="M37" s="288" t="str">
        <f>IF(B37&lt;&gt;"",CONCATENATE(K9,"-c0",A37),"")</f>
        <v/>
      </c>
      <c r="N37" s="289"/>
      <c r="O37" s="289"/>
      <c r="P37" s="290"/>
      <c r="Q37" s="302"/>
      <c r="R37" s="302"/>
      <c r="S37" s="302"/>
      <c r="T37" s="302" t="str">
        <f>IF(AND(E37&lt;&gt;"",F31&lt;&gt;0,F30&lt;&gt;0,F29&lt;&gt;0),IF(F31&lt;&gt;"Yes",F30,CONCATENATE(F30,"-",F29)),"")</f>
        <v/>
      </c>
      <c r="U37" s="302"/>
      <c r="V37" s="302"/>
      <c r="W37" s="302" t="str">
        <f>IF(E37&lt;&gt;"",CONCATENATE("d",J33),"")</f>
        <v>d</v>
      </c>
      <c r="X37" s="302"/>
      <c r="Y37" s="302"/>
      <c r="Z37" s="302" t="str">
        <f t="shared" si="0"/>
        <v>0.0.0.0/0</v>
      </c>
      <c r="AA37" s="302"/>
      <c r="AB37" s="302"/>
    </row>
    <row r="38" spans="1:28" ht="14.25" hidden="1" customHeight="1" x14ac:dyDescent="0.25">
      <c r="A38" s="26">
        <v>4</v>
      </c>
      <c r="B38" s="302" t="str">
        <f>IF(Inventory!$C$18&lt;&gt;"",CONCATENATE("CIFS - Node ",A38),"")</f>
        <v/>
      </c>
      <c r="C38" s="302"/>
      <c r="D38" s="302"/>
      <c r="E38" s="302" t="str">
        <f>IF(B38&lt;&gt;"",CONCATENATE(K9,"-c0",A38,".",F11)," ")</f>
        <v xml:space="preserve"> </v>
      </c>
      <c r="F38" s="302"/>
      <c r="G38" s="302"/>
      <c r="H38" s="302"/>
      <c r="I38" s="302"/>
      <c r="J38" s="288"/>
      <c r="K38" s="289"/>
      <c r="L38" s="290"/>
      <c r="M38" s="288" t="str">
        <f>IF(B38&lt;&gt;"",CONCATENATE(K9,"-c0",A38),"")</f>
        <v/>
      </c>
      <c r="N38" s="289"/>
      <c r="O38" s="289"/>
      <c r="P38" s="290"/>
      <c r="Q38" s="302"/>
      <c r="R38" s="302"/>
      <c r="S38" s="302"/>
      <c r="T38" s="302" t="str">
        <f>IF(AND(E38&lt;&gt;"",F31&lt;&gt;0,F30&lt;&gt;0,F29&lt;&gt;0),IF(F31&lt;&gt;"Yes",F30,CONCATENATE(F30,"-",F29)),"")</f>
        <v/>
      </c>
      <c r="U38" s="302"/>
      <c r="V38" s="302"/>
      <c r="W38" s="302" t="str">
        <f>IF(E38&lt;&gt;"",CONCATENATE("d",J33),"")</f>
        <v>d</v>
      </c>
      <c r="X38" s="302"/>
      <c r="Y38" s="302"/>
      <c r="Z38" s="302" t="str">
        <f t="shared" si="0"/>
        <v>0.0.0.0/0</v>
      </c>
      <c r="AA38" s="302"/>
      <c r="AB38" s="302"/>
    </row>
    <row r="39" spans="1:28" ht="14.25" hidden="1" customHeight="1" x14ac:dyDescent="0.25">
      <c r="A39" s="26">
        <v>5</v>
      </c>
      <c r="B39" s="288" t="str">
        <f>IF(Inventory!$C$19&lt;&gt;"",CONCATENATE("CIFS - Node ",A39),"")</f>
        <v/>
      </c>
      <c r="C39" s="289"/>
      <c r="D39" s="290"/>
      <c r="E39" s="288" t="str">
        <f>IF(B39&lt;&gt;"",CONCATENATE(K9,"-c0",A39,".",F11)," ")</f>
        <v xml:space="preserve"> </v>
      </c>
      <c r="F39" s="289"/>
      <c r="G39" s="289"/>
      <c r="H39" s="289"/>
      <c r="I39" s="290"/>
      <c r="J39" s="288"/>
      <c r="K39" s="289"/>
      <c r="L39" s="290"/>
      <c r="M39" s="288" t="str">
        <f>IF(B39&lt;&gt;"",CONCATENATE(K9,"-c0",A39),"")</f>
        <v/>
      </c>
      <c r="N39" s="289"/>
      <c r="O39" s="289"/>
      <c r="P39" s="290"/>
      <c r="Q39" s="288" t="str">
        <f>IF(E39&lt;&gt;"",Inventory!$C$19,"")</f>
        <v/>
      </c>
      <c r="R39" s="289"/>
      <c r="S39" s="290"/>
      <c r="T39" s="288" t="str">
        <f>IF(AND(E39&lt;&gt;"",F31&lt;&gt;0,F30&lt;&gt;0,F29&lt;&gt;0),IF(F31&lt;&gt;"Yes",F30,CONCATENATE(F30,"-",F29)),"")</f>
        <v/>
      </c>
      <c r="U39" s="289"/>
      <c r="V39" s="290"/>
      <c r="W39" s="288" t="str">
        <f>IF(E39&lt;&gt;"",CONCATENATE("d",J33),"")</f>
        <v>d</v>
      </c>
      <c r="X39" s="289"/>
      <c r="Y39" s="290"/>
      <c r="Z39" s="288" t="str">
        <f t="shared" si="0"/>
        <v>0.0.0.0/0</v>
      </c>
      <c r="AA39" s="289"/>
      <c r="AB39" s="290"/>
    </row>
    <row r="40" spans="1:28" ht="14.25" hidden="1" customHeight="1" x14ac:dyDescent="0.25">
      <c r="A40" s="26">
        <v>6</v>
      </c>
      <c r="B40" s="302" t="str">
        <f>IF(Inventory!$C$20&lt;&gt;"",CONCATENATE("CIFS - Node ",A40),"")</f>
        <v/>
      </c>
      <c r="C40" s="302"/>
      <c r="D40" s="302"/>
      <c r="E40" s="302" t="str">
        <f>IF(B40&lt;&gt;"",CONCATENATE(K9,"-c0",A40,".",F11)," ")</f>
        <v xml:space="preserve"> </v>
      </c>
      <c r="F40" s="302"/>
      <c r="G40" s="302"/>
      <c r="H40" s="302"/>
      <c r="I40" s="302"/>
      <c r="J40" s="288"/>
      <c r="K40" s="289"/>
      <c r="L40" s="290"/>
      <c r="M40" s="288" t="str">
        <f>IF(B40&lt;&gt;"",CONCATENATE(K9,"-c0",A40),"")</f>
        <v/>
      </c>
      <c r="N40" s="289"/>
      <c r="O40" s="289"/>
      <c r="P40" s="290"/>
      <c r="Q40" s="302"/>
      <c r="R40" s="302"/>
      <c r="S40" s="302"/>
      <c r="T40" s="288" t="str">
        <f>IF(AND(E40&lt;&gt;"",F31&lt;&gt;0,F30&lt;&gt;0,F29&lt;&gt;0),IF(F31&lt;&gt;"Yes",F30,CONCATENATE(F30,"-",F29)),"")</f>
        <v/>
      </c>
      <c r="U40" s="289"/>
      <c r="V40" s="290"/>
      <c r="W40" s="288" t="str">
        <f>IF(E40&lt;&gt;"",CONCATENATE("d",J33),"")</f>
        <v>d</v>
      </c>
      <c r="X40" s="289"/>
      <c r="Y40" s="290"/>
      <c r="Z40" s="288" t="str">
        <f t="shared" si="0"/>
        <v>0.0.0.0/0</v>
      </c>
      <c r="AA40" s="289"/>
      <c r="AB40" s="290"/>
    </row>
    <row r="41" spans="1:28" ht="14.25" hidden="1" customHeight="1" x14ac:dyDescent="0.25">
      <c r="A41" s="26">
        <v>7</v>
      </c>
      <c r="B41" s="302" t="str">
        <f>IF(Inventory!$C$21&lt;&gt;"",CONCATENATE("CIFS - Node ",A41),"")</f>
        <v/>
      </c>
      <c r="C41" s="302"/>
      <c r="D41" s="302"/>
      <c r="E41" s="302" t="str">
        <f>IF(B41&lt;&gt;"",CONCATENATE(K9,"-c0",A41,".",F11)," ")</f>
        <v xml:space="preserve"> </v>
      </c>
      <c r="F41" s="302"/>
      <c r="G41" s="302"/>
      <c r="H41" s="302"/>
      <c r="I41" s="302"/>
      <c r="J41" s="288"/>
      <c r="K41" s="289"/>
      <c r="L41" s="290"/>
      <c r="M41" s="288" t="str">
        <f>IF(B41&lt;&gt;"",CONCATENATE(K9,"-c0",A41),"")</f>
        <v/>
      </c>
      <c r="N41" s="289"/>
      <c r="O41" s="289"/>
      <c r="P41" s="290"/>
      <c r="Q41" s="302" t="str">
        <f>IF(E41&lt;&gt;"",Inventory!$C$21,"")</f>
        <v/>
      </c>
      <c r="R41" s="302"/>
      <c r="S41" s="302"/>
      <c r="T41" s="302" t="str">
        <f>IF(AND(E41&lt;&gt;"",F31&lt;&gt;0,F30&lt;&gt;0,F29&lt;&gt;0),IF(F31&lt;&gt;"Yes",F30,CONCATENATE(F30,"-",F29)),"")</f>
        <v/>
      </c>
      <c r="U41" s="302"/>
      <c r="V41" s="302"/>
      <c r="W41" s="302" t="str">
        <f>IF(E41&lt;&gt;"",CONCATENATE("d",J33),"")</f>
        <v>d</v>
      </c>
      <c r="X41" s="302"/>
      <c r="Y41" s="302"/>
      <c r="Z41" s="302" t="str">
        <f t="shared" si="0"/>
        <v>0.0.0.0/0</v>
      </c>
      <c r="AA41" s="302"/>
      <c r="AB41" s="302"/>
    </row>
    <row r="42" spans="1:28" ht="14.25" hidden="1" customHeight="1" x14ac:dyDescent="0.25">
      <c r="A42" s="26">
        <v>8</v>
      </c>
      <c r="B42" s="302" t="str">
        <f>IF(Inventory!$C$22&lt;&gt;"",CONCATENATE("CIFS - Node ",A42),"")</f>
        <v/>
      </c>
      <c r="C42" s="302"/>
      <c r="D42" s="302"/>
      <c r="E42" s="302" t="str">
        <f>IF(B42&lt;&gt;"",CONCATENATE(K9,"-c0",A42,".",F11)," ")</f>
        <v xml:space="preserve"> </v>
      </c>
      <c r="F42" s="302"/>
      <c r="G42" s="302"/>
      <c r="H42" s="302"/>
      <c r="I42" s="302"/>
      <c r="J42" s="288"/>
      <c r="K42" s="289"/>
      <c r="L42" s="290"/>
      <c r="M42" s="288" t="str">
        <f>IF(B42&lt;&gt;"",CONCATENATE(K9,"-c0",A42),"")</f>
        <v/>
      </c>
      <c r="N42" s="289"/>
      <c r="O42" s="289"/>
      <c r="P42" s="290"/>
      <c r="Q42" s="302" t="str">
        <f>IF(E42&lt;&gt;"",Inventory!$C$22,"")</f>
        <v/>
      </c>
      <c r="R42" s="302"/>
      <c r="S42" s="302"/>
      <c r="T42" s="302" t="str">
        <f>IF(AND(E42&lt;&gt;"",F31&lt;&gt;0,F30&lt;&gt;0,F29&lt;&gt;0),IF(F31&lt;&gt;"Yes",F30,CONCATENATE(F30,"-",F29)),"")</f>
        <v/>
      </c>
      <c r="U42" s="302"/>
      <c r="V42" s="302"/>
      <c r="W42" s="302" t="str">
        <f>IF(E42&lt;&gt;"",CONCATENATE("d",J33),"")</f>
        <v>d</v>
      </c>
      <c r="X42" s="302"/>
      <c r="Y42" s="302"/>
      <c r="Z42" s="302" t="str">
        <f t="shared" si="0"/>
        <v>0.0.0.0/0</v>
      </c>
      <c r="AA42" s="302"/>
      <c r="AB42" s="302"/>
    </row>
    <row r="43" spans="1:28" ht="14.25" customHeight="1" x14ac:dyDescent="0.25">
      <c r="AB43" s="36" t="s">
        <v>143</v>
      </c>
    </row>
    <row r="44" spans="1:28" ht="14.25" customHeight="1" x14ac:dyDescent="0.25">
      <c r="B44" s="4" t="s">
        <v>135</v>
      </c>
    </row>
    <row r="45" spans="1:28" ht="6" customHeight="1" x14ac:dyDescent="0.25">
      <c r="B45" s="4"/>
      <c r="G45" s="6"/>
    </row>
    <row r="46" spans="1:28" ht="14.25" customHeight="1" x14ac:dyDescent="0.25">
      <c r="B46" s="303" t="s">
        <v>136</v>
      </c>
      <c r="C46" s="303"/>
      <c r="D46" s="303"/>
      <c r="E46" s="303"/>
      <c r="F46" s="171">
        <v>30</v>
      </c>
      <c r="G46" s="303" t="s">
        <v>137</v>
      </c>
      <c r="H46" s="303"/>
      <c r="I46" s="303"/>
      <c r="J46" s="303"/>
      <c r="K46" s="288" t="e">
        <f>IF(E51&lt;&gt;"",IF(F46&lt;&gt;0,VLOOKUP(F46,'Site Info'!$G$34:$P$69,8,FALSE),"enter VLAN"),"")</f>
        <v>#N/A</v>
      </c>
      <c r="L46" s="289"/>
      <c r="M46" s="290"/>
      <c r="N46" s="303" t="s">
        <v>138</v>
      </c>
      <c r="O46" s="303"/>
      <c r="P46" s="303"/>
      <c r="Q46" s="303"/>
      <c r="R46" s="171">
        <v>10</v>
      </c>
    </row>
    <row r="47" spans="1:28" ht="14.25" customHeight="1" x14ac:dyDescent="0.25">
      <c r="B47" s="303" t="s">
        <v>139</v>
      </c>
      <c r="C47" s="303"/>
      <c r="D47" s="303"/>
      <c r="E47" s="303"/>
      <c r="F47" s="171" t="s">
        <v>1355</v>
      </c>
      <c r="G47" s="303" t="s">
        <v>140</v>
      </c>
      <c r="H47" s="303"/>
      <c r="I47" s="303"/>
      <c r="J47" s="303"/>
      <c r="K47" s="288" t="e">
        <f>IF(E51&lt;&gt;"",IF(F46&lt;&gt;0,VLOOKUP(F46,'Site Info'!$G$34:$P$69,5,FALSE),"enter VLAN"),"")</f>
        <v>#N/A</v>
      </c>
      <c r="L47" s="289"/>
      <c r="M47" s="290"/>
    </row>
    <row r="48" spans="1:28" ht="14.25" customHeight="1" x14ac:dyDescent="0.25">
      <c r="B48" s="303" t="s">
        <v>91</v>
      </c>
      <c r="C48" s="303"/>
      <c r="D48" s="303"/>
      <c r="E48" s="303"/>
      <c r="F48" s="171" t="s">
        <v>16</v>
      </c>
      <c r="G48" s="303" t="s">
        <v>141</v>
      </c>
      <c r="H48" s="303"/>
      <c r="I48" s="303"/>
      <c r="J48" s="303"/>
      <c r="K48" s="288" t="str">
        <f>IF(K9&lt;&gt;"",CONCATENATE(K9,".",F11),"")</f>
        <v>shpsan-nfs-01.speedcast.com</v>
      </c>
      <c r="L48" s="289"/>
      <c r="M48" s="289"/>
      <c r="N48" s="289"/>
      <c r="O48" s="290"/>
    </row>
    <row r="49" spans="1:28" ht="14.25" customHeight="1" x14ac:dyDescent="0.25">
      <c r="G49" s="35">
        <v>1852</v>
      </c>
      <c r="H49" s="35" t="s">
        <v>1377</v>
      </c>
      <c r="J49" s="299" t="e">
        <f>IF(F46&lt;&gt;0,IF(E51&lt;&gt;"",VLOOKUP(F46,'Site Info'!$G$34:$P$69,2,FALSE),""),"")</f>
        <v>#N/A</v>
      </c>
      <c r="K49" s="299"/>
      <c r="L49" s="299"/>
      <c r="N49" s="35" t="s">
        <v>1378</v>
      </c>
    </row>
    <row r="50" spans="1:28" ht="14.25" customHeight="1" thickBot="1" x14ac:dyDescent="0.3">
      <c r="B50" s="312" t="s">
        <v>92</v>
      </c>
      <c r="C50" s="321"/>
      <c r="D50" s="313"/>
      <c r="E50" s="312" t="s">
        <v>142</v>
      </c>
      <c r="F50" s="321"/>
      <c r="G50" s="321"/>
      <c r="H50" s="321"/>
      <c r="I50" s="313"/>
      <c r="J50" s="312" t="s">
        <v>71</v>
      </c>
      <c r="K50" s="321"/>
      <c r="L50" s="313"/>
      <c r="M50" s="312" t="s">
        <v>93</v>
      </c>
      <c r="N50" s="321"/>
      <c r="O50" s="321"/>
      <c r="P50" s="313"/>
      <c r="Q50" s="312" t="s">
        <v>95</v>
      </c>
      <c r="R50" s="321"/>
      <c r="S50" s="313"/>
      <c r="T50" s="312" t="s">
        <v>96</v>
      </c>
      <c r="U50" s="321"/>
      <c r="V50" s="313"/>
      <c r="W50" s="312" t="s">
        <v>1269</v>
      </c>
      <c r="X50" s="321"/>
      <c r="Y50" s="313"/>
      <c r="Z50" s="258" t="s">
        <v>473</v>
      </c>
    </row>
    <row r="51" spans="1:28" ht="14.25" customHeight="1" x14ac:dyDescent="0.25">
      <c r="A51" s="26">
        <v>1</v>
      </c>
      <c r="B51" s="302" t="str">
        <f>IF(Inventory!$C$15&lt;&gt;"",CONCATENATE("NFS - Node ",A51),"")</f>
        <v>NFS - Node 1</v>
      </c>
      <c r="C51" s="302"/>
      <c r="D51" s="302"/>
      <c r="E51" s="302" t="str">
        <f>IF(B51&lt;&gt;"",CONCATENATE(K9,"-0",A51,".",F11)," ")</f>
        <v>shpsan-nfs-01-01.speedcast.com</v>
      </c>
      <c r="F51" s="302"/>
      <c r="G51" s="302"/>
      <c r="H51" s="302"/>
      <c r="I51" s="302"/>
      <c r="J51" s="288" t="s">
        <v>1360</v>
      </c>
      <c r="K51" s="289"/>
      <c r="L51" s="290"/>
      <c r="M51" s="288" t="str">
        <f>IF(B51&lt;&gt;"",CONCATENATE(K9,"-0",A51),"")</f>
        <v>shpsan-nfs-01-01</v>
      </c>
      <c r="N51" s="289"/>
      <c r="O51" s="289"/>
      <c r="P51" s="290"/>
      <c r="Q51" s="302" t="str">
        <f>IF(E51&lt;&gt;"",Inventory!$C$15,"")</f>
        <v>shpsan-01</v>
      </c>
      <c r="R51" s="302"/>
      <c r="S51" s="302"/>
      <c r="T51" s="302" t="str">
        <f>IF(AND(E51&lt;&gt;"",F48&lt;&gt;0,F47&lt;&gt;0,F46&lt;&gt;0),IF(F48&lt;&gt;"Yes",F47,CONCATENATE(F47,"-",F46)),"")</f>
        <v>a0a-30</v>
      </c>
      <c r="U51" s="302"/>
      <c r="V51" s="302"/>
      <c r="W51" s="302"/>
      <c r="X51" s="302"/>
      <c r="Y51" s="302"/>
      <c r="Z51" s="255" t="e">
        <f>IF($F$46&lt;&gt;0,IF(VLOOKUP($F$46,'Site Info'!$G$34:$V$69,8,FALSE)&lt;&gt;0,VLOOKUP($F$46,'Site Info'!$G$34:$V$69,11,FALSE),""),"")</f>
        <v>#N/A</v>
      </c>
    </row>
    <row r="52" spans="1:28" ht="14.25" customHeight="1" x14ac:dyDescent="0.25">
      <c r="A52" s="26">
        <v>2</v>
      </c>
      <c r="B52" s="302" t="str">
        <f>IF(Inventory!$C$16&lt;&gt;"",CONCATENATE("NFS - Node ",A52),"")</f>
        <v>NFS - Node 2</v>
      </c>
      <c r="C52" s="302"/>
      <c r="D52" s="302"/>
      <c r="E52" s="302" t="str">
        <f>IF(B52&lt;&gt;"",CONCATENATE(K9,"-0",A52,".",F11)," ")</f>
        <v>shpsan-nfs-01-02.speedcast.com</v>
      </c>
      <c r="F52" s="302"/>
      <c r="G52" s="302"/>
      <c r="H52" s="302"/>
      <c r="I52" s="302"/>
      <c r="J52" s="288" t="s">
        <v>1361</v>
      </c>
      <c r="K52" s="289"/>
      <c r="L52" s="290"/>
      <c r="M52" s="288" t="str">
        <f>IF(B52&lt;&gt;"",CONCATENATE(K9,"-0",A52),"")</f>
        <v>shpsan-nfs-01-02</v>
      </c>
      <c r="N52" s="289"/>
      <c r="O52" s="289"/>
      <c r="P52" s="290"/>
      <c r="Q52" s="302" t="str">
        <f>IF(E52&lt;&gt;"",Inventory!$C$16,"")</f>
        <v>shpsan-02</v>
      </c>
      <c r="R52" s="302"/>
      <c r="S52" s="302"/>
      <c r="T52" s="302" t="str">
        <f>IF(AND(E52&lt;&gt;"",F48&lt;&gt;0,F47&lt;&gt;0,F46&lt;&gt;0),IF(F48&lt;&gt;"Yes",F47,CONCATENATE(F47,"-",F46)),"")</f>
        <v>a0a-30</v>
      </c>
      <c r="U52" s="302"/>
      <c r="V52" s="302"/>
      <c r="W52" s="302"/>
      <c r="X52" s="302"/>
      <c r="Y52" s="302"/>
      <c r="Z52" s="255" t="e">
        <f>IF($F$46&lt;&gt;0,IF(VLOOKUP($F$46,'Site Info'!$G$34:$V$69,8,FALSE)&lt;&gt;0,VLOOKUP($F$46,'Site Info'!$G$34:$V$69,11,FALSE),""),"")</f>
        <v>#N/A</v>
      </c>
    </row>
    <row r="53" spans="1:28" ht="14.25" hidden="1" customHeight="1" x14ac:dyDescent="0.25">
      <c r="A53" s="26">
        <v>3</v>
      </c>
      <c r="B53" s="302" t="str">
        <f>IF(Inventory!$C$17&lt;&gt;"",CONCATENATE("NFS - Node ",A53),"")</f>
        <v/>
      </c>
      <c r="C53" s="302"/>
      <c r="D53" s="302"/>
      <c r="E53" s="302" t="str">
        <f>IF(B53&lt;&gt;"",CONCATENATE(K9,"-0",A53,".",F11)," ")</f>
        <v xml:space="preserve"> </v>
      </c>
      <c r="F53" s="302"/>
      <c r="G53" s="302"/>
      <c r="H53" s="302"/>
      <c r="I53" s="302"/>
      <c r="J53" s="288"/>
      <c r="K53" s="289"/>
      <c r="L53" s="290"/>
      <c r="M53" s="288" t="str">
        <f>IF(B53&lt;&gt;"",CONCATENATE(K9,"-0",A53),"")</f>
        <v/>
      </c>
      <c r="N53" s="289"/>
      <c r="O53" s="289"/>
      <c r="P53" s="290"/>
      <c r="Q53" s="302" t="str">
        <f>IF(E53&lt;&gt;"",Inventory!$C$17,"")</f>
        <v/>
      </c>
      <c r="R53" s="302"/>
      <c r="S53" s="302"/>
      <c r="T53" s="302" t="str">
        <f>IF(AND(E53&lt;&gt;"",F48&lt;&gt;0,F47&lt;&gt;0,F46&lt;&gt;0),IF(F48&lt;&gt;"Yes",F47,CONCATENATE(F47,"-",F46)),"")</f>
        <v>a0a-30</v>
      </c>
      <c r="U53" s="302"/>
      <c r="V53" s="302"/>
      <c r="W53" s="302"/>
      <c r="X53" s="302"/>
      <c r="Y53" s="302"/>
      <c r="Z53" s="255" t="e">
        <f>IF($F$46&lt;&gt;0,IF(VLOOKUP($F$46,'Site Info'!$G$34:$V$69,8,FALSE)&lt;&gt;0,VLOOKUP($F$46,'Site Info'!$G$34:$V$69,11,FALSE),""),"")</f>
        <v>#N/A</v>
      </c>
    </row>
    <row r="54" spans="1:28" ht="14.25" hidden="1" customHeight="1" x14ac:dyDescent="0.25">
      <c r="A54" s="26">
        <v>4</v>
      </c>
      <c r="B54" s="302" t="str">
        <f>IF(Inventory!$C$18&lt;&gt;"",CONCATENATE("NFS - Node ",A54),"")</f>
        <v/>
      </c>
      <c r="C54" s="302"/>
      <c r="D54" s="302"/>
      <c r="E54" s="302" t="str">
        <f>IF(B54&lt;&gt;"",CONCATENATE(K9,"-0",A54,".",F11)," ")</f>
        <v xml:space="preserve"> </v>
      </c>
      <c r="F54" s="302"/>
      <c r="G54" s="302"/>
      <c r="H54" s="302"/>
      <c r="I54" s="302"/>
      <c r="J54" s="288"/>
      <c r="K54" s="289"/>
      <c r="L54" s="290"/>
      <c r="M54" s="288" t="str">
        <f>IF(B54&lt;&gt;"",CONCATENATE(K9,"-0",A54),"")</f>
        <v/>
      </c>
      <c r="N54" s="289"/>
      <c r="O54" s="289"/>
      <c r="P54" s="290"/>
      <c r="Q54" s="302" t="str">
        <f>IF(E54&lt;&gt;"",Inventory!$C$18,"")</f>
        <v/>
      </c>
      <c r="R54" s="302"/>
      <c r="S54" s="302"/>
      <c r="T54" s="302" t="str">
        <f>IF(AND(E54&lt;&gt;"",F48&lt;&gt;0,F47&lt;&gt;0,F46&lt;&gt;0),IF(F48&lt;&gt;"Yes",F47,CONCATENATE(F47,"-",F46)),"")</f>
        <v>a0a-30</v>
      </c>
      <c r="U54" s="302"/>
      <c r="V54" s="302"/>
      <c r="W54" s="302"/>
      <c r="X54" s="302"/>
      <c r="Y54" s="302"/>
      <c r="Z54" s="255" t="e">
        <f>IF($F$46&lt;&gt;0,IF(VLOOKUP($F$46,'Site Info'!$G$34:$V$69,8,FALSE)&lt;&gt;0,VLOOKUP($F$46,'Site Info'!$G$34:$V$69,11,FALSE),""),"")</f>
        <v>#N/A</v>
      </c>
    </row>
    <row r="55" spans="1:28" ht="14.25" hidden="1" customHeight="1" x14ac:dyDescent="0.25">
      <c r="A55" s="26">
        <v>5</v>
      </c>
      <c r="B55" s="302" t="str">
        <f>IF(Inventory!$C$19&lt;&gt;"",CONCATENATE("NFS - Node ",A55),"")</f>
        <v/>
      </c>
      <c r="C55" s="302"/>
      <c r="D55" s="302"/>
      <c r="E55" s="302" t="str">
        <f>IF(B55&lt;&gt;"",CONCATENATE(K9,"-0",A55,".",F11)," ")</f>
        <v xml:space="preserve"> </v>
      </c>
      <c r="F55" s="302"/>
      <c r="G55" s="302"/>
      <c r="H55" s="302"/>
      <c r="I55" s="302"/>
      <c r="J55" s="288"/>
      <c r="K55" s="289"/>
      <c r="L55" s="290"/>
      <c r="M55" s="288" t="str">
        <f>IF(B55&lt;&gt;"",CONCATENATE(K9,"-0",A55),"")</f>
        <v/>
      </c>
      <c r="N55" s="289"/>
      <c r="O55" s="289"/>
      <c r="P55" s="290"/>
      <c r="Q55" s="302" t="str">
        <f>IF(E55&lt;&gt;"",Inventory!$C$19,"")</f>
        <v/>
      </c>
      <c r="R55" s="302"/>
      <c r="S55" s="302"/>
      <c r="T55" s="302" t="str">
        <f>IF(AND(E55&lt;&gt;"",F48&lt;&gt;0,F47&lt;&gt;0,F46&lt;&gt;0),IF(F48&lt;&gt;"Yes",F47,CONCATENATE(F47,"-",F46)),"")</f>
        <v>a0a-30</v>
      </c>
      <c r="U55" s="302"/>
      <c r="V55" s="302"/>
      <c r="W55" s="288"/>
      <c r="X55" s="289"/>
      <c r="Y55" s="290"/>
      <c r="Z55" s="255" t="e">
        <f>IF($F$46&lt;&gt;0,IF(VLOOKUP($F$46,'Site Info'!$G$34:$V$69,8,FALSE)&lt;&gt;0,VLOOKUP($F$46,'Site Info'!$G$34:$V$69,11,FALSE),""),"")</f>
        <v>#N/A</v>
      </c>
    </row>
    <row r="56" spans="1:28" ht="14.25" hidden="1" customHeight="1" x14ac:dyDescent="0.25">
      <c r="A56" s="26">
        <v>6</v>
      </c>
      <c r="B56" s="302" t="str">
        <f>IF(Inventory!$C$20&lt;&gt;"",CONCATENATE("NFS - Node ",A56),"")</f>
        <v/>
      </c>
      <c r="C56" s="302"/>
      <c r="D56" s="302"/>
      <c r="E56" s="302" t="str">
        <f>IF(B56&lt;&gt;"",CONCATENATE(K9,"-0",A56,".",F11)," ")</f>
        <v xml:space="preserve"> </v>
      </c>
      <c r="F56" s="302"/>
      <c r="G56" s="302"/>
      <c r="H56" s="302"/>
      <c r="I56" s="302"/>
      <c r="J56" s="288"/>
      <c r="K56" s="289"/>
      <c r="L56" s="290"/>
      <c r="M56" s="288" t="str">
        <f>IF(B56&lt;&gt;"",CONCATENATE(K9,"-0",A56),"")</f>
        <v/>
      </c>
      <c r="N56" s="289"/>
      <c r="O56" s="289"/>
      <c r="P56" s="290"/>
      <c r="Q56" s="302" t="str">
        <f>IF(E56&lt;&gt;"",Inventory!$C$20,"")</f>
        <v/>
      </c>
      <c r="R56" s="302"/>
      <c r="S56" s="302"/>
      <c r="T56" s="302" t="str">
        <f>IF(AND(E56&lt;&gt;"",F48&lt;&gt;0,F47&lt;&gt;0,F46&lt;&gt;0),IF(F48&lt;&gt;"Yes",F47,CONCATENATE(F47,"-",F46)),"")</f>
        <v>a0a-30</v>
      </c>
      <c r="U56" s="302"/>
      <c r="V56" s="302"/>
      <c r="W56" s="288"/>
      <c r="X56" s="289"/>
      <c r="Y56" s="290"/>
      <c r="Z56" s="255" t="e">
        <f>IF($F$46&lt;&gt;0,IF(VLOOKUP($F$46,'Site Info'!$G$34:$V$69,8,FALSE)&lt;&gt;0,VLOOKUP($F$46,'Site Info'!$G$34:$V$69,11,FALSE),""),"")</f>
        <v>#N/A</v>
      </c>
    </row>
    <row r="57" spans="1:28" ht="14.25" hidden="1" customHeight="1" x14ac:dyDescent="0.25">
      <c r="A57" s="26">
        <v>7</v>
      </c>
      <c r="B57" s="302" t="str">
        <f>IF(Inventory!$C$21&lt;&gt;"",CONCATENATE("NFS - Node ",A57),"")</f>
        <v/>
      </c>
      <c r="C57" s="302"/>
      <c r="D57" s="302"/>
      <c r="E57" s="302" t="str">
        <f>IF(B57&lt;&gt;"",CONCATENATE(K9,"-0",A57,".",F11)," ")</f>
        <v xml:space="preserve"> </v>
      </c>
      <c r="F57" s="302"/>
      <c r="G57" s="302"/>
      <c r="H57" s="302"/>
      <c r="I57" s="302"/>
      <c r="J57" s="288"/>
      <c r="K57" s="289"/>
      <c r="L57" s="290"/>
      <c r="M57" s="288" t="str">
        <f>IF(B57&lt;&gt;"",CONCATENATE(K9,"-0",A57),"")</f>
        <v/>
      </c>
      <c r="N57" s="289"/>
      <c r="O57" s="289"/>
      <c r="P57" s="290"/>
      <c r="Q57" s="302" t="str">
        <f>IF(E57&lt;&gt;"",Inventory!$C$21,"")</f>
        <v/>
      </c>
      <c r="R57" s="302"/>
      <c r="S57" s="302"/>
      <c r="T57" s="302" t="str">
        <f>IF(AND(E57&lt;&gt;"",F48&lt;&gt;0,F47&lt;&gt;0,F46&lt;&gt;0),IF(F48&lt;&gt;"Yes",F47,CONCATENATE(F47,"-",F46)),"")</f>
        <v>a0a-30</v>
      </c>
      <c r="U57" s="302"/>
      <c r="V57" s="302"/>
      <c r="W57" s="302"/>
      <c r="X57" s="302"/>
      <c r="Y57" s="302"/>
      <c r="Z57" s="255" t="e">
        <f>IF($F$46&lt;&gt;0,IF(VLOOKUP($F$46,'Site Info'!$G$34:$V$69,8,FALSE)&lt;&gt;0,VLOOKUP($F$46,'Site Info'!$G$34:$V$69,11,FALSE),""),"")</f>
        <v>#N/A</v>
      </c>
    </row>
    <row r="58" spans="1:28" ht="14.25" hidden="1" customHeight="1" x14ac:dyDescent="0.25">
      <c r="A58" s="26">
        <v>8</v>
      </c>
      <c r="B58" s="302" t="str">
        <f>IF(Inventory!$C$22&lt;&gt;"",CONCATENATE("NFS - Node ",A58),"")</f>
        <v/>
      </c>
      <c r="C58" s="302"/>
      <c r="D58" s="302"/>
      <c r="E58" s="302" t="str">
        <f>IF(B58&lt;&gt;"",CONCATENATE(K9,"-0",A58,".",F11)," ")</f>
        <v xml:space="preserve"> </v>
      </c>
      <c r="F58" s="302"/>
      <c r="G58" s="302"/>
      <c r="H58" s="302"/>
      <c r="I58" s="302"/>
      <c r="J58" s="288"/>
      <c r="K58" s="289"/>
      <c r="L58" s="290"/>
      <c r="M58" s="288" t="str">
        <f>IF(B58&lt;&gt;"",CONCATENATE(K9,"-0",A58),"")</f>
        <v/>
      </c>
      <c r="N58" s="289"/>
      <c r="O58" s="289"/>
      <c r="P58" s="290"/>
      <c r="Q58" s="302" t="str">
        <f>IF(E58&lt;&gt;"",Inventory!$C$22,"")</f>
        <v/>
      </c>
      <c r="R58" s="302"/>
      <c r="S58" s="302"/>
      <c r="T58" s="302" t="str">
        <f>IF(AND(E58&lt;&gt;"",F48&lt;&gt;0,F47&lt;&gt;0,F46&lt;&gt;0),IF(F48&lt;&gt;"Yes",F47,CONCATENATE(F47,"-",F46)),"")</f>
        <v>a0a-30</v>
      </c>
      <c r="U58" s="302"/>
      <c r="V58" s="302"/>
      <c r="W58" s="302"/>
      <c r="X58" s="302"/>
      <c r="Y58" s="302"/>
      <c r="Z58" s="255" t="e">
        <f>IF($F$46&lt;&gt;0,IF(VLOOKUP($F$46,'Site Info'!$G$34:$V$69,8,FALSE)&lt;&gt;0,VLOOKUP($F$46,'Site Info'!$G$34:$V$69,11,FALSE),""),"")</f>
        <v>#N/A</v>
      </c>
    </row>
    <row r="59" spans="1:28" ht="14.25" customHeight="1" x14ac:dyDescent="0.25">
      <c r="AB59" s="36" t="s">
        <v>143</v>
      </c>
    </row>
    <row r="60" spans="1:28" ht="14.25" hidden="1" customHeight="1" x14ac:dyDescent="0.25">
      <c r="B60" s="4" t="s">
        <v>144</v>
      </c>
    </row>
    <row r="61" spans="1:28" ht="6" hidden="1" customHeight="1" x14ac:dyDescent="0.25">
      <c r="B61" s="4"/>
      <c r="G61" s="6"/>
    </row>
    <row r="62" spans="1:28" ht="14.25" hidden="1" customHeight="1" x14ac:dyDescent="0.25">
      <c r="B62" s="303" t="s">
        <v>147</v>
      </c>
      <c r="C62" s="303"/>
      <c r="D62" s="303"/>
      <c r="E62" s="303"/>
      <c r="F62" s="181"/>
      <c r="G62" s="303" t="s">
        <v>148</v>
      </c>
      <c r="H62" s="303"/>
      <c r="I62" s="303"/>
      <c r="J62" s="303"/>
      <c r="K62" s="288" t="str">
        <f>IF(E67&lt;&gt;"",IF(F62&lt;&gt;0,VLOOKUP(F62,'Site Info'!$G$34:$P$69,8,FALSE),"enter VLAN"),"")</f>
        <v>enter VLAN</v>
      </c>
      <c r="L62" s="289"/>
      <c r="M62" s="290"/>
      <c r="N62" s="303" t="s">
        <v>149</v>
      </c>
      <c r="O62" s="303"/>
      <c r="P62" s="303"/>
      <c r="Q62" s="303"/>
      <c r="R62" s="181">
        <v>10</v>
      </c>
    </row>
    <row r="63" spans="1:28" ht="14.25" hidden="1" customHeight="1" x14ac:dyDescent="0.25">
      <c r="B63" s="303" t="s">
        <v>150</v>
      </c>
      <c r="C63" s="303"/>
      <c r="D63" s="303"/>
      <c r="E63" s="303"/>
      <c r="F63" s="181"/>
      <c r="G63" s="303"/>
      <c r="H63" s="303"/>
      <c r="I63" s="303"/>
      <c r="J63" s="303"/>
      <c r="K63" s="288"/>
      <c r="L63" s="289"/>
      <c r="M63" s="290"/>
    </row>
    <row r="64" spans="1:28" ht="14.25" hidden="1" customHeight="1" x14ac:dyDescent="0.25">
      <c r="B64" s="303" t="s">
        <v>91</v>
      </c>
      <c r="C64" s="303"/>
      <c r="D64" s="303"/>
      <c r="E64" s="303"/>
      <c r="F64" s="181"/>
      <c r="G64" s="35">
        <v>1852</v>
      </c>
      <c r="H64" s="35" t="s">
        <v>1377</v>
      </c>
      <c r="K64" s="35" t="s">
        <v>1349</v>
      </c>
      <c r="N64" s="35" t="s">
        <v>1378</v>
      </c>
    </row>
    <row r="65" spans="1:28" ht="14.25" hidden="1" customHeight="1" x14ac:dyDescent="0.25">
      <c r="J65" s="299" t="str">
        <f>IF(F62&lt;&gt;0,IF(E67&lt;&gt;"",VLOOKUP(F62,'Site Info'!$G$34:$P$69,2,FALSE),""),"")</f>
        <v/>
      </c>
      <c r="K65" s="299"/>
      <c r="L65" s="299"/>
    </row>
    <row r="66" spans="1:28" ht="14.25" hidden="1" customHeight="1" thickBot="1" x14ac:dyDescent="0.3">
      <c r="B66" s="312" t="s">
        <v>92</v>
      </c>
      <c r="C66" s="321"/>
      <c r="D66" s="313"/>
      <c r="E66" s="312" t="s">
        <v>146</v>
      </c>
      <c r="F66" s="321"/>
      <c r="G66" s="321"/>
      <c r="H66" s="321"/>
      <c r="I66" s="313"/>
      <c r="J66" s="312" t="s">
        <v>71</v>
      </c>
      <c r="K66" s="321"/>
      <c r="L66" s="313"/>
      <c r="M66" s="312" t="s">
        <v>93</v>
      </c>
      <c r="N66" s="321"/>
      <c r="O66" s="321"/>
      <c r="P66" s="313"/>
      <c r="Q66" s="312" t="s">
        <v>95</v>
      </c>
      <c r="R66" s="321"/>
      <c r="S66" s="313"/>
      <c r="T66" s="312" t="s">
        <v>96</v>
      </c>
      <c r="U66" s="321"/>
      <c r="V66" s="313"/>
      <c r="W66" s="312" t="s">
        <v>103</v>
      </c>
      <c r="X66" s="321"/>
      <c r="Y66" s="313"/>
      <c r="Z66" s="312" t="s">
        <v>104</v>
      </c>
      <c r="AA66" s="321"/>
      <c r="AB66" s="313"/>
    </row>
    <row r="67" spans="1:28" ht="14.25" hidden="1" customHeight="1" x14ac:dyDescent="0.25">
      <c r="A67" s="26">
        <v>1</v>
      </c>
      <c r="B67" s="302" t="str">
        <f>IF(Inventory!$C$15&lt;&gt;"",CONCATENATE("iSCSI - Node ",A67),"")</f>
        <v>iSCSI - Node 1</v>
      </c>
      <c r="C67" s="302"/>
      <c r="D67" s="302"/>
      <c r="E67" s="302" t="str">
        <f>IF(B67&lt;&gt;"",CONCATENATE($K$9,"-i0",A67,"-01.",$F$11)," ")</f>
        <v>shpsan-nfs-01-i01-01.speedcast.com</v>
      </c>
      <c r="F67" s="302"/>
      <c r="G67" s="302"/>
      <c r="H67" s="302"/>
      <c r="I67" s="302"/>
      <c r="J67" s="288"/>
      <c r="K67" s="289"/>
      <c r="L67" s="290"/>
      <c r="M67" s="288" t="str">
        <f>IF(B67&lt;&gt;"",CONCATENATE($K$9,"-i0",A67,"-01")," ")</f>
        <v>shpsan-nfs-01-i01-01</v>
      </c>
      <c r="N67" s="289"/>
      <c r="O67" s="289"/>
      <c r="P67" s="290"/>
      <c r="Q67" s="302" t="str">
        <f>IF(B67&lt;&gt;"",Inventory!$C$15,"")</f>
        <v>shpsan-01</v>
      </c>
      <c r="R67" s="302"/>
      <c r="S67" s="302"/>
      <c r="T67" s="302" t="str">
        <f>IF(AND(E67&lt;&gt;"",F64&lt;&gt;0,F63&lt;&gt;0,F62&lt;&gt;0),IF(F64&lt;&gt;"Yes",F63,CONCATENATE(F63,"-",F62)),"")</f>
        <v/>
      </c>
      <c r="U67" s="302"/>
      <c r="V67" s="302"/>
      <c r="W67" s="302" t="str">
        <f>IF(E67&lt;&gt;"",CONCATENATE("d",J65),"")</f>
        <v>d</v>
      </c>
      <c r="X67" s="302"/>
      <c r="Y67" s="302"/>
      <c r="Z67" s="302" t="str">
        <f>IF(E67&lt;&gt;"","0.0.0.0/0","")</f>
        <v>0.0.0.0/0</v>
      </c>
      <c r="AA67" s="302"/>
      <c r="AB67" s="302"/>
    </row>
    <row r="68" spans="1:28" ht="14.25" hidden="1" customHeight="1" x14ac:dyDescent="0.25">
      <c r="A68" s="26">
        <v>2</v>
      </c>
      <c r="B68" s="302" t="str">
        <f>IF(Inventory!$C$16&lt;&gt;"",CONCATENATE("iSCSI - Node ",A68),"")</f>
        <v>iSCSI - Node 2</v>
      </c>
      <c r="C68" s="302"/>
      <c r="D68" s="302"/>
      <c r="E68" s="302" t="str">
        <f>IF(B68&lt;&gt;"",CONCATENATE($K$9,"-i0",A68,"-01.",$F$11)," ")</f>
        <v>shpsan-nfs-01-i02-01.speedcast.com</v>
      </c>
      <c r="F68" s="302"/>
      <c r="G68" s="302"/>
      <c r="H68" s="302"/>
      <c r="I68" s="302"/>
      <c r="J68" s="288"/>
      <c r="K68" s="289"/>
      <c r="L68" s="290"/>
      <c r="M68" s="288" t="str">
        <f>IF(B68&lt;&gt;"",CONCATENATE($K$9,"-i0",A68,"-01")," ")</f>
        <v>shpsan-nfs-01-i02-01</v>
      </c>
      <c r="N68" s="289"/>
      <c r="O68" s="289"/>
      <c r="P68" s="290"/>
      <c r="Q68" s="302" t="str">
        <f>IF(B68&lt;&gt;"",Inventory!$C$16,"")</f>
        <v>shpsan-02</v>
      </c>
      <c r="R68" s="302"/>
      <c r="S68" s="302"/>
      <c r="T68" s="302" t="str">
        <f>IF(AND(E68&lt;&gt;"",F64&lt;&gt;0,F63&lt;&gt;0,F62&lt;&gt;0),IF(F64&lt;&gt;"Yes",F63,CONCATENATE(F63,"-",F62)),"")</f>
        <v/>
      </c>
      <c r="U68" s="302"/>
      <c r="V68" s="302"/>
      <c r="W68" s="302" t="str">
        <f>IF(E68&lt;&gt;"",CONCATENATE("d",J65),"")</f>
        <v>d</v>
      </c>
      <c r="X68" s="302"/>
      <c r="Y68" s="302"/>
      <c r="Z68" s="302" t="str">
        <f t="shared" ref="Z68:Z74" si="1">IF(E68&lt;&gt;"","0.0.0.0/0","")</f>
        <v>0.0.0.0/0</v>
      </c>
      <c r="AA68" s="302"/>
      <c r="AB68" s="302"/>
    </row>
    <row r="69" spans="1:28" ht="14.25" hidden="1" customHeight="1" x14ac:dyDescent="0.25">
      <c r="A69" s="26">
        <v>3</v>
      </c>
      <c r="B69" s="302" t="str">
        <f>IF(Inventory!$C$17&lt;&gt;"",CONCATENATE("iSCSI - Node ",A69),"")</f>
        <v/>
      </c>
      <c r="C69" s="302"/>
      <c r="D69" s="302"/>
      <c r="E69" s="302" t="str">
        <f>IF(B69&lt;&gt;"",CONCATENATE($K$9,"-i0",A69,"-01.",$F$11)," ")</f>
        <v xml:space="preserve"> </v>
      </c>
      <c r="F69" s="302"/>
      <c r="G69" s="302"/>
      <c r="H69" s="302"/>
      <c r="I69" s="302"/>
      <c r="J69" s="288"/>
      <c r="K69" s="289"/>
      <c r="L69" s="290"/>
      <c r="M69" s="288" t="str">
        <f t="shared" ref="M69:M74" si="2">IF(B69&lt;&gt;"",CONCATENATE($K$9,"-i0",A69,"-01")," ")</f>
        <v xml:space="preserve"> </v>
      </c>
      <c r="N69" s="289"/>
      <c r="O69" s="289"/>
      <c r="P69" s="290"/>
      <c r="Q69" s="302" t="str">
        <f>IF(B69&lt;&gt;"",Inventory!$C$16,"")</f>
        <v/>
      </c>
      <c r="R69" s="302"/>
      <c r="S69" s="302"/>
      <c r="T69" s="302" t="str">
        <f>IF(AND(E69&lt;&gt;"",F64&lt;&gt;0,F63&lt;&gt;0,F62&lt;&gt;0),IF(F64&lt;&gt;"Yes",F63,CONCATENATE(F63,"-",F62)),"")</f>
        <v/>
      </c>
      <c r="U69" s="302"/>
      <c r="V69" s="302"/>
      <c r="W69" s="302" t="str">
        <f>IF(E69&lt;&gt;"",CONCATENATE("d",J65),"")</f>
        <v>d</v>
      </c>
      <c r="X69" s="302"/>
      <c r="Y69" s="302"/>
      <c r="Z69" s="302" t="str">
        <f t="shared" si="1"/>
        <v>0.0.0.0/0</v>
      </c>
      <c r="AA69" s="302"/>
      <c r="AB69" s="302"/>
    </row>
    <row r="70" spans="1:28" ht="14.25" hidden="1" customHeight="1" x14ac:dyDescent="0.25">
      <c r="A70" s="26">
        <v>4</v>
      </c>
      <c r="B70" s="302" t="str">
        <f>IF(Inventory!$C$18&lt;&gt;"",CONCATENATE("iSCSI - Node ",A70),"")</f>
        <v/>
      </c>
      <c r="C70" s="302"/>
      <c r="D70" s="302"/>
      <c r="E70" s="302" t="str">
        <f t="shared" ref="E70:E74" si="3">IF(B70&lt;&gt;"",CONCATENATE($K$9,"-i0",A70,"-01.",$F$11)," ")</f>
        <v xml:space="preserve"> </v>
      </c>
      <c r="F70" s="302"/>
      <c r="G70" s="302"/>
      <c r="H70" s="302"/>
      <c r="I70" s="302"/>
      <c r="J70" s="288"/>
      <c r="K70" s="289"/>
      <c r="L70" s="290"/>
      <c r="M70" s="288" t="str">
        <f t="shared" si="2"/>
        <v xml:space="preserve"> </v>
      </c>
      <c r="N70" s="289"/>
      <c r="O70" s="289"/>
      <c r="P70" s="290"/>
      <c r="Q70" s="302" t="str">
        <f>IF(B70&lt;&gt;"",Inventory!$C$16,"")</f>
        <v/>
      </c>
      <c r="R70" s="302"/>
      <c r="S70" s="302"/>
      <c r="T70" s="302" t="str">
        <f>IF(AND(E70&lt;&gt;"",F64&lt;&gt;0,F63&lt;&gt;0,F62&lt;&gt;0),IF(F64&lt;&gt;"Yes",F63,CONCATENATE(F63,"-",F62)),"")</f>
        <v/>
      </c>
      <c r="U70" s="302"/>
      <c r="V70" s="302"/>
      <c r="W70" s="302" t="str">
        <f>IF(E70&lt;&gt;"",CONCATENATE("d",J65),"")</f>
        <v>d</v>
      </c>
      <c r="X70" s="302"/>
      <c r="Y70" s="302"/>
      <c r="Z70" s="302" t="str">
        <f t="shared" si="1"/>
        <v>0.0.0.0/0</v>
      </c>
      <c r="AA70" s="302"/>
      <c r="AB70" s="302"/>
    </row>
    <row r="71" spans="1:28" ht="14.25" hidden="1" customHeight="1" x14ac:dyDescent="0.25">
      <c r="A71" s="26">
        <v>5</v>
      </c>
      <c r="B71" s="302" t="str">
        <f>IF(Inventory!$C$19&lt;&gt;"",CONCATENATE("iSCSI - Node ",A71),"")</f>
        <v/>
      </c>
      <c r="C71" s="302"/>
      <c r="D71" s="302"/>
      <c r="E71" s="302" t="str">
        <f t="shared" si="3"/>
        <v xml:space="preserve"> </v>
      </c>
      <c r="F71" s="302"/>
      <c r="G71" s="302"/>
      <c r="H71" s="302"/>
      <c r="I71" s="302"/>
      <c r="J71" s="288"/>
      <c r="K71" s="289"/>
      <c r="L71" s="290"/>
      <c r="M71" s="288" t="str">
        <f t="shared" si="2"/>
        <v xml:space="preserve"> </v>
      </c>
      <c r="N71" s="289"/>
      <c r="O71" s="289"/>
      <c r="P71" s="290"/>
      <c r="Q71" s="302" t="str">
        <f>IF(B71&lt;&gt;"",Inventory!$C$16,"")</f>
        <v/>
      </c>
      <c r="R71" s="302"/>
      <c r="S71" s="302"/>
      <c r="T71" s="302" t="str">
        <f>IF(AND(E71&lt;&gt;"",F64&lt;&gt;0,F63&lt;&gt;0,F62&lt;&gt;0),IF(F64&lt;&gt;"Yes",F63,CONCATENATE(F63,"-",F62)),"")</f>
        <v/>
      </c>
      <c r="U71" s="302"/>
      <c r="V71" s="302"/>
      <c r="W71" s="302" t="str">
        <f>IF(E71&lt;&gt;"",CONCATENATE("d",J65),"")</f>
        <v>d</v>
      </c>
      <c r="X71" s="302"/>
      <c r="Y71" s="302"/>
      <c r="Z71" s="302" t="str">
        <f t="shared" si="1"/>
        <v>0.0.0.0/0</v>
      </c>
      <c r="AA71" s="302"/>
      <c r="AB71" s="302"/>
    </row>
    <row r="72" spans="1:28" ht="14.25" hidden="1" customHeight="1" x14ac:dyDescent="0.25">
      <c r="A72" s="26">
        <v>6</v>
      </c>
      <c r="B72" s="302" t="str">
        <f>IF(Inventory!$C$20&lt;&gt;"",CONCATENATE("iSCSI - Node ",A72),"")</f>
        <v/>
      </c>
      <c r="C72" s="302"/>
      <c r="D72" s="302"/>
      <c r="E72" s="302" t="str">
        <f t="shared" si="3"/>
        <v xml:space="preserve"> </v>
      </c>
      <c r="F72" s="302"/>
      <c r="G72" s="302"/>
      <c r="H72" s="302"/>
      <c r="I72" s="302"/>
      <c r="J72" s="288"/>
      <c r="K72" s="289"/>
      <c r="L72" s="290"/>
      <c r="M72" s="288" t="str">
        <f t="shared" si="2"/>
        <v xml:space="preserve"> </v>
      </c>
      <c r="N72" s="289"/>
      <c r="O72" s="289"/>
      <c r="P72" s="290"/>
      <c r="Q72" s="302" t="str">
        <f>IF(B72&lt;&gt;"",Inventory!$C$16,"")</f>
        <v/>
      </c>
      <c r="R72" s="302"/>
      <c r="S72" s="302"/>
      <c r="T72" s="302" t="str">
        <f>IF(AND(E72&lt;&gt;"",F64&lt;&gt;0,F63&lt;&gt;0,F62&lt;&gt;0),IF(F64&lt;&gt;"Yes",F63,CONCATENATE(F63,"-",F62)),"")</f>
        <v/>
      </c>
      <c r="U72" s="302"/>
      <c r="V72" s="302"/>
      <c r="W72" s="302" t="str">
        <f>IF(E72&lt;&gt;"",CONCATENATE("d",J65),"")</f>
        <v>d</v>
      </c>
      <c r="X72" s="302"/>
      <c r="Y72" s="302"/>
      <c r="Z72" s="302" t="str">
        <f t="shared" si="1"/>
        <v>0.0.0.0/0</v>
      </c>
      <c r="AA72" s="302"/>
      <c r="AB72" s="302"/>
    </row>
    <row r="73" spans="1:28" ht="14.25" hidden="1" customHeight="1" x14ac:dyDescent="0.25">
      <c r="A73" s="26">
        <v>7</v>
      </c>
      <c r="B73" s="302" t="str">
        <f>IF(Inventory!$C$21&lt;&gt;"",CONCATENATE("iSCSI - Node ",A73),"")</f>
        <v/>
      </c>
      <c r="C73" s="302"/>
      <c r="D73" s="302"/>
      <c r="E73" s="302" t="str">
        <f t="shared" si="3"/>
        <v xml:space="preserve"> </v>
      </c>
      <c r="F73" s="302"/>
      <c r="G73" s="302"/>
      <c r="H73" s="302"/>
      <c r="I73" s="302"/>
      <c r="J73" s="288"/>
      <c r="K73" s="289"/>
      <c r="L73" s="290"/>
      <c r="M73" s="288" t="str">
        <f t="shared" si="2"/>
        <v xml:space="preserve"> </v>
      </c>
      <c r="N73" s="289"/>
      <c r="O73" s="289"/>
      <c r="P73" s="290"/>
      <c r="Q73" s="302" t="str">
        <f>IF(B73&lt;&gt;"",Inventory!$C$16,"")</f>
        <v/>
      </c>
      <c r="R73" s="302"/>
      <c r="S73" s="302"/>
      <c r="T73" s="302" t="str">
        <f>IF(AND(E73&lt;&gt;"",F64&lt;&gt;0,F63&lt;&gt;0,F62&lt;&gt;0),IF(F64&lt;&gt;"Yes",F63,CONCATENATE(F63,"-",F62)),"")</f>
        <v/>
      </c>
      <c r="U73" s="302"/>
      <c r="V73" s="302"/>
      <c r="W73" s="302" t="str">
        <f>IF(E73&lt;&gt;"",CONCATENATE("d",J65),"")</f>
        <v>d</v>
      </c>
      <c r="X73" s="302"/>
      <c r="Y73" s="302"/>
      <c r="Z73" s="302" t="str">
        <f t="shared" si="1"/>
        <v>0.0.0.0/0</v>
      </c>
      <c r="AA73" s="302"/>
      <c r="AB73" s="302"/>
    </row>
    <row r="74" spans="1:28" ht="14.25" hidden="1" customHeight="1" x14ac:dyDescent="0.25">
      <c r="A74" s="26">
        <v>8</v>
      </c>
      <c r="B74" s="302" t="str">
        <f>IF(Inventory!$C$22&lt;&gt;"",CONCATENATE("iSCSI - Node ",A74),"")</f>
        <v/>
      </c>
      <c r="C74" s="302"/>
      <c r="D74" s="302"/>
      <c r="E74" s="302" t="str">
        <f t="shared" si="3"/>
        <v xml:space="preserve"> </v>
      </c>
      <c r="F74" s="302"/>
      <c r="G74" s="302"/>
      <c r="H74" s="302"/>
      <c r="I74" s="302"/>
      <c r="J74" s="288"/>
      <c r="K74" s="289"/>
      <c r="L74" s="290"/>
      <c r="M74" s="288" t="str">
        <f t="shared" si="2"/>
        <v xml:space="preserve"> </v>
      </c>
      <c r="N74" s="289"/>
      <c r="O74" s="289"/>
      <c r="P74" s="290"/>
      <c r="Q74" s="302" t="str">
        <f>IF(B74&lt;&gt;"",Inventory!$C$16,"")</f>
        <v/>
      </c>
      <c r="R74" s="302"/>
      <c r="S74" s="302"/>
      <c r="T74" s="302" t="str">
        <f>IF(AND(E74&lt;&gt;"",F64&lt;&gt;0,F63&lt;&gt;0,F62&lt;&gt;0),IF(F64&lt;&gt;"Yes",F63,CONCATENATE(F63,"-",F62)),"")</f>
        <v/>
      </c>
      <c r="U74" s="302"/>
      <c r="V74" s="302"/>
      <c r="W74" s="302" t="str">
        <f>IF(E74&lt;&gt;"",CONCATENATE("d",J65),"")</f>
        <v>d</v>
      </c>
      <c r="X74" s="302"/>
      <c r="Y74" s="302"/>
      <c r="Z74" s="302" t="str">
        <f t="shared" si="1"/>
        <v>0.0.0.0/0</v>
      </c>
      <c r="AA74" s="302"/>
      <c r="AB74" s="302"/>
    </row>
    <row r="75" spans="1:28" ht="14.25" hidden="1" customHeight="1" x14ac:dyDescent="0.25">
      <c r="AB75" s="36" t="s">
        <v>143</v>
      </c>
    </row>
    <row r="76" spans="1:28" ht="14.25" hidden="1" customHeight="1" x14ac:dyDescent="0.25">
      <c r="B76" s="4" t="s">
        <v>145</v>
      </c>
    </row>
    <row r="77" spans="1:28" ht="6" hidden="1" customHeight="1" x14ac:dyDescent="0.25">
      <c r="B77" s="4"/>
      <c r="G77" s="6"/>
    </row>
    <row r="78" spans="1:28" ht="14.25" hidden="1" customHeight="1" x14ac:dyDescent="0.25">
      <c r="B78" s="303" t="s">
        <v>147</v>
      </c>
      <c r="C78" s="303"/>
      <c r="D78" s="303"/>
      <c r="E78" s="303"/>
      <c r="F78" s="181"/>
      <c r="G78" s="303" t="s">
        <v>148</v>
      </c>
      <c r="H78" s="303"/>
      <c r="I78" s="303"/>
      <c r="J78" s="303"/>
      <c r="K78" s="288" t="str">
        <f>IF(E83&lt;&gt;"",IF(F78&lt;&gt;0,VLOOKUP(F78,'Site Info'!$G$34:$P$69,8,FALSE),"enter VLAN"),"")</f>
        <v>enter VLAN</v>
      </c>
      <c r="L78" s="289"/>
      <c r="M78" s="290"/>
      <c r="N78" s="303" t="s">
        <v>149</v>
      </c>
      <c r="O78" s="303"/>
      <c r="P78" s="303"/>
      <c r="Q78" s="303"/>
      <c r="R78" s="181">
        <v>10</v>
      </c>
    </row>
    <row r="79" spans="1:28" ht="14.25" hidden="1" customHeight="1" x14ac:dyDescent="0.25">
      <c r="B79" s="303" t="s">
        <v>150</v>
      </c>
      <c r="C79" s="303"/>
      <c r="D79" s="303"/>
      <c r="E79" s="303"/>
      <c r="F79" s="181"/>
      <c r="G79" s="303" t="s">
        <v>151</v>
      </c>
      <c r="H79" s="303"/>
      <c r="I79" s="303"/>
      <c r="J79" s="303"/>
      <c r="K79" s="288" t="str">
        <f>IF(E83&lt;&gt;"",IF(F78&lt;&gt;0,VLOOKUP(F78,'Site Info'!$G$34:$P$69,5,FALSE),"enter VLAN"),"")</f>
        <v>enter VLAN</v>
      </c>
      <c r="L79" s="289"/>
      <c r="M79" s="290"/>
    </row>
    <row r="80" spans="1:28" ht="14.25" hidden="1" customHeight="1" x14ac:dyDescent="0.25">
      <c r="B80" s="303" t="s">
        <v>91</v>
      </c>
      <c r="C80" s="303"/>
      <c r="D80" s="303"/>
      <c r="E80" s="303"/>
      <c r="F80" s="181"/>
    </row>
    <row r="81" spans="1:32" ht="14.25" hidden="1" customHeight="1" x14ac:dyDescent="0.25">
      <c r="J81" s="299" t="str">
        <f>IF(F78&lt;&gt;0,IF(E83&lt;&gt;"",VLOOKUP(F78,'Site Info'!$G$34:$P$69,2,FALSE),""),"")</f>
        <v/>
      </c>
      <c r="K81" s="299"/>
      <c r="L81" s="299"/>
    </row>
    <row r="82" spans="1:32" ht="14.25" hidden="1" customHeight="1" thickBot="1" x14ac:dyDescent="0.3">
      <c r="B82" s="312" t="s">
        <v>92</v>
      </c>
      <c r="C82" s="321"/>
      <c r="D82" s="313"/>
      <c r="E82" s="312" t="s">
        <v>146</v>
      </c>
      <c r="F82" s="321"/>
      <c r="G82" s="321"/>
      <c r="H82" s="321"/>
      <c r="I82" s="313"/>
      <c r="J82" s="312" t="s">
        <v>71</v>
      </c>
      <c r="K82" s="321"/>
      <c r="L82" s="313"/>
      <c r="M82" s="312" t="s">
        <v>93</v>
      </c>
      <c r="N82" s="321"/>
      <c r="O82" s="321"/>
      <c r="P82" s="313"/>
      <c r="Q82" s="312" t="s">
        <v>95</v>
      </c>
      <c r="R82" s="321"/>
      <c r="S82" s="313"/>
      <c r="T82" s="312" t="s">
        <v>96</v>
      </c>
      <c r="U82" s="321"/>
      <c r="V82" s="313"/>
      <c r="W82" s="312" t="s">
        <v>103</v>
      </c>
      <c r="X82" s="321"/>
      <c r="Y82" s="313"/>
      <c r="Z82" s="312" t="s">
        <v>104</v>
      </c>
      <c r="AA82" s="321"/>
      <c r="AB82" s="313"/>
    </row>
    <row r="83" spans="1:32" ht="14.25" hidden="1" customHeight="1" x14ac:dyDescent="0.25">
      <c r="A83" s="26">
        <v>1</v>
      </c>
      <c r="B83" s="302" t="str">
        <f>IF(Inventory!$C$15&lt;&gt;"",CONCATENATE("iSCSI - Node ",A83),"")</f>
        <v>iSCSI - Node 1</v>
      </c>
      <c r="C83" s="302"/>
      <c r="D83" s="302"/>
      <c r="E83" s="302" t="str">
        <f>IF(B83&lt;&gt;"",CONCATENATE($K$9,"-i0",A83,"-02.",$F$11)," ")</f>
        <v>shpsan-nfs-01-i01-02.speedcast.com</v>
      </c>
      <c r="F83" s="302"/>
      <c r="G83" s="302"/>
      <c r="H83" s="302"/>
      <c r="I83" s="302"/>
      <c r="J83" s="288"/>
      <c r="K83" s="289"/>
      <c r="L83" s="290"/>
      <c r="M83" s="288" t="str">
        <f>IF(B83&lt;&gt;"",CONCATENATE($K$9,"-i0",A83,"-01")," ")</f>
        <v>shpsan-nfs-01-i01-01</v>
      </c>
      <c r="N83" s="289"/>
      <c r="O83" s="289"/>
      <c r="P83" s="290"/>
      <c r="Q83" s="302" t="str">
        <f>IF(B83&lt;&gt;"",Inventory!$C$15,"")</f>
        <v>shpsan-01</v>
      </c>
      <c r="R83" s="302"/>
      <c r="S83" s="302"/>
      <c r="T83" s="302" t="str">
        <f>IF(AND(E83&lt;&gt;"",F80&lt;&gt;0,F79&lt;&gt;0,F78&lt;&gt;0),IF(F80&lt;&gt;"Yes",F79,CONCATENATE(F79,"-",F78)),"")</f>
        <v/>
      </c>
      <c r="U83" s="302"/>
      <c r="V83" s="302"/>
      <c r="W83" s="302" t="str">
        <f>IF(E83&lt;&gt;"",CONCATENATE("d",J81),"")</f>
        <v>d</v>
      </c>
      <c r="X83" s="302"/>
      <c r="Y83" s="302"/>
      <c r="Z83" s="302" t="str">
        <f>IF(E83&lt;&gt;"","0.0.0.0/0","")</f>
        <v>0.0.0.0/0</v>
      </c>
      <c r="AA83" s="302"/>
      <c r="AB83" s="302"/>
    </row>
    <row r="84" spans="1:32" ht="14.25" hidden="1" customHeight="1" x14ac:dyDescent="0.25">
      <c r="A84" s="26">
        <v>2</v>
      </c>
      <c r="B84" s="302" t="str">
        <f>IF(Inventory!$C$16&lt;&gt;"",CONCATENATE("iSCSI - Node ",A84),"")</f>
        <v>iSCSI - Node 2</v>
      </c>
      <c r="C84" s="302"/>
      <c r="D84" s="302"/>
      <c r="E84" s="302" t="str">
        <f>IF(B84&lt;&gt;"",CONCATENATE($K$9,"-i0",A84,"-02.",$F$11)," ")</f>
        <v>shpsan-nfs-01-i02-02.speedcast.com</v>
      </c>
      <c r="F84" s="302"/>
      <c r="G84" s="302"/>
      <c r="H84" s="302"/>
      <c r="I84" s="302"/>
      <c r="J84" s="288"/>
      <c r="K84" s="289"/>
      <c r="L84" s="290"/>
      <c r="M84" s="288" t="str">
        <f>IF(B84&lt;&gt;"",CONCATENATE($K$9,"-i0",A84,"-01")," ")</f>
        <v>shpsan-nfs-01-i02-01</v>
      </c>
      <c r="N84" s="289"/>
      <c r="O84" s="289"/>
      <c r="P84" s="290"/>
      <c r="Q84" s="302" t="str">
        <f>IF(B84&lt;&gt;"",Inventory!$C$16,"")</f>
        <v>shpsan-02</v>
      </c>
      <c r="R84" s="302"/>
      <c r="S84" s="302"/>
      <c r="T84" s="302" t="str">
        <f>IF(AND(E84&lt;&gt;"",F80&lt;&gt;0,F79&lt;&gt;0,F78&lt;&gt;0),IF(F80&lt;&gt;"Yes",F79,CONCATENATE(F79,"-",F78)),"")</f>
        <v/>
      </c>
      <c r="U84" s="302"/>
      <c r="V84" s="302"/>
      <c r="W84" s="302" t="str">
        <f>IF(E84&lt;&gt;"",CONCATENATE("d",J81),"")</f>
        <v>d</v>
      </c>
      <c r="X84" s="302"/>
      <c r="Y84" s="302"/>
      <c r="Z84" s="302" t="str">
        <f t="shared" ref="Z84:Z90" si="4">IF(E84&lt;&gt;"","0.0.0.0/0","")</f>
        <v>0.0.0.0/0</v>
      </c>
      <c r="AA84" s="302"/>
      <c r="AB84" s="302"/>
    </row>
    <row r="85" spans="1:32" ht="14.25" hidden="1" customHeight="1" x14ac:dyDescent="0.25">
      <c r="A85" s="26">
        <v>3</v>
      </c>
      <c r="B85" s="302" t="str">
        <f>IF(Inventory!$C$17&lt;&gt;"",CONCATENATE("iSCSI - Node ",A85),"")</f>
        <v/>
      </c>
      <c r="C85" s="302"/>
      <c r="D85" s="302"/>
      <c r="E85" s="302" t="str">
        <f t="shared" ref="E85:E90" si="5">IF(B85&lt;&gt;"",CONCATENATE($K$9,"-i0",A85,"-02.",$F$11)," ")</f>
        <v xml:space="preserve"> </v>
      </c>
      <c r="F85" s="302"/>
      <c r="G85" s="302"/>
      <c r="H85" s="302"/>
      <c r="I85" s="302"/>
      <c r="J85" s="288"/>
      <c r="K85" s="289"/>
      <c r="L85" s="290"/>
      <c r="M85" s="288" t="str">
        <f t="shared" ref="M85:M90" si="6">IF(B85&lt;&gt;"",CONCATENATE($K$9,"-i0",A85,"-01")," ")</f>
        <v xml:space="preserve"> </v>
      </c>
      <c r="N85" s="289"/>
      <c r="O85" s="289"/>
      <c r="P85" s="290"/>
      <c r="Q85" s="302" t="str">
        <f>IF(B85&lt;&gt;"",Inventory!$C$16,"")</f>
        <v/>
      </c>
      <c r="R85" s="302"/>
      <c r="S85" s="302"/>
      <c r="T85" s="302" t="str">
        <f>IF(AND(E85&lt;&gt;"",F80&lt;&gt;0,F79&lt;&gt;0,F78&lt;&gt;0),IF(F80&lt;&gt;"Yes",F79,CONCATENATE(F79,"-",F78)),"")</f>
        <v/>
      </c>
      <c r="U85" s="302"/>
      <c r="V85" s="302"/>
      <c r="W85" s="302" t="str">
        <f>IF(E85&lt;&gt;"",CONCATENATE("d",J81),"")</f>
        <v>d</v>
      </c>
      <c r="X85" s="302"/>
      <c r="Y85" s="302"/>
      <c r="Z85" s="302" t="str">
        <f t="shared" si="4"/>
        <v>0.0.0.0/0</v>
      </c>
      <c r="AA85" s="302"/>
      <c r="AB85" s="302"/>
    </row>
    <row r="86" spans="1:32" ht="14.25" hidden="1" customHeight="1" x14ac:dyDescent="0.25">
      <c r="A86" s="26">
        <v>4</v>
      </c>
      <c r="B86" s="302" t="str">
        <f>IF(Inventory!$C$18&lt;&gt;"",CONCATENATE("iSCSI - Node ",A86),"")</f>
        <v/>
      </c>
      <c r="C86" s="302"/>
      <c r="D86" s="302"/>
      <c r="E86" s="302" t="str">
        <f t="shared" si="5"/>
        <v xml:space="preserve"> </v>
      </c>
      <c r="F86" s="302"/>
      <c r="G86" s="302"/>
      <c r="H86" s="302"/>
      <c r="I86" s="302"/>
      <c r="J86" s="288"/>
      <c r="K86" s="289"/>
      <c r="L86" s="290"/>
      <c r="M86" s="288" t="str">
        <f t="shared" si="6"/>
        <v xml:space="preserve"> </v>
      </c>
      <c r="N86" s="289"/>
      <c r="O86" s="289"/>
      <c r="P86" s="290"/>
      <c r="Q86" s="302" t="str">
        <f>IF(B86&lt;&gt;"",Inventory!$C$16,"")</f>
        <v/>
      </c>
      <c r="R86" s="302"/>
      <c r="S86" s="302"/>
      <c r="T86" s="302" t="str">
        <f>IF(AND(E86&lt;&gt;"",F80&lt;&gt;0,F79&lt;&gt;0,F78&lt;&gt;0),IF(F80&lt;&gt;"Yes",F79,CONCATENATE(F79,"-",F78)),"")</f>
        <v/>
      </c>
      <c r="U86" s="302"/>
      <c r="V86" s="302"/>
      <c r="W86" s="302" t="str">
        <f>IF(E86&lt;&gt;"",CONCATENATE("d",J81),"")</f>
        <v>d</v>
      </c>
      <c r="X86" s="302"/>
      <c r="Y86" s="302"/>
      <c r="Z86" s="302" t="str">
        <f t="shared" si="4"/>
        <v>0.0.0.0/0</v>
      </c>
      <c r="AA86" s="302"/>
      <c r="AB86" s="302"/>
    </row>
    <row r="87" spans="1:32" ht="14.25" hidden="1" customHeight="1" x14ac:dyDescent="0.25">
      <c r="A87" s="26">
        <v>5</v>
      </c>
      <c r="B87" s="302" t="str">
        <f>IF(Inventory!$C$19&lt;&gt;"",CONCATENATE("iSCSI - Node ",A87),"")</f>
        <v/>
      </c>
      <c r="C87" s="302"/>
      <c r="D87" s="302"/>
      <c r="E87" s="302" t="str">
        <f t="shared" si="5"/>
        <v xml:space="preserve"> </v>
      </c>
      <c r="F87" s="302"/>
      <c r="G87" s="302"/>
      <c r="H87" s="302"/>
      <c r="I87" s="302"/>
      <c r="J87" s="288"/>
      <c r="K87" s="289"/>
      <c r="L87" s="290"/>
      <c r="M87" s="288" t="str">
        <f t="shared" si="6"/>
        <v xml:space="preserve"> </v>
      </c>
      <c r="N87" s="289"/>
      <c r="O87" s="289"/>
      <c r="P87" s="290"/>
      <c r="Q87" s="302" t="str">
        <f>IF(B87&lt;&gt;"",Inventory!$C$16,"")</f>
        <v/>
      </c>
      <c r="R87" s="302"/>
      <c r="S87" s="302"/>
      <c r="T87" s="302" t="str">
        <f>IF(AND(E87&lt;&gt;"",F80&lt;&gt;0,F79&lt;&gt;0,F78&lt;&gt;0),IF(F80&lt;&gt;"Yes",F79,CONCATENATE(F79,"-",F78)),"")</f>
        <v/>
      </c>
      <c r="U87" s="302"/>
      <c r="V87" s="302"/>
      <c r="W87" s="302" t="str">
        <f>IF(E87&lt;&gt;"",CONCATENATE("d",J81),"")</f>
        <v>d</v>
      </c>
      <c r="X87" s="302"/>
      <c r="Y87" s="302"/>
      <c r="Z87" s="302" t="str">
        <f t="shared" si="4"/>
        <v>0.0.0.0/0</v>
      </c>
      <c r="AA87" s="302"/>
      <c r="AB87" s="302"/>
    </row>
    <row r="88" spans="1:32" ht="14.25" hidden="1" customHeight="1" x14ac:dyDescent="0.25">
      <c r="A88" s="26">
        <v>6</v>
      </c>
      <c r="B88" s="302" t="str">
        <f>IF(Inventory!$C$20&lt;&gt;"",CONCATENATE("iSCSI - Node ",A88),"")</f>
        <v/>
      </c>
      <c r="C88" s="302"/>
      <c r="D88" s="302"/>
      <c r="E88" s="302" t="str">
        <f t="shared" si="5"/>
        <v xml:space="preserve"> </v>
      </c>
      <c r="F88" s="302"/>
      <c r="G88" s="302"/>
      <c r="H88" s="302"/>
      <c r="I88" s="302"/>
      <c r="J88" s="288"/>
      <c r="K88" s="289"/>
      <c r="L88" s="290"/>
      <c r="M88" s="288" t="str">
        <f t="shared" si="6"/>
        <v xml:space="preserve"> </v>
      </c>
      <c r="N88" s="289"/>
      <c r="O88" s="289"/>
      <c r="P88" s="290"/>
      <c r="Q88" s="302" t="str">
        <f>IF(B88&lt;&gt;"",Inventory!$C$16,"")</f>
        <v/>
      </c>
      <c r="R88" s="302"/>
      <c r="S88" s="302"/>
      <c r="T88" s="302" t="str">
        <f>IF(AND(E88&lt;&gt;"",F80&lt;&gt;0,F79&lt;&gt;0,F78&lt;&gt;0),IF(F80&lt;&gt;"Yes",F79,CONCATENATE(F79,"-",F78)),"")</f>
        <v/>
      </c>
      <c r="U88" s="302"/>
      <c r="V88" s="302"/>
      <c r="W88" s="302" t="str">
        <f>IF(E88&lt;&gt;"",CONCATENATE("d",J81),"")</f>
        <v>d</v>
      </c>
      <c r="X88" s="302"/>
      <c r="Y88" s="302"/>
      <c r="Z88" s="302" t="str">
        <f t="shared" si="4"/>
        <v>0.0.0.0/0</v>
      </c>
      <c r="AA88" s="302"/>
      <c r="AB88" s="302"/>
    </row>
    <row r="89" spans="1:32" ht="14.25" hidden="1" customHeight="1" x14ac:dyDescent="0.25">
      <c r="A89" s="26">
        <v>7</v>
      </c>
      <c r="B89" s="302" t="str">
        <f>IF(Inventory!$C$21&lt;&gt;"",CONCATENATE("iSCSI - Node ",A89),"")</f>
        <v/>
      </c>
      <c r="C89" s="302"/>
      <c r="D89" s="302"/>
      <c r="E89" s="302" t="str">
        <f t="shared" si="5"/>
        <v xml:space="preserve"> </v>
      </c>
      <c r="F89" s="302"/>
      <c r="G89" s="302"/>
      <c r="H89" s="302"/>
      <c r="I89" s="302"/>
      <c r="J89" s="288"/>
      <c r="K89" s="289"/>
      <c r="L89" s="290"/>
      <c r="M89" s="288" t="str">
        <f t="shared" si="6"/>
        <v xml:space="preserve"> </v>
      </c>
      <c r="N89" s="289"/>
      <c r="O89" s="289"/>
      <c r="P89" s="290"/>
      <c r="Q89" s="302" t="str">
        <f>IF(B89&lt;&gt;"",Inventory!$C$16,"")</f>
        <v/>
      </c>
      <c r="R89" s="302"/>
      <c r="S89" s="302"/>
      <c r="T89" s="302" t="str">
        <f>IF(AND(E89&lt;&gt;"",F80&lt;&gt;0,F79&lt;&gt;0,F78&lt;&gt;0),IF(F80&lt;&gt;"Yes",F79,CONCATENATE(F79,"-",F78)),"")</f>
        <v/>
      </c>
      <c r="U89" s="302"/>
      <c r="V89" s="302"/>
      <c r="W89" s="302" t="str">
        <f>IF(E89&lt;&gt;"",CONCATENATE("d",J81),"")</f>
        <v>d</v>
      </c>
      <c r="X89" s="302"/>
      <c r="Y89" s="302"/>
      <c r="Z89" s="302" t="str">
        <f t="shared" si="4"/>
        <v>0.0.0.0/0</v>
      </c>
      <c r="AA89" s="302"/>
      <c r="AB89" s="302"/>
    </row>
    <row r="90" spans="1:32" ht="14.25" hidden="1" customHeight="1" x14ac:dyDescent="0.25">
      <c r="A90" s="26">
        <v>8</v>
      </c>
      <c r="B90" s="302" t="str">
        <f>IF(Inventory!$C$22&lt;&gt;"",CONCATENATE("iSCSI - Node ",A90),"")</f>
        <v/>
      </c>
      <c r="C90" s="302"/>
      <c r="D90" s="302"/>
      <c r="E90" s="302" t="str">
        <f t="shared" si="5"/>
        <v xml:space="preserve"> </v>
      </c>
      <c r="F90" s="302"/>
      <c r="G90" s="302"/>
      <c r="H90" s="302"/>
      <c r="I90" s="302"/>
      <c r="J90" s="288"/>
      <c r="K90" s="289"/>
      <c r="L90" s="290"/>
      <c r="M90" s="288" t="str">
        <f t="shared" si="6"/>
        <v xml:space="preserve"> </v>
      </c>
      <c r="N90" s="289"/>
      <c r="O90" s="289"/>
      <c r="P90" s="290"/>
      <c r="Q90" s="302" t="str">
        <f>IF(B90&lt;&gt;"",Inventory!$C$16,"")</f>
        <v/>
      </c>
      <c r="R90" s="302"/>
      <c r="S90" s="302"/>
      <c r="T90" s="302" t="str">
        <f>IF(AND(E90&lt;&gt;"",F80&lt;&gt;0,F79&lt;&gt;0,F78&lt;&gt;0),IF(F80&lt;&gt;"Yes",F79,CONCATENATE(F79,"-",F78)),"")</f>
        <v/>
      </c>
      <c r="U90" s="302"/>
      <c r="V90" s="302"/>
      <c r="W90" s="302" t="str">
        <f>IF(E90&lt;&gt;"",CONCATENATE("d",J81),"")</f>
        <v>d</v>
      </c>
      <c r="X90" s="302"/>
      <c r="Y90" s="302"/>
      <c r="Z90" s="302" t="str">
        <f t="shared" si="4"/>
        <v>0.0.0.0/0</v>
      </c>
      <c r="AA90" s="302"/>
      <c r="AB90" s="302"/>
    </row>
    <row r="91" spans="1:32" ht="14.25" hidden="1" customHeight="1" x14ac:dyDescent="0.25">
      <c r="AB91" s="36" t="s">
        <v>143</v>
      </c>
    </row>
    <row r="92" spans="1:32" ht="14.25" hidden="1" customHeight="1" x14ac:dyDescent="0.25">
      <c r="B92" s="4" t="s">
        <v>476</v>
      </c>
    </row>
    <row r="93" spans="1:32" ht="6" hidden="1" customHeight="1" x14ac:dyDescent="0.25">
      <c r="B93" s="4"/>
      <c r="G93" s="6"/>
    </row>
    <row r="94" spans="1:32" ht="14.25" hidden="1" customHeight="1" thickBot="1" x14ac:dyDescent="0.3">
      <c r="B94" s="311" t="s">
        <v>475</v>
      </c>
      <c r="C94" s="311"/>
      <c r="D94" s="311"/>
      <c r="E94" s="311"/>
      <c r="F94" s="311"/>
      <c r="G94" s="312" t="s">
        <v>362</v>
      </c>
      <c r="H94" s="313"/>
      <c r="I94" s="311" t="s">
        <v>93</v>
      </c>
      <c r="J94" s="311"/>
      <c r="K94" s="311"/>
      <c r="L94" s="311"/>
      <c r="M94" s="173" t="s">
        <v>43</v>
      </c>
      <c r="N94" s="311" t="s">
        <v>71</v>
      </c>
      <c r="O94" s="311"/>
      <c r="P94" s="311"/>
      <c r="Q94" s="311" t="s">
        <v>46</v>
      </c>
      <c r="R94" s="311"/>
      <c r="S94" s="311"/>
      <c r="T94" s="311" t="s">
        <v>477</v>
      </c>
      <c r="U94" s="311"/>
      <c r="V94" s="311"/>
      <c r="W94" s="311" t="s">
        <v>95</v>
      </c>
      <c r="X94" s="311"/>
      <c r="Y94" s="311"/>
      <c r="Z94" s="311" t="s">
        <v>96</v>
      </c>
      <c r="AA94" s="311"/>
      <c r="AB94" s="311"/>
      <c r="AC94" s="312" t="s">
        <v>1269</v>
      </c>
      <c r="AD94" s="321"/>
      <c r="AE94" s="313"/>
      <c r="AF94" s="258" t="s">
        <v>473</v>
      </c>
    </row>
    <row r="95" spans="1:32" ht="14.25" hidden="1" customHeight="1" x14ac:dyDescent="0.25">
      <c r="B95" s="298"/>
      <c r="C95" s="299"/>
      <c r="D95" s="299"/>
      <c r="E95" s="299"/>
      <c r="F95" s="300"/>
      <c r="G95" s="295"/>
      <c r="H95" s="296"/>
      <c r="I95" s="298"/>
      <c r="J95" s="299"/>
      <c r="K95" s="299"/>
      <c r="L95" s="300"/>
      <c r="M95" s="171"/>
      <c r="N95" s="298"/>
      <c r="O95" s="299"/>
      <c r="P95" s="300"/>
      <c r="Q95" s="298"/>
      <c r="R95" s="299"/>
      <c r="S95" s="300"/>
      <c r="T95" s="298"/>
      <c r="U95" s="299"/>
      <c r="V95" s="300"/>
      <c r="W95" s="298"/>
      <c r="X95" s="299"/>
      <c r="Y95" s="300"/>
      <c r="Z95" s="298"/>
      <c r="AA95" s="299"/>
      <c r="AB95" s="300"/>
      <c r="AC95" s="302"/>
      <c r="AD95" s="302"/>
      <c r="AE95" s="302"/>
      <c r="AF95" s="255" t="e">
        <f>IF($F$46&lt;&gt;0,IF(VLOOKUP($F$46,'Site Info'!$G$34:$V$69,8,FALSE)&lt;&gt;0,VLOOKUP($F$46,'Site Info'!$G$34:$V$69,11,FALSE),""),"")</f>
        <v>#N/A</v>
      </c>
    </row>
    <row r="96" spans="1:32" ht="14.25" hidden="1" customHeight="1" x14ac:dyDescent="0.25">
      <c r="B96" s="298"/>
      <c r="C96" s="299"/>
      <c r="D96" s="299"/>
      <c r="E96" s="299"/>
      <c r="F96" s="300"/>
      <c r="G96" s="288"/>
      <c r="H96" s="289"/>
      <c r="I96" s="298"/>
      <c r="J96" s="299"/>
      <c r="K96" s="299"/>
      <c r="L96" s="300"/>
      <c r="M96" s="171"/>
      <c r="N96" s="298"/>
      <c r="O96" s="299"/>
      <c r="P96" s="300"/>
      <c r="Q96" s="298"/>
      <c r="R96" s="299"/>
      <c r="S96" s="300"/>
      <c r="T96" s="298"/>
      <c r="U96" s="299"/>
      <c r="V96" s="300"/>
      <c r="W96" s="298"/>
      <c r="X96" s="299"/>
      <c r="Y96" s="300"/>
      <c r="Z96" s="298"/>
      <c r="AA96" s="299"/>
      <c r="AB96" s="300"/>
      <c r="AC96" s="302"/>
      <c r="AD96" s="302"/>
      <c r="AE96" s="302"/>
      <c r="AF96" s="255" t="e">
        <f>IF($F$46&lt;&gt;0,IF(VLOOKUP($F$46,'Site Info'!$G$34:$V$69,8,FALSE)&lt;&gt;0,VLOOKUP($F$46,'Site Info'!$G$34:$V$69,11,FALSE),""),"")</f>
        <v>#N/A</v>
      </c>
    </row>
    <row r="97" spans="2:35" ht="14.25" hidden="1" customHeight="1" x14ac:dyDescent="0.25">
      <c r="B97" s="298"/>
      <c r="C97" s="299"/>
      <c r="D97" s="299"/>
      <c r="E97" s="299"/>
      <c r="F97" s="300"/>
      <c r="G97" s="288"/>
      <c r="H97" s="289"/>
      <c r="I97" s="298"/>
      <c r="J97" s="299"/>
      <c r="K97" s="299"/>
      <c r="L97" s="300"/>
      <c r="M97" s="171"/>
      <c r="N97" s="298"/>
      <c r="O97" s="299"/>
      <c r="P97" s="300"/>
      <c r="Q97" s="298"/>
      <c r="R97" s="299"/>
      <c r="S97" s="300"/>
      <c r="T97" s="298"/>
      <c r="U97" s="299"/>
      <c r="V97" s="300"/>
      <c r="W97" s="298"/>
      <c r="X97" s="299"/>
      <c r="Y97" s="300"/>
      <c r="Z97" s="298"/>
      <c r="AA97" s="299"/>
      <c r="AB97" s="300"/>
      <c r="AC97" s="302"/>
      <c r="AD97" s="302"/>
      <c r="AE97" s="302"/>
      <c r="AF97" s="255" t="e">
        <f>IF($F$46&lt;&gt;0,IF(VLOOKUP($F$46,'Site Info'!$G$34:$V$69,8,FALSE)&lt;&gt;0,VLOOKUP($F$46,'Site Info'!$G$34:$V$69,11,FALSE),""),"")</f>
        <v>#N/A</v>
      </c>
    </row>
    <row r="98" spans="2:35" ht="14.25" hidden="1" customHeight="1" x14ac:dyDescent="0.25">
      <c r="B98" s="298"/>
      <c r="C98" s="299"/>
      <c r="D98" s="299"/>
      <c r="E98" s="299"/>
      <c r="F98" s="300"/>
      <c r="G98" s="288"/>
      <c r="H98" s="289"/>
      <c r="I98" s="298"/>
      <c r="J98" s="299"/>
      <c r="K98" s="299"/>
      <c r="L98" s="300"/>
      <c r="M98" s="171"/>
      <c r="N98" s="298"/>
      <c r="O98" s="299"/>
      <c r="P98" s="300"/>
      <c r="Q98" s="298"/>
      <c r="R98" s="299"/>
      <c r="S98" s="300"/>
      <c r="T98" s="298"/>
      <c r="U98" s="299"/>
      <c r="V98" s="300"/>
      <c r="W98" s="298"/>
      <c r="X98" s="299"/>
      <c r="Y98" s="300"/>
      <c r="Z98" s="298"/>
      <c r="AA98" s="299"/>
      <c r="AB98" s="300"/>
      <c r="AC98" s="302"/>
      <c r="AD98" s="302"/>
      <c r="AE98" s="302"/>
      <c r="AF98" s="254" t="e">
        <f>IF($F$46&lt;&gt;0,IF(VLOOKUP($F$46,'Site Info'!$G$34:$V$69,8,FALSE)&lt;&gt;0,VLOOKUP($F$46,'Site Info'!$G$34:$V$69,11,FALSE),""),"")</f>
        <v>#N/A</v>
      </c>
    </row>
    <row r="99" spans="2:35" ht="14.25" hidden="1" customHeight="1" x14ac:dyDescent="0.25">
      <c r="AB99" s="36"/>
      <c r="AI99" s="260"/>
    </row>
    <row r="100" spans="2:35" ht="14.25" hidden="1" customHeight="1" x14ac:dyDescent="0.25">
      <c r="B100" s="183" t="s">
        <v>934</v>
      </c>
      <c r="C100" s="183"/>
      <c r="D100" s="183"/>
      <c r="E100" s="183"/>
      <c r="F100" s="183"/>
      <c r="G100" s="184"/>
      <c r="H100" s="184"/>
      <c r="I100" s="184"/>
      <c r="J100" s="184"/>
      <c r="K100" s="184"/>
      <c r="L100" s="184"/>
      <c r="M100" s="184"/>
      <c r="N100" s="184"/>
      <c r="O100" s="184"/>
      <c r="P100" s="184"/>
      <c r="Q100" s="184"/>
      <c r="R100" s="184"/>
      <c r="S100" s="184"/>
      <c r="AB100" s="36"/>
      <c r="AI100" s="255" t="e">
        <f>IF($F$46&lt;&gt;0,IF(VLOOKUP($F$46,'Site Info'!$G$34:$V$69,8,FALSE)&lt;&gt;0,VLOOKUP($F$46,'Site Info'!$G$34:$V$69,11,FALSE),""),"")</f>
        <v>#N/A</v>
      </c>
    </row>
    <row r="101" spans="2:35" ht="14.25" hidden="1" customHeight="1" x14ac:dyDescent="0.25">
      <c r="B101" s="184"/>
      <c r="C101" s="184"/>
      <c r="D101" s="184"/>
      <c r="E101" s="184"/>
      <c r="F101" s="184"/>
      <c r="G101" s="184"/>
      <c r="H101" s="184"/>
      <c r="I101" s="184"/>
      <c r="J101" s="184"/>
      <c r="K101" s="184"/>
      <c r="L101" s="184"/>
      <c r="M101" s="184"/>
      <c r="N101" s="184"/>
      <c r="O101" s="184"/>
      <c r="P101" s="184"/>
      <c r="Q101" s="184"/>
      <c r="R101" s="184"/>
      <c r="S101" s="184"/>
      <c r="AB101" s="36"/>
      <c r="AI101" s="255" t="e">
        <f>IF($F$46&lt;&gt;0,IF(VLOOKUP($F$46,'Site Info'!$G$34:$V$69,8,FALSE)&lt;&gt;0,VLOOKUP($F$46,'Site Info'!$G$34:$V$69,11,FALSE),""),"")</f>
        <v>#N/A</v>
      </c>
    </row>
    <row r="102" spans="2:35" ht="14.25" hidden="1" customHeight="1" thickBot="1" x14ac:dyDescent="0.3">
      <c r="B102" s="385" t="s">
        <v>92</v>
      </c>
      <c r="C102" s="386"/>
      <c r="D102" s="387"/>
      <c r="E102" s="388" t="s">
        <v>935</v>
      </c>
      <c r="F102" s="386"/>
      <c r="G102" s="386"/>
      <c r="H102" s="386"/>
      <c r="I102" s="387"/>
      <c r="J102" s="388" t="s">
        <v>936</v>
      </c>
      <c r="K102" s="386"/>
      <c r="L102" s="387"/>
      <c r="M102" s="388" t="s">
        <v>937</v>
      </c>
      <c r="N102" s="386"/>
      <c r="O102" s="386"/>
      <c r="P102" s="387"/>
      <c r="Q102" s="388" t="s">
        <v>938</v>
      </c>
      <c r="R102" s="386"/>
      <c r="S102" s="387"/>
      <c r="AB102" s="36"/>
      <c r="AI102" s="255" t="e">
        <f>IF($F$46&lt;&gt;0,IF(VLOOKUP($F$46,'Site Info'!$G$34:$V$69,8,FALSE)&lt;&gt;0,VLOOKUP($F$46,'Site Info'!$G$34:$V$69,11,FALSE),""),"")</f>
        <v>#N/A</v>
      </c>
    </row>
    <row r="103" spans="2:35" ht="14.25" hidden="1" customHeight="1" x14ac:dyDescent="0.25">
      <c r="B103" s="389" t="s">
        <v>939</v>
      </c>
      <c r="C103" s="390"/>
      <c r="D103" s="391"/>
      <c r="E103" s="392" t="str">
        <f>IF(B103&lt;&gt;"",CONCATENATE(K9,"-f01-",Q103)," ")</f>
        <v>shpsan-nfs-01-f01-3a</v>
      </c>
      <c r="F103" s="390"/>
      <c r="G103" s="390"/>
      <c r="H103" s="390"/>
      <c r="I103" s="391"/>
      <c r="J103" s="392" t="s">
        <v>940</v>
      </c>
      <c r="K103" s="390"/>
      <c r="L103" s="391"/>
      <c r="M103" s="392" t="str">
        <f>IF(B103&lt;&gt;"",Inventory!$C$15,"")</f>
        <v>shpsan-01</v>
      </c>
      <c r="N103" s="390"/>
      <c r="O103" s="390"/>
      <c r="P103" s="391"/>
      <c r="Q103" s="392" t="s">
        <v>941</v>
      </c>
      <c r="R103" s="390"/>
      <c r="S103" s="391"/>
      <c r="AB103" s="36"/>
    </row>
    <row r="104" spans="2:35" ht="14.25" hidden="1" customHeight="1" x14ac:dyDescent="0.25">
      <c r="B104" s="393" t="s">
        <v>939</v>
      </c>
      <c r="C104" s="394"/>
      <c r="D104" s="395"/>
      <c r="E104" s="396" t="str">
        <f>IF(B104&lt;&gt;"",CONCATENATE(K9,"-f01-",Q104)," ")</f>
        <v>shpsan-nfs-01-f01-4a</v>
      </c>
      <c r="F104" s="394"/>
      <c r="G104" s="394"/>
      <c r="H104" s="394"/>
      <c r="I104" s="395"/>
      <c r="J104" s="396" t="s">
        <v>942</v>
      </c>
      <c r="K104" s="394"/>
      <c r="L104" s="395"/>
      <c r="M104" s="396" t="str">
        <f>IF(B104&lt;&gt;"",Inventory!$C$15,"")</f>
        <v>shpsan-01</v>
      </c>
      <c r="N104" s="394"/>
      <c r="O104" s="394"/>
      <c r="P104" s="395"/>
      <c r="Q104" s="396" t="s">
        <v>943</v>
      </c>
      <c r="R104" s="394"/>
      <c r="S104" s="395"/>
      <c r="AB104" s="36"/>
    </row>
    <row r="105" spans="2:35" ht="14.25" hidden="1" customHeight="1" x14ac:dyDescent="0.25">
      <c r="B105" s="393" t="s">
        <v>944</v>
      </c>
      <c r="C105" s="394"/>
      <c r="D105" s="395"/>
      <c r="E105" s="396" t="str">
        <f>IF(B105&lt;&gt;"",CONCATENATE(K9,"-f02-",Q105)," ")</f>
        <v>shpsan-nfs-01-f02-3a</v>
      </c>
      <c r="F105" s="394"/>
      <c r="G105" s="394"/>
      <c r="H105" s="394"/>
      <c r="I105" s="395"/>
      <c r="J105" s="396" t="s">
        <v>945</v>
      </c>
      <c r="K105" s="394"/>
      <c r="L105" s="395"/>
      <c r="M105" s="396" t="str">
        <f>IF(B105&lt;&gt;"",Inventory!$C$16,"")</f>
        <v>shpsan-02</v>
      </c>
      <c r="N105" s="394"/>
      <c r="O105" s="394"/>
      <c r="P105" s="395"/>
      <c r="Q105" s="396" t="s">
        <v>941</v>
      </c>
      <c r="R105" s="394"/>
      <c r="S105" s="395"/>
      <c r="AB105" s="36"/>
    </row>
    <row r="106" spans="2:35" ht="14.25" hidden="1" customHeight="1" x14ac:dyDescent="0.25">
      <c r="B106" s="393" t="s">
        <v>944</v>
      </c>
      <c r="C106" s="394"/>
      <c r="D106" s="395"/>
      <c r="E106" s="396" t="str">
        <f>IF(B106&lt;&gt;"",CONCATENATE(K9,"-f02-",Q106)," ")</f>
        <v>shpsan-nfs-01-f02-4a</v>
      </c>
      <c r="F106" s="394"/>
      <c r="G106" s="394"/>
      <c r="H106" s="394"/>
      <c r="I106" s="395"/>
      <c r="J106" s="396" t="s">
        <v>946</v>
      </c>
      <c r="K106" s="394"/>
      <c r="L106" s="395"/>
      <c r="M106" s="396" t="str">
        <f>IF(B106&lt;&gt;"",Inventory!$C$16,"")</f>
        <v>shpsan-02</v>
      </c>
      <c r="N106" s="394"/>
      <c r="O106" s="394"/>
      <c r="P106" s="395"/>
      <c r="Q106" s="396" t="s">
        <v>943</v>
      </c>
      <c r="R106" s="394"/>
      <c r="S106" s="395"/>
      <c r="AB106" s="36"/>
    </row>
    <row r="107" spans="2:35" ht="14.25" hidden="1" customHeight="1" x14ac:dyDescent="0.25">
      <c r="AB107" s="36"/>
    </row>
    <row r="108" spans="2:35" ht="14.25" hidden="1" customHeight="1" x14ac:dyDescent="0.25">
      <c r="B108" s="4" t="s">
        <v>450</v>
      </c>
    </row>
    <row r="109" spans="2:35" ht="6" hidden="1" customHeight="1" x14ac:dyDescent="0.25">
      <c r="B109" s="4"/>
      <c r="G109" s="6"/>
    </row>
    <row r="110" spans="2:35" ht="14.25" hidden="1" customHeight="1" x14ac:dyDescent="0.25">
      <c r="B110" s="303" t="s">
        <v>451</v>
      </c>
      <c r="C110" s="303"/>
      <c r="D110" s="303"/>
      <c r="E110" s="303"/>
      <c r="F110" s="288"/>
      <c r="G110" s="289"/>
      <c r="H110" s="290"/>
      <c r="J110" s="303" t="s">
        <v>458</v>
      </c>
      <c r="K110" s="303"/>
      <c r="L110" s="303"/>
      <c r="M110" s="303"/>
      <c r="N110" s="288"/>
      <c r="O110" s="289"/>
      <c r="P110" s="290"/>
      <c r="Q110" s="288"/>
      <c r="R110" s="289"/>
      <c r="S110" s="290"/>
    </row>
    <row r="111" spans="2:35" ht="14.25" hidden="1" customHeight="1" x14ac:dyDescent="0.25">
      <c r="B111" s="303" t="s">
        <v>452</v>
      </c>
      <c r="C111" s="303"/>
      <c r="D111" s="303"/>
      <c r="E111" s="303"/>
      <c r="F111" s="288"/>
      <c r="G111" s="289"/>
      <c r="H111" s="290"/>
      <c r="J111" s="303" t="s">
        <v>454</v>
      </c>
      <c r="K111" s="303"/>
      <c r="L111" s="303"/>
      <c r="M111" s="303"/>
      <c r="N111" s="288"/>
      <c r="O111" s="289"/>
      <c r="P111" s="289"/>
      <c r="Q111" s="289"/>
      <c r="R111" s="290"/>
    </row>
    <row r="112" spans="2:35" ht="14.25" hidden="1" customHeight="1" x14ac:dyDescent="0.25">
      <c r="B112" s="303" t="s">
        <v>453</v>
      </c>
      <c r="C112" s="303"/>
      <c r="D112" s="303"/>
      <c r="E112" s="303"/>
      <c r="F112" s="288"/>
      <c r="G112" s="289"/>
      <c r="H112" s="290"/>
    </row>
    <row r="113" spans="2:19" ht="14.25" hidden="1" customHeight="1" x14ac:dyDescent="0.25"/>
    <row r="114" spans="2:19" ht="14.25" hidden="1" customHeight="1" x14ac:dyDescent="0.25">
      <c r="B114" s="4" t="s">
        <v>474</v>
      </c>
    </row>
    <row r="115" spans="2:19" ht="6" hidden="1" customHeight="1" x14ac:dyDescent="0.25">
      <c r="B115" s="4"/>
      <c r="G115" s="6"/>
    </row>
    <row r="116" spans="2:19" ht="14.25" hidden="1" customHeight="1" x14ac:dyDescent="0.25">
      <c r="B116" s="303" t="s">
        <v>600</v>
      </c>
      <c r="C116" s="303"/>
      <c r="D116" s="303"/>
      <c r="E116" s="303"/>
      <c r="F116" s="288"/>
      <c r="G116" s="289"/>
      <c r="H116" s="289"/>
      <c r="I116" s="289"/>
      <c r="J116" s="290"/>
      <c r="K116" s="303" t="s">
        <v>602</v>
      </c>
      <c r="L116" s="303"/>
      <c r="M116" s="303"/>
      <c r="N116" s="303"/>
      <c r="O116" s="288"/>
      <c r="P116" s="289"/>
      <c r="Q116" s="289"/>
      <c r="R116" s="289"/>
      <c r="S116" s="290"/>
    </row>
    <row r="117" spans="2:19" ht="14.25" hidden="1" customHeight="1" x14ac:dyDescent="0.25">
      <c r="B117" s="303" t="s">
        <v>601</v>
      </c>
      <c r="C117" s="303"/>
      <c r="D117" s="303"/>
      <c r="E117" s="303"/>
      <c r="F117" s="288"/>
      <c r="G117" s="289"/>
      <c r="H117" s="289"/>
      <c r="I117" s="289"/>
      <c r="J117" s="290"/>
      <c r="K117" s="303" t="s">
        <v>603</v>
      </c>
      <c r="L117" s="303"/>
      <c r="M117" s="303"/>
      <c r="N117" s="303"/>
      <c r="O117" s="288"/>
      <c r="P117" s="289"/>
      <c r="Q117" s="289"/>
      <c r="R117" s="289"/>
      <c r="S117" s="290"/>
    </row>
    <row r="118" spans="2:19" ht="14.25" hidden="1" customHeight="1" x14ac:dyDescent="0.25"/>
    <row r="119" spans="2:19" ht="14.25" hidden="1" customHeight="1" x14ac:dyDescent="0.25">
      <c r="B119" s="4" t="s">
        <v>455</v>
      </c>
    </row>
    <row r="120" spans="2:19" ht="6" hidden="1" customHeight="1" x14ac:dyDescent="0.25">
      <c r="B120" s="4"/>
      <c r="G120" s="6"/>
    </row>
    <row r="121" spans="2:19" ht="14.25" hidden="1" customHeight="1" x14ac:dyDescent="0.25">
      <c r="B121" s="303" t="s">
        <v>456</v>
      </c>
      <c r="C121" s="303"/>
      <c r="D121" s="303"/>
      <c r="E121" s="303"/>
      <c r="F121" s="288"/>
      <c r="G121" s="289"/>
      <c r="H121" s="289"/>
      <c r="I121" s="289"/>
      <c r="J121" s="290"/>
    </row>
    <row r="122" spans="2:19" ht="14.25" hidden="1" customHeight="1" x14ac:dyDescent="0.25">
      <c r="B122" s="303" t="s">
        <v>457</v>
      </c>
      <c r="C122" s="303"/>
      <c r="D122" s="303"/>
      <c r="E122" s="303"/>
      <c r="F122" s="288"/>
      <c r="G122" s="289"/>
      <c r="H122" s="290"/>
      <c r="I122" s="288"/>
      <c r="J122" s="289"/>
      <c r="K122" s="290"/>
    </row>
    <row r="123" spans="2:19" ht="14.25" customHeight="1" x14ac:dyDescent="0.25"/>
    <row r="124" spans="2:19" ht="14.25" customHeight="1" x14ac:dyDescent="0.25"/>
    <row r="125" spans="2:19" ht="14.25" customHeight="1" x14ac:dyDescent="0.25"/>
    <row r="126" spans="2:19" ht="14.25" customHeight="1" x14ac:dyDescent="0.25"/>
    <row r="127" spans="2:19" ht="14.25" customHeight="1" x14ac:dyDescent="0.25"/>
    <row r="128" spans="2:19"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sheetData>
  <mergeCells count="455">
    <mergeCell ref="R5:AE5"/>
    <mergeCell ref="B8:E8"/>
    <mergeCell ref="G8:J8"/>
    <mergeCell ref="K8:O8"/>
    <mergeCell ref="B9:E9"/>
    <mergeCell ref="G9:J9"/>
    <mergeCell ref="K9:O9"/>
    <mergeCell ref="W16:Y16"/>
    <mergeCell ref="B105:D105"/>
    <mergeCell ref="E105:I105"/>
    <mergeCell ref="J105:L105"/>
    <mergeCell ref="M105:P105"/>
    <mergeCell ref="Q105:S105"/>
    <mergeCell ref="N20:Q20"/>
    <mergeCell ref="B21:E21"/>
    <mergeCell ref="G21:J21"/>
    <mergeCell ref="K21:M21"/>
    <mergeCell ref="B22:E22"/>
    <mergeCell ref="J23:L23"/>
    <mergeCell ref="B31:E31"/>
    <mergeCell ref="G31:J31"/>
    <mergeCell ref="K31:O31"/>
    <mergeCell ref="J33:L33"/>
    <mergeCell ref="B34:D34"/>
    <mergeCell ref="W25:Y25"/>
    <mergeCell ref="B24:D24"/>
    <mergeCell ref="E24:I24"/>
    <mergeCell ref="J24:L24"/>
    <mergeCell ref="M24:P24"/>
    <mergeCell ref="Q24:S24"/>
    <mergeCell ref="T24:V24"/>
    <mergeCell ref="B11:E11"/>
    <mergeCell ref="F11:I11"/>
    <mergeCell ref="S11:AB11"/>
    <mergeCell ref="B12:E12"/>
    <mergeCell ref="F12:H12"/>
    <mergeCell ref="I12:K12"/>
    <mergeCell ref="L12:N12"/>
    <mergeCell ref="W24:Y24"/>
    <mergeCell ref="B29:E29"/>
    <mergeCell ref="G29:J29"/>
    <mergeCell ref="K29:M29"/>
    <mergeCell ref="N29:Q29"/>
    <mergeCell ref="B30:E30"/>
    <mergeCell ref="G30:J30"/>
    <mergeCell ref="K30:M30"/>
    <mergeCell ref="Q34:S34"/>
    <mergeCell ref="B14:E14"/>
    <mergeCell ref="B16:E16"/>
    <mergeCell ref="F16:J16"/>
    <mergeCell ref="B20:E20"/>
    <mergeCell ref="G20:J20"/>
    <mergeCell ref="K20:M20"/>
    <mergeCell ref="S16:V16"/>
    <mergeCell ref="T34:V34"/>
    <mergeCell ref="B25:D25"/>
    <mergeCell ref="E25:I25"/>
    <mergeCell ref="J25:L25"/>
    <mergeCell ref="M25:P25"/>
    <mergeCell ref="Q25:S25"/>
    <mergeCell ref="T25:V25"/>
    <mergeCell ref="E34:I34"/>
    <mergeCell ref="W34:Y34"/>
    <mergeCell ref="Z34:AB34"/>
    <mergeCell ref="B35:D35"/>
    <mergeCell ref="E35:I35"/>
    <mergeCell ref="J35:L35"/>
    <mergeCell ref="M35:P35"/>
    <mergeCell ref="Q35:S35"/>
    <mergeCell ref="T35:V35"/>
    <mergeCell ref="W35:Y35"/>
    <mergeCell ref="Z35:AB35"/>
    <mergeCell ref="J34:L34"/>
    <mergeCell ref="M34:P34"/>
    <mergeCell ref="B36:D36"/>
    <mergeCell ref="E36:I36"/>
    <mergeCell ref="J36:L36"/>
    <mergeCell ref="M36:P36"/>
    <mergeCell ref="Q36:S36"/>
    <mergeCell ref="T36:V36"/>
    <mergeCell ref="W36:Y36"/>
    <mergeCell ref="Z36:AB36"/>
    <mergeCell ref="W37:Y37"/>
    <mergeCell ref="Z37:AB37"/>
    <mergeCell ref="B38:D38"/>
    <mergeCell ref="E38:I38"/>
    <mergeCell ref="J38:L38"/>
    <mergeCell ref="M38:P38"/>
    <mergeCell ref="Q38:S38"/>
    <mergeCell ref="T38:V38"/>
    <mergeCell ref="W38:Y38"/>
    <mergeCell ref="Z38:AB38"/>
    <mergeCell ref="B37:D37"/>
    <mergeCell ref="E37:I37"/>
    <mergeCell ref="J37:L37"/>
    <mergeCell ref="M37:P37"/>
    <mergeCell ref="Q37:S37"/>
    <mergeCell ref="T37:V37"/>
    <mergeCell ref="W39:Y39"/>
    <mergeCell ref="Z39:AB39"/>
    <mergeCell ref="B40:D40"/>
    <mergeCell ref="E40:I40"/>
    <mergeCell ref="J40:L40"/>
    <mergeCell ref="M40:P40"/>
    <mergeCell ref="Q40:S40"/>
    <mergeCell ref="T40:V40"/>
    <mergeCell ref="W40:Y40"/>
    <mergeCell ref="Z40:AB40"/>
    <mergeCell ref="B39:D39"/>
    <mergeCell ref="E39:I39"/>
    <mergeCell ref="J39:L39"/>
    <mergeCell ref="M39:P39"/>
    <mergeCell ref="Q39:S39"/>
    <mergeCell ref="T39:V39"/>
    <mergeCell ref="W41:Y41"/>
    <mergeCell ref="Z41:AB41"/>
    <mergeCell ref="B42:D42"/>
    <mergeCell ref="E42:I42"/>
    <mergeCell ref="J42:L42"/>
    <mergeCell ref="M42:P42"/>
    <mergeCell ref="Q42:S42"/>
    <mergeCell ref="T42:V42"/>
    <mergeCell ref="W42:Y42"/>
    <mergeCell ref="Z42:AB42"/>
    <mergeCell ref="B41:D41"/>
    <mergeCell ref="E41:I41"/>
    <mergeCell ref="J41:L41"/>
    <mergeCell ref="M41:P41"/>
    <mergeCell ref="Q41:S41"/>
    <mergeCell ref="T41:V41"/>
    <mergeCell ref="B48:E48"/>
    <mergeCell ref="G48:J48"/>
    <mergeCell ref="K48:O48"/>
    <mergeCell ref="J49:L49"/>
    <mergeCell ref="B50:D50"/>
    <mergeCell ref="E50:I50"/>
    <mergeCell ref="J50:L50"/>
    <mergeCell ref="M50:P50"/>
    <mergeCell ref="B46:E46"/>
    <mergeCell ref="G46:J46"/>
    <mergeCell ref="K46:M46"/>
    <mergeCell ref="N46:Q46"/>
    <mergeCell ref="B47:E47"/>
    <mergeCell ref="G47:J47"/>
    <mergeCell ref="K47:M47"/>
    <mergeCell ref="Q50:S50"/>
    <mergeCell ref="B52:D52"/>
    <mergeCell ref="E52:I52"/>
    <mergeCell ref="J52:L52"/>
    <mergeCell ref="M52:P52"/>
    <mergeCell ref="Q52:S52"/>
    <mergeCell ref="T52:V52"/>
    <mergeCell ref="W52:Y52"/>
    <mergeCell ref="W53:Y53"/>
    <mergeCell ref="T50:V50"/>
    <mergeCell ref="W50:Y50"/>
    <mergeCell ref="B51:D51"/>
    <mergeCell ref="E51:I51"/>
    <mergeCell ref="J51:L51"/>
    <mergeCell ref="M51:P51"/>
    <mergeCell ref="Q51:S51"/>
    <mergeCell ref="T51:V51"/>
    <mergeCell ref="W51:Y51"/>
    <mergeCell ref="B54:D54"/>
    <mergeCell ref="E54:I54"/>
    <mergeCell ref="J54:L54"/>
    <mergeCell ref="M54:P54"/>
    <mergeCell ref="Q54:S54"/>
    <mergeCell ref="T54:V54"/>
    <mergeCell ref="W54:Y54"/>
    <mergeCell ref="B53:D53"/>
    <mergeCell ref="E53:I53"/>
    <mergeCell ref="J53:L53"/>
    <mergeCell ref="M53:P53"/>
    <mergeCell ref="Q53:S53"/>
    <mergeCell ref="T53:V53"/>
    <mergeCell ref="W55:Y55"/>
    <mergeCell ref="B56:D56"/>
    <mergeCell ref="E56:I56"/>
    <mergeCell ref="J56:L56"/>
    <mergeCell ref="M56:P56"/>
    <mergeCell ref="Q56:S56"/>
    <mergeCell ref="T56:V56"/>
    <mergeCell ref="W56:Y56"/>
    <mergeCell ref="B55:D55"/>
    <mergeCell ref="E55:I55"/>
    <mergeCell ref="J55:L55"/>
    <mergeCell ref="M55:P55"/>
    <mergeCell ref="Q55:S55"/>
    <mergeCell ref="T55:V55"/>
    <mergeCell ref="W57:Y57"/>
    <mergeCell ref="B58:D58"/>
    <mergeCell ref="E58:I58"/>
    <mergeCell ref="J58:L58"/>
    <mergeCell ref="M58:P58"/>
    <mergeCell ref="Q58:S58"/>
    <mergeCell ref="T58:V58"/>
    <mergeCell ref="W58:Y58"/>
    <mergeCell ref="B57:D57"/>
    <mergeCell ref="E57:I57"/>
    <mergeCell ref="J57:L57"/>
    <mergeCell ref="M57:P57"/>
    <mergeCell ref="Q57:S57"/>
    <mergeCell ref="T57:V57"/>
    <mergeCell ref="B64:E64"/>
    <mergeCell ref="J65:L65"/>
    <mergeCell ref="B66:D66"/>
    <mergeCell ref="E66:I66"/>
    <mergeCell ref="J66:L66"/>
    <mergeCell ref="M66:P66"/>
    <mergeCell ref="B62:E62"/>
    <mergeCell ref="G62:J62"/>
    <mergeCell ref="K62:M62"/>
    <mergeCell ref="N62:Q62"/>
    <mergeCell ref="B63:E63"/>
    <mergeCell ref="G63:J63"/>
    <mergeCell ref="K63:M63"/>
    <mergeCell ref="Q66:S66"/>
    <mergeCell ref="T66:V66"/>
    <mergeCell ref="W66:Y66"/>
    <mergeCell ref="Z66:AB66"/>
    <mergeCell ref="B67:D67"/>
    <mergeCell ref="E67:I67"/>
    <mergeCell ref="J67:L67"/>
    <mergeCell ref="M67:P67"/>
    <mergeCell ref="Q67:S67"/>
    <mergeCell ref="T67:V67"/>
    <mergeCell ref="W67:Y67"/>
    <mergeCell ref="Z67:AB67"/>
    <mergeCell ref="B68:D68"/>
    <mergeCell ref="E68:I68"/>
    <mergeCell ref="J68:L68"/>
    <mergeCell ref="M68:P68"/>
    <mergeCell ref="Q68:S68"/>
    <mergeCell ref="T68:V68"/>
    <mergeCell ref="W68:Y68"/>
    <mergeCell ref="Z68:AB68"/>
    <mergeCell ref="W69:Y69"/>
    <mergeCell ref="Z69:AB69"/>
    <mergeCell ref="B70:D70"/>
    <mergeCell ref="E70:I70"/>
    <mergeCell ref="J70:L70"/>
    <mergeCell ref="M70:P70"/>
    <mergeCell ref="Q70:S70"/>
    <mergeCell ref="T70:V70"/>
    <mergeCell ref="W70:Y70"/>
    <mergeCell ref="Z70:AB70"/>
    <mergeCell ref="B69:D69"/>
    <mergeCell ref="E69:I69"/>
    <mergeCell ref="J69:L69"/>
    <mergeCell ref="M69:P69"/>
    <mergeCell ref="Q69:S69"/>
    <mergeCell ref="T69:V69"/>
    <mergeCell ref="W71:Y71"/>
    <mergeCell ref="Z71:AB71"/>
    <mergeCell ref="B72:D72"/>
    <mergeCell ref="E72:I72"/>
    <mergeCell ref="J72:L72"/>
    <mergeCell ref="M72:P72"/>
    <mergeCell ref="Q72:S72"/>
    <mergeCell ref="T72:V72"/>
    <mergeCell ref="W72:Y72"/>
    <mergeCell ref="Z72:AB72"/>
    <mergeCell ref="B71:D71"/>
    <mergeCell ref="E71:I71"/>
    <mergeCell ref="J71:L71"/>
    <mergeCell ref="M71:P71"/>
    <mergeCell ref="Q71:S71"/>
    <mergeCell ref="T71:V71"/>
    <mergeCell ref="W73:Y73"/>
    <mergeCell ref="Z73:AB73"/>
    <mergeCell ref="B74:D74"/>
    <mergeCell ref="E74:I74"/>
    <mergeCell ref="J74:L74"/>
    <mergeCell ref="M74:P74"/>
    <mergeCell ref="Q74:S74"/>
    <mergeCell ref="T74:V74"/>
    <mergeCell ref="W74:Y74"/>
    <mergeCell ref="Z74:AB74"/>
    <mergeCell ref="B73:D73"/>
    <mergeCell ref="E73:I73"/>
    <mergeCell ref="J73:L73"/>
    <mergeCell ref="M73:P73"/>
    <mergeCell ref="Q73:S73"/>
    <mergeCell ref="T73:V73"/>
    <mergeCell ref="B80:E80"/>
    <mergeCell ref="J81:L81"/>
    <mergeCell ref="B82:D82"/>
    <mergeCell ref="E82:I82"/>
    <mergeCell ref="J82:L82"/>
    <mergeCell ref="M82:P82"/>
    <mergeCell ref="B78:E78"/>
    <mergeCell ref="G78:J78"/>
    <mergeCell ref="K78:M78"/>
    <mergeCell ref="N78:Q78"/>
    <mergeCell ref="B79:E79"/>
    <mergeCell ref="G79:J79"/>
    <mergeCell ref="K79:M79"/>
    <mergeCell ref="Q82:S82"/>
    <mergeCell ref="T82:V82"/>
    <mergeCell ref="W82:Y82"/>
    <mergeCell ref="Z82:AB82"/>
    <mergeCell ref="B83:D83"/>
    <mergeCell ref="E83:I83"/>
    <mergeCell ref="J83:L83"/>
    <mergeCell ref="M83:P83"/>
    <mergeCell ref="Q83:S83"/>
    <mergeCell ref="T83:V83"/>
    <mergeCell ref="W83:Y83"/>
    <mergeCell ref="Z83:AB83"/>
    <mergeCell ref="B84:D84"/>
    <mergeCell ref="E84:I84"/>
    <mergeCell ref="J84:L84"/>
    <mergeCell ref="M84:P84"/>
    <mergeCell ref="Q84:S84"/>
    <mergeCell ref="T84:V84"/>
    <mergeCell ref="W84:Y84"/>
    <mergeCell ref="Z84:AB84"/>
    <mergeCell ref="W85:Y85"/>
    <mergeCell ref="Z85:AB85"/>
    <mergeCell ref="B86:D86"/>
    <mergeCell ref="E86:I86"/>
    <mergeCell ref="J86:L86"/>
    <mergeCell ref="M86:P86"/>
    <mergeCell ref="Q86:S86"/>
    <mergeCell ref="T86:V86"/>
    <mergeCell ref="W86:Y86"/>
    <mergeCell ref="Z86:AB86"/>
    <mergeCell ref="B85:D85"/>
    <mergeCell ref="E85:I85"/>
    <mergeCell ref="J85:L85"/>
    <mergeCell ref="M85:P85"/>
    <mergeCell ref="Q85:S85"/>
    <mergeCell ref="T85:V85"/>
    <mergeCell ref="W87:Y87"/>
    <mergeCell ref="Z87:AB87"/>
    <mergeCell ref="B88:D88"/>
    <mergeCell ref="E88:I88"/>
    <mergeCell ref="J88:L88"/>
    <mergeCell ref="M88:P88"/>
    <mergeCell ref="Q88:S88"/>
    <mergeCell ref="T88:V88"/>
    <mergeCell ref="W88:Y88"/>
    <mergeCell ref="Z88:AB88"/>
    <mergeCell ref="B87:D87"/>
    <mergeCell ref="E87:I87"/>
    <mergeCell ref="J87:L87"/>
    <mergeCell ref="M87:P87"/>
    <mergeCell ref="Q87:S87"/>
    <mergeCell ref="T87:V87"/>
    <mergeCell ref="W89:Y89"/>
    <mergeCell ref="Z89:AB89"/>
    <mergeCell ref="B90:D90"/>
    <mergeCell ref="E90:I90"/>
    <mergeCell ref="J90:L90"/>
    <mergeCell ref="M90:P90"/>
    <mergeCell ref="Q90:S90"/>
    <mergeCell ref="T90:V90"/>
    <mergeCell ref="W90:Y90"/>
    <mergeCell ref="Z90:AB90"/>
    <mergeCell ref="B89:D89"/>
    <mergeCell ref="E89:I89"/>
    <mergeCell ref="J89:L89"/>
    <mergeCell ref="M89:P89"/>
    <mergeCell ref="Q89:S89"/>
    <mergeCell ref="T89:V89"/>
    <mergeCell ref="N95:P95"/>
    <mergeCell ref="Q95:S95"/>
    <mergeCell ref="T95:V95"/>
    <mergeCell ref="B94:F94"/>
    <mergeCell ref="G94:H94"/>
    <mergeCell ref="I94:L94"/>
    <mergeCell ref="N94:P94"/>
    <mergeCell ref="Q94:S94"/>
    <mergeCell ref="T94:V94"/>
    <mergeCell ref="W94:Y94"/>
    <mergeCell ref="Z94:AB94"/>
    <mergeCell ref="AC94:AE94"/>
    <mergeCell ref="B97:F97"/>
    <mergeCell ref="G97:H97"/>
    <mergeCell ref="I97:L97"/>
    <mergeCell ref="N97:P97"/>
    <mergeCell ref="Q97:S97"/>
    <mergeCell ref="T97:V97"/>
    <mergeCell ref="B96:F96"/>
    <mergeCell ref="W95:Y95"/>
    <mergeCell ref="Z95:AB95"/>
    <mergeCell ref="AC95:AE95"/>
    <mergeCell ref="G96:H96"/>
    <mergeCell ref="I96:L96"/>
    <mergeCell ref="N96:P96"/>
    <mergeCell ref="Q96:S96"/>
    <mergeCell ref="T96:V96"/>
    <mergeCell ref="W96:Y96"/>
    <mergeCell ref="Z96:AB96"/>
    <mergeCell ref="AC96:AE96"/>
    <mergeCell ref="B95:F95"/>
    <mergeCell ref="G95:H95"/>
    <mergeCell ref="I95:L95"/>
    <mergeCell ref="B110:E110"/>
    <mergeCell ref="F110:H110"/>
    <mergeCell ref="J110:M110"/>
    <mergeCell ref="N110:P110"/>
    <mergeCell ref="Q110:S110"/>
    <mergeCell ref="W97:Y97"/>
    <mergeCell ref="Z97:AB97"/>
    <mergeCell ref="AC97:AE97"/>
    <mergeCell ref="B98:F98"/>
    <mergeCell ref="G98:H98"/>
    <mergeCell ref="I98:L98"/>
    <mergeCell ref="N98:P98"/>
    <mergeCell ref="Q98:S98"/>
    <mergeCell ref="T98:V98"/>
    <mergeCell ref="B106:D106"/>
    <mergeCell ref="E106:I106"/>
    <mergeCell ref="J106:L106"/>
    <mergeCell ref="M106:P106"/>
    <mergeCell ref="Q106:S106"/>
    <mergeCell ref="B111:E111"/>
    <mergeCell ref="F111:H111"/>
    <mergeCell ref="J111:M111"/>
    <mergeCell ref="N111:R111"/>
    <mergeCell ref="B112:E112"/>
    <mergeCell ref="F112:H112"/>
    <mergeCell ref="W98:Y98"/>
    <mergeCell ref="Z98:AB98"/>
    <mergeCell ref="AC98:AE98"/>
    <mergeCell ref="B102:D102"/>
    <mergeCell ref="E102:I102"/>
    <mergeCell ref="J102:L102"/>
    <mergeCell ref="M102:P102"/>
    <mergeCell ref="Q102:S102"/>
    <mergeCell ref="B103:D103"/>
    <mergeCell ref="E103:I103"/>
    <mergeCell ref="J103:L103"/>
    <mergeCell ref="M103:P103"/>
    <mergeCell ref="Q103:S103"/>
    <mergeCell ref="B104:D104"/>
    <mergeCell ref="E104:I104"/>
    <mergeCell ref="J104:L104"/>
    <mergeCell ref="M104:P104"/>
    <mergeCell ref="Q104:S104"/>
    <mergeCell ref="B121:E121"/>
    <mergeCell ref="F121:J121"/>
    <mergeCell ref="B122:E122"/>
    <mergeCell ref="F122:H122"/>
    <mergeCell ref="I122:K122"/>
    <mergeCell ref="B116:E116"/>
    <mergeCell ref="F116:J116"/>
    <mergeCell ref="K116:N116"/>
    <mergeCell ref="O116:S116"/>
    <mergeCell ref="B117:E117"/>
    <mergeCell ref="F117:J117"/>
    <mergeCell ref="K117:N117"/>
    <mergeCell ref="O117:S117"/>
  </mergeCells>
  <conditionalFormatting sqref="F22">
    <cfRule type="containsBlanks" dxfId="448" priority="85">
      <formula>LEN(TRIM(F22))=0</formula>
    </cfRule>
  </conditionalFormatting>
  <conditionalFormatting sqref="F31">
    <cfRule type="containsBlanks" dxfId="447" priority="84">
      <formula>LEN(TRIM(F31))=0</formula>
    </cfRule>
  </conditionalFormatting>
  <conditionalFormatting sqref="F48">
    <cfRule type="containsBlanks" dxfId="446" priority="83">
      <formula>LEN(TRIM(F48))=0</formula>
    </cfRule>
  </conditionalFormatting>
  <conditionalFormatting sqref="F47">
    <cfRule type="containsBlanks" dxfId="445" priority="79">
      <formula>LEN(TRIM(F47))=0</formula>
    </cfRule>
  </conditionalFormatting>
  <conditionalFormatting sqref="F30">
    <cfRule type="containsBlanks" dxfId="444" priority="78">
      <formula>LEN(TRIM(F30))=0</formula>
    </cfRule>
  </conditionalFormatting>
  <conditionalFormatting sqref="F21">
    <cfRule type="containsBlanks" dxfId="443" priority="77">
      <formula>LEN(TRIM(F21))=0</formula>
    </cfRule>
  </conditionalFormatting>
  <conditionalFormatting sqref="G14">
    <cfRule type="containsBlanks" dxfId="442" priority="68">
      <formula>LEN(TRIM(G14))=0</formula>
    </cfRule>
  </conditionalFormatting>
  <conditionalFormatting sqref="I14">
    <cfRule type="containsBlanks" dxfId="441" priority="67">
      <formula>LEN(TRIM(I14))=0</formula>
    </cfRule>
  </conditionalFormatting>
  <conditionalFormatting sqref="K14">
    <cfRule type="containsBlanks" dxfId="440" priority="66">
      <formula>LEN(TRIM(K14))=0</formula>
    </cfRule>
  </conditionalFormatting>
  <conditionalFormatting sqref="J51:J58">
    <cfRule type="containsBlanks" dxfId="439" priority="73">
      <formula>LEN(TRIM(J51))=0</formula>
    </cfRule>
  </conditionalFormatting>
  <conditionalFormatting sqref="J35:J42">
    <cfRule type="containsBlanks" dxfId="438" priority="72">
      <formula>LEN(TRIM(J35))=0</formula>
    </cfRule>
  </conditionalFormatting>
  <conditionalFormatting sqref="J25">
    <cfRule type="containsBlanks" dxfId="437" priority="71">
      <formula>LEN(TRIM(J25))=0</formula>
    </cfRule>
  </conditionalFormatting>
  <conditionalFormatting sqref="K48">
    <cfRule type="containsBlanks" dxfId="436" priority="70">
      <formula>LEN(TRIM(K48))=0</formula>
    </cfRule>
  </conditionalFormatting>
  <conditionalFormatting sqref="K31">
    <cfRule type="containsBlanks" dxfId="435" priority="69">
      <formula>LEN(TRIM(K31))=0</formula>
    </cfRule>
  </conditionalFormatting>
  <conditionalFormatting sqref="M14">
    <cfRule type="containsBlanks" dxfId="434" priority="65">
      <formula>LEN(TRIM(M14))=0</formula>
    </cfRule>
  </conditionalFormatting>
  <conditionalFormatting sqref="O116">
    <cfRule type="containsBlanks" dxfId="433" priority="64">
      <formula>LEN(TRIM(O116))=0</formula>
    </cfRule>
  </conditionalFormatting>
  <conditionalFormatting sqref="F117">
    <cfRule type="containsBlanks" dxfId="432" priority="63">
      <formula>LEN(TRIM(F117))=0</formula>
    </cfRule>
  </conditionalFormatting>
  <conditionalFormatting sqref="F116">
    <cfRule type="containsBlanks" dxfId="431" priority="62">
      <formula>LEN(TRIM(F116))=0</formula>
    </cfRule>
  </conditionalFormatting>
  <conditionalFormatting sqref="O117">
    <cfRule type="containsBlanks" dxfId="430" priority="61">
      <formula>LEN(TRIM(O117))=0</formula>
    </cfRule>
  </conditionalFormatting>
  <conditionalFormatting sqref="F121 F110:H112 F122:K122 Q110 N110:N111">
    <cfRule type="containsBlanks" dxfId="429" priority="60">
      <formula>LEN(TRIM(F110))=0</formula>
    </cfRule>
  </conditionalFormatting>
  <conditionalFormatting sqref="B95">
    <cfRule type="containsBlanks" dxfId="428" priority="59">
      <formula>LEN(TRIM(B95))=0</formula>
    </cfRule>
  </conditionalFormatting>
  <conditionalFormatting sqref="I95">
    <cfRule type="containsBlanks" dxfId="427" priority="58">
      <formula>LEN(TRIM(I95))=0</formula>
    </cfRule>
  </conditionalFormatting>
  <conditionalFormatting sqref="W95">
    <cfRule type="containsBlanks" dxfId="426" priority="57">
      <formula>LEN(TRIM(W95))=0</formula>
    </cfRule>
  </conditionalFormatting>
  <conditionalFormatting sqref="Z95">
    <cfRule type="containsBlanks" dxfId="425" priority="56">
      <formula>LEN(TRIM(Z95))=0</formula>
    </cfRule>
  </conditionalFormatting>
  <conditionalFormatting sqref="G95">
    <cfRule type="containsBlanks" dxfId="424" priority="55">
      <formula>LEN(TRIM(G95))=0</formula>
    </cfRule>
  </conditionalFormatting>
  <conditionalFormatting sqref="N95">
    <cfRule type="containsBlanks" dxfId="423" priority="54">
      <formula>LEN(TRIM(N95))=0</formula>
    </cfRule>
  </conditionalFormatting>
  <conditionalFormatting sqref="Q95">
    <cfRule type="containsBlanks" dxfId="422" priority="53">
      <formula>LEN(TRIM(Q95))=0</formula>
    </cfRule>
  </conditionalFormatting>
  <conditionalFormatting sqref="T95">
    <cfRule type="containsBlanks" dxfId="421" priority="52">
      <formula>LEN(TRIM(T95))=0</formula>
    </cfRule>
  </conditionalFormatting>
  <conditionalFormatting sqref="B96">
    <cfRule type="containsBlanks" dxfId="420" priority="49">
      <formula>LEN(TRIM(B96))=0</formula>
    </cfRule>
  </conditionalFormatting>
  <conditionalFormatting sqref="I96">
    <cfRule type="containsBlanks" dxfId="419" priority="48">
      <formula>LEN(TRIM(I96))=0</formula>
    </cfRule>
  </conditionalFormatting>
  <conditionalFormatting sqref="W96">
    <cfRule type="containsBlanks" dxfId="418" priority="47">
      <formula>LEN(TRIM(W96))=0</formula>
    </cfRule>
  </conditionalFormatting>
  <conditionalFormatting sqref="Z96">
    <cfRule type="containsBlanks" dxfId="417" priority="46">
      <formula>LEN(TRIM(Z96))=0</formula>
    </cfRule>
  </conditionalFormatting>
  <conditionalFormatting sqref="G96">
    <cfRule type="containsBlanks" dxfId="416" priority="45">
      <formula>LEN(TRIM(G96))=0</formula>
    </cfRule>
  </conditionalFormatting>
  <conditionalFormatting sqref="N96">
    <cfRule type="containsBlanks" dxfId="415" priority="44">
      <formula>LEN(TRIM(N96))=0</formula>
    </cfRule>
  </conditionalFormatting>
  <conditionalFormatting sqref="Q96">
    <cfRule type="containsBlanks" dxfId="414" priority="43">
      <formula>LEN(TRIM(Q96))=0</formula>
    </cfRule>
  </conditionalFormatting>
  <conditionalFormatting sqref="T96">
    <cfRule type="containsBlanks" dxfId="413" priority="42">
      <formula>LEN(TRIM(T96))=0</formula>
    </cfRule>
  </conditionalFormatting>
  <conditionalFormatting sqref="B97">
    <cfRule type="containsBlanks" dxfId="412" priority="39">
      <formula>LEN(TRIM(B97))=0</formula>
    </cfRule>
  </conditionalFormatting>
  <conditionalFormatting sqref="I97">
    <cfRule type="containsBlanks" dxfId="411" priority="38">
      <formula>LEN(TRIM(I97))=0</formula>
    </cfRule>
  </conditionalFormatting>
  <conditionalFormatting sqref="W97">
    <cfRule type="containsBlanks" dxfId="410" priority="37">
      <formula>LEN(TRIM(W97))=0</formula>
    </cfRule>
  </conditionalFormatting>
  <conditionalFormatting sqref="Z97">
    <cfRule type="containsBlanks" dxfId="409" priority="36">
      <formula>LEN(TRIM(Z97))=0</formula>
    </cfRule>
  </conditionalFormatting>
  <conditionalFormatting sqref="G97">
    <cfRule type="containsBlanks" dxfId="408" priority="35">
      <formula>LEN(TRIM(G97))=0</formula>
    </cfRule>
  </conditionalFormatting>
  <conditionalFormatting sqref="N97">
    <cfRule type="containsBlanks" dxfId="407" priority="34">
      <formula>LEN(TRIM(N97))=0</formula>
    </cfRule>
  </conditionalFormatting>
  <conditionalFormatting sqref="Q97">
    <cfRule type="containsBlanks" dxfId="406" priority="33">
      <formula>LEN(TRIM(Q97))=0</formula>
    </cfRule>
  </conditionalFormatting>
  <conditionalFormatting sqref="T97">
    <cfRule type="containsBlanks" dxfId="405" priority="32">
      <formula>LEN(TRIM(T97))=0</formula>
    </cfRule>
  </conditionalFormatting>
  <conditionalFormatting sqref="B98">
    <cfRule type="containsBlanks" dxfId="404" priority="29">
      <formula>LEN(TRIM(B98))=0</formula>
    </cfRule>
  </conditionalFormatting>
  <conditionalFormatting sqref="I98">
    <cfRule type="containsBlanks" dxfId="403" priority="28">
      <formula>LEN(TRIM(I98))=0</formula>
    </cfRule>
  </conditionalFormatting>
  <conditionalFormatting sqref="W98">
    <cfRule type="containsBlanks" dxfId="402" priority="27">
      <formula>LEN(TRIM(W98))=0</formula>
    </cfRule>
  </conditionalFormatting>
  <conditionalFormatting sqref="Z98">
    <cfRule type="containsBlanks" dxfId="401" priority="26">
      <formula>LEN(TRIM(Z98))=0</formula>
    </cfRule>
  </conditionalFormatting>
  <conditionalFormatting sqref="G98">
    <cfRule type="containsBlanks" dxfId="400" priority="25">
      <formula>LEN(TRIM(G98))=0</formula>
    </cfRule>
  </conditionalFormatting>
  <conditionalFormatting sqref="N98">
    <cfRule type="containsBlanks" dxfId="399" priority="24">
      <formula>LEN(TRIM(N98))=0</formula>
    </cfRule>
  </conditionalFormatting>
  <conditionalFormatting sqref="Q98">
    <cfRule type="containsBlanks" dxfId="398" priority="23">
      <formula>LEN(TRIM(Q98))=0</formula>
    </cfRule>
  </conditionalFormatting>
  <conditionalFormatting sqref="T98">
    <cfRule type="containsBlanks" dxfId="397" priority="22">
      <formula>LEN(TRIM(T98))=0</formula>
    </cfRule>
  </conditionalFormatting>
  <conditionalFormatting sqref="F16:J16 F9">
    <cfRule type="containsBlanks" dxfId="396" priority="19">
      <formula>LEN(TRIM(F9))=0</formula>
    </cfRule>
  </conditionalFormatting>
  <conditionalFormatting sqref="F20">
    <cfRule type="containsBlanks" dxfId="395" priority="18">
      <formula>LEN(TRIM(F20))=0</formula>
    </cfRule>
  </conditionalFormatting>
  <conditionalFormatting sqref="F29">
    <cfRule type="containsBlanks" dxfId="394" priority="17">
      <formula>LEN(TRIM(F29))=0</formula>
    </cfRule>
  </conditionalFormatting>
  <conditionalFormatting sqref="F46">
    <cfRule type="containsBlanks" dxfId="393" priority="16">
      <formula>LEN(TRIM(F46))=0</formula>
    </cfRule>
  </conditionalFormatting>
  <conditionalFormatting sqref="J67:J74">
    <cfRule type="containsBlanks" dxfId="392" priority="7">
      <formula>LEN(TRIM(J67))=0</formula>
    </cfRule>
  </conditionalFormatting>
  <conditionalFormatting sqref="F62">
    <cfRule type="containsBlanks" dxfId="391" priority="6">
      <formula>LEN(TRIM(F62))=0</formula>
    </cfRule>
  </conditionalFormatting>
  <conditionalFormatting sqref="M95:M98">
    <cfRule type="containsBlanks" dxfId="390" priority="13">
      <formula>LEN(TRIM(M95))=0</formula>
    </cfRule>
  </conditionalFormatting>
  <conditionalFormatting sqref="F64">
    <cfRule type="containsBlanks" dxfId="389" priority="12">
      <formula>LEN(TRIM(F64))=0</formula>
    </cfRule>
  </conditionalFormatting>
  <conditionalFormatting sqref="F79:F80">
    <cfRule type="containsBlanks" dxfId="388" priority="11">
      <formula>LEN(TRIM(F79))=0</formula>
    </cfRule>
  </conditionalFormatting>
  <conditionalFormatting sqref="F63">
    <cfRule type="containsBlanks" dxfId="387" priority="10">
      <formula>LEN(TRIM(F63))=0</formula>
    </cfRule>
  </conditionalFormatting>
  <conditionalFormatting sqref="J87:J90">
    <cfRule type="containsBlanks" dxfId="386" priority="9">
      <formula>LEN(TRIM(J87))=0</formula>
    </cfRule>
  </conditionalFormatting>
  <conditionalFormatting sqref="J83:J86">
    <cfRule type="containsBlanks" dxfId="385" priority="8">
      <formula>LEN(TRIM(J83))=0</formula>
    </cfRule>
  </conditionalFormatting>
  <conditionalFormatting sqref="F78">
    <cfRule type="containsBlanks" dxfId="384" priority="5">
      <formula>LEN(TRIM(F78))=0</formula>
    </cfRule>
  </conditionalFormatting>
  <conditionalFormatting sqref="W16:Y16">
    <cfRule type="containsBlanks" dxfId="383" priority="4">
      <formula>LEN(TRIM(W16))=0</formula>
    </cfRule>
  </conditionalFormatting>
  <conditionalFormatting sqref="W25">
    <cfRule type="containsBlanks" dxfId="382" priority="3">
      <formula>LEN(TRIM(W25))=0</formula>
    </cfRule>
  </conditionalFormatting>
  <conditionalFormatting sqref="W51:W58">
    <cfRule type="containsBlanks" dxfId="381" priority="2">
      <formula>LEN(TRIM(W51))=0</formula>
    </cfRule>
  </conditionalFormatting>
  <conditionalFormatting sqref="AC95:AC98">
    <cfRule type="containsBlanks" dxfId="380" priority="1">
      <formula>LEN(TRIM(AC95))=0</formula>
    </cfRule>
  </conditionalFormatting>
  <dataValidations count="3">
    <dataValidation type="list" allowBlank="1" sqref="F20 F29 F46 M95:M98 F62 F78" xr:uid="{00000000-0002-0000-0700-000000000000}">
      <formula1>VLANList</formula1>
    </dataValidation>
    <dataValidation type="list" allowBlank="1" sqref="F30 F63" xr:uid="{00000000-0002-0000-0700-000001000000}">
      <formula1>$C$17:$C$22</formula1>
    </dataValidation>
    <dataValidation type="list" allowBlank="1" showInputMessage="1" showErrorMessage="1" sqref="W51:Y58 AC95:AE98" xr:uid="{00000000-0002-0000-0700-000002000000}">
      <formula1>$B$109:$B$118</formula1>
    </dataValidation>
  </dataValidations>
  <printOptions gridLines="1"/>
  <pageMargins left="0.75" right="0.25" top="0.25" bottom="0.75" header="0.3" footer="0.3"/>
  <pageSetup paperSize="3" scale="94" fitToHeight="0" orientation="landscape" r:id="rId1"/>
  <headerFooter>
    <oddFooter>&amp;R&amp;A
&amp;P</oddFooter>
  </headerFooter>
  <drawing r:id="rId2"/>
  <legacyDrawing r:id="rId3"/>
  <extLst>
    <ext xmlns:x14="http://schemas.microsoft.com/office/spreadsheetml/2009/9/main" uri="{CCE6A557-97BC-4b89-ADB6-D9C93CAAB3DF}">
      <x14:dataValidations xmlns:xm="http://schemas.microsoft.com/office/excel/2006/main" count="8">
        <x14:dataValidation type="list" allowBlank="1" xr:uid="{00000000-0002-0000-0700-000004000000}">
          <x14:formula1>
            <xm:f>Dropdowns!$B$3:$B$4</xm:f>
          </x14:formula1>
          <xm:sqref>F22 F48 F31 M14 G14 I14 K14 F64 F80</xm:sqref>
        </x14:dataValidation>
        <x14:dataValidation type="list" allowBlank="1" xr:uid="{00000000-0002-0000-0700-000005000000}">
          <x14:formula1>
            <xm:f>'c-Cluster'!$C$21:$C$26</xm:f>
          </x14:formula1>
          <xm:sqref>F79</xm:sqref>
        </x14:dataValidation>
        <x14:dataValidation type="list" allowBlank="1" xr:uid="{00000000-0002-0000-0700-000006000000}">
          <x14:formula1>
            <xm:f>Dropdowns!$I$5:$I$6</xm:f>
          </x14:formula1>
          <xm:sqref>G95:G98</xm:sqref>
        </x14:dataValidation>
        <x14:dataValidation type="list" allowBlank="1" showInputMessage="1" showErrorMessage="1" xr:uid="{00000000-0002-0000-0700-000007000000}">
          <x14:formula1>
            <xm:f>'c-Cluster'!$E$71:$E$75</xm:f>
          </x14:formula1>
          <xm:sqref>F16:J16</xm:sqref>
        </x14:dataValidation>
        <x14:dataValidation type="list" allowBlank="1" showInputMessage="1" showErrorMessage="1" xr:uid="{00000000-0002-0000-0700-000008000000}">
          <x14:formula1>
            <xm:f>'c-Cluster'!$B$83:$B$86</xm:f>
          </x14:formula1>
          <xm:sqref>W16:Y16</xm:sqref>
        </x14:dataValidation>
        <x14:dataValidation type="list" allowBlank="1" showInputMessage="1" showErrorMessage="1" xr:uid="{00000000-0002-0000-0700-000009000000}">
          <x14:formula1>
            <xm:f>'c-Cluster'!$B$104:$B$113</xm:f>
          </x14:formula1>
          <xm:sqref>W25:Y25</xm:sqref>
        </x14:dataValidation>
        <x14:dataValidation type="list" allowBlank="1" xr:uid="{00000000-0002-0000-0700-00000A000000}">
          <x14:formula1>
            <xm:f>'c-Cluster'!$C21:C25</xm:f>
          </x14:formula1>
          <xm:sqref>F21</xm:sqref>
        </x14:dataValidation>
        <x14:dataValidation type="list" allowBlank="1" xr:uid="{00000000-0002-0000-0700-00000B000000}">
          <x14:formula1>
            <xm:f>'c-Cluster'!$C21:C25</xm:f>
          </x14:formula1>
          <xm:sqref>F47</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pageSetUpPr fitToPage="1"/>
  </sheetPr>
  <dimension ref="A2:AH173"/>
  <sheetViews>
    <sheetView workbookViewId="0">
      <pane ySplit="4" topLeftCell="A5" activePane="bottomLeft" state="frozenSplit"/>
      <selection activeCell="N65" sqref="N65:P65"/>
      <selection pane="bottomLeft" activeCell="AC105" sqref="AC105"/>
    </sheetView>
  </sheetViews>
  <sheetFormatPr defaultColWidth="7.140625" defaultRowHeight="10.5" x14ac:dyDescent="0.25"/>
  <cols>
    <col min="1" max="1" width="1.42578125" style="35" customWidth="1"/>
    <col min="2" max="31" width="7.140625" style="35" customWidth="1"/>
    <col min="32" max="16384" width="7.140625" style="35"/>
  </cols>
  <sheetData>
    <row r="2" spans="1:31" ht="30.75" customHeight="1" x14ac:dyDescent="0.25">
      <c r="A2" s="2" t="s">
        <v>1</v>
      </c>
      <c r="B2"/>
      <c r="V2" s="1" t="s">
        <v>1114</v>
      </c>
    </row>
    <row r="3" spans="1:31" ht="9" customHeight="1" x14ac:dyDescent="0.25"/>
    <row r="4" spans="1:31" ht="9" customHeight="1" x14ac:dyDescent="0.25"/>
    <row r="5" spans="1:31" ht="15" x14ac:dyDescent="0.25">
      <c r="A5" s="5"/>
      <c r="R5" s="350" t="str">
        <f>IF('Site Info'!$C$8=Dropdowns!$R$4,"",IF('Site Info'!$C$8=Dropdowns!$R$7,"",IF('Site Info'!$C$8=Dropdowns!$R$8,"","THIS TAB IS NOT APPLICABLE FOR THIS SOLUTION, HIDE THIS TAB")))</f>
        <v/>
      </c>
      <c r="S5" s="350"/>
      <c r="T5" s="350"/>
      <c r="U5" s="350"/>
      <c r="V5" s="350"/>
      <c r="W5" s="350"/>
      <c r="X5" s="350"/>
      <c r="Y5" s="350"/>
      <c r="Z5" s="350"/>
      <c r="AA5" s="350"/>
      <c r="AB5" s="350"/>
      <c r="AC5" s="350"/>
      <c r="AD5" s="350"/>
      <c r="AE5" s="350"/>
    </row>
    <row r="6" spans="1:31" ht="14.25" customHeight="1" x14ac:dyDescent="0.25">
      <c r="B6" s="4" t="str">
        <f>CONCATENATE("SVM #",F9," - General Information")</f>
        <v>SVM #01 - General Information</v>
      </c>
      <c r="AB6" s="76" t="s">
        <v>986</v>
      </c>
    </row>
    <row r="7" spans="1:31" ht="6" customHeight="1" x14ac:dyDescent="0.25">
      <c r="B7" s="4"/>
      <c r="G7" s="6"/>
    </row>
    <row r="8" spans="1:31" ht="14.25" customHeight="1" x14ac:dyDescent="0.25">
      <c r="B8" s="303"/>
      <c r="C8" s="303"/>
      <c r="D8" s="303"/>
      <c r="E8" s="303"/>
      <c r="F8" s="176"/>
      <c r="G8" s="303" t="s">
        <v>985</v>
      </c>
      <c r="H8" s="303"/>
      <c r="I8" s="303"/>
      <c r="J8" s="303"/>
      <c r="K8" s="288" t="s">
        <v>913</v>
      </c>
      <c r="L8" s="289"/>
      <c r="M8" s="289"/>
      <c r="N8" s="289"/>
      <c r="O8" s="290"/>
    </row>
    <row r="9" spans="1:31" ht="14.25" customHeight="1" x14ac:dyDescent="0.25">
      <c r="B9" s="303" t="s">
        <v>976</v>
      </c>
      <c r="C9" s="303"/>
      <c r="D9" s="303"/>
      <c r="E9" s="303"/>
      <c r="F9" s="40" t="s">
        <v>1325</v>
      </c>
      <c r="G9" s="303" t="s">
        <v>975</v>
      </c>
      <c r="H9" s="303"/>
      <c r="I9" s="303"/>
      <c r="J9" s="303"/>
      <c r="K9" s="288" t="str">
        <f>IF(Inventory!$F$10="Clustered OnTap",CONCATENATE(Inventory!$G$12,"-",$K$8,"-",$F$9),"")</f>
        <v>shpsan-block-01</v>
      </c>
      <c r="L9" s="289"/>
      <c r="M9" s="289"/>
      <c r="N9" s="289"/>
      <c r="O9" s="290"/>
    </row>
    <row r="10" spans="1:31" ht="6" customHeight="1" thickBot="1" x14ac:dyDescent="0.3"/>
    <row r="11" spans="1:31" ht="14.25" customHeight="1" x14ac:dyDescent="0.25">
      <c r="B11" s="303" t="s">
        <v>987</v>
      </c>
      <c r="C11" s="303"/>
      <c r="D11" s="303"/>
      <c r="E11" s="303"/>
      <c r="F11" s="288" t="str">
        <f>IF('Site Info'!$F$25&lt;&gt;0,'Site Info'!$F$25,"")</f>
        <v>speedcast.com</v>
      </c>
      <c r="G11" s="289"/>
      <c r="H11" s="289"/>
      <c r="I11" s="290"/>
      <c r="S11" s="382" t="s">
        <v>483</v>
      </c>
      <c r="T11" s="383"/>
      <c r="U11" s="383"/>
      <c r="V11" s="383"/>
      <c r="W11" s="383"/>
      <c r="X11" s="383"/>
      <c r="Y11" s="383"/>
      <c r="Z11" s="383"/>
      <c r="AA11" s="383"/>
      <c r="AB11" s="384"/>
    </row>
    <row r="12" spans="1:31" ht="14.25" customHeight="1" x14ac:dyDescent="0.25">
      <c r="B12" s="303" t="s">
        <v>988</v>
      </c>
      <c r="C12" s="303"/>
      <c r="D12" s="303"/>
      <c r="E12" s="303"/>
      <c r="F12" s="288" t="s">
        <v>1366</v>
      </c>
      <c r="G12" s="289"/>
      <c r="H12" s="290"/>
      <c r="I12" s="288" t="str">
        <f>IF('Site Info'!$I$26&lt;&gt;0,'Site Info'!$I$26,"")</f>
        <v>175.176.252.8</v>
      </c>
      <c r="J12" s="289"/>
      <c r="K12" s="290"/>
      <c r="L12" s="288" t="str">
        <f>IF('Site Info'!$L$26&lt;&gt;0,'Site Info'!$L$26,"")</f>
        <v/>
      </c>
      <c r="M12" s="289"/>
      <c r="N12" s="290"/>
      <c r="O12" s="35" t="s">
        <v>1367</v>
      </c>
      <c r="S12" s="87"/>
      <c r="T12" s="171" t="str">
        <f>IF(G14="Yes",COUNTA(E35:I42)-COUNTIF(E35:I42," "),"0")</f>
        <v>0</v>
      </c>
      <c r="U12" s="83" t="s">
        <v>358</v>
      </c>
      <c r="V12" s="171">
        <f>IF(I14="Yes",COUNTA(E51:I58)-COUNTIF(E51:I58," "),0)</f>
        <v>0</v>
      </c>
      <c r="W12" s="83" t="s">
        <v>359</v>
      </c>
      <c r="X12" s="171">
        <f>IF(M14="Yes",(COUNTA(E67:I74)-COUNTIF(E67:I74," "))+(COUNTA(E83:I90)-COUNTIF(E83:I90," ")),0)</f>
        <v>0</v>
      </c>
      <c r="Y12" s="83" t="s">
        <v>175</v>
      </c>
      <c r="Z12" s="171">
        <v>1</v>
      </c>
      <c r="AA12" s="83" t="s">
        <v>990</v>
      </c>
      <c r="AB12" s="88"/>
    </row>
    <row r="13" spans="1:31" ht="14.25" customHeight="1" thickBot="1" x14ac:dyDescent="0.3">
      <c r="F13" s="35" t="s">
        <v>1369</v>
      </c>
      <c r="O13" s="35" t="s">
        <v>1368</v>
      </c>
      <c r="S13" s="89"/>
      <c r="T13" s="79"/>
      <c r="U13" s="79"/>
      <c r="V13" s="79"/>
      <c r="W13" s="79"/>
      <c r="X13" s="79"/>
      <c r="Y13" s="79"/>
      <c r="Z13" s="79"/>
      <c r="AA13" s="79"/>
      <c r="AB13" s="90"/>
    </row>
    <row r="14" spans="1:31" ht="14.25" customHeight="1" x14ac:dyDescent="0.25">
      <c r="B14" s="303" t="s">
        <v>445</v>
      </c>
      <c r="C14" s="303"/>
      <c r="D14" s="303"/>
      <c r="E14" s="303"/>
      <c r="F14" s="172" t="s">
        <v>446</v>
      </c>
      <c r="G14" s="171" t="s">
        <v>17</v>
      </c>
      <c r="H14" s="172" t="s">
        <v>447</v>
      </c>
      <c r="I14" s="171" t="s">
        <v>17</v>
      </c>
      <c r="J14" s="172" t="s">
        <v>448</v>
      </c>
      <c r="K14" s="171" t="s">
        <v>16</v>
      </c>
      <c r="L14" s="172" t="s">
        <v>449</v>
      </c>
      <c r="M14" s="171" t="s">
        <v>17</v>
      </c>
      <c r="V14" s="35">
        <v>77048</v>
      </c>
    </row>
    <row r="15" spans="1:31" ht="6" customHeight="1" x14ac:dyDescent="0.25">
      <c r="B15" s="4"/>
      <c r="G15" s="6"/>
    </row>
    <row r="16" spans="1:31" ht="14.25" customHeight="1" x14ac:dyDescent="0.25">
      <c r="B16" s="303" t="s">
        <v>977</v>
      </c>
      <c r="C16" s="303"/>
      <c r="D16" s="303"/>
      <c r="E16" s="303"/>
      <c r="F16" s="288" t="s">
        <v>1406</v>
      </c>
      <c r="G16" s="289"/>
      <c r="H16" s="289"/>
      <c r="I16" s="289"/>
      <c r="J16" s="290"/>
      <c r="T16" s="303" t="s">
        <v>1284</v>
      </c>
      <c r="U16" s="303"/>
      <c r="V16" s="303"/>
      <c r="W16" s="303"/>
      <c r="X16" s="288" t="s">
        <v>1274</v>
      </c>
      <c r="Y16" s="289"/>
      <c r="Z16" s="290"/>
    </row>
    <row r="17" spans="1:28" ht="14.25" customHeight="1" x14ac:dyDescent="0.25"/>
    <row r="18" spans="1:28" ht="14.25" customHeight="1" x14ac:dyDescent="0.25">
      <c r="B18" s="4" t="s">
        <v>984</v>
      </c>
      <c r="F18" s="35" t="s">
        <v>1371</v>
      </c>
      <c r="Q18" s="35" t="s">
        <v>1370</v>
      </c>
      <c r="T18" s="397" t="s">
        <v>947</v>
      </c>
      <c r="U18" s="397"/>
      <c r="V18" s="397"/>
      <c r="W18" s="360" t="str">
        <f>IF(M14="Yes",CONCATENATE("iqn.1992-08.com.netapp:",K9)," ")</f>
        <v xml:space="preserve"> </v>
      </c>
      <c r="X18" s="361"/>
      <c r="Y18" s="361"/>
      <c r="Z18" s="361"/>
      <c r="AA18" s="361"/>
      <c r="AB18" s="362"/>
    </row>
    <row r="19" spans="1:28" ht="14.25" x14ac:dyDescent="0.25">
      <c r="B19" s="4"/>
      <c r="F19" s="35" t="s">
        <v>1372</v>
      </c>
      <c r="G19" s="6"/>
      <c r="Q19" s="35" t="s">
        <v>1373</v>
      </c>
    </row>
    <row r="20" spans="1:28" ht="14.25" customHeight="1" x14ac:dyDescent="0.25">
      <c r="B20" s="303" t="s">
        <v>982</v>
      </c>
      <c r="C20" s="303"/>
      <c r="D20" s="303"/>
      <c r="E20" s="303"/>
      <c r="F20" s="171">
        <v>1852</v>
      </c>
      <c r="G20" s="303" t="s">
        <v>978</v>
      </c>
      <c r="H20" s="303"/>
      <c r="I20" s="303"/>
      <c r="J20" s="303"/>
      <c r="K20" s="288" t="str">
        <f>IF(E25&lt;&gt;"",IF(F20&lt;&gt;0,VLOOKUP(F20,'Site Info'!$G$34:$P$69,8,FALSE),"enter VLAN"),"")</f>
        <v>10.126.131.1</v>
      </c>
      <c r="L20" s="289"/>
      <c r="M20" s="290"/>
      <c r="N20" s="303" t="s">
        <v>980</v>
      </c>
      <c r="O20" s="303"/>
      <c r="P20" s="303"/>
      <c r="Q20" s="303"/>
      <c r="R20" s="171">
        <v>10</v>
      </c>
    </row>
    <row r="21" spans="1:28" ht="14.25" customHeight="1" x14ac:dyDescent="0.25">
      <c r="B21" s="303" t="s">
        <v>983</v>
      </c>
      <c r="C21" s="303"/>
      <c r="D21" s="303"/>
      <c r="E21" s="303"/>
      <c r="F21" s="171" t="s">
        <v>1355</v>
      </c>
      <c r="G21" s="303" t="s">
        <v>979</v>
      </c>
      <c r="H21" s="303"/>
      <c r="I21" s="303"/>
      <c r="J21" s="303"/>
      <c r="K21" s="288" t="str">
        <f>IF(E25&lt;&gt;"",IF(F20&lt;&gt;0,VLOOKUP(F20,'Site Info'!$G$34:$P$69,5,FALSE),"enter VLAN"),"")</f>
        <v>255.255.255.0</v>
      </c>
      <c r="L21" s="289"/>
      <c r="M21" s="290"/>
    </row>
    <row r="22" spans="1:28" ht="14.25" customHeight="1" x14ac:dyDescent="0.25">
      <c r="B22" s="303" t="s">
        <v>91</v>
      </c>
      <c r="C22" s="303"/>
      <c r="D22" s="303"/>
      <c r="E22" s="303"/>
      <c r="F22" s="171" t="s">
        <v>16</v>
      </c>
    </row>
    <row r="23" spans="1:28" ht="14.25" customHeight="1" x14ac:dyDescent="0.25">
      <c r="J23" s="299" t="str">
        <f>IF($F$20&lt;&gt;0,IF(E25&lt;&gt;"",VLOOKUP($F$20,'Site Info'!$G$34:$P$69,2,FALSE),""),"")</f>
        <v>10.126.131.0/24</v>
      </c>
      <c r="K23" s="299"/>
      <c r="L23" s="299"/>
    </row>
    <row r="24" spans="1:28" ht="14.25" customHeight="1" thickBot="1" x14ac:dyDescent="0.3">
      <c r="B24" s="312" t="s">
        <v>92</v>
      </c>
      <c r="C24" s="321"/>
      <c r="D24" s="313"/>
      <c r="E24" s="312" t="s">
        <v>991</v>
      </c>
      <c r="F24" s="321"/>
      <c r="G24" s="321"/>
      <c r="H24" s="321"/>
      <c r="I24" s="313"/>
      <c r="J24" s="312" t="s">
        <v>71</v>
      </c>
      <c r="K24" s="321"/>
      <c r="L24" s="313"/>
      <c r="M24" s="312" t="s">
        <v>93</v>
      </c>
      <c r="N24" s="321"/>
      <c r="O24" s="321"/>
      <c r="P24" s="313"/>
      <c r="Q24" s="312" t="s">
        <v>95</v>
      </c>
      <c r="R24" s="321"/>
      <c r="S24" s="313"/>
      <c r="T24" s="312" t="s">
        <v>96</v>
      </c>
      <c r="U24" s="321"/>
      <c r="V24" s="313"/>
      <c r="W24" s="312" t="s">
        <v>1269</v>
      </c>
      <c r="X24" s="321"/>
      <c r="Y24" s="313"/>
    </row>
    <row r="25" spans="1:28" ht="14.25" customHeight="1" x14ac:dyDescent="0.25">
      <c r="A25" s="26">
        <v>1</v>
      </c>
      <c r="B25" s="302" t="str">
        <f>IF(E25&lt;&gt;"","SVM Administration","")</f>
        <v>SVM Administration</v>
      </c>
      <c r="C25" s="302"/>
      <c r="D25" s="302"/>
      <c r="E25" s="302" t="str">
        <f>IF(K9&lt;&gt;"",CONCATENATE(K9,"-admin.",F11),"")</f>
        <v>shpsan-block-01-admin.speedcast.com</v>
      </c>
      <c r="F25" s="302"/>
      <c r="G25" s="302"/>
      <c r="H25" s="302"/>
      <c r="I25" s="302"/>
      <c r="J25" s="288" t="s">
        <v>1412</v>
      </c>
      <c r="K25" s="289"/>
      <c r="L25" s="290"/>
      <c r="M25" s="288" t="str">
        <f>IF(K9&lt;&gt;"",CONCATENATE(K9,"-admin",""),"")</f>
        <v>shpsan-block-01-admin</v>
      </c>
      <c r="N25" s="289"/>
      <c r="O25" s="289"/>
      <c r="P25" s="290"/>
      <c r="Q25" s="302" t="str">
        <f>IF(E25&lt;&gt;"",Inventory!$C$15,"")</f>
        <v>shpsan-01</v>
      </c>
      <c r="R25" s="302"/>
      <c r="S25" s="302"/>
      <c r="T25" s="302" t="str">
        <f>IF(AND(E25&lt;&gt;"",$F$22&lt;&gt;0,$F$21&lt;&gt;0,$F$20&lt;&gt;0),IF($F$22&lt;&gt;"Yes",$F$21,CONCATENATE($F$21,"-",$F$20)),"")</f>
        <v>a0a-1852</v>
      </c>
      <c r="U25" s="302"/>
      <c r="V25" s="302"/>
      <c r="W25" s="302"/>
      <c r="X25" s="302"/>
      <c r="Y25" s="302"/>
    </row>
    <row r="26" spans="1:28" ht="14.25" hidden="1" customHeight="1" x14ac:dyDescent="0.25">
      <c r="AB26" s="36" t="s">
        <v>143</v>
      </c>
    </row>
    <row r="27" spans="1:28" ht="14.25" hidden="1" customHeight="1" x14ac:dyDescent="0.25">
      <c r="B27" s="4" t="s">
        <v>127</v>
      </c>
    </row>
    <row r="28" spans="1:28" ht="6" hidden="1" customHeight="1" x14ac:dyDescent="0.25">
      <c r="B28" s="4"/>
      <c r="F28" s="35" t="s">
        <v>1374</v>
      </c>
      <c r="G28" s="6"/>
      <c r="I28" s="35" t="s">
        <v>1376</v>
      </c>
      <c r="Q28" s="35" t="s">
        <v>1374</v>
      </c>
    </row>
    <row r="29" spans="1:28" ht="14.25" hidden="1" customHeight="1" x14ac:dyDescent="0.25">
      <c r="B29" s="303" t="s">
        <v>131</v>
      </c>
      <c r="C29" s="303"/>
      <c r="D29" s="303"/>
      <c r="E29" s="303"/>
      <c r="F29" s="171"/>
      <c r="G29" s="303" t="s">
        <v>128</v>
      </c>
      <c r="H29" s="303"/>
      <c r="I29" s="303"/>
      <c r="J29" s="303"/>
      <c r="K29" s="288" t="str">
        <f>IF(E35&lt;&gt;"",IF(F29&lt;&gt;0,VLOOKUP(F29,'Site Info'!$G$34:$P$69,8,FALSE),"enter VLAN"),"")</f>
        <v>enter VLAN</v>
      </c>
      <c r="L29" s="289"/>
      <c r="M29" s="290"/>
      <c r="N29" s="303" t="s">
        <v>129</v>
      </c>
      <c r="O29" s="303"/>
      <c r="P29" s="303"/>
      <c r="Q29" s="303"/>
      <c r="R29" s="171">
        <v>10</v>
      </c>
    </row>
    <row r="30" spans="1:28" ht="14.25" hidden="1" customHeight="1" x14ac:dyDescent="0.25">
      <c r="B30" s="303" t="s">
        <v>132</v>
      </c>
      <c r="C30" s="303"/>
      <c r="D30" s="303"/>
      <c r="E30" s="303"/>
      <c r="F30" s="171"/>
      <c r="G30" s="303" t="s">
        <v>130</v>
      </c>
      <c r="H30" s="303"/>
      <c r="I30" s="303"/>
      <c r="J30" s="303"/>
      <c r="K30" s="288" t="str">
        <f>IF(E35&lt;&gt;"",IF(F29&lt;&gt;0,VLOOKUP(F29,'Site Info'!$G$34:$P$69,5,FALSE),"enter VLAN"),"")</f>
        <v>enter VLAN</v>
      </c>
      <c r="L30" s="289"/>
      <c r="M30" s="290"/>
    </row>
    <row r="31" spans="1:28" ht="14.25" hidden="1" customHeight="1" x14ac:dyDescent="0.25">
      <c r="B31" s="303" t="s">
        <v>91</v>
      </c>
      <c r="C31" s="303"/>
      <c r="D31" s="303"/>
      <c r="E31" s="303"/>
      <c r="F31" s="171"/>
      <c r="G31" s="303" t="s">
        <v>134</v>
      </c>
      <c r="H31" s="303"/>
      <c r="I31" s="303"/>
      <c r="J31" s="303"/>
      <c r="K31" s="288" t="str">
        <f>IF(K9&lt;&gt;"",CONCATENATE(K9,".",F11),"")</f>
        <v>shpsan-block-01.speedcast.com</v>
      </c>
      <c r="L31" s="289"/>
      <c r="M31" s="289"/>
      <c r="N31" s="289"/>
      <c r="O31" s="290"/>
    </row>
    <row r="32" spans="1:28" ht="6" hidden="1" customHeight="1" x14ac:dyDescent="0.25">
      <c r="B32" s="4"/>
      <c r="G32" s="6"/>
    </row>
    <row r="33" spans="1:28" ht="14.25" hidden="1" customHeight="1" x14ac:dyDescent="0.25">
      <c r="J33" s="299" t="str">
        <f>IF(F29&lt;&gt;0,IF(E35&lt;&gt;"",VLOOKUP(F29,'Site Info'!$G$34:$P$69,2,FALSE),""),"")</f>
        <v/>
      </c>
      <c r="K33" s="299"/>
      <c r="L33" s="299"/>
    </row>
    <row r="34" spans="1:28" ht="14.25" hidden="1" customHeight="1" thickBot="1" x14ac:dyDescent="0.3">
      <c r="B34" s="312" t="s">
        <v>92</v>
      </c>
      <c r="C34" s="321"/>
      <c r="D34" s="313"/>
      <c r="E34" s="312" t="s">
        <v>133</v>
      </c>
      <c r="F34" s="321"/>
      <c r="G34" s="321"/>
      <c r="H34" s="321"/>
      <c r="I34" s="313"/>
      <c r="J34" s="312" t="s">
        <v>71</v>
      </c>
      <c r="K34" s="321"/>
      <c r="L34" s="313"/>
      <c r="M34" s="312" t="s">
        <v>93</v>
      </c>
      <c r="N34" s="321"/>
      <c r="O34" s="321"/>
      <c r="P34" s="313"/>
      <c r="Q34" s="312" t="s">
        <v>95</v>
      </c>
      <c r="R34" s="321"/>
      <c r="S34" s="313"/>
      <c r="T34" s="312" t="s">
        <v>96</v>
      </c>
      <c r="U34" s="321"/>
      <c r="V34" s="313"/>
      <c r="W34" s="312" t="s">
        <v>103</v>
      </c>
      <c r="X34" s="321"/>
      <c r="Y34" s="313"/>
      <c r="Z34" s="312" t="s">
        <v>104</v>
      </c>
      <c r="AA34" s="321"/>
      <c r="AB34" s="313"/>
    </row>
    <row r="35" spans="1:28" ht="14.25" hidden="1" customHeight="1" x14ac:dyDescent="0.25">
      <c r="A35" s="26">
        <v>1</v>
      </c>
      <c r="B35" s="302" t="str">
        <f>IF(Inventory!$C$15&lt;&gt;"",CONCATENATE("CIFS - Node ",A35),"")</f>
        <v>CIFS - Node 1</v>
      </c>
      <c r="C35" s="302"/>
      <c r="D35" s="302"/>
      <c r="E35" s="302" t="str">
        <f>IF(B35&lt;&gt;"",CONCATENATE(K9,"-c0",A35,".",F11)," ")</f>
        <v>shpsan-block-01-c01.speedcast.com</v>
      </c>
      <c r="F35" s="302"/>
      <c r="G35" s="302"/>
      <c r="H35" s="302"/>
      <c r="I35" s="302"/>
      <c r="J35" s="288"/>
      <c r="K35" s="289"/>
      <c r="L35" s="290"/>
      <c r="M35" s="288" t="str">
        <f>IF(B35&lt;&gt;"",CONCATENATE(K9,"-c0",A35),"")</f>
        <v>shpsan-block-01-c01</v>
      </c>
      <c r="N35" s="289"/>
      <c r="O35" s="289"/>
      <c r="P35" s="290"/>
      <c r="Q35" s="302" t="str">
        <f>IF(E35&lt;&gt;"",Inventory!$C$15,"")</f>
        <v>shpsan-01</v>
      </c>
      <c r="R35" s="302"/>
      <c r="S35" s="302"/>
      <c r="T35" s="302" t="str">
        <f>IF(AND(E35&lt;&gt;"",F31&lt;&gt;0,F30&lt;&gt;0,F29&lt;&gt;0),IF(F31&lt;&gt;"Yes",F30,CONCATENATE(F30,"-",F29)),"")</f>
        <v/>
      </c>
      <c r="U35" s="302"/>
      <c r="V35" s="302"/>
      <c r="W35" s="302" t="str">
        <f>IF(E35&lt;&gt;"",CONCATENATE("d",J33),"")</f>
        <v>d</v>
      </c>
      <c r="X35" s="302"/>
      <c r="Y35" s="302"/>
      <c r="Z35" s="302" t="str">
        <f>IF(E35&lt;&gt;"","0.0.0.0/0","")</f>
        <v>0.0.0.0/0</v>
      </c>
      <c r="AA35" s="302"/>
      <c r="AB35" s="302"/>
    </row>
    <row r="36" spans="1:28" ht="14.25" hidden="1" customHeight="1" x14ac:dyDescent="0.25">
      <c r="A36" s="26">
        <v>2</v>
      </c>
      <c r="B36" s="302" t="str">
        <f>IF(Inventory!$C$16&lt;&gt;"",CONCATENATE("CIFS - Node ",A36),"")</f>
        <v>CIFS - Node 2</v>
      </c>
      <c r="C36" s="302"/>
      <c r="D36" s="302"/>
      <c r="E36" s="302" t="str">
        <f>IF(B36&lt;&gt;"",CONCATENATE(K9,"-c0",A36,".",F11)," ")</f>
        <v>shpsan-block-01-c02.speedcast.com</v>
      </c>
      <c r="F36" s="302"/>
      <c r="G36" s="302"/>
      <c r="H36" s="302"/>
      <c r="I36" s="302"/>
      <c r="J36" s="288"/>
      <c r="K36" s="289"/>
      <c r="L36" s="290"/>
      <c r="M36" s="288" t="str">
        <f>IF(B36&lt;&gt;"",CONCATENATE(K9,"-c0",A36),"")</f>
        <v>shpsan-block-01-c02</v>
      </c>
      <c r="N36" s="289"/>
      <c r="O36" s="289"/>
      <c r="P36" s="290"/>
      <c r="Q36" s="302" t="str">
        <f>IF(E36&lt;&gt;"",Inventory!$C$16,"")</f>
        <v>shpsan-02</v>
      </c>
      <c r="R36" s="302"/>
      <c r="S36" s="302"/>
      <c r="T36" s="302" t="str">
        <f>IF(AND(E36&lt;&gt;"",F31&lt;&gt;0,F30&lt;&gt;0,F29&lt;&gt;0),IF(F31&lt;&gt;"Yes",F30,CONCATENATE(F30,"-",F29)),"")</f>
        <v/>
      </c>
      <c r="U36" s="302"/>
      <c r="V36" s="302"/>
      <c r="W36" s="302" t="str">
        <f>IF(E36&lt;&gt;"",CONCATENATE("d",J33),"")</f>
        <v>d</v>
      </c>
      <c r="X36" s="302"/>
      <c r="Y36" s="302"/>
      <c r="Z36" s="302" t="str">
        <f t="shared" ref="Z36:Z42" si="0">IF(E36&lt;&gt;"","0.0.0.0/0","")</f>
        <v>0.0.0.0/0</v>
      </c>
      <c r="AA36" s="302"/>
      <c r="AB36" s="302"/>
    </row>
    <row r="37" spans="1:28" ht="14.25" hidden="1" customHeight="1" x14ac:dyDescent="0.25">
      <c r="A37" s="26">
        <v>3</v>
      </c>
      <c r="B37" s="302" t="str">
        <f>IF(Inventory!$C$17&lt;&gt;"",CONCATENATE("CIFS - Node ",A37),"")</f>
        <v/>
      </c>
      <c r="C37" s="302"/>
      <c r="D37" s="302"/>
      <c r="E37" s="302" t="str">
        <f>IF(B37&lt;&gt;"",CONCATENATE(K9,"-c0",A37,".",F11)," ")</f>
        <v xml:space="preserve"> </v>
      </c>
      <c r="F37" s="302"/>
      <c r="G37" s="302"/>
      <c r="H37" s="302"/>
      <c r="I37" s="302"/>
      <c r="J37" s="288"/>
      <c r="K37" s="289"/>
      <c r="L37" s="290"/>
      <c r="M37" s="288" t="str">
        <f>IF(B37&lt;&gt;"",CONCATENATE(K9,"-c0",A37),"")</f>
        <v/>
      </c>
      <c r="N37" s="289"/>
      <c r="O37" s="289"/>
      <c r="P37" s="290"/>
      <c r="Q37" s="302"/>
      <c r="R37" s="302"/>
      <c r="S37" s="302"/>
      <c r="T37" s="302" t="str">
        <f>IF(AND(E37&lt;&gt;"",F31&lt;&gt;0,F30&lt;&gt;0,F29&lt;&gt;0),IF(F31&lt;&gt;"Yes",F30,CONCATENATE(F30,"-",F29)),"")</f>
        <v/>
      </c>
      <c r="U37" s="302"/>
      <c r="V37" s="302"/>
      <c r="W37" s="302" t="str">
        <f>IF(E37&lt;&gt;"",CONCATENATE("d",J33),"")</f>
        <v>d</v>
      </c>
      <c r="X37" s="302"/>
      <c r="Y37" s="302"/>
      <c r="Z37" s="302" t="str">
        <f t="shared" si="0"/>
        <v>0.0.0.0/0</v>
      </c>
      <c r="AA37" s="302"/>
      <c r="AB37" s="302"/>
    </row>
    <row r="38" spans="1:28" ht="14.25" hidden="1" customHeight="1" x14ac:dyDescent="0.25">
      <c r="A38" s="26">
        <v>4</v>
      </c>
      <c r="B38" s="302" t="str">
        <f>IF(Inventory!$C$18&lt;&gt;"",CONCATENATE("CIFS - Node ",A38),"")</f>
        <v/>
      </c>
      <c r="C38" s="302"/>
      <c r="D38" s="302"/>
      <c r="E38" s="302" t="str">
        <f>IF(B38&lt;&gt;"",CONCATENATE(K9,"-c0",A38,".",F11)," ")</f>
        <v xml:space="preserve"> </v>
      </c>
      <c r="F38" s="302"/>
      <c r="G38" s="302"/>
      <c r="H38" s="302"/>
      <c r="I38" s="302"/>
      <c r="J38" s="288"/>
      <c r="K38" s="289"/>
      <c r="L38" s="290"/>
      <c r="M38" s="288" t="str">
        <f>IF(B38&lt;&gt;"",CONCATENATE(K9,"-c0",A38),"")</f>
        <v/>
      </c>
      <c r="N38" s="289"/>
      <c r="O38" s="289"/>
      <c r="P38" s="290"/>
      <c r="Q38" s="302"/>
      <c r="R38" s="302"/>
      <c r="S38" s="302"/>
      <c r="T38" s="302" t="str">
        <f>IF(AND(E38&lt;&gt;"",F31&lt;&gt;0,F30&lt;&gt;0,F29&lt;&gt;0),IF(F31&lt;&gt;"Yes",F30,CONCATENATE(F30,"-",F29)),"")</f>
        <v/>
      </c>
      <c r="U38" s="302"/>
      <c r="V38" s="302"/>
      <c r="W38" s="302" t="str">
        <f>IF(E38&lt;&gt;"",CONCATENATE("d",J33),"")</f>
        <v>d</v>
      </c>
      <c r="X38" s="302"/>
      <c r="Y38" s="302"/>
      <c r="Z38" s="302" t="str">
        <f t="shared" si="0"/>
        <v>0.0.0.0/0</v>
      </c>
      <c r="AA38" s="302"/>
      <c r="AB38" s="302"/>
    </row>
    <row r="39" spans="1:28" ht="14.25" hidden="1" customHeight="1" x14ac:dyDescent="0.25">
      <c r="A39" s="26">
        <v>5</v>
      </c>
      <c r="B39" s="288" t="str">
        <f>IF(Inventory!$C$19&lt;&gt;"",CONCATENATE("CIFS - Node ",A39),"")</f>
        <v/>
      </c>
      <c r="C39" s="289"/>
      <c r="D39" s="290"/>
      <c r="E39" s="288" t="str">
        <f>IF(B39&lt;&gt;"",CONCATENATE(K9,"-c0",A39,".",F11)," ")</f>
        <v xml:space="preserve"> </v>
      </c>
      <c r="F39" s="289"/>
      <c r="G39" s="289"/>
      <c r="H39" s="289"/>
      <c r="I39" s="290"/>
      <c r="J39" s="288"/>
      <c r="K39" s="289"/>
      <c r="L39" s="290"/>
      <c r="M39" s="288" t="str">
        <f>IF(B39&lt;&gt;"",CONCATENATE(K9,"-c0",A39),"")</f>
        <v/>
      </c>
      <c r="N39" s="289"/>
      <c r="O39" s="289"/>
      <c r="P39" s="290"/>
      <c r="Q39" s="288" t="str">
        <f>IF(E39&lt;&gt;"",Inventory!$C$19,"")</f>
        <v/>
      </c>
      <c r="R39" s="289"/>
      <c r="S39" s="290"/>
      <c r="T39" s="288" t="str">
        <f>IF(AND(E39&lt;&gt;"",F31&lt;&gt;0,F30&lt;&gt;0,F29&lt;&gt;0),IF(F31&lt;&gt;"Yes",F30,CONCATENATE(F30,"-",F29)),"")</f>
        <v/>
      </c>
      <c r="U39" s="289"/>
      <c r="V39" s="290"/>
      <c r="W39" s="288" t="str">
        <f>IF(E39&lt;&gt;"",CONCATENATE("d",J33),"")</f>
        <v>d</v>
      </c>
      <c r="X39" s="289"/>
      <c r="Y39" s="290"/>
      <c r="Z39" s="288" t="str">
        <f t="shared" si="0"/>
        <v>0.0.0.0/0</v>
      </c>
      <c r="AA39" s="289"/>
      <c r="AB39" s="290"/>
    </row>
    <row r="40" spans="1:28" ht="14.25" hidden="1" customHeight="1" x14ac:dyDescent="0.25">
      <c r="A40" s="26">
        <v>6</v>
      </c>
      <c r="B40" s="302" t="str">
        <f>IF(Inventory!$C$20&lt;&gt;"",CONCATENATE("CIFS - Node ",A40),"")</f>
        <v/>
      </c>
      <c r="C40" s="302"/>
      <c r="D40" s="302"/>
      <c r="E40" s="302" t="str">
        <f>IF(B40&lt;&gt;"",CONCATENATE(K9,"-c0",A40,".",F11)," ")</f>
        <v xml:space="preserve"> </v>
      </c>
      <c r="F40" s="302"/>
      <c r="G40" s="302"/>
      <c r="H40" s="302"/>
      <c r="I40" s="302"/>
      <c r="J40" s="288"/>
      <c r="K40" s="289"/>
      <c r="L40" s="290"/>
      <c r="M40" s="288" t="str">
        <f>IF(B40&lt;&gt;"",CONCATENATE(K9,"-c0",A40),"")</f>
        <v/>
      </c>
      <c r="N40" s="289"/>
      <c r="O40" s="289"/>
      <c r="P40" s="290"/>
      <c r="Q40" s="302"/>
      <c r="R40" s="302"/>
      <c r="S40" s="302"/>
      <c r="T40" s="288" t="str">
        <f>IF(AND(E40&lt;&gt;"",F31&lt;&gt;0,F30&lt;&gt;0,F29&lt;&gt;0),IF(F31&lt;&gt;"Yes",F30,CONCATENATE(F30,"-",F29)),"")</f>
        <v/>
      </c>
      <c r="U40" s="289"/>
      <c r="V40" s="290"/>
      <c r="W40" s="288" t="str">
        <f>IF(E40&lt;&gt;"",CONCATENATE("d",J33),"")</f>
        <v>d</v>
      </c>
      <c r="X40" s="289"/>
      <c r="Y40" s="290"/>
      <c r="Z40" s="288" t="str">
        <f t="shared" si="0"/>
        <v>0.0.0.0/0</v>
      </c>
      <c r="AA40" s="289"/>
      <c r="AB40" s="290"/>
    </row>
    <row r="41" spans="1:28" ht="14.25" hidden="1" customHeight="1" x14ac:dyDescent="0.25">
      <c r="A41" s="26">
        <v>7</v>
      </c>
      <c r="B41" s="302" t="str">
        <f>IF(Inventory!$C$21&lt;&gt;"",CONCATENATE("CIFS - Node ",A41),"")</f>
        <v/>
      </c>
      <c r="C41" s="302"/>
      <c r="D41" s="302"/>
      <c r="E41" s="302" t="str">
        <f>IF(B41&lt;&gt;"",CONCATENATE(K9,"-c0",A41,".",F11)," ")</f>
        <v xml:space="preserve"> </v>
      </c>
      <c r="F41" s="302"/>
      <c r="G41" s="302"/>
      <c r="H41" s="302"/>
      <c r="I41" s="302"/>
      <c r="J41" s="288"/>
      <c r="K41" s="289"/>
      <c r="L41" s="290"/>
      <c r="M41" s="288" t="str">
        <f>IF(B41&lt;&gt;"",CONCATENATE(K9,"-c0",A41),"")</f>
        <v/>
      </c>
      <c r="N41" s="289"/>
      <c r="O41" s="289"/>
      <c r="P41" s="290"/>
      <c r="Q41" s="302" t="str">
        <f>IF(E41&lt;&gt;"",Inventory!$C$21,"")</f>
        <v/>
      </c>
      <c r="R41" s="302"/>
      <c r="S41" s="302"/>
      <c r="T41" s="302" t="str">
        <f>IF(AND(E41&lt;&gt;"",F31&lt;&gt;0,F30&lt;&gt;0,F29&lt;&gt;0),IF(F31&lt;&gt;"Yes",F30,CONCATENATE(F30,"-",F29)),"")</f>
        <v/>
      </c>
      <c r="U41" s="302"/>
      <c r="V41" s="302"/>
      <c r="W41" s="302" t="str">
        <f>IF(E41&lt;&gt;"",CONCATENATE("d",J33),"")</f>
        <v>d</v>
      </c>
      <c r="X41" s="302"/>
      <c r="Y41" s="302"/>
      <c r="Z41" s="302" t="str">
        <f t="shared" si="0"/>
        <v>0.0.0.0/0</v>
      </c>
      <c r="AA41" s="302"/>
      <c r="AB41" s="302"/>
    </row>
    <row r="42" spans="1:28" ht="14.25" hidden="1" customHeight="1" x14ac:dyDescent="0.25">
      <c r="A42" s="26">
        <v>8</v>
      </c>
      <c r="B42" s="302" t="str">
        <f>IF(Inventory!$C$22&lt;&gt;"",CONCATENATE("CIFS - Node ",A42),"")</f>
        <v/>
      </c>
      <c r="C42" s="302"/>
      <c r="D42" s="302"/>
      <c r="E42" s="302" t="str">
        <f>IF(B42&lt;&gt;"",CONCATENATE(K9,"-c0",A42,".",F11)," ")</f>
        <v xml:space="preserve"> </v>
      </c>
      <c r="F42" s="302"/>
      <c r="G42" s="302"/>
      <c r="H42" s="302"/>
      <c r="I42" s="302"/>
      <c r="J42" s="288"/>
      <c r="K42" s="289"/>
      <c r="L42" s="290"/>
      <c r="M42" s="288" t="str">
        <f>IF(B42&lt;&gt;"",CONCATENATE(K9,"-c0",A42),"")</f>
        <v/>
      </c>
      <c r="N42" s="289"/>
      <c r="O42" s="289"/>
      <c r="P42" s="290"/>
      <c r="Q42" s="302" t="str">
        <f>IF(E42&lt;&gt;"",Inventory!$C$22,"")</f>
        <v/>
      </c>
      <c r="R42" s="302"/>
      <c r="S42" s="302"/>
      <c r="T42" s="302" t="str">
        <f>IF(AND(E42&lt;&gt;"",F31&lt;&gt;0,F30&lt;&gt;0,F29&lt;&gt;0),IF(F31&lt;&gt;"Yes",F30,CONCATENATE(F30,"-",F29)),"")</f>
        <v/>
      </c>
      <c r="U42" s="302"/>
      <c r="V42" s="302"/>
      <c r="W42" s="302" t="str">
        <f>IF(E42&lt;&gt;"",CONCATENATE("d",J33),"")</f>
        <v>d</v>
      </c>
      <c r="X42" s="302"/>
      <c r="Y42" s="302"/>
      <c r="Z42" s="302" t="str">
        <f t="shared" si="0"/>
        <v>0.0.0.0/0</v>
      </c>
      <c r="AA42" s="302"/>
      <c r="AB42" s="302"/>
    </row>
    <row r="43" spans="1:28" ht="14.25" hidden="1" customHeight="1" x14ac:dyDescent="0.25">
      <c r="AB43" s="36" t="s">
        <v>143</v>
      </c>
    </row>
    <row r="44" spans="1:28" ht="14.25" hidden="1" customHeight="1" x14ac:dyDescent="0.25">
      <c r="B44" s="4" t="s">
        <v>135</v>
      </c>
    </row>
    <row r="45" spans="1:28" ht="6" hidden="1" customHeight="1" x14ac:dyDescent="0.25">
      <c r="B45" s="4"/>
      <c r="G45" s="6"/>
    </row>
    <row r="46" spans="1:28" ht="14.25" hidden="1" customHeight="1" x14ac:dyDescent="0.25">
      <c r="B46" s="303" t="s">
        <v>136</v>
      </c>
      <c r="C46" s="303"/>
      <c r="D46" s="303"/>
      <c r="E46" s="303"/>
      <c r="F46" s="171"/>
      <c r="G46" s="303" t="s">
        <v>137</v>
      </c>
      <c r="H46" s="303"/>
      <c r="I46" s="303"/>
      <c r="J46" s="303"/>
      <c r="K46" s="288" t="str">
        <f>IF(E51&lt;&gt;"",IF(F46&lt;&gt;0,VLOOKUP(F46,'Site Info'!$G$34:$P$69,8,FALSE),"enter VLAN"),"")</f>
        <v>enter VLAN</v>
      </c>
      <c r="L46" s="289"/>
      <c r="M46" s="290"/>
      <c r="N46" s="303" t="s">
        <v>138</v>
      </c>
      <c r="O46" s="303"/>
      <c r="P46" s="303"/>
      <c r="Q46" s="303"/>
      <c r="R46" s="171">
        <v>10</v>
      </c>
    </row>
    <row r="47" spans="1:28" ht="14.25" hidden="1" customHeight="1" x14ac:dyDescent="0.25">
      <c r="B47" s="303" t="s">
        <v>139</v>
      </c>
      <c r="C47" s="303"/>
      <c r="D47" s="303"/>
      <c r="E47" s="303"/>
      <c r="F47" s="171"/>
      <c r="G47" s="303" t="s">
        <v>140</v>
      </c>
      <c r="H47" s="303"/>
      <c r="I47" s="303"/>
      <c r="J47" s="303"/>
      <c r="K47" s="288" t="str">
        <f>IF(E51&lt;&gt;"",IF(F46&lt;&gt;0,VLOOKUP(F46,'Site Info'!$G$34:$P$69,5,FALSE),"enter VLAN"),"")</f>
        <v>enter VLAN</v>
      </c>
      <c r="L47" s="289"/>
      <c r="M47" s="290"/>
    </row>
    <row r="48" spans="1:28" ht="14.25" hidden="1" customHeight="1" x14ac:dyDescent="0.25">
      <c r="B48" s="303" t="s">
        <v>91</v>
      </c>
      <c r="C48" s="303"/>
      <c r="D48" s="303"/>
      <c r="E48" s="303"/>
      <c r="F48" s="171"/>
      <c r="G48" s="303" t="s">
        <v>141</v>
      </c>
      <c r="H48" s="303"/>
      <c r="I48" s="303"/>
      <c r="J48" s="303"/>
      <c r="K48" s="288"/>
      <c r="L48" s="289"/>
      <c r="M48" s="289"/>
      <c r="N48" s="289"/>
      <c r="O48" s="290"/>
    </row>
    <row r="49" spans="1:28" ht="14.25" hidden="1" customHeight="1" x14ac:dyDescent="0.25">
      <c r="G49" s="35">
        <v>1852</v>
      </c>
      <c r="H49" s="35" t="s">
        <v>1377</v>
      </c>
      <c r="J49" s="299" t="str">
        <f>IF(F46&lt;&gt;0,IF(E51&lt;&gt;"",VLOOKUP(F46,'Site Info'!$G$34:$P$69,2,FALSE),""),"")</f>
        <v/>
      </c>
      <c r="K49" s="299"/>
      <c r="L49" s="299"/>
      <c r="N49" s="35" t="s">
        <v>1378</v>
      </c>
    </row>
    <row r="50" spans="1:28" ht="14.25" hidden="1" customHeight="1" thickBot="1" x14ac:dyDescent="0.3">
      <c r="B50" s="312" t="s">
        <v>92</v>
      </c>
      <c r="C50" s="321"/>
      <c r="D50" s="313"/>
      <c r="E50" s="312" t="s">
        <v>142</v>
      </c>
      <c r="F50" s="321"/>
      <c r="G50" s="321"/>
      <c r="H50" s="321"/>
      <c r="I50" s="313"/>
      <c r="J50" s="312" t="s">
        <v>71</v>
      </c>
      <c r="K50" s="321"/>
      <c r="L50" s="313"/>
      <c r="M50" s="312" t="s">
        <v>93</v>
      </c>
      <c r="N50" s="321"/>
      <c r="O50" s="321"/>
      <c r="P50" s="313"/>
      <c r="Q50" s="312" t="s">
        <v>95</v>
      </c>
      <c r="R50" s="321"/>
      <c r="S50" s="313"/>
      <c r="T50" s="312" t="s">
        <v>96</v>
      </c>
      <c r="U50" s="321"/>
      <c r="V50" s="313"/>
      <c r="W50" s="312" t="s">
        <v>103</v>
      </c>
      <c r="X50" s="321"/>
      <c r="Y50" s="313"/>
      <c r="Z50" s="312" t="s">
        <v>104</v>
      </c>
      <c r="AA50" s="321"/>
      <c r="AB50" s="313"/>
    </row>
    <row r="51" spans="1:28" ht="14.25" hidden="1" customHeight="1" x14ac:dyDescent="0.25">
      <c r="A51" s="26">
        <v>1</v>
      </c>
      <c r="B51" s="302" t="str">
        <f>IF(Inventory!$C$15&lt;&gt;"",CONCATENATE("NFS - Node ",A51),"")</f>
        <v>NFS - Node 1</v>
      </c>
      <c r="C51" s="302"/>
      <c r="D51" s="302"/>
      <c r="E51" s="302" t="str">
        <f>IF(B51&lt;&gt;"",CONCATENATE(K9,"-n0",A51,".",F11)," ")</f>
        <v>shpsan-block-01-n01.speedcast.com</v>
      </c>
      <c r="F51" s="302"/>
      <c r="G51" s="302"/>
      <c r="H51" s="302"/>
      <c r="I51" s="302"/>
      <c r="J51" s="288"/>
      <c r="K51" s="289"/>
      <c r="L51" s="290"/>
      <c r="M51" s="288" t="str">
        <f>IF(B51&lt;&gt;"",CONCATENATE(K9,"-n0",A51),"")</f>
        <v>shpsan-block-01-n01</v>
      </c>
      <c r="N51" s="289"/>
      <c r="O51" s="289"/>
      <c r="P51" s="290"/>
      <c r="Q51" s="302" t="str">
        <f>IF(E51&lt;&gt;"",Inventory!$C$15,"")</f>
        <v>shpsan-01</v>
      </c>
      <c r="R51" s="302"/>
      <c r="S51" s="302"/>
      <c r="T51" s="302" t="str">
        <f>IF(AND(E51&lt;&gt;"",F48&lt;&gt;0,F47&lt;&gt;0,F46&lt;&gt;0),IF(F48&lt;&gt;"Yes",F47,CONCATENATE(F47,"-",F46)),"")</f>
        <v/>
      </c>
      <c r="U51" s="302"/>
      <c r="V51" s="302"/>
      <c r="W51" s="302" t="str">
        <f>IF(E51&lt;&gt;"",CONCATENATE("d",J49),"")</f>
        <v>d</v>
      </c>
      <c r="X51" s="302"/>
      <c r="Y51" s="302"/>
      <c r="Z51" s="302" t="str">
        <f>IF(E51&lt;&gt;"","0.0.0.0/0","")</f>
        <v>0.0.0.0/0</v>
      </c>
      <c r="AA51" s="302"/>
      <c r="AB51" s="302"/>
    </row>
    <row r="52" spans="1:28" ht="14.25" hidden="1" customHeight="1" x14ac:dyDescent="0.25">
      <c r="A52" s="26">
        <v>2</v>
      </c>
      <c r="B52" s="302" t="str">
        <f>IF(Inventory!$C$16&lt;&gt;"",CONCATENATE("NFS - Node ",A52),"")</f>
        <v>NFS - Node 2</v>
      </c>
      <c r="C52" s="302"/>
      <c r="D52" s="302"/>
      <c r="E52" s="302" t="str">
        <f>IF(B52&lt;&gt;"",CONCATENATE(K9,"-n0",A52,".",F11)," ")</f>
        <v>shpsan-block-01-n02.speedcast.com</v>
      </c>
      <c r="F52" s="302"/>
      <c r="G52" s="302"/>
      <c r="H52" s="302"/>
      <c r="I52" s="302"/>
      <c r="J52" s="288"/>
      <c r="K52" s="289"/>
      <c r="L52" s="290"/>
      <c r="M52" s="288" t="str">
        <f>IF(B52&lt;&gt;"",CONCATENATE(K9,"-n0",A52),"")</f>
        <v>shpsan-block-01-n02</v>
      </c>
      <c r="N52" s="289"/>
      <c r="O52" s="289"/>
      <c r="P52" s="290"/>
      <c r="Q52" s="302" t="str">
        <f>IF(E52&lt;&gt;"",Inventory!$C$16,"")</f>
        <v>shpsan-02</v>
      </c>
      <c r="R52" s="302"/>
      <c r="S52" s="302"/>
      <c r="T52" s="302" t="str">
        <f>IF(AND(E52&lt;&gt;"",F48&lt;&gt;0,F47&lt;&gt;0,F46&lt;&gt;0),IF(F48&lt;&gt;"Yes",F47,CONCATENATE(F47,"-",F46)),"")</f>
        <v/>
      </c>
      <c r="U52" s="302"/>
      <c r="V52" s="302"/>
      <c r="W52" s="302" t="str">
        <f>IF(E52&lt;&gt;"",CONCATENATE("d",J49),"")</f>
        <v>d</v>
      </c>
      <c r="X52" s="302"/>
      <c r="Y52" s="302"/>
      <c r="Z52" s="302" t="str">
        <f t="shared" ref="Z52:Z58" si="1">IF(E52&lt;&gt;"","0.0.0.0/0","")</f>
        <v>0.0.0.0/0</v>
      </c>
      <c r="AA52" s="302"/>
      <c r="AB52" s="302"/>
    </row>
    <row r="53" spans="1:28" ht="14.25" hidden="1" customHeight="1" x14ac:dyDescent="0.25">
      <c r="A53" s="26">
        <v>3</v>
      </c>
      <c r="B53" s="302" t="str">
        <f>IF(Inventory!$C$17&lt;&gt;"",CONCATENATE("NFS - Node ",A53),"")</f>
        <v/>
      </c>
      <c r="C53" s="302"/>
      <c r="D53" s="302"/>
      <c r="E53" s="302" t="str">
        <f>IF(B53&lt;&gt;"",CONCATENATE(K9,"-n0",A53,".",F11)," ")</f>
        <v xml:space="preserve"> </v>
      </c>
      <c r="F53" s="302"/>
      <c r="G53" s="302"/>
      <c r="H53" s="302"/>
      <c r="I53" s="302"/>
      <c r="J53" s="288"/>
      <c r="K53" s="289"/>
      <c r="L53" s="290"/>
      <c r="M53" s="288" t="str">
        <f>IF(B53&lt;&gt;"",CONCATENATE(K9,"-n0",A53),"")</f>
        <v/>
      </c>
      <c r="N53" s="289"/>
      <c r="O53" s="289"/>
      <c r="P53" s="290"/>
      <c r="Q53" s="302" t="str">
        <f>IF(E53&lt;&gt;"",Inventory!$C$17,"")</f>
        <v/>
      </c>
      <c r="R53" s="302"/>
      <c r="S53" s="302"/>
      <c r="T53" s="302" t="str">
        <f>IF(AND(E53&lt;&gt;"",F48&lt;&gt;0,F47&lt;&gt;0,F46&lt;&gt;0),IF(F48&lt;&gt;"Yes",F47,CONCATENATE(F47,"-",F46)),"")</f>
        <v/>
      </c>
      <c r="U53" s="302"/>
      <c r="V53" s="302"/>
      <c r="W53" s="302" t="str">
        <f>IF(E53&lt;&gt;"",CONCATENATE("d",J49),"")</f>
        <v>d</v>
      </c>
      <c r="X53" s="302"/>
      <c r="Y53" s="302"/>
      <c r="Z53" s="302" t="str">
        <f t="shared" si="1"/>
        <v>0.0.0.0/0</v>
      </c>
      <c r="AA53" s="302"/>
      <c r="AB53" s="302"/>
    </row>
    <row r="54" spans="1:28" ht="14.25" hidden="1" customHeight="1" x14ac:dyDescent="0.25">
      <c r="A54" s="26">
        <v>4</v>
      </c>
      <c r="B54" s="302" t="str">
        <f>IF(Inventory!$C$18&lt;&gt;"",CONCATENATE("NFS - Node ",A54),"")</f>
        <v/>
      </c>
      <c r="C54" s="302"/>
      <c r="D54" s="302"/>
      <c r="E54" s="302" t="str">
        <f>IF(B54&lt;&gt;"",CONCATENATE(K9,"-n0",A54,".",F11)," ")</f>
        <v xml:space="preserve"> </v>
      </c>
      <c r="F54" s="302"/>
      <c r="G54" s="302"/>
      <c r="H54" s="302"/>
      <c r="I54" s="302"/>
      <c r="J54" s="288"/>
      <c r="K54" s="289"/>
      <c r="L54" s="290"/>
      <c r="M54" s="288" t="str">
        <f>IF(B54&lt;&gt;"",CONCATENATE(K9,"-n0",A54),"")</f>
        <v/>
      </c>
      <c r="N54" s="289"/>
      <c r="O54" s="289"/>
      <c r="P54" s="290"/>
      <c r="Q54" s="302" t="str">
        <f>IF(E54&lt;&gt;"",Inventory!$C$18,"")</f>
        <v/>
      </c>
      <c r="R54" s="302"/>
      <c r="S54" s="302"/>
      <c r="T54" s="302" t="str">
        <f>IF(AND(E54&lt;&gt;"",F48&lt;&gt;0,F47&lt;&gt;0,F46&lt;&gt;0),IF(F48&lt;&gt;"Yes",F47,CONCATENATE(F47,"-",F46)),"")</f>
        <v/>
      </c>
      <c r="U54" s="302"/>
      <c r="V54" s="302"/>
      <c r="W54" s="302" t="str">
        <f>IF(E54&lt;&gt;"",CONCATENATE("d",J49),"")</f>
        <v>d</v>
      </c>
      <c r="X54" s="302"/>
      <c r="Y54" s="302"/>
      <c r="Z54" s="302" t="str">
        <f t="shared" si="1"/>
        <v>0.0.0.0/0</v>
      </c>
      <c r="AA54" s="302"/>
      <c r="AB54" s="302"/>
    </row>
    <row r="55" spans="1:28" ht="14.25" hidden="1" customHeight="1" x14ac:dyDescent="0.25">
      <c r="A55" s="26">
        <v>5</v>
      </c>
      <c r="B55" s="302" t="str">
        <f>IF(Inventory!$C$19&lt;&gt;"",CONCATENATE("NFS - Node ",A55),"")</f>
        <v/>
      </c>
      <c r="C55" s="302"/>
      <c r="D55" s="302"/>
      <c r="E55" s="302" t="str">
        <f>IF(B55&lt;&gt;"",CONCATENATE(K9,"-n0",A55,".",F11)," ")</f>
        <v xml:space="preserve"> </v>
      </c>
      <c r="F55" s="302"/>
      <c r="G55" s="302"/>
      <c r="H55" s="302"/>
      <c r="I55" s="302"/>
      <c r="J55" s="288"/>
      <c r="K55" s="289"/>
      <c r="L55" s="290"/>
      <c r="M55" s="288" t="str">
        <f>IF(B55&lt;&gt;"",CONCATENATE(K9,"-n0",A55),"")</f>
        <v/>
      </c>
      <c r="N55" s="289"/>
      <c r="O55" s="289"/>
      <c r="P55" s="290"/>
      <c r="Q55" s="302" t="str">
        <f>IF(E55&lt;&gt;"",Inventory!$C$19,"")</f>
        <v/>
      </c>
      <c r="R55" s="302"/>
      <c r="S55" s="302"/>
      <c r="T55" s="302" t="str">
        <f>IF(AND(E55&lt;&gt;"",F48&lt;&gt;0,F47&lt;&gt;0,F46&lt;&gt;0),IF(F48&lt;&gt;"Yes",F47,CONCATENATE(F47,"-",F46)),"")</f>
        <v/>
      </c>
      <c r="U55" s="302"/>
      <c r="V55" s="302"/>
      <c r="W55" s="302" t="str">
        <f>IF(E55&lt;&gt;"",CONCATENATE("d",J49),"")</f>
        <v>d</v>
      </c>
      <c r="X55" s="302"/>
      <c r="Y55" s="302"/>
      <c r="Z55" s="302" t="str">
        <f t="shared" si="1"/>
        <v>0.0.0.0/0</v>
      </c>
      <c r="AA55" s="302"/>
      <c r="AB55" s="302"/>
    </row>
    <row r="56" spans="1:28" ht="14.25" hidden="1" customHeight="1" x14ac:dyDescent="0.25">
      <c r="A56" s="26">
        <v>6</v>
      </c>
      <c r="B56" s="302" t="str">
        <f>IF(Inventory!$C$20&lt;&gt;"",CONCATENATE("NFS - Node ",A56),"")</f>
        <v/>
      </c>
      <c r="C56" s="302"/>
      <c r="D56" s="302"/>
      <c r="E56" s="302" t="str">
        <f>IF(B56&lt;&gt;"",CONCATENATE(K9,"-n0",A56,".",F11)," ")</f>
        <v xml:space="preserve"> </v>
      </c>
      <c r="F56" s="302"/>
      <c r="G56" s="302"/>
      <c r="H56" s="302"/>
      <c r="I56" s="302"/>
      <c r="J56" s="288"/>
      <c r="K56" s="289"/>
      <c r="L56" s="290"/>
      <c r="M56" s="288" t="str">
        <f>IF(B56&lt;&gt;"",CONCATENATE(K9,"-n0",A56),"")</f>
        <v/>
      </c>
      <c r="N56" s="289"/>
      <c r="O56" s="289"/>
      <c r="P56" s="290"/>
      <c r="Q56" s="302" t="str">
        <f>IF(E56&lt;&gt;"",Inventory!$C$20,"")</f>
        <v/>
      </c>
      <c r="R56" s="302"/>
      <c r="S56" s="302"/>
      <c r="T56" s="302" t="str">
        <f>IF(AND(E56&lt;&gt;"",F48&lt;&gt;0,F47&lt;&gt;0,F46&lt;&gt;0),IF(F48&lt;&gt;"Yes",F47,CONCATENATE(F47,"-",F46)),"")</f>
        <v/>
      </c>
      <c r="U56" s="302"/>
      <c r="V56" s="302"/>
      <c r="W56" s="302" t="str">
        <f>IF(E56&lt;&gt;"",CONCATENATE("d",J49),"")</f>
        <v>d</v>
      </c>
      <c r="X56" s="302"/>
      <c r="Y56" s="302"/>
      <c r="Z56" s="302" t="str">
        <f t="shared" si="1"/>
        <v>0.0.0.0/0</v>
      </c>
      <c r="AA56" s="302"/>
      <c r="AB56" s="302"/>
    </row>
    <row r="57" spans="1:28" ht="14.25" hidden="1" customHeight="1" x14ac:dyDescent="0.25">
      <c r="A57" s="26">
        <v>7</v>
      </c>
      <c r="B57" s="302" t="str">
        <f>IF(Inventory!$C$21&lt;&gt;"",CONCATENATE("NFS - Node ",A57),"")</f>
        <v/>
      </c>
      <c r="C57" s="302"/>
      <c r="D57" s="302"/>
      <c r="E57" s="302" t="str">
        <f>IF(B57&lt;&gt;"",CONCATENATE(K9,"-n0",A57,".",F11)," ")</f>
        <v xml:space="preserve"> </v>
      </c>
      <c r="F57" s="302"/>
      <c r="G57" s="302"/>
      <c r="H57" s="302"/>
      <c r="I57" s="302"/>
      <c r="J57" s="288"/>
      <c r="K57" s="289"/>
      <c r="L57" s="290"/>
      <c r="M57" s="288" t="str">
        <f>IF(B57&lt;&gt;"",CONCATENATE(K9,"-n0",A57),"")</f>
        <v/>
      </c>
      <c r="N57" s="289"/>
      <c r="O57" s="289"/>
      <c r="P57" s="290"/>
      <c r="Q57" s="302" t="str">
        <f>IF(E57&lt;&gt;"",Inventory!$C$21,"")</f>
        <v/>
      </c>
      <c r="R57" s="302"/>
      <c r="S57" s="302"/>
      <c r="T57" s="302" t="str">
        <f>IF(AND(E57&lt;&gt;"",F48&lt;&gt;0,F47&lt;&gt;0,F46&lt;&gt;0),IF(F48&lt;&gt;"Yes",F47,CONCATENATE(F47,"-",F46)),"")</f>
        <v/>
      </c>
      <c r="U57" s="302"/>
      <c r="V57" s="302"/>
      <c r="W57" s="302" t="str">
        <f>IF(E57&lt;&gt;"",CONCATENATE("d",J49),"")</f>
        <v>d</v>
      </c>
      <c r="X57" s="302"/>
      <c r="Y57" s="302"/>
      <c r="Z57" s="302" t="str">
        <f t="shared" si="1"/>
        <v>0.0.0.0/0</v>
      </c>
      <c r="AA57" s="302"/>
      <c r="AB57" s="302"/>
    </row>
    <row r="58" spans="1:28" ht="14.25" hidden="1" customHeight="1" x14ac:dyDescent="0.25">
      <c r="A58" s="26">
        <v>8</v>
      </c>
      <c r="B58" s="302" t="str">
        <f>IF(Inventory!$C$22&lt;&gt;"",CONCATENATE("NFS - Node ",A58),"")</f>
        <v/>
      </c>
      <c r="C58" s="302"/>
      <c r="D58" s="302"/>
      <c r="E58" s="302" t="str">
        <f>IF(B58&lt;&gt;"",CONCATENATE(K9,"-n0",A58,".",F11)," ")</f>
        <v xml:space="preserve"> </v>
      </c>
      <c r="F58" s="302"/>
      <c r="G58" s="302"/>
      <c r="H58" s="302"/>
      <c r="I58" s="302"/>
      <c r="J58" s="288"/>
      <c r="K58" s="289"/>
      <c r="L58" s="290"/>
      <c r="M58" s="288" t="str">
        <f>IF(B58&lt;&gt;"",CONCATENATE(K9,"-n0",A58),"")</f>
        <v/>
      </c>
      <c r="N58" s="289"/>
      <c r="O58" s="289"/>
      <c r="P58" s="290"/>
      <c r="Q58" s="302" t="str">
        <f>IF(E58&lt;&gt;"",Inventory!$C$22,"")</f>
        <v/>
      </c>
      <c r="R58" s="302"/>
      <c r="S58" s="302"/>
      <c r="T58" s="302" t="str">
        <f>IF(AND(E58&lt;&gt;"",F48&lt;&gt;0,F47&lt;&gt;0,F46&lt;&gt;0),IF(F48&lt;&gt;"Yes",F47,CONCATENATE(F47,"-",F46)),"")</f>
        <v/>
      </c>
      <c r="U58" s="302"/>
      <c r="V58" s="302"/>
      <c r="W58" s="302" t="str">
        <f>IF(E58&lt;&gt;"",CONCATENATE("d",J49),"")</f>
        <v>d</v>
      </c>
      <c r="X58" s="302"/>
      <c r="Y58" s="302"/>
      <c r="Z58" s="302" t="str">
        <f t="shared" si="1"/>
        <v>0.0.0.0/0</v>
      </c>
      <c r="AA58" s="302"/>
      <c r="AB58" s="302"/>
    </row>
    <row r="59" spans="1:28" ht="14.25" hidden="1" customHeight="1" x14ac:dyDescent="0.25">
      <c r="AB59" s="36" t="s">
        <v>143</v>
      </c>
    </row>
    <row r="60" spans="1:28" ht="14.25" hidden="1" customHeight="1" x14ac:dyDescent="0.25">
      <c r="B60" s="4" t="s">
        <v>144</v>
      </c>
    </row>
    <row r="61" spans="1:28" ht="6" hidden="1" customHeight="1" x14ac:dyDescent="0.25">
      <c r="B61" s="4"/>
      <c r="G61" s="6"/>
    </row>
    <row r="62" spans="1:28" ht="14.25" hidden="1" customHeight="1" x14ac:dyDescent="0.25">
      <c r="B62" s="303" t="s">
        <v>147</v>
      </c>
      <c r="C62" s="303"/>
      <c r="D62" s="303"/>
      <c r="E62" s="303"/>
      <c r="F62" s="171">
        <v>20</v>
      </c>
      <c r="G62" s="303" t="s">
        <v>148</v>
      </c>
      <c r="H62" s="303"/>
      <c r="I62" s="303"/>
      <c r="J62" s="303"/>
      <c r="K62" s="288" t="e">
        <f>IF(E67&lt;&gt;"",IF(F62&lt;&gt;0,VLOOKUP(F62,'Site Info'!$G$34:$P$69,8,FALSE),"enter VLAN"),"")</f>
        <v>#N/A</v>
      </c>
      <c r="L62" s="289"/>
      <c r="M62" s="290"/>
      <c r="N62" s="303" t="s">
        <v>149</v>
      </c>
      <c r="O62" s="303"/>
      <c r="P62" s="303"/>
      <c r="Q62" s="303"/>
      <c r="R62" s="171">
        <v>10</v>
      </c>
    </row>
    <row r="63" spans="1:28" ht="14.25" hidden="1" customHeight="1" x14ac:dyDescent="0.25">
      <c r="B63" s="303" t="s">
        <v>150</v>
      </c>
      <c r="C63" s="303"/>
      <c r="D63" s="303"/>
      <c r="E63" s="303"/>
      <c r="F63" s="171" t="s">
        <v>1355</v>
      </c>
      <c r="G63" s="303"/>
      <c r="H63" s="303"/>
      <c r="I63" s="303"/>
      <c r="J63" s="303"/>
      <c r="K63" s="288"/>
      <c r="L63" s="289"/>
      <c r="M63" s="290"/>
    </row>
    <row r="64" spans="1:28" ht="14.25" hidden="1" customHeight="1" x14ac:dyDescent="0.25">
      <c r="B64" s="303" t="s">
        <v>91</v>
      </c>
      <c r="C64" s="303"/>
      <c r="D64" s="303"/>
      <c r="E64" s="303"/>
      <c r="F64" s="171" t="s">
        <v>16</v>
      </c>
      <c r="G64" s="35">
        <v>1852</v>
      </c>
      <c r="H64" s="35" t="s">
        <v>1377</v>
      </c>
      <c r="K64" s="35" t="s">
        <v>1349</v>
      </c>
      <c r="N64" s="35" t="s">
        <v>1378</v>
      </c>
    </row>
    <row r="65" spans="1:28" ht="14.25" hidden="1" customHeight="1" x14ac:dyDescent="0.25">
      <c r="J65" s="299" t="e">
        <f>IF(F62&lt;&gt;0,IF(E67&lt;&gt;"",VLOOKUP(F62,'Site Info'!$G$34:$P$69,2,FALSE),""),"")</f>
        <v>#N/A</v>
      </c>
      <c r="K65" s="299"/>
      <c r="L65" s="299"/>
    </row>
    <row r="66" spans="1:28" ht="14.25" hidden="1" customHeight="1" thickBot="1" x14ac:dyDescent="0.3">
      <c r="B66" s="312" t="s">
        <v>92</v>
      </c>
      <c r="C66" s="321"/>
      <c r="D66" s="313"/>
      <c r="E66" s="312" t="s">
        <v>146</v>
      </c>
      <c r="F66" s="321"/>
      <c r="G66" s="321"/>
      <c r="H66" s="321"/>
      <c r="I66" s="313"/>
      <c r="J66" s="312" t="s">
        <v>71</v>
      </c>
      <c r="K66" s="321"/>
      <c r="L66" s="313"/>
      <c r="M66" s="312" t="s">
        <v>93</v>
      </c>
      <c r="N66" s="321"/>
      <c r="O66" s="321"/>
      <c r="P66" s="313"/>
      <c r="Q66" s="312" t="s">
        <v>95</v>
      </c>
      <c r="R66" s="321"/>
      <c r="S66" s="313"/>
      <c r="T66" s="312" t="s">
        <v>96</v>
      </c>
      <c r="U66" s="321"/>
      <c r="V66" s="313"/>
      <c r="W66" s="312" t="s">
        <v>1269</v>
      </c>
      <c r="X66" s="321"/>
      <c r="Y66" s="313"/>
      <c r="Z66" s="258" t="s">
        <v>473</v>
      </c>
    </row>
    <row r="67" spans="1:28" ht="14.25" hidden="1" customHeight="1" x14ac:dyDescent="0.25">
      <c r="A67" s="26">
        <v>1</v>
      </c>
      <c r="B67" s="302" t="str">
        <f>IF(Inventory!$C$15&lt;&gt;"",CONCATENATE("iSCSI - Node ",A67),"")</f>
        <v>iSCSI - Node 1</v>
      </c>
      <c r="C67" s="302"/>
      <c r="D67" s="302"/>
      <c r="E67" s="302" t="str">
        <f>IF(B67&lt;&gt;"",CONCATENATE($K$9,"-i0",A67,"-01.",$F$11)," ")</f>
        <v>shpsan-block-01-i01-01.speedcast.com</v>
      </c>
      <c r="F67" s="302"/>
      <c r="G67" s="302"/>
      <c r="H67" s="302"/>
      <c r="I67" s="302"/>
      <c r="J67" s="288" t="s">
        <v>1362</v>
      </c>
      <c r="K67" s="289"/>
      <c r="L67" s="290"/>
      <c r="M67" s="288" t="str">
        <f>IF(B67&lt;&gt;"",CONCATENATE($K$9,"-i0",A67,"-01")," ")</f>
        <v>shpsan-block-01-i01-01</v>
      </c>
      <c r="N67" s="289"/>
      <c r="O67" s="289"/>
      <c r="P67" s="290"/>
      <c r="Q67" s="302" t="str">
        <f>IF(B67&lt;&gt;"",Inventory!$C$15,"")</f>
        <v>shpsan-01</v>
      </c>
      <c r="R67" s="302"/>
      <c r="S67" s="302"/>
      <c r="T67" s="302" t="str">
        <f>IF(AND(E67&lt;&gt;"",F64&lt;&gt;0,F63&lt;&gt;0,F62&lt;&gt;0),IF(F64&lt;&gt;"Yes",F63,CONCATENATE(F63,"-",F62)),"")</f>
        <v>a0a-20</v>
      </c>
      <c r="U67" s="302"/>
      <c r="V67" s="302"/>
      <c r="W67" s="302"/>
      <c r="X67" s="302"/>
      <c r="Y67" s="302"/>
      <c r="Z67" s="255" t="e">
        <f>IF($F$62&lt;&gt;0,IF(VLOOKUP($F$62,'Site Info'!$G$34:$V$69,8,FALSE)&lt;&gt;0,VLOOKUP($F$62,'Site Info'!$G$34:$V$69,11,FALSE),""),"")</f>
        <v>#N/A</v>
      </c>
    </row>
    <row r="68" spans="1:28" ht="14.25" hidden="1" customHeight="1" x14ac:dyDescent="0.25">
      <c r="A68" s="26">
        <v>2</v>
      </c>
      <c r="B68" s="302" t="str">
        <f>IF(Inventory!$C$16&lt;&gt;"",CONCATENATE("iSCSI - Node ",A68),"")</f>
        <v>iSCSI - Node 2</v>
      </c>
      <c r="C68" s="302"/>
      <c r="D68" s="302"/>
      <c r="E68" s="302" t="str">
        <f>IF(B68&lt;&gt;"",CONCATENATE($K$9,"-i0",A68,"-01.",$F$11)," ")</f>
        <v>shpsan-block-01-i02-01.speedcast.com</v>
      </c>
      <c r="F68" s="302"/>
      <c r="G68" s="302"/>
      <c r="H68" s="302"/>
      <c r="I68" s="302"/>
      <c r="J68" s="288" t="s">
        <v>1363</v>
      </c>
      <c r="K68" s="289"/>
      <c r="L68" s="290"/>
      <c r="M68" s="288" t="str">
        <f>IF(B68&lt;&gt;"",CONCATENATE($K$9,"-i0",A68,"-01")," ")</f>
        <v>shpsan-block-01-i02-01</v>
      </c>
      <c r="N68" s="289"/>
      <c r="O68" s="289"/>
      <c r="P68" s="290"/>
      <c r="Q68" s="302" t="str">
        <f>IF(B68&lt;&gt;"",Inventory!$C$16,"")</f>
        <v>shpsan-02</v>
      </c>
      <c r="R68" s="302"/>
      <c r="S68" s="302"/>
      <c r="T68" s="302" t="str">
        <f>IF(AND(E68&lt;&gt;"",F64&lt;&gt;0,F63&lt;&gt;0,F62&lt;&gt;0),IF(F64&lt;&gt;"Yes",F63,CONCATENATE(F63,"-",F62)),"")</f>
        <v>a0a-20</v>
      </c>
      <c r="U68" s="302"/>
      <c r="V68" s="302"/>
      <c r="W68" s="302"/>
      <c r="X68" s="302"/>
      <c r="Y68" s="302"/>
      <c r="Z68" s="255" t="e">
        <f>IF($F$62&lt;&gt;0,IF(VLOOKUP($F$62,'Site Info'!$G$34:$V$69,8,FALSE)&lt;&gt;0,VLOOKUP($F$62,'Site Info'!$G$34:$V$69,11,FALSE),""),"")</f>
        <v>#N/A</v>
      </c>
    </row>
    <row r="69" spans="1:28" ht="14.25" hidden="1" customHeight="1" x14ac:dyDescent="0.25">
      <c r="A69" s="26">
        <v>3</v>
      </c>
      <c r="B69" s="302" t="str">
        <f>IF(Inventory!$C$17&lt;&gt;"",CONCATENATE("iSCSI - Node ",A69),"")</f>
        <v/>
      </c>
      <c r="C69" s="302"/>
      <c r="D69" s="302"/>
      <c r="E69" s="302" t="str">
        <f>IF(B69&lt;&gt;"",CONCATENATE($K$9,"-i0",A69,"-01.",$F$11)," ")</f>
        <v xml:space="preserve"> </v>
      </c>
      <c r="F69" s="302"/>
      <c r="G69" s="302"/>
      <c r="H69" s="302"/>
      <c r="I69" s="302"/>
      <c r="J69" s="288"/>
      <c r="K69" s="289"/>
      <c r="L69" s="290"/>
      <c r="M69" s="288" t="str">
        <f t="shared" ref="M69:M74" si="2">IF(B69&lt;&gt;"",CONCATENATE($K$9,"-i0",A69,"-01")," ")</f>
        <v xml:space="preserve"> </v>
      </c>
      <c r="N69" s="289"/>
      <c r="O69" s="289"/>
      <c r="P69" s="290"/>
      <c r="Q69" s="302" t="str">
        <f>IF(B69&lt;&gt;"",Inventory!$C$16,"")</f>
        <v/>
      </c>
      <c r="R69" s="302"/>
      <c r="S69" s="302"/>
      <c r="T69" s="302" t="str">
        <f>IF(AND(E69&lt;&gt;"",F64&lt;&gt;0,F63&lt;&gt;0,F62&lt;&gt;0),IF(F64&lt;&gt;"Yes",F63,CONCATENATE(F63,"-",F62)),"")</f>
        <v>a0a-20</v>
      </c>
      <c r="U69" s="302"/>
      <c r="V69" s="302"/>
      <c r="W69" s="302"/>
      <c r="X69" s="302"/>
      <c r="Y69" s="302"/>
      <c r="Z69" s="255" t="e">
        <f>IF($F$62&lt;&gt;0,IF(VLOOKUP($F$62,'Site Info'!$G$34:$V$69,8,FALSE)&lt;&gt;0,VLOOKUP($F$62,'Site Info'!$G$34:$V$69,11,FALSE),""),"")</f>
        <v>#N/A</v>
      </c>
    </row>
    <row r="70" spans="1:28" ht="14.25" hidden="1" customHeight="1" x14ac:dyDescent="0.25">
      <c r="A70" s="26">
        <v>4</v>
      </c>
      <c r="B70" s="302" t="str">
        <f>IF(Inventory!$C$18&lt;&gt;"",CONCATENATE("iSCSI - Node ",A70),"")</f>
        <v/>
      </c>
      <c r="C70" s="302"/>
      <c r="D70" s="302"/>
      <c r="E70" s="302" t="str">
        <f t="shared" ref="E70:E74" si="3">IF(B70&lt;&gt;"",CONCATENATE($K$9,"-i0",A70,"-01.",$F$11)," ")</f>
        <v xml:space="preserve"> </v>
      </c>
      <c r="F70" s="302"/>
      <c r="G70" s="302"/>
      <c r="H70" s="302"/>
      <c r="I70" s="302"/>
      <c r="J70" s="288"/>
      <c r="K70" s="289"/>
      <c r="L70" s="290"/>
      <c r="M70" s="288" t="str">
        <f t="shared" si="2"/>
        <v xml:space="preserve"> </v>
      </c>
      <c r="N70" s="289"/>
      <c r="O70" s="289"/>
      <c r="P70" s="290"/>
      <c r="Q70" s="302" t="str">
        <f>IF(B70&lt;&gt;"",Inventory!$C$16,"")</f>
        <v/>
      </c>
      <c r="R70" s="302"/>
      <c r="S70" s="302"/>
      <c r="T70" s="302" t="str">
        <f>IF(AND(E70&lt;&gt;"",F64&lt;&gt;0,F63&lt;&gt;0,F62&lt;&gt;0),IF(F64&lt;&gt;"Yes",F63,CONCATENATE(F63,"-",F62)),"")</f>
        <v>a0a-20</v>
      </c>
      <c r="U70" s="302"/>
      <c r="V70" s="302"/>
      <c r="W70" s="302"/>
      <c r="X70" s="302"/>
      <c r="Y70" s="302"/>
      <c r="Z70" s="255" t="e">
        <f>IF($F$62&lt;&gt;0,IF(VLOOKUP($F$62,'Site Info'!$G$34:$V$69,8,FALSE)&lt;&gt;0,VLOOKUP($F$62,'Site Info'!$G$34:$V$69,11,FALSE),""),"")</f>
        <v>#N/A</v>
      </c>
    </row>
    <row r="71" spans="1:28" ht="14.25" hidden="1" customHeight="1" x14ac:dyDescent="0.25">
      <c r="A71" s="26">
        <v>5</v>
      </c>
      <c r="B71" s="302" t="str">
        <f>IF(Inventory!$C$19&lt;&gt;"",CONCATENATE("iSCSI - Node ",A71),"")</f>
        <v/>
      </c>
      <c r="C71" s="302"/>
      <c r="D71" s="302"/>
      <c r="E71" s="302" t="str">
        <f t="shared" si="3"/>
        <v xml:space="preserve"> </v>
      </c>
      <c r="F71" s="302"/>
      <c r="G71" s="302"/>
      <c r="H71" s="302"/>
      <c r="I71" s="302"/>
      <c r="J71" s="288"/>
      <c r="K71" s="289"/>
      <c r="L71" s="290"/>
      <c r="M71" s="288" t="str">
        <f t="shared" si="2"/>
        <v xml:space="preserve"> </v>
      </c>
      <c r="N71" s="289"/>
      <c r="O71" s="289"/>
      <c r="P71" s="290"/>
      <c r="Q71" s="302" t="str">
        <f>IF(B71&lt;&gt;"",Inventory!$C$16,"")</f>
        <v/>
      </c>
      <c r="R71" s="302"/>
      <c r="S71" s="302"/>
      <c r="T71" s="302" t="str">
        <f>IF(AND(E71&lt;&gt;"",F64&lt;&gt;0,F63&lt;&gt;0,F62&lt;&gt;0),IF(F64&lt;&gt;"Yes",F63,CONCATENATE(F63,"-",F62)),"")</f>
        <v>a0a-20</v>
      </c>
      <c r="U71" s="302"/>
      <c r="V71" s="302"/>
      <c r="W71" s="288"/>
      <c r="X71" s="289"/>
      <c r="Y71" s="290"/>
      <c r="Z71" s="255" t="e">
        <f>IF($F$62&lt;&gt;0,IF(VLOOKUP($F$62,'Site Info'!$G$34:$V$69,8,FALSE)&lt;&gt;0,VLOOKUP($F$62,'Site Info'!$G$34:$V$69,11,FALSE),""),"")</f>
        <v>#N/A</v>
      </c>
    </row>
    <row r="72" spans="1:28" ht="14.25" hidden="1" customHeight="1" x14ac:dyDescent="0.25">
      <c r="A72" s="26">
        <v>6</v>
      </c>
      <c r="B72" s="302" t="str">
        <f>IF(Inventory!$C$20&lt;&gt;"",CONCATENATE("iSCSI - Node ",A72),"")</f>
        <v/>
      </c>
      <c r="C72" s="302"/>
      <c r="D72" s="302"/>
      <c r="E72" s="302" t="str">
        <f t="shared" si="3"/>
        <v xml:space="preserve"> </v>
      </c>
      <c r="F72" s="302"/>
      <c r="G72" s="302"/>
      <c r="H72" s="302"/>
      <c r="I72" s="302"/>
      <c r="J72" s="288"/>
      <c r="K72" s="289"/>
      <c r="L72" s="290"/>
      <c r="M72" s="288" t="str">
        <f t="shared" si="2"/>
        <v xml:space="preserve"> </v>
      </c>
      <c r="N72" s="289"/>
      <c r="O72" s="289"/>
      <c r="P72" s="290"/>
      <c r="Q72" s="302" t="str">
        <f>IF(B72&lt;&gt;"",Inventory!$C$16,"")</f>
        <v/>
      </c>
      <c r="R72" s="302"/>
      <c r="S72" s="302"/>
      <c r="T72" s="302" t="str">
        <f>IF(AND(E72&lt;&gt;"",F64&lt;&gt;0,F63&lt;&gt;0,F62&lt;&gt;0),IF(F64&lt;&gt;"Yes",F63,CONCATENATE(F63,"-",F62)),"")</f>
        <v>a0a-20</v>
      </c>
      <c r="U72" s="302"/>
      <c r="V72" s="302"/>
      <c r="W72" s="288"/>
      <c r="X72" s="289"/>
      <c r="Y72" s="290"/>
      <c r="Z72" s="255" t="e">
        <f>IF($F$62&lt;&gt;0,IF(VLOOKUP($F$62,'Site Info'!$G$34:$V$69,8,FALSE)&lt;&gt;0,VLOOKUP($F$62,'Site Info'!$G$34:$V$69,11,FALSE),""),"")</f>
        <v>#N/A</v>
      </c>
    </row>
    <row r="73" spans="1:28" ht="14.25" hidden="1" customHeight="1" x14ac:dyDescent="0.25">
      <c r="A73" s="26">
        <v>7</v>
      </c>
      <c r="B73" s="302" t="str">
        <f>IF(Inventory!$C$21&lt;&gt;"",CONCATENATE("iSCSI - Node ",A73),"")</f>
        <v/>
      </c>
      <c r="C73" s="302"/>
      <c r="D73" s="302"/>
      <c r="E73" s="302" t="str">
        <f t="shared" si="3"/>
        <v xml:space="preserve"> </v>
      </c>
      <c r="F73" s="302"/>
      <c r="G73" s="302"/>
      <c r="H73" s="302"/>
      <c r="I73" s="302"/>
      <c r="J73" s="288"/>
      <c r="K73" s="289"/>
      <c r="L73" s="290"/>
      <c r="M73" s="288" t="str">
        <f t="shared" si="2"/>
        <v xml:space="preserve"> </v>
      </c>
      <c r="N73" s="289"/>
      <c r="O73" s="289"/>
      <c r="P73" s="290"/>
      <c r="Q73" s="302" t="str">
        <f>IF(B73&lt;&gt;"",Inventory!$C$16,"")</f>
        <v/>
      </c>
      <c r="R73" s="302"/>
      <c r="S73" s="302"/>
      <c r="T73" s="302" t="str">
        <f>IF(AND(E73&lt;&gt;"",F64&lt;&gt;0,F63&lt;&gt;0,F62&lt;&gt;0),IF(F64&lt;&gt;"Yes",F63,CONCATENATE(F63,"-",F62)),"")</f>
        <v>a0a-20</v>
      </c>
      <c r="U73" s="302"/>
      <c r="V73" s="302"/>
      <c r="W73" s="302"/>
      <c r="X73" s="302"/>
      <c r="Y73" s="302"/>
      <c r="Z73" s="255" t="e">
        <f>IF($F$62&lt;&gt;0,IF(VLOOKUP($F$62,'Site Info'!$G$34:$V$69,8,FALSE)&lt;&gt;0,VLOOKUP($F$62,'Site Info'!$G$34:$V$69,11,FALSE),""),"")</f>
        <v>#N/A</v>
      </c>
    </row>
    <row r="74" spans="1:28" ht="14.25" hidden="1" customHeight="1" x14ac:dyDescent="0.25">
      <c r="A74" s="26">
        <v>8</v>
      </c>
      <c r="B74" s="302" t="str">
        <f>IF(Inventory!$C$22&lt;&gt;"",CONCATENATE("iSCSI - Node ",A74),"")</f>
        <v/>
      </c>
      <c r="C74" s="302"/>
      <c r="D74" s="302"/>
      <c r="E74" s="302" t="str">
        <f t="shared" si="3"/>
        <v xml:space="preserve"> </v>
      </c>
      <c r="F74" s="302"/>
      <c r="G74" s="302"/>
      <c r="H74" s="302"/>
      <c r="I74" s="302"/>
      <c r="J74" s="288"/>
      <c r="K74" s="289"/>
      <c r="L74" s="290"/>
      <c r="M74" s="288" t="str">
        <f t="shared" si="2"/>
        <v xml:space="preserve"> </v>
      </c>
      <c r="N74" s="289"/>
      <c r="O74" s="289"/>
      <c r="P74" s="290"/>
      <c r="Q74" s="302" t="str">
        <f>IF(B74&lt;&gt;"",Inventory!$C$16,"")</f>
        <v/>
      </c>
      <c r="R74" s="302"/>
      <c r="S74" s="302"/>
      <c r="T74" s="302" t="str">
        <f>IF(AND(E74&lt;&gt;"",F64&lt;&gt;0,F63&lt;&gt;0,F62&lt;&gt;0),IF(F64&lt;&gt;"Yes",F63,CONCATENATE(F63,"-",F62)),"")</f>
        <v>a0a-20</v>
      </c>
      <c r="U74" s="302"/>
      <c r="V74" s="302"/>
      <c r="W74" s="302"/>
      <c r="X74" s="302"/>
      <c r="Y74" s="302"/>
      <c r="Z74" s="255" t="e">
        <f>IF($F$62&lt;&gt;0,IF(VLOOKUP($F$62,'Site Info'!$G$34:$V$69,8,FALSE)&lt;&gt;0,VLOOKUP($F$62,'Site Info'!$G$34:$V$69,11,FALSE),""),"")</f>
        <v>#N/A</v>
      </c>
    </row>
    <row r="75" spans="1:28" ht="14.25" hidden="1" customHeight="1" x14ac:dyDescent="0.25">
      <c r="AB75" s="36" t="s">
        <v>143</v>
      </c>
    </row>
    <row r="76" spans="1:28" ht="14.25" hidden="1" customHeight="1" x14ac:dyDescent="0.25">
      <c r="B76" s="4" t="s">
        <v>145</v>
      </c>
    </row>
    <row r="77" spans="1:28" ht="6" hidden="1" customHeight="1" x14ac:dyDescent="0.25">
      <c r="B77" s="4"/>
      <c r="G77" s="6"/>
    </row>
    <row r="78" spans="1:28" ht="14.25" hidden="1" customHeight="1" x14ac:dyDescent="0.25">
      <c r="B78" s="303" t="s">
        <v>147</v>
      </c>
      <c r="C78" s="303"/>
      <c r="D78" s="303"/>
      <c r="E78" s="303"/>
      <c r="F78" s="171">
        <v>21</v>
      </c>
      <c r="G78" s="303" t="s">
        <v>148</v>
      </c>
      <c r="H78" s="303"/>
      <c r="I78" s="303"/>
      <c r="J78" s="303"/>
      <c r="K78" s="288" t="e">
        <f>IF(E83&lt;&gt;"",IF(F78&lt;&gt;0,VLOOKUP(F78,'Site Info'!$G$34:$P$69,8,FALSE),"enter VLAN"),"")</f>
        <v>#N/A</v>
      </c>
      <c r="L78" s="289"/>
      <c r="M78" s="290"/>
      <c r="N78" s="303" t="s">
        <v>149</v>
      </c>
      <c r="O78" s="303"/>
      <c r="P78" s="303"/>
      <c r="Q78" s="303"/>
      <c r="R78" s="171">
        <v>10</v>
      </c>
    </row>
    <row r="79" spans="1:28" ht="14.25" hidden="1" customHeight="1" x14ac:dyDescent="0.25">
      <c r="B79" s="303" t="s">
        <v>150</v>
      </c>
      <c r="C79" s="303"/>
      <c r="D79" s="303"/>
      <c r="E79" s="303"/>
      <c r="F79" s="171" t="s">
        <v>1355</v>
      </c>
      <c r="G79" s="303" t="s">
        <v>151</v>
      </c>
      <c r="H79" s="303"/>
      <c r="I79" s="303"/>
      <c r="J79" s="303"/>
      <c r="K79" s="288" t="e">
        <f>IF(E83&lt;&gt;"",IF(F78&lt;&gt;0,VLOOKUP(F78,'Site Info'!$G$34:$P$69,5,FALSE),"enter VLAN"),"")</f>
        <v>#N/A</v>
      </c>
      <c r="L79" s="289"/>
      <c r="M79" s="290"/>
    </row>
    <row r="80" spans="1:28" ht="14.25" hidden="1" customHeight="1" x14ac:dyDescent="0.25">
      <c r="B80" s="303" t="s">
        <v>91</v>
      </c>
      <c r="C80" s="303"/>
      <c r="D80" s="303"/>
      <c r="E80" s="303"/>
      <c r="F80" s="171" t="s">
        <v>16</v>
      </c>
    </row>
    <row r="81" spans="1:34" ht="14.25" hidden="1" customHeight="1" x14ac:dyDescent="0.25">
      <c r="J81" s="299" t="e">
        <f>IF(F78&lt;&gt;0,IF(E83&lt;&gt;"",VLOOKUP(F78,'Site Info'!$G$34:$P$69,2,FALSE),""),"")</f>
        <v>#N/A</v>
      </c>
      <c r="K81" s="299"/>
      <c r="L81" s="299"/>
    </row>
    <row r="82" spans="1:34" ht="14.25" hidden="1" customHeight="1" thickBot="1" x14ac:dyDescent="0.3">
      <c r="B82" s="312" t="s">
        <v>92</v>
      </c>
      <c r="C82" s="321"/>
      <c r="D82" s="313"/>
      <c r="E82" s="312" t="s">
        <v>146</v>
      </c>
      <c r="F82" s="321"/>
      <c r="G82" s="321"/>
      <c r="H82" s="321"/>
      <c r="I82" s="313"/>
      <c r="J82" s="312" t="s">
        <v>71</v>
      </c>
      <c r="K82" s="321"/>
      <c r="L82" s="313"/>
      <c r="M82" s="312" t="s">
        <v>93</v>
      </c>
      <c r="N82" s="321"/>
      <c r="O82" s="321"/>
      <c r="P82" s="313"/>
      <c r="Q82" s="312" t="s">
        <v>95</v>
      </c>
      <c r="R82" s="321"/>
      <c r="S82" s="313"/>
      <c r="T82" s="312" t="s">
        <v>96</v>
      </c>
      <c r="U82" s="321"/>
      <c r="V82" s="313"/>
      <c r="W82" s="312" t="s">
        <v>1269</v>
      </c>
      <c r="X82" s="321"/>
      <c r="Y82" s="313"/>
      <c r="Z82" s="258" t="s">
        <v>473</v>
      </c>
    </row>
    <row r="83" spans="1:34" ht="14.25" hidden="1" customHeight="1" x14ac:dyDescent="0.25">
      <c r="A83" s="26">
        <v>1</v>
      </c>
      <c r="B83" s="302" t="str">
        <f>IF(Inventory!$C$15&lt;&gt;"",CONCATENATE("iSCSI - Node ",A83),"")</f>
        <v>iSCSI - Node 1</v>
      </c>
      <c r="C83" s="302"/>
      <c r="D83" s="302"/>
      <c r="E83" s="302" t="str">
        <f>IF(B83&lt;&gt;"",CONCATENATE($K$9,"-i0",A83,"-02.",$F$11)," ")</f>
        <v>shpsan-block-01-i01-02.speedcast.com</v>
      </c>
      <c r="F83" s="302"/>
      <c r="G83" s="302"/>
      <c r="H83" s="302"/>
      <c r="I83" s="302"/>
      <c r="J83" s="288" t="s">
        <v>1364</v>
      </c>
      <c r="K83" s="289"/>
      <c r="L83" s="290"/>
      <c r="M83" s="288" t="str">
        <f>IF(B83&lt;&gt;"",CONCATENATE($K$9,"-i0",A83,"-02")," ")</f>
        <v>shpsan-block-01-i01-02</v>
      </c>
      <c r="N83" s="289"/>
      <c r="O83" s="289"/>
      <c r="P83" s="290"/>
      <c r="Q83" s="302" t="str">
        <f>IF(B83&lt;&gt;"",Inventory!$C$15,"")</f>
        <v>shpsan-01</v>
      </c>
      <c r="R83" s="302"/>
      <c r="S83" s="302"/>
      <c r="T83" s="302" t="str">
        <f>IF(AND(E83&lt;&gt;"",F80&lt;&gt;0,F79&lt;&gt;0,F78&lt;&gt;0),IF(F80&lt;&gt;"Yes",F79,CONCATENATE(F79,"-",F78)),"")</f>
        <v>a0a-21</v>
      </c>
      <c r="U83" s="302"/>
      <c r="V83" s="302"/>
      <c r="W83" s="302"/>
      <c r="X83" s="302"/>
      <c r="Y83" s="302"/>
      <c r="Z83" s="255" t="e">
        <f>IF($F$78&lt;&gt;0,IF(VLOOKUP($F$78,'Site Info'!$G$34:$V$69,8,FALSE)&lt;&gt;0,VLOOKUP($F$78,'Site Info'!$G$34:$V$69,11,FALSE),""),"")</f>
        <v>#N/A</v>
      </c>
    </row>
    <row r="84" spans="1:34" ht="14.25" hidden="1" customHeight="1" x14ac:dyDescent="0.25">
      <c r="A84" s="26">
        <v>2</v>
      </c>
      <c r="B84" s="302" t="str">
        <f>IF(Inventory!$C$16&lt;&gt;"",CONCATENATE("iSCSI - Node ",A84),"")</f>
        <v>iSCSI - Node 2</v>
      </c>
      <c r="C84" s="302"/>
      <c r="D84" s="302"/>
      <c r="E84" s="302" t="str">
        <f>IF(B84&lt;&gt;"",CONCATENATE($K$9,"-i0",A84,"-02.",$F$11)," ")</f>
        <v>shpsan-block-01-i02-02.speedcast.com</v>
      </c>
      <c r="F84" s="302"/>
      <c r="G84" s="302"/>
      <c r="H84" s="302"/>
      <c r="I84" s="302"/>
      <c r="J84" s="288" t="s">
        <v>1365</v>
      </c>
      <c r="K84" s="289"/>
      <c r="L84" s="290"/>
      <c r="M84" s="288" t="str">
        <f t="shared" ref="M84:M90" si="4">IF(B84&lt;&gt;"",CONCATENATE($K$9,"-i0",A84,"-02")," ")</f>
        <v>shpsan-block-01-i02-02</v>
      </c>
      <c r="N84" s="289"/>
      <c r="O84" s="289"/>
      <c r="P84" s="290"/>
      <c r="Q84" s="302" t="str">
        <f>IF(B84&lt;&gt;"",Inventory!$C$16,"")</f>
        <v>shpsan-02</v>
      </c>
      <c r="R84" s="302"/>
      <c r="S84" s="302"/>
      <c r="T84" s="302" t="str">
        <f>IF(AND(E84&lt;&gt;"",F80&lt;&gt;0,F79&lt;&gt;0,F78&lt;&gt;0),IF(F80&lt;&gt;"Yes",F79,CONCATENATE(F79,"-",F78)),"")</f>
        <v>a0a-21</v>
      </c>
      <c r="U84" s="302"/>
      <c r="V84" s="302"/>
      <c r="W84" s="302"/>
      <c r="X84" s="302"/>
      <c r="Y84" s="302"/>
      <c r="Z84" s="255" t="e">
        <f>IF($F$78&lt;&gt;0,IF(VLOOKUP($F$78,'Site Info'!$G$34:$V$69,8,FALSE)&lt;&gt;0,VLOOKUP($F$78,'Site Info'!$G$34:$V$69,11,FALSE),""),"")</f>
        <v>#N/A</v>
      </c>
    </row>
    <row r="85" spans="1:34" ht="14.25" hidden="1" customHeight="1" x14ac:dyDescent="0.25">
      <c r="A85" s="26">
        <v>3</v>
      </c>
      <c r="B85" s="302" t="str">
        <f>IF(Inventory!$C$17&lt;&gt;"",CONCATENATE("iSCSI - Node ",A85),"")</f>
        <v/>
      </c>
      <c r="C85" s="302"/>
      <c r="D85" s="302"/>
      <c r="E85" s="302" t="str">
        <f t="shared" ref="E85:E90" si="5">IF(B85&lt;&gt;"",CONCATENATE($K$9,"-i0",A85,"-02.",$F$11)," ")</f>
        <v xml:space="preserve"> </v>
      </c>
      <c r="F85" s="302"/>
      <c r="G85" s="302"/>
      <c r="H85" s="302"/>
      <c r="I85" s="302"/>
      <c r="J85" s="288"/>
      <c r="K85" s="289"/>
      <c r="L85" s="290"/>
      <c r="M85" s="288" t="str">
        <f t="shared" si="4"/>
        <v xml:space="preserve"> </v>
      </c>
      <c r="N85" s="289"/>
      <c r="O85" s="289"/>
      <c r="P85" s="290"/>
      <c r="Q85" s="302" t="str">
        <f>IF(B85&lt;&gt;"",Inventory!$C$16,"")</f>
        <v/>
      </c>
      <c r="R85" s="302"/>
      <c r="S85" s="302"/>
      <c r="T85" s="302" t="str">
        <f>IF(AND(E85&lt;&gt;"",F80&lt;&gt;0,F79&lt;&gt;0,F78&lt;&gt;0),IF(F80&lt;&gt;"Yes",F79,CONCATENATE(F79,"-",F78)),"")</f>
        <v>a0a-21</v>
      </c>
      <c r="U85" s="302"/>
      <c r="V85" s="302"/>
      <c r="W85" s="302"/>
      <c r="X85" s="302"/>
      <c r="Y85" s="302"/>
      <c r="Z85" s="255" t="e">
        <f>IF($F$78&lt;&gt;0,IF(VLOOKUP($F$78,'Site Info'!$G$34:$V$69,8,FALSE)&lt;&gt;0,VLOOKUP($F$78,'Site Info'!$G$34:$V$69,11,FALSE),""),"")</f>
        <v>#N/A</v>
      </c>
    </row>
    <row r="86" spans="1:34" ht="14.25" hidden="1" customHeight="1" x14ac:dyDescent="0.25">
      <c r="A86" s="26">
        <v>4</v>
      </c>
      <c r="B86" s="302" t="str">
        <f>IF(Inventory!$C$18&lt;&gt;"",CONCATENATE("iSCSI - Node ",A86),"")</f>
        <v/>
      </c>
      <c r="C86" s="302"/>
      <c r="D86" s="302"/>
      <c r="E86" s="302" t="str">
        <f t="shared" si="5"/>
        <v xml:space="preserve"> </v>
      </c>
      <c r="F86" s="302"/>
      <c r="G86" s="302"/>
      <c r="H86" s="302"/>
      <c r="I86" s="302"/>
      <c r="J86" s="288"/>
      <c r="K86" s="289"/>
      <c r="L86" s="290"/>
      <c r="M86" s="288" t="str">
        <f t="shared" si="4"/>
        <v xml:space="preserve"> </v>
      </c>
      <c r="N86" s="289"/>
      <c r="O86" s="289"/>
      <c r="P86" s="290"/>
      <c r="Q86" s="302" t="str">
        <f>IF(B86&lt;&gt;"",Inventory!$C$16,"")</f>
        <v/>
      </c>
      <c r="R86" s="302"/>
      <c r="S86" s="302"/>
      <c r="T86" s="302" t="str">
        <f>IF(AND(E86&lt;&gt;"",F80&lt;&gt;0,F79&lt;&gt;0,F78&lt;&gt;0),IF(F80&lt;&gt;"Yes",F79,CONCATENATE(F79,"-",F78)),"")</f>
        <v>a0a-21</v>
      </c>
      <c r="U86" s="302"/>
      <c r="V86" s="302"/>
      <c r="W86" s="302"/>
      <c r="X86" s="302"/>
      <c r="Y86" s="302"/>
      <c r="Z86" s="255" t="e">
        <f>IF($F$78&lt;&gt;0,IF(VLOOKUP($F$78,'Site Info'!$G$34:$V$69,8,FALSE)&lt;&gt;0,VLOOKUP($F$78,'Site Info'!$G$34:$V$69,11,FALSE),""),"")</f>
        <v>#N/A</v>
      </c>
    </row>
    <row r="87" spans="1:34" ht="14.25" hidden="1" customHeight="1" x14ac:dyDescent="0.25">
      <c r="A87" s="26">
        <v>5</v>
      </c>
      <c r="B87" s="302" t="str">
        <f>IF(Inventory!$C$19&lt;&gt;"",CONCATENATE("iSCSI - Node ",A87),"")</f>
        <v/>
      </c>
      <c r="C87" s="302"/>
      <c r="D87" s="302"/>
      <c r="E87" s="302" t="str">
        <f t="shared" si="5"/>
        <v xml:space="preserve"> </v>
      </c>
      <c r="F87" s="302"/>
      <c r="G87" s="302"/>
      <c r="H87" s="302"/>
      <c r="I87" s="302"/>
      <c r="J87" s="288"/>
      <c r="K87" s="289"/>
      <c r="L87" s="290"/>
      <c r="M87" s="288" t="str">
        <f t="shared" si="4"/>
        <v xml:space="preserve"> </v>
      </c>
      <c r="N87" s="289"/>
      <c r="O87" s="289"/>
      <c r="P87" s="290"/>
      <c r="Q87" s="302" t="str">
        <f>IF(B87&lt;&gt;"",Inventory!$C$16,"")</f>
        <v/>
      </c>
      <c r="R87" s="302"/>
      <c r="S87" s="302"/>
      <c r="T87" s="302" t="str">
        <f>IF(AND(E87&lt;&gt;"",F80&lt;&gt;0,F79&lt;&gt;0,F78&lt;&gt;0),IF(F80&lt;&gt;"Yes",F79,CONCATENATE(F79,"-",F78)),"")</f>
        <v>a0a-21</v>
      </c>
      <c r="U87" s="302"/>
      <c r="V87" s="302"/>
      <c r="W87" s="288"/>
      <c r="X87" s="289"/>
      <c r="Y87" s="290"/>
      <c r="Z87" s="255" t="e">
        <f>IF($F$78&lt;&gt;0,IF(VLOOKUP($F$78,'Site Info'!$G$34:$V$69,8,FALSE)&lt;&gt;0,VLOOKUP($F$78,'Site Info'!$G$34:$V$69,11,FALSE),""),"")</f>
        <v>#N/A</v>
      </c>
    </row>
    <row r="88" spans="1:34" ht="14.25" hidden="1" customHeight="1" x14ac:dyDescent="0.25">
      <c r="A88" s="26">
        <v>6</v>
      </c>
      <c r="B88" s="302" t="str">
        <f>IF(Inventory!$C$20&lt;&gt;"",CONCATENATE("iSCSI - Node ",A88),"")</f>
        <v/>
      </c>
      <c r="C88" s="302"/>
      <c r="D88" s="302"/>
      <c r="E88" s="302" t="str">
        <f t="shared" si="5"/>
        <v xml:space="preserve"> </v>
      </c>
      <c r="F88" s="302"/>
      <c r="G88" s="302"/>
      <c r="H88" s="302"/>
      <c r="I88" s="302"/>
      <c r="J88" s="288"/>
      <c r="K88" s="289"/>
      <c r="L88" s="290"/>
      <c r="M88" s="288" t="str">
        <f t="shared" si="4"/>
        <v xml:space="preserve"> </v>
      </c>
      <c r="N88" s="289"/>
      <c r="O88" s="289"/>
      <c r="P88" s="290"/>
      <c r="Q88" s="302" t="str">
        <f>IF(B88&lt;&gt;"",Inventory!$C$16,"")</f>
        <v/>
      </c>
      <c r="R88" s="302"/>
      <c r="S88" s="302"/>
      <c r="T88" s="302" t="str">
        <f>IF(AND(E88&lt;&gt;"",F80&lt;&gt;0,F79&lt;&gt;0,F78&lt;&gt;0),IF(F80&lt;&gt;"Yes",F79,CONCATENATE(F79,"-",F78)),"")</f>
        <v>a0a-21</v>
      </c>
      <c r="U88" s="302"/>
      <c r="V88" s="302"/>
      <c r="W88" s="288"/>
      <c r="X88" s="289"/>
      <c r="Y88" s="290"/>
      <c r="Z88" s="255" t="e">
        <f>IF($F$78&lt;&gt;0,IF(VLOOKUP($F$78,'Site Info'!$G$34:$V$69,8,FALSE)&lt;&gt;0,VLOOKUP($F$78,'Site Info'!$G$34:$V$69,11,FALSE),""),"")</f>
        <v>#N/A</v>
      </c>
    </row>
    <row r="89" spans="1:34" ht="14.25" hidden="1" customHeight="1" x14ac:dyDescent="0.25">
      <c r="A89" s="26">
        <v>7</v>
      </c>
      <c r="B89" s="302" t="str">
        <f>IF(Inventory!$C$21&lt;&gt;"",CONCATENATE("iSCSI - Node ",A89),"")</f>
        <v/>
      </c>
      <c r="C89" s="302"/>
      <c r="D89" s="302"/>
      <c r="E89" s="302" t="str">
        <f t="shared" si="5"/>
        <v xml:space="preserve"> </v>
      </c>
      <c r="F89" s="302"/>
      <c r="G89" s="302"/>
      <c r="H89" s="302"/>
      <c r="I89" s="302"/>
      <c r="J89" s="288"/>
      <c r="K89" s="289"/>
      <c r="L89" s="290"/>
      <c r="M89" s="288" t="str">
        <f t="shared" si="4"/>
        <v xml:space="preserve"> </v>
      </c>
      <c r="N89" s="289"/>
      <c r="O89" s="289"/>
      <c r="P89" s="290"/>
      <c r="Q89" s="302" t="str">
        <f>IF(B89&lt;&gt;"",Inventory!$C$16,"")</f>
        <v/>
      </c>
      <c r="R89" s="302"/>
      <c r="S89" s="302"/>
      <c r="T89" s="302" t="str">
        <f>IF(AND(E89&lt;&gt;"",F80&lt;&gt;0,F79&lt;&gt;0,F78&lt;&gt;0),IF(F80&lt;&gt;"Yes",F79,CONCATENATE(F79,"-",F78)),"")</f>
        <v>a0a-21</v>
      </c>
      <c r="U89" s="302"/>
      <c r="V89" s="302"/>
      <c r="W89" s="302"/>
      <c r="X89" s="302"/>
      <c r="Y89" s="302"/>
      <c r="Z89" s="255" t="e">
        <f>IF($F$78&lt;&gt;0,IF(VLOOKUP($F$78,'Site Info'!$G$34:$V$69,8,FALSE)&lt;&gt;0,VLOOKUP($F$78,'Site Info'!$G$34:$V$69,11,FALSE),""),"")</f>
        <v>#N/A</v>
      </c>
    </row>
    <row r="90" spans="1:34" ht="14.25" hidden="1" customHeight="1" x14ac:dyDescent="0.25">
      <c r="A90" s="26">
        <v>8</v>
      </c>
      <c r="B90" s="302" t="str">
        <f>IF(Inventory!$C$22&lt;&gt;"",CONCATENATE("iSCSI - Node ",A90),"")</f>
        <v/>
      </c>
      <c r="C90" s="302"/>
      <c r="D90" s="302"/>
      <c r="E90" s="302" t="str">
        <f t="shared" si="5"/>
        <v xml:space="preserve"> </v>
      </c>
      <c r="F90" s="302"/>
      <c r="G90" s="302"/>
      <c r="H90" s="302"/>
      <c r="I90" s="302"/>
      <c r="J90" s="288"/>
      <c r="K90" s="289"/>
      <c r="L90" s="290"/>
      <c r="M90" s="288" t="str">
        <f t="shared" si="4"/>
        <v xml:space="preserve"> </v>
      </c>
      <c r="N90" s="289"/>
      <c r="O90" s="289"/>
      <c r="P90" s="290"/>
      <c r="Q90" s="302" t="str">
        <f>IF(B90&lt;&gt;"",Inventory!$C$16,"")</f>
        <v/>
      </c>
      <c r="R90" s="302"/>
      <c r="S90" s="302"/>
      <c r="T90" s="302" t="str">
        <f>IF(AND(E90&lt;&gt;"",F80&lt;&gt;0,F79&lt;&gt;0,F78&lt;&gt;0),IF(F80&lt;&gt;"Yes",F79,CONCATENATE(F79,"-",F78)),"")</f>
        <v>a0a-21</v>
      </c>
      <c r="U90" s="302"/>
      <c r="V90" s="302"/>
      <c r="W90" s="302"/>
      <c r="X90" s="302"/>
      <c r="Y90" s="302"/>
      <c r="Z90" s="255" t="e">
        <f>IF($F$78&lt;&gt;0,IF(VLOOKUP($F$78,'Site Info'!$G$34:$V$69,8,FALSE)&lt;&gt;0,VLOOKUP($F$78,'Site Info'!$G$34:$V$69,11,FALSE),""),"")</f>
        <v>#N/A</v>
      </c>
    </row>
    <row r="91" spans="1:34" ht="14.25" hidden="1" customHeight="1" x14ac:dyDescent="0.25">
      <c r="AB91" s="36" t="s">
        <v>143</v>
      </c>
    </row>
    <row r="92" spans="1:34" ht="14.25" hidden="1" customHeight="1" x14ac:dyDescent="0.25">
      <c r="B92" s="4" t="s">
        <v>476</v>
      </c>
    </row>
    <row r="93" spans="1:34" ht="6" hidden="1" customHeight="1" x14ac:dyDescent="0.25">
      <c r="B93" s="4"/>
      <c r="G93" s="6"/>
    </row>
    <row r="94" spans="1:34" ht="14.25" hidden="1" customHeight="1" thickBot="1" x14ac:dyDescent="0.3">
      <c r="B94" s="311" t="s">
        <v>475</v>
      </c>
      <c r="C94" s="311"/>
      <c r="D94" s="311"/>
      <c r="E94" s="311"/>
      <c r="F94" s="311"/>
      <c r="G94" s="312" t="s">
        <v>362</v>
      </c>
      <c r="H94" s="313"/>
      <c r="I94" s="311" t="s">
        <v>93</v>
      </c>
      <c r="J94" s="311"/>
      <c r="K94" s="311"/>
      <c r="L94" s="311"/>
      <c r="M94" s="173" t="s">
        <v>43</v>
      </c>
      <c r="N94" s="311" t="s">
        <v>71</v>
      </c>
      <c r="O94" s="311"/>
      <c r="P94" s="311"/>
      <c r="Q94" s="311" t="s">
        <v>46</v>
      </c>
      <c r="R94" s="311"/>
      <c r="S94" s="311"/>
      <c r="T94" s="311" t="s">
        <v>477</v>
      </c>
      <c r="U94" s="311"/>
      <c r="V94" s="311"/>
      <c r="W94" s="311" t="s">
        <v>95</v>
      </c>
      <c r="X94" s="311"/>
      <c r="Y94" s="311"/>
      <c r="Z94" s="311" t="s">
        <v>96</v>
      </c>
      <c r="AA94" s="311"/>
      <c r="AB94" s="311"/>
      <c r="AC94" s="312" t="s">
        <v>103</v>
      </c>
      <c r="AD94" s="321"/>
      <c r="AE94" s="313"/>
      <c r="AF94" s="312" t="s">
        <v>104</v>
      </c>
      <c r="AG94" s="321"/>
      <c r="AH94" s="313"/>
    </row>
    <row r="95" spans="1:34" ht="14.25" hidden="1" customHeight="1" x14ac:dyDescent="0.25">
      <c r="B95" s="298"/>
      <c r="C95" s="299"/>
      <c r="D95" s="299"/>
      <c r="E95" s="299"/>
      <c r="F95" s="300"/>
      <c r="G95" s="295"/>
      <c r="H95" s="296"/>
      <c r="I95" s="298"/>
      <c r="J95" s="299"/>
      <c r="K95" s="299"/>
      <c r="L95" s="300"/>
      <c r="M95" s="171"/>
      <c r="N95" s="298"/>
      <c r="O95" s="299"/>
      <c r="P95" s="300"/>
      <c r="Q95" s="298"/>
      <c r="R95" s="299"/>
      <c r="S95" s="300"/>
      <c r="T95" s="298"/>
      <c r="U95" s="299"/>
      <c r="V95" s="300"/>
      <c r="W95" s="298"/>
      <c r="X95" s="299"/>
      <c r="Y95" s="300"/>
      <c r="Z95" s="298"/>
      <c r="AA95" s="299"/>
      <c r="AB95" s="300"/>
      <c r="AC95" s="298"/>
      <c r="AD95" s="299"/>
      <c r="AE95" s="300"/>
      <c r="AF95" s="298"/>
      <c r="AG95" s="299"/>
      <c r="AH95" s="300"/>
    </row>
    <row r="96" spans="1:34" ht="14.25" hidden="1" customHeight="1" x14ac:dyDescent="0.25">
      <c r="B96" s="298"/>
      <c r="C96" s="299"/>
      <c r="D96" s="299"/>
      <c r="E96" s="299"/>
      <c r="F96" s="300"/>
      <c r="G96" s="288"/>
      <c r="H96" s="289"/>
      <c r="I96" s="298"/>
      <c r="J96" s="299"/>
      <c r="K96" s="299"/>
      <c r="L96" s="300"/>
      <c r="M96" s="171"/>
      <c r="N96" s="298"/>
      <c r="O96" s="299"/>
      <c r="P96" s="300"/>
      <c r="Q96" s="298"/>
      <c r="R96" s="299"/>
      <c r="S96" s="300"/>
      <c r="T96" s="298"/>
      <c r="U96" s="299"/>
      <c r="V96" s="300"/>
      <c r="W96" s="298"/>
      <c r="X96" s="299"/>
      <c r="Y96" s="300"/>
      <c r="Z96" s="298"/>
      <c r="AA96" s="299"/>
      <c r="AB96" s="300"/>
      <c r="AC96" s="298"/>
      <c r="AD96" s="299"/>
      <c r="AE96" s="300"/>
      <c r="AF96" s="298"/>
      <c r="AG96" s="299"/>
      <c r="AH96" s="300"/>
    </row>
    <row r="97" spans="1:34" ht="14.25" hidden="1" customHeight="1" x14ac:dyDescent="0.25">
      <c r="B97" s="298"/>
      <c r="C97" s="299"/>
      <c r="D97" s="299"/>
      <c r="E97" s="299"/>
      <c r="F97" s="300"/>
      <c r="G97" s="288"/>
      <c r="H97" s="289"/>
      <c r="I97" s="298"/>
      <c r="J97" s="299"/>
      <c r="K97" s="299"/>
      <c r="L97" s="300"/>
      <c r="M97" s="171"/>
      <c r="N97" s="298"/>
      <c r="O97" s="299"/>
      <c r="P97" s="300"/>
      <c r="Q97" s="298"/>
      <c r="R97" s="299"/>
      <c r="S97" s="300"/>
      <c r="T97" s="298"/>
      <c r="U97" s="299"/>
      <c r="V97" s="300"/>
      <c r="W97" s="298"/>
      <c r="X97" s="299"/>
      <c r="Y97" s="300"/>
      <c r="Z97" s="298"/>
      <c r="AA97" s="299"/>
      <c r="AB97" s="300"/>
      <c r="AC97" s="298"/>
      <c r="AD97" s="299"/>
      <c r="AE97" s="300"/>
      <c r="AF97" s="298"/>
      <c r="AG97" s="299"/>
      <c r="AH97" s="300"/>
    </row>
    <row r="98" spans="1:34" ht="14.25" hidden="1" customHeight="1" x14ac:dyDescent="0.25">
      <c r="B98" s="298"/>
      <c r="C98" s="299"/>
      <c r="D98" s="299"/>
      <c r="E98" s="299"/>
      <c r="F98" s="300"/>
      <c r="G98" s="288"/>
      <c r="H98" s="289"/>
      <c r="I98" s="298"/>
      <c r="J98" s="299"/>
      <c r="K98" s="299"/>
      <c r="L98" s="300"/>
      <c r="M98" s="171"/>
      <c r="N98" s="298"/>
      <c r="O98" s="299"/>
      <c r="P98" s="300"/>
      <c r="Q98" s="298"/>
      <c r="R98" s="299"/>
      <c r="S98" s="300"/>
      <c r="T98" s="298"/>
      <c r="U98" s="299"/>
      <c r="V98" s="300"/>
      <c r="W98" s="298"/>
      <c r="X98" s="299"/>
      <c r="Y98" s="300"/>
      <c r="Z98" s="298"/>
      <c r="AA98" s="299"/>
      <c r="AB98" s="300"/>
      <c r="AC98" s="298"/>
      <c r="AD98" s="299"/>
      <c r="AE98" s="300"/>
      <c r="AF98" s="298"/>
      <c r="AG98" s="299"/>
      <c r="AH98" s="300"/>
    </row>
    <row r="99" spans="1:34" ht="14.25" customHeight="1" x14ac:dyDescent="0.25">
      <c r="AB99" s="36"/>
    </row>
    <row r="100" spans="1:34" ht="14.25" customHeight="1" x14ac:dyDescent="0.25">
      <c r="B100" s="183" t="s">
        <v>934</v>
      </c>
      <c r="C100" s="183"/>
      <c r="D100" s="183"/>
      <c r="E100" s="183"/>
      <c r="F100" s="183"/>
      <c r="G100" s="184"/>
      <c r="H100" s="184"/>
      <c r="I100" s="184"/>
      <c r="J100" s="184"/>
      <c r="K100" s="184"/>
      <c r="L100" s="184"/>
      <c r="M100" s="184"/>
      <c r="N100" s="184"/>
      <c r="O100" s="184"/>
      <c r="P100" s="184"/>
      <c r="Q100" s="184"/>
      <c r="R100" s="184"/>
      <c r="S100" s="184"/>
      <c r="AB100" s="36"/>
    </row>
    <row r="101" spans="1:34" ht="14.25" customHeight="1" x14ac:dyDescent="0.25">
      <c r="B101" s="184"/>
      <c r="C101" s="184"/>
      <c r="D101" s="184"/>
      <c r="E101" s="184"/>
      <c r="F101" s="184"/>
      <c r="G101" s="184"/>
      <c r="H101" s="184"/>
      <c r="I101" s="184"/>
      <c r="J101" s="184"/>
      <c r="K101" s="184"/>
      <c r="L101" s="184"/>
      <c r="M101" s="184"/>
      <c r="N101" s="184"/>
      <c r="O101" s="184"/>
      <c r="P101" s="184"/>
      <c r="Q101" s="184"/>
      <c r="R101" s="184"/>
      <c r="S101" s="184"/>
      <c r="AB101" s="36"/>
    </row>
    <row r="102" spans="1:34" ht="14.25" customHeight="1" thickBot="1" x14ac:dyDescent="0.3">
      <c r="B102" s="385" t="s">
        <v>92</v>
      </c>
      <c r="C102" s="386"/>
      <c r="D102" s="387"/>
      <c r="E102" s="388" t="s">
        <v>935</v>
      </c>
      <c r="F102" s="386"/>
      <c r="G102" s="386"/>
      <c r="H102" s="386"/>
      <c r="I102" s="387"/>
      <c r="J102" s="388" t="s">
        <v>936</v>
      </c>
      <c r="K102" s="386"/>
      <c r="L102" s="387"/>
      <c r="M102" s="388" t="s">
        <v>937</v>
      </c>
      <c r="N102" s="386"/>
      <c r="O102" s="386"/>
      <c r="P102" s="387"/>
      <c r="Q102" s="388" t="s">
        <v>938</v>
      </c>
      <c r="R102" s="386"/>
      <c r="S102" s="387"/>
      <c r="AB102" s="36"/>
    </row>
    <row r="103" spans="1:34" ht="14.25" customHeight="1" x14ac:dyDescent="0.25">
      <c r="A103" s="35">
        <v>1</v>
      </c>
      <c r="B103" s="389" t="s">
        <v>939</v>
      </c>
      <c r="C103" s="390"/>
      <c r="D103" s="391"/>
      <c r="E103" s="392" t="str">
        <f>IF(B103&lt;&gt;"",CONCATENATE(K9,"-f01-",Q103)," ")</f>
        <v>shpsan-block-01-f01-</v>
      </c>
      <c r="F103" s="390"/>
      <c r="G103" s="390"/>
      <c r="H103" s="390"/>
      <c r="I103" s="391"/>
      <c r="J103" s="392"/>
      <c r="K103" s="390"/>
      <c r="L103" s="391"/>
      <c r="M103" s="392" t="str">
        <f>IF(B103&lt;&gt;"",Inventory!$C$15,"")</f>
        <v>shpsan-01</v>
      </c>
      <c r="N103" s="390"/>
      <c r="O103" s="390"/>
      <c r="P103" s="391"/>
      <c r="Q103" s="392"/>
      <c r="R103" s="390"/>
      <c r="S103" s="391"/>
      <c r="AB103" s="36"/>
    </row>
    <row r="104" spans="1:34" ht="14.25" customHeight="1" x14ac:dyDescent="0.25">
      <c r="A104" s="35">
        <v>1</v>
      </c>
      <c r="B104" s="393" t="s">
        <v>939</v>
      </c>
      <c r="C104" s="394"/>
      <c r="D104" s="395"/>
      <c r="E104" s="396" t="str">
        <f>IF(B104&lt;&gt;"",CONCATENATE(K9,"-f01-",Q104)," ")</f>
        <v>shpsan-block-01-f01-</v>
      </c>
      <c r="F104" s="394"/>
      <c r="G104" s="394"/>
      <c r="H104" s="394"/>
      <c r="I104" s="395"/>
      <c r="J104" s="396"/>
      <c r="K104" s="394"/>
      <c r="L104" s="395"/>
      <c r="M104" s="396" t="str">
        <f>IF(B104&lt;&gt;"",Inventory!$C$15,"")</f>
        <v>shpsan-01</v>
      </c>
      <c r="N104" s="394"/>
      <c r="O104" s="394"/>
      <c r="P104" s="395"/>
      <c r="Q104" s="396"/>
      <c r="R104" s="394"/>
      <c r="S104" s="395"/>
      <c r="AB104" s="36"/>
    </row>
    <row r="105" spans="1:34" ht="14.25" customHeight="1" x14ac:dyDescent="0.25">
      <c r="A105" s="35">
        <v>2</v>
      </c>
      <c r="B105" s="393" t="s">
        <v>944</v>
      </c>
      <c r="C105" s="394"/>
      <c r="D105" s="395"/>
      <c r="E105" s="396" t="str">
        <f>IF(B105&lt;&gt;"",CONCATENATE(K9,"-f02-",Q105)," ")</f>
        <v>shpsan-block-01-f02-</v>
      </c>
      <c r="F105" s="394"/>
      <c r="G105" s="394"/>
      <c r="H105" s="394"/>
      <c r="I105" s="395"/>
      <c r="J105" s="396"/>
      <c r="K105" s="394"/>
      <c r="L105" s="395"/>
      <c r="M105" s="396" t="str">
        <f>IF(B105&lt;&gt;"",Inventory!$C$16,"")</f>
        <v>shpsan-02</v>
      </c>
      <c r="N105" s="394"/>
      <c r="O105" s="394"/>
      <c r="P105" s="395"/>
      <c r="Q105" s="396"/>
      <c r="R105" s="394"/>
      <c r="S105" s="395"/>
      <c r="AB105" s="36"/>
    </row>
    <row r="106" spans="1:34" ht="14.25" customHeight="1" x14ac:dyDescent="0.25">
      <c r="A106" s="35">
        <v>2</v>
      </c>
      <c r="B106" s="393" t="s">
        <v>944</v>
      </c>
      <c r="C106" s="394"/>
      <c r="D106" s="395"/>
      <c r="E106" s="396" t="str">
        <f>IF(B106&lt;&gt;"",CONCATENATE(K9,"-f02-",Q106)," ")</f>
        <v>shpsan-block-01-f02-</v>
      </c>
      <c r="F106" s="394"/>
      <c r="G106" s="394"/>
      <c r="H106" s="394"/>
      <c r="I106" s="395"/>
      <c r="J106" s="396"/>
      <c r="K106" s="394"/>
      <c r="L106" s="395"/>
      <c r="M106" s="396" t="str">
        <f>IF(B106&lt;&gt;"",Inventory!$C$16,"")</f>
        <v>shpsan-02</v>
      </c>
      <c r="N106" s="394"/>
      <c r="O106" s="394"/>
      <c r="P106" s="395"/>
      <c r="Q106" s="396"/>
      <c r="R106" s="394"/>
      <c r="S106" s="395"/>
      <c r="AB106" s="36"/>
    </row>
    <row r="107" spans="1:34" ht="14.25" customHeight="1" x14ac:dyDescent="0.25">
      <c r="P107" s="347"/>
      <c r="Q107" s="347"/>
      <c r="R107" s="347"/>
      <c r="AB107" s="36"/>
    </row>
    <row r="108" spans="1:34" ht="14.25" hidden="1" customHeight="1" x14ac:dyDescent="0.25">
      <c r="B108" s="4" t="s">
        <v>450</v>
      </c>
    </row>
    <row r="109" spans="1:34" ht="6" hidden="1" customHeight="1" x14ac:dyDescent="0.25">
      <c r="B109" s="4"/>
      <c r="G109" s="6"/>
    </row>
    <row r="110" spans="1:34" ht="14.25" hidden="1" customHeight="1" x14ac:dyDescent="0.25">
      <c r="B110" s="303" t="s">
        <v>451</v>
      </c>
      <c r="C110" s="303"/>
      <c r="D110" s="303"/>
      <c r="E110" s="303"/>
      <c r="F110" s="288"/>
      <c r="G110" s="289"/>
      <c r="H110" s="290"/>
      <c r="J110" s="303" t="s">
        <v>458</v>
      </c>
      <c r="K110" s="303"/>
      <c r="L110" s="303"/>
      <c r="M110" s="303"/>
      <c r="N110" s="288"/>
      <c r="O110" s="289"/>
      <c r="P110" s="290"/>
      <c r="Q110" s="288"/>
      <c r="R110" s="289"/>
      <c r="S110" s="290"/>
    </row>
    <row r="111" spans="1:34" ht="14.25" hidden="1" customHeight="1" x14ac:dyDescent="0.25">
      <c r="B111" s="303" t="s">
        <v>452</v>
      </c>
      <c r="C111" s="303"/>
      <c r="D111" s="303"/>
      <c r="E111" s="303"/>
      <c r="F111" s="288"/>
      <c r="G111" s="289"/>
      <c r="H111" s="290"/>
      <c r="J111" s="303" t="s">
        <v>454</v>
      </c>
      <c r="K111" s="303"/>
      <c r="L111" s="303"/>
      <c r="M111" s="303"/>
      <c r="N111" s="288"/>
      <c r="O111" s="289"/>
      <c r="P111" s="289"/>
      <c r="Q111" s="289"/>
      <c r="R111" s="290"/>
    </row>
    <row r="112" spans="1:34" ht="14.25" hidden="1" customHeight="1" x14ac:dyDescent="0.25">
      <c r="B112" s="303" t="s">
        <v>453</v>
      </c>
      <c r="C112" s="303"/>
      <c r="D112" s="303"/>
      <c r="E112" s="303"/>
      <c r="F112" s="288"/>
      <c r="G112" s="289"/>
      <c r="H112" s="290"/>
    </row>
    <row r="113" spans="2:19" ht="14.25" hidden="1" customHeight="1" x14ac:dyDescent="0.25"/>
    <row r="114" spans="2:19" ht="14.25" hidden="1" customHeight="1" x14ac:dyDescent="0.25">
      <c r="B114" s="4" t="s">
        <v>474</v>
      </c>
    </row>
    <row r="115" spans="2:19" ht="6" hidden="1" customHeight="1" x14ac:dyDescent="0.25">
      <c r="B115" s="4"/>
      <c r="G115" s="6"/>
    </row>
    <row r="116" spans="2:19" ht="14.25" hidden="1" customHeight="1" x14ac:dyDescent="0.25">
      <c r="B116" s="303" t="s">
        <v>600</v>
      </c>
      <c r="C116" s="303"/>
      <c r="D116" s="303"/>
      <c r="E116" s="303"/>
      <c r="F116" s="288"/>
      <c r="G116" s="289"/>
      <c r="H116" s="289"/>
      <c r="I116" s="289"/>
      <c r="J116" s="290"/>
      <c r="K116" s="303" t="s">
        <v>602</v>
      </c>
      <c r="L116" s="303"/>
      <c r="M116" s="303"/>
      <c r="N116" s="303"/>
      <c r="O116" s="288"/>
      <c r="P116" s="289"/>
      <c r="Q116" s="289"/>
      <c r="R116" s="289"/>
      <c r="S116" s="290"/>
    </row>
    <row r="117" spans="2:19" ht="14.25" hidden="1" customHeight="1" x14ac:dyDescent="0.25">
      <c r="B117" s="303" t="s">
        <v>601</v>
      </c>
      <c r="C117" s="303"/>
      <c r="D117" s="303"/>
      <c r="E117" s="303"/>
      <c r="F117" s="288"/>
      <c r="G117" s="289"/>
      <c r="H117" s="289"/>
      <c r="I117" s="289"/>
      <c r="J117" s="290"/>
      <c r="K117" s="303" t="s">
        <v>603</v>
      </c>
      <c r="L117" s="303"/>
      <c r="M117" s="303"/>
      <c r="N117" s="303"/>
      <c r="O117" s="288"/>
      <c r="P117" s="289"/>
      <c r="Q117" s="289"/>
      <c r="R117" s="289"/>
      <c r="S117" s="290"/>
    </row>
    <row r="118" spans="2:19" ht="14.25" hidden="1" customHeight="1" x14ac:dyDescent="0.25"/>
    <row r="119" spans="2:19" ht="14.25" hidden="1" customHeight="1" x14ac:dyDescent="0.25">
      <c r="B119" s="4" t="s">
        <v>455</v>
      </c>
    </row>
    <row r="120" spans="2:19" ht="6" hidden="1" customHeight="1" x14ac:dyDescent="0.25">
      <c r="B120" s="4"/>
      <c r="G120" s="6"/>
    </row>
    <row r="121" spans="2:19" ht="14.25" hidden="1" customHeight="1" x14ac:dyDescent="0.25">
      <c r="B121" s="303" t="s">
        <v>456</v>
      </c>
      <c r="C121" s="303"/>
      <c r="D121" s="303"/>
      <c r="E121" s="303"/>
      <c r="F121" s="288"/>
      <c r="G121" s="289"/>
      <c r="H121" s="289"/>
      <c r="I121" s="289"/>
      <c r="J121" s="290"/>
    </row>
    <row r="122" spans="2:19" ht="14.25" hidden="1" customHeight="1" x14ac:dyDescent="0.25">
      <c r="B122" s="303" t="s">
        <v>457</v>
      </c>
      <c r="C122" s="303"/>
      <c r="D122" s="303"/>
      <c r="E122" s="303"/>
      <c r="F122" s="288"/>
      <c r="G122" s="289"/>
      <c r="H122" s="290"/>
      <c r="I122" s="288"/>
      <c r="J122" s="289"/>
      <c r="K122" s="290"/>
    </row>
    <row r="123" spans="2:19" ht="14.25" customHeight="1" x14ac:dyDescent="0.25"/>
    <row r="124" spans="2:19" ht="14.25" customHeight="1" x14ac:dyDescent="0.25"/>
    <row r="125" spans="2:19" ht="14.25" customHeight="1" x14ac:dyDescent="0.25"/>
    <row r="126" spans="2:19" ht="14.25" customHeight="1" x14ac:dyDescent="0.25"/>
    <row r="127" spans="2:19" ht="14.25" customHeight="1" x14ac:dyDescent="0.25"/>
    <row r="128" spans="2:19"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sheetData>
  <mergeCells count="454">
    <mergeCell ref="O117:S117"/>
    <mergeCell ref="O116:S116"/>
    <mergeCell ref="P107:R107"/>
    <mergeCell ref="B102:D102"/>
    <mergeCell ref="E102:I102"/>
    <mergeCell ref="J102:L102"/>
    <mergeCell ref="M102:P102"/>
    <mergeCell ref="Q102:S102"/>
    <mergeCell ref="B103:D103"/>
    <mergeCell ref="E103:I103"/>
    <mergeCell ref="J103:L103"/>
    <mergeCell ref="M103:P103"/>
    <mergeCell ref="Q103:S103"/>
    <mergeCell ref="B104:D104"/>
    <mergeCell ref="E104:I104"/>
    <mergeCell ref="J104:L104"/>
    <mergeCell ref="M104:P104"/>
    <mergeCell ref="Q104:S104"/>
    <mergeCell ref="B105:D105"/>
    <mergeCell ref="E105:I105"/>
    <mergeCell ref="J105:L105"/>
    <mergeCell ref="M105:P105"/>
    <mergeCell ref="Q105:S105"/>
    <mergeCell ref="B106:D106"/>
    <mergeCell ref="I12:K12"/>
    <mergeCell ref="L12:N12"/>
    <mergeCell ref="B22:E22"/>
    <mergeCell ref="J23:L23"/>
    <mergeCell ref="W24:Y24"/>
    <mergeCell ref="B25:D25"/>
    <mergeCell ref="E25:I25"/>
    <mergeCell ref="J25:L25"/>
    <mergeCell ref="M25:P25"/>
    <mergeCell ref="Q25:S25"/>
    <mergeCell ref="T25:V25"/>
    <mergeCell ref="W25:Y25"/>
    <mergeCell ref="B24:D24"/>
    <mergeCell ref="E24:I24"/>
    <mergeCell ref="J24:L24"/>
    <mergeCell ref="M24:P24"/>
    <mergeCell ref="Q24:S24"/>
    <mergeCell ref="T24:V24"/>
    <mergeCell ref="T16:W16"/>
    <mergeCell ref="X16:Z16"/>
    <mergeCell ref="R5:AE5"/>
    <mergeCell ref="B8:E8"/>
    <mergeCell ref="G8:J8"/>
    <mergeCell ref="K8:O8"/>
    <mergeCell ref="B9:E9"/>
    <mergeCell ref="G9:J9"/>
    <mergeCell ref="K9:O9"/>
    <mergeCell ref="N20:Q20"/>
    <mergeCell ref="B21:E21"/>
    <mergeCell ref="G21:J21"/>
    <mergeCell ref="K21:M21"/>
    <mergeCell ref="B14:E14"/>
    <mergeCell ref="B16:E16"/>
    <mergeCell ref="F16:J16"/>
    <mergeCell ref="B20:E20"/>
    <mergeCell ref="G20:J20"/>
    <mergeCell ref="K20:M20"/>
    <mergeCell ref="T18:V18"/>
    <mergeCell ref="W18:AB18"/>
    <mergeCell ref="B11:E11"/>
    <mergeCell ref="F11:I11"/>
    <mergeCell ref="S11:AB11"/>
    <mergeCell ref="B12:E12"/>
    <mergeCell ref="F12:H12"/>
    <mergeCell ref="B31:E31"/>
    <mergeCell ref="G31:J31"/>
    <mergeCell ref="K31:O31"/>
    <mergeCell ref="J33:L33"/>
    <mergeCell ref="B34:D34"/>
    <mergeCell ref="E34:I34"/>
    <mergeCell ref="J34:L34"/>
    <mergeCell ref="M34:P34"/>
    <mergeCell ref="B29:E29"/>
    <mergeCell ref="G29:J29"/>
    <mergeCell ref="K29:M29"/>
    <mergeCell ref="N29:Q29"/>
    <mergeCell ref="B30:E30"/>
    <mergeCell ref="G30:J30"/>
    <mergeCell ref="K30:M30"/>
    <mergeCell ref="Q34:S34"/>
    <mergeCell ref="T34:V34"/>
    <mergeCell ref="W34:Y34"/>
    <mergeCell ref="Z34:AB34"/>
    <mergeCell ref="B35:D35"/>
    <mergeCell ref="E35:I35"/>
    <mergeCell ref="J35:L35"/>
    <mergeCell ref="M35:P35"/>
    <mergeCell ref="Q35:S35"/>
    <mergeCell ref="T35:V35"/>
    <mergeCell ref="W35:Y35"/>
    <mergeCell ref="Z35:AB35"/>
    <mergeCell ref="B36:D36"/>
    <mergeCell ref="E36:I36"/>
    <mergeCell ref="J36:L36"/>
    <mergeCell ref="M36:P36"/>
    <mergeCell ref="Q36:S36"/>
    <mergeCell ref="T36:V36"/>
    <mergeCell ref="W36:Y36"/>
    <mergeCell ref="Z36:AB36"/>
    <mergeCell ref="W37:Y37"/>
    <mergeCell ref="Z37:AB37"/>
    <mergeCell ref="B38:D38"/>
    <mergeCell ref="E38:I38"/>
    <mergeCell ref="J38:L38"/>
    <mergeCell ref="M38:P38"/>
    <mergeCell ref="Q38:S38"/>
    <mergeCell ref="T38:V38"/>
    <mergeCell ref="W38:Y38"/>
    <mergeCell ref="Z38:AB38"/>
    <mergeCell ref="B37:D37"/>
    <mergeCell ref="E37:I37"/>
    <mergeCell ref="J37:L37"/>
    <mergeCell ref="M37:P37"/>
    <mergeCell ref="Q37:S37"/>
    <mergeCell ref="T37:V37"/>
    <mergeCell ref="W39:Y39"/>
    <mergeCell ref="Z39:AB39"/>
    <mergeCell ref="B40:D40"/>
    <mergeCell ref="E40:I40"/>
    <mergeCell ref="J40:L40"/>
    <mergeCell ref="M40:P40"/>
    <mergeCell ref="Q40:S40"/>
    <mergeCell ref="T40:V40"/>
    <mergeCell ref="W40:Y40"/>
    <mergeCell ref="Z40:AB40"/>
    <mergeCell ref="B39:D39"/>
    <mergeCell ref="E39:I39"/>
    <mergeCell ref="J39:L39"/>
    <mergeCell ref="M39:P39"/>
    <mergeCell ref="Q39:S39"/>
    <mergeCell ref="T39:V39"/>
    <mergeCell ref="W41:Y41"/>
    <mergeCell ref="Z41:AB41"/>
    <mergeCell ref="B42:D42"/>
    <mergeCell ref="E42:I42"/>
    <mergeCell ref="J42:L42"/>
    <mergeCell ref="M42:P42"/>
    <mergeCell ref="Q42:S42"/>
    <mergeCell ref="T42:V42"/>
    <mergeCell ref="W42:Y42"/>
    <mergeCell ref="Z42:AB42"/>
    <mergeCell ref="B41:D41"/>
    <mergeCell ref="E41:I41"/>
    <mergeCell ref="J41:L41"/>
    <mergeCell ref="M41:P41"/>
    <mergeCell ref="Q41:S41"/>
    <mergeCell ref="T41:V41"/>
    <mergeCell ref="B48:E48"/>
    <mergeCell ref="G48:J48"/>
    <mergeCell ref="K48:O48"/>
    <mergeCell ref="J49:L49"/>
    <mergeCell ref="B50:D50"/>
    <mergeCell ref="E50:I50"/>
    <mergeCell ref="J50:L50"/>
    <mergeCell ref="M50:P50"/>
    <mergeCell ref="B46:E46"/>
    <mergeCell ref="G46:J46"/>
    <mergeCell ref="K46:M46"/>
    <mergeCell ref="N46:Q46"/>
    <mergeCell ref="B47:E47"/>
    <mergeCell ref="G47:J47"/>
    <mergeCell ref="K47:M47"/>
    <mergeCell ref="Q50:S50"/>
    <mergeCell ref="T50:V50"/>
    <mergeCell ref="W50:Y50"/>
    <mergeCell ref="Z50:AB50"/>
    <mergeCell ref="B51:D51"/>
    <mergeCell ref="E51:I51"/>
    <mergeCell ref="J51:L51"/>
    <mergeCell ref="M51:P51"/>
    <mergeCell ref="Q51:S51"/>
    <mergeCell ref="T51:V51"/>
    <mergeCell ref="W51:Y51"/>
    <mergeCell ref="Z51:AB51"/>
    <mergeCell ref="B52:D52"/>
    <mergeCell ref="E52:I52"/>
    <mergeCell ref="J52:L52"/>
    <mergeCell ref="M52:P52"/>
    <mergeCell ref="Q52:S52"/>
    <mergeCell ref="T52:V52"/>
    <mergeCell ref="W52:Y52"/>
    <mergeCell ref="Z52:AB52"/>
    <mergeCell ref="W53:Y53"/>
    <mergeCell ref="Z53:AB53"/>
    <mergeCell ref="B54:D54"/>
    <mergeCell ref="E54:I54"/>
    <mergeCell ref="J54:L54"/>
    <mergeCell ref="M54:P54"/>
    <mergeCell ref="Q54:S54"/>
    <mergeCell ref="T54:V54"/>
    <mergeCell ref="W54:Y54"/>
    <mergeCell ref="Z54:AB54"/>
    <mergeCell ref="B53:D53"/>
    <mergeCell ref="E53:I53"/>
    <mergeCell ref="J53:L53"/>
    <mergeCell ref="M53:P53"/>
    <mergeCell ref="Q53:S53"/>
    <mergeCell ref="T53:V53"/>
    <mergeCell ref="W55:Y55"/>
    <mergeCell ref="Z55:AB55"/>
    <mergeCell ref="B56:D56"/>
    <mergeCell ref="E56:I56"/>
    <mergeCell ref="J56:L56"/>
    <mergeCell ref="M56:P56"/>
    <mergeCell ref="Q56:S56"/>
    <mergeCell ref="T56:V56"/>
    <mergeCell ref="W56:Y56"/>
    <mergeCell ref="Z56:AB56"/>
    <mergeCell ref="B55:D55"/>
    <mergeCell ref="E55:I55"/>
    <mergeCell ref="J55:L55"/>
    <mergeCell ref="M55:P55"/>
    <mergeCell ref="Q55:S55"/>
    <mergeCell ref="T55:V55"/>
    <mergeCell ref="W57:Y57"/>
    <mergeCell ref="Z57:AB57"/>
    <mergeCell ref="B58:D58"/>
    <mergeCell ref="E58:I58"/>
    <mergeCell ref="J58:L58"/>
    <mergeCell ref="M58:P58"/>
    <mergeCell ref="Q58:S58"/>
    <mergeCell ref="T58:V58"/>
    <mergeCell ref="W58:Y58"/>
    <mergeCell ref="Z58:AB58"/>
    <mergeCell ref="B57:D57"/>
    <mergeCell ref="E57:I57"/>
    <mergeCell ref="J57:L57"/>
    <mergeCell ref="M57:P57"/>
    <mergeCell ref="Q57:S57"/>
    <mergeCell ref="T57:V57"/>
    <mergeCell ref="B64:E64"/>
    <mergeCell ref="J65:L65"/>
    <mergeCell ref="B66:D66"/>
    <mergeCell ref="E66:I66"/>
    <mergeCell ref="J66:L66"/>
    <mergeCell ref="M66:P66"/>
    <mergeCell ref="B62:E62"/>
    <mergeCell ref="G62:J62"/>
    <mergeCell ref="K62:M62"/>
    <mergeCell ref="N62:Q62"/>
    <mergeCell ref="B63:E63"/>
    <mergeCell ref="G63:J63"/>
    <mergeCell ref="K63:M63"/>
    <mergeCell ref="Q66:S66"/>
    <mergeCell ref="T66:V66"/>
    <mergeCell ref="W66:Y66"/>
    <mergeCell ref="B67:D67"/>
    <mergeCell ref="E67:I67"/>
    <mergeCell ref="J67:L67"/>
    <mergeCell ref="M67:P67"/>
    <mergeCell ref="Q67:S67"/>
    <mergeCell ref="T67:V67"/>
    <mergeCell ref="W67:Y67"/>
    <mergeCell ref="B68:D68"/>
    <mergeCell ref="E68:I68"/>
    <mergeCell ref="J68:L68"/>
    <mergeCell ref="M68:P68"/>
    <mergeCell ref="Q68:S68"/>
    <mergeCell ref="T68:V68"/>
    <mergeCell ref="W68:Y68"/>
    <mergeCell ref="W69:Y69"/>
    <mergeCell ref="B70:D70"/>
    <mergeCell ref="E70:I70"/>
    <mergeCell ref="J70:L70"/>
    <mergeCell ref="M70:P70"/>
    <mergeCell ref="Q70:S70"/>
    <mergeCell ref="T70:V70"/>
    <mergeCell ref="W70:Y70"/>
    <mergeCell ref="B69:D69"/>
    <mergeCell ref="E69:I69"/>
    <mergeCell ref="J69:L69"/>
    <mergeCell ref="M69:P69"/>
    <mergeCell ref="Q69:S69"/>
    <mergeCell ref="T69:V69"/>
    <mergeCell ref="W71:Y71"/>
    <mergeCell ref="B72:D72"/>
    <mergeCell ref="E72:I72"/>
    <mergeCell ref="J72:L72"/>
    <mergeCell ref="M72:P72"/>
    <mergeCell ref="Q72:S72"/>
    <mergeCell ref="T72:V72"/>
    <mergeCell ref="W72:Y72"/>
    <mergeCell ref="B71:D71"/>
    <mergeCell ref="E71:I71"/>
    <mergeCell ref="J71:L71"/>
    <mergeCell ref="M71:P71"/>
    <mergeCell ref="Q71:S71"/>
    <mergeCell ref="T71:V71"/>
    <mergeCell ref="W73:Y73"/>
    <mergeCell ref="B74:D74"/>
    <mergeCell ref="E74:I74"/>
    <mergeCell ref="J74:L74"/>
    <mergeCell ref="M74:P74"/>
    <mergeCell ref="Q74:S74"/>
    <mergeCell ref="T74:V74"/>
    <mergeCell ref="W74:Y74"/>
    <mergeCell ref="B73:D73"/>
    <mergeCell ref="E73:I73"/>
    <mergeCell ref="J73:L73"/>
    <mergeCell ref="M73:P73"/>
    <mergeCell ref="Q73:S73"/>
    <mergeCell ref="T73:V73"/>
    <mergeCell ref="B80:E80"/>
    <mergeCell ref="J81:L81"/>
    <mergeCell ref="B82:D82"/>
    <mergeCell ref="E82:I82"/>
    <mergeCell ref="J82:L82"/>
    <mergeCell ref="M82:P82"/>
    <mergeCell ref="B78:E78"/>
    <mergeCell ref="G78:J78"/>
    <mergeCell ref="K78:M78"/>
    <mergeCell ref="N78:Q78"/>
    <mergeCell ref="B79:E79"/>
    <mergeCell ref="G79:J79"/>
    <mergeCell ref="K79:M79"/>
    <mergeCell ref="Q82:S82"/>
    <mergeCell ref="T82:V82"/>
    <mergeCell ref="W82:Y82"/>
    <mergeCell ref="B83:D83"/>
    <mergeCell ref="E83:I83"/>
    <mergeCell ref="J83:L83"/>
    <mergeCell ref="M83:P83"/>
    <mergeCell ref="Q83:S83"/>
    <mergeCell ref="T83:V83"/>
    <mergeCell ref="W83:Y83"/>
    <mergeCell ref="B84:D84"/>
    <mergeCell ref="E84:I84"/>
    <mergeCell ref="J84:L84"/>
    <mergeCell ref="M84:P84"/>
    <mergeCell ref="Q84:S84"/>
    <mergeCell ref="T84:V84"/>
    <mergeCell ref="W84:Y84"/>
    <mergeCell ref="W85:Y85"/>
    <mergeCell ref="B86:D86"/>
    <mergeCell ref="E86:I86"/>
    <mergeCell ref="J86:L86"/>
    <mergeCell ref="M86:P86"/>
    <mergeCell ref="Q86:S86"/>
    <mergeCell ref="T86:V86"/>
    <mergeCell ref="W86:Y86"/>
    <mergeCell ref="B85:D85"/>
    <mergeCell ref="E85:I85"/>
    <mergeCell ref="J85:L85"/>
    <mergeCell ref="M85:P85"/>
    <mergeCell ref="Q85:S85"/>
    <mergeCell ref="T85:V85"/>
    <mergeCell ref="W87:Y87"/>
    <mergeCell ref="B88:D88"/>
    <mergeCell ref="E88:I88"/>
    <mergeCell ref="J88:L88"/>
    <mergeCell ref="M88:P88"/>
    <mergeCell ref="Q88:S88"/>
    <mergeCell ref="T88:V88"/>
    <mergeCell ref="W88:Y88"/>
    <mergeCell ref="B87:D87"/>
    <mergeCell ref="E87:I87"/>
    <mergeCell ref="J87:L87"/>
    <mergeCell ref="M87:P87"/>
    <mergeCell ref="Q87:S87"/>
    <mergeCell ref="T87:V87"/>
    <mergeCell ref="W89:Y89"/>
    <mergeCell ref="B90:D90"/>
    <mergeCell ref="E90:I90"/>
    <mergeCell ref="J90:L90"/>
    <mergeCell ref="M90:P90"/>
    <mergeCell ref="Q90:S90"/>
    <mergeCell ref="T90:V90"/>
    <mergeCell ref="W90:Y90"/>
    <mergeCell ref="B89:D89"/>
    <mergeCell ref="E89:I89"/>
    <mergeCell ref="J89:L89"/>
    <mergeCell ref="M89:P89"/>
    <mergeCell ref="Q89:S89"/>
    <mergeCell ref="T89:V89"/>
    <mergeCell ref="AF94:AH94"/>
    <mergeCell ref="B95:F95"/>
    <mergeCell ref="G95:H95"/>
    <mergeCell ref="I95:L95"/>
    <mergeCell ref="N95:P95"/>
    <mergeCell ref="Q95:S95"/>
    <mergeCell ref="T95:V95"/>
    <mergeCell ref="B94:F94"/>
    <mergeCell ref="G94:H94"/>
    <mergeCell ref="I94:L94"/>
    <mergeCell ref="N94:P94"/>
    <mergeCell ref="Q94:S94"/>
    <mergeCell ref="T94:V94"/>
    <mergeCell ref="W95:Y95"/>
    <mergeCell ref="Z95:AB95"/>
    <mergeCell ref="AC95:AE95"/>
    <mergeCell ref="AF95:AH95"/>
    <mergeCell ref="G96:H96"/>
    <mergeCell ref="I96:L96"/>
    <mergeCell ref="N96:P96"/>
    <mergeCell ref="Q96:S96"/>
    <mergeCell ref="T96:V96"/>
    <mergeCell ref="W96:Y96"/>
    <mergeCell ref="Z96:AB96"/>
    <mergeCell ref="AC96:AE96"/>
    <mergeCell ref="W94:Y94"/>
    <mergeCell ref="Z94:AB94"/>
    <mergeCell ref="AC94:AE94"/>
    <mergeCell ref="AF96:AH96"/>
    <mergeCell ref="B97:F97"/>
    <mergeCell ref="G97:H97"/>
    <mergeCell ref="I97:L97"/>
    <mergeCell ref="N97:P97"/>
    <mergeCell ref="Q97:S97"/>
    <mergeCell ref="T97:V97"/>
    <mergeCell ref="AF98:AH98"/>
    <mergeCell ref="B110:E110"/>
    <mergeCell ref="F110:H110"/>
    <mergeCell ref="J110:M110"/>
    <mergeCell ref="N110:P110"/>
    <mergeCell ref="Q110:S110"/>
    <mergeCell ref="W97:Y97"/>
    <mergeCell ref="Z97:AB97"/>
    <mergeCell ref="AC97:AE97"/>
    <mergeCell ref="AF97:AH97"/>
    <mergeCell ref="B98:F98"/>
    <mergeCell ref="G98:H98"/>
    <mergeCell ref="I98:L98"/>
    <mergeCell ref="N98:P98"/>
    <mergeCell ref="Q98:S98"/>
    <mergeCell ref="T98:V98"/>
    <mergeCell ref="B96:F96"/>
    <mergeCell ref="B111:E111"/>
    <mergeCell ref="F111:H111"/>
    <mergeCell ref="J111:M111"/>
    <mergeCell ref="N111:R111"/>
    <mergeCell ref="B112:E112"/>
    <mergeCell ref="F112:H112"/>
    <mergeCell ref="W98:Y98"/>
    <mergeCell ref="Z98:AB98"/>
    <mergeCell ref="AC98:AE98"/>
    <mergeCell ref="E106:I106"/>
    <mergeCell ref="J106:L106"/>
    <mergeCell ref="M106:P106"/>
    <mergeCell ref="Q106:S106"/>
    <mergeCell ref="B121:E121"/>
    <mergeCell ref="F121:J121"/>
    <mergeCell ref="B122:E122"/>
    <mergeCell ref="F122:H122"/>
    <mergeCell ref="I122:K122"/>
    <mergeCell ref="B116:E116"/>
    <mergeCell ref="F116:J116"/>
    <mergeCell ref="K116:N116"/>
    <mergeCell ref="B117:E117"/>
    <mergeCell ref="F117:J117"/>
    <mergeCell ref="K117:N117"/>
  </mergeCells>
  <conditionalFormatting sqref="F22">
    <cfRule type="containsBlanks" dxfId="379" priority="78">
      <formula>LEN(TRIM(F22))=0</formula>
    </cfRule>
  </conditionalFormatting>
  <conditionalFormatting sqref="F31">
    <cfRule type="containsBlanks" dxfId="378" priority="77">
      <formula>LEN(TRIM(F31))=0</formula>
    </cfRule>
  </conditionalFormatting>
  <conditionalFormatting sqref="F48">
    <cfRule type="containsBlanks" dxfId="377" priority="76">
      <formula>LEN(TRIM(F48))=0</formula>
    </cfRule>
  </conditionalFormatting>
  <conditionalFormatting sqref="F64">
    <cfRule type="containsBlanks" dxfId="376" priority="75">
      <formula>LEN(TRIM(F64))=0</formula>
    </cfRule>
  </conditionalFormatting>
  <conditionalFormatting sqref="F79:F80">
    <cfRule type="containsBlanks" dxfId="375" priority="74">
      <formula>LEN(TRIM(F79))=0</formula>
    </cfRule>
  </conditionalFormatting>
  <conditionalFormatting sqref="F63">
    <cfRule type="containsBlanks" dxfId="374" priority="73">
      <formula>LEN(TRIM(F63))=0</formula>
    </cfRule>
  </conditionalFormatting>
  <conditionalFormatting sqref="F47">
    <cfRule type="containsBlanks" dxfId="373" priority="72">
      <formula>LEN(TRIM(F47))=0</formula>
    </cfRule>
  </conditionalFormatting>
  <conditionalFormatting sqref="F30">
    <cfRule type="containsBlanks" dxfId="372" priority="71">
      <formula>LEN(TRIM(F30))=0</formula>
    </cfRule>
  </conditionalFormatting>
  <conditionalFormatting sqref="F21">
    <cfRule type="containsBlanks" dxfId="371" priority="70">
      <formula>LEN(TRIM(F21))=0</formula>
    </cfRule>
  </conditionalFormatting>
  <conditionalFormatting sqref="J87:J90">
    <cfRule type="containsBlanks" dxfId="370" priority="69">
      <formula>LEN(TRIM(J87))=0</formula>
    </cfRule>
  </conditionalFormatting>
  <conditionalFormatting sqref="J83:J86">
    <cfRule type="containsBlanks" dxfId="369" priority="68">
      <formula>LEN(TRIM(J83))=0</formula>
    </cfRule>
  </conditionalFormatting>
  <conditionalFormatting sqref="J67:J74">
    <cfRule type="containsBlanks" dxfId="368" priority="67">
      <formula>LEN(TRIM(J67))=0</formula>
    </cfRule>
  </conditionalFormatting>
  <conditionalFormatting sqref="J51:J58">
    <cfRule type="containsBlanks" dxfId="367" priority="66">
      <formula>LEN(TRIM(J51))=0</formula>
    </cfRule>
  </conditionalFormatting>
  <conditionalFormatting sqref="J35:J42">
    <cfRule type="containsBlanks" dxfId="366" priority="65">
      <formula>LEN(TRIM(J35))=0</formula>
    </cfRule>
  </conditionalFormatting>
  <conditionalFormatting sqref="J25">
    <cfRule type="containsBlanks" dxfId="365" priority="64">
      <formula>LEN(TRIM(J25))=0</formula>
    </cfRule>
  </conditionalFormatting>
  <conditionalFormatting sqref="K48">
    <cfRule type="containsBlanks" dxfId="364" priority="63">
      <formula>LEN(TRIM(K48))=0</formula>
    </cfRule>
  </conditionalFormatting>
  <conditionalFormatting sqref="K31">
    <cfRule type="containsBlanks" dxfId="363" priority="62">
      <formula>LEN(TRIM(K31))=0</formula>
    </cfRule>
  </conditionalFormatting>
  <conditionalFormatting sqref="G14">
    <cfRule type="containsBlanks" dxfId="362" priority="61">
      <formula>LEN(TRIM(G14))=0</formula>
    </cfRule>
  </conditionalFormatting>
  <conditionalFormatting sqref="I14">
    <cfRule type="containsBlanks" dxfId="361" priority="60">
      <formula>LEN(TRIM(I14))=0</formula>
    </cfRule>
  </conditionalFormatting>
  <conditionalFormatting sqref="K14">
    <cfRule type="containsBlanks" dxfId="360" priority="59">
      <formula>LEN(TRIM(K14))=0</formula>
    </cfRule>
  </conditionalFormatting>
  <conditionalFormatting sqref="M14">
    <cfRule type="containsBlanks" dxfId="359" priority="58">
      <formula>LEN(TRIM(M14))=0</formula>
    </cfRule>
  </conditionalFormatting>
  <conditionalFormatting sqref="O116">
    <cfRule type="containsBlanks" dxfId="358" priority="57">
      <formula>LEN(TRIM(O116))=0</formula>
    </cfRule>
  </conditionalFormatting>
  <conditionalFormatting sqref="F117">
    <cfRule type="containsBlanks" dxfId="357" priority="56">
      <formula>LEN(TRIM(F117))=0</formula>
    </cfRule>
  </conditionalFormatting>
  <conditionalFormatting sqref="F116">
    <cfRule type="containsBlanks" dxfId="356" priority="55">
      <formula>LEN(TRIM(F116))=0</formula>
    </cfRule>
  </conditionalFormatting>
  <conditionalFormatting sqref="O117">
    <cfRule type="containsBlanks" dxfId="355" priority="54">
      <formula>LEN(TRIM(O117))=0</formula>
    </cfRule>
  </conditionalFormatting>
  <conditionalFormatting sqref="F121 F110:H112 F122:K122 Q110 N110:N111">
    <cfRule type="containsBlanks" dxfId="354" priority="53">
      <formula>LEN(TRIM(F110))=0</formula>
    </cfRule>
  </conditionalFormatting>
  <conditionalFormatting sqref="B95">
    <cfRule type="containsBlanks" dxfId="353" priority="52">
      <formula>LEN(TRIM(B95))=0</formula>
    </cfRule>
  </conditionalFormatting>
  <conditionalFormatting sqref="I95">
    <cfRule type="containsBlanks" dxfId="352" priority="51">
      <formula>LEN(TRIM(I95))=0</formula>
    </cfRule>
  </conditionalFormatting>
  <conditionalFormatting sqref="W95">
    <cfRule type="containsBlanks" dxfId="351" priority="50">
      <formula>LEN(TRIM(W95))=0</formula>
    </cfRule>
  </conditionalFormatting>
  <conditionalFormatting sqref="Z95">
    <cfRule type="containsBlanks" dxfId="350" priority="49">
      <formula>LEN(TRIM(Z95))=0</formula>
    </cfRule>
  </conditionalFormatting>
  <conditionalFormatting sqref="G95">
    <cfRule type="containsBlanks" dxfId="349" priority="48">
      <formula>LEN(TRIM(G95))=0</formula>
    </cfRule>
  </conditionalFormatting>
  <conditionalFormatting sqref="N95">
    <cfRule type="containsBlanks" dxfId="348" priority="47">
      <formula>LEN(TRIM(N95))=0</formula>
    </cfRule>
  </conditionalFormatting>
  <conditionalFormatting sqref="Q95">
    <cfRule type="containsBlanks" dxfId="347" priority="46">
      <formula>LEN(TRIM(Q95))=0</formula>
    </cfRule>
  </conditionalFormatting>
  <conditionalFormatting sqref="T95">
    <cfRule type="containsBlanks" dxfId="346" priority="45">
      <formula>LEN(TRIM(T95))=0</formula>
    </cfRule>
  </conditionalFormatting>
  <conditionalFormatting sqref="AC95">
    <cfRule type="containsBlanks" dxfId="345" priority="44">
      <formula>LEN(TRIM(AC95))=0</formula>
    </cfRule>
  </conditionalFormatting>
  <conditionalFormatting sqref="AF95">
    <cfRule type="containsBlanks" dxfId="344" priority="43">
      <formula>LEN(TRIM(AF95))=0</formula>
    </cfRule>
  </conditionalFormatting>
  <conditionalFormatting sqref="B96">
    <cfRule type="containsBlanks" dxfId="343" priority="42">
      <formula>LEN(TRIM(B96))=0</formula>
    </cfRule>
  </conditionalFormatting>
  <conditionalFormatting sqref="I96">
    <cfRule type="containsBlanks" dxfId="342" priority="41">
      <formula>LEN(TRIM(I96))=0</formula>
    </cfRule>
  </conditionalFormatting>
  <conditionalFormatting sqref="W96">
    <cfRule type="containsBlanks" dxfId="341" priority="40">
      <formula>LEN(TRIM(W96))=0</formula>
    </cfRule>
  </conditionalFormatting>
  <conditionalFormatting sqref="Z96">
    <cfRule type="containsBlanks" dxfId="340" priority="39">
      <formula>LEN(TRIM(Z96))=0</formula>
    </cfRule>
  </conditionalFormatting>
  <conditionalFormatting sqref="G96">
    <cfRule type="containsBlanks" dxfId="339" priority="38">
      <formula>LEN(TRIM(G96))=0</formula>
    </cfRule>
  </conditionalFormatting>
  <conditionalFormatting sqref="N96">
    <cfRule type="containsBlanks" dxfId="338" priority="37">
      <formula>LEN(TRIM(N96))=0</formula>
    </cfRule>
  </conditionalFormatting>
  <conditionalFormatting sqref="Q96">
    <cfRule type="containsBlanks" dxfId="337" priority="36">
      <formula>LEN(TRIM(Q96))=0</formula>
    </cfRule>
  </conditionalFormatting>
  <conditionalFormatting sqref="T96">
    <cfRule type="containsBlanks" dxfId="336" priority="35">
      <formula>LEN(TRIM(T96))=0</formula>
    </cfRule>
  </conditionalFormatting>
  <conditionalFormatting sqref="AC96">
    <cfRule type="containsBlanks" dxfId="335" priority="34">
      <formula>LEN(TRIM(AC96))=0</formula>
    </cfRule>
  </conditionalFormatting>
  <conditionalFormatting sqref="AF96">
    <cfRule type="containsBlanks" dxfId="334" priority="33">
      <formula>LEN(TRIM(AF96))=0</formula>
    </cfRule>
  </conditionalFormatting>
  <conditionalFormatting sqref="B97">
    <cfRule type="containsBlanks" dxfId="333" priority="32">
      <formula>LEN(TRIM(B97))=0</formula>
    </cfRule>
  </conditionalFormatting>
  <conditionalFormatting sqref="I97">
    <cfRule type="containsBlanks" dxfId="332" priority="31">
      <formula>LEN(TRIM(I97))=0</formula>
    </cfRule>
  </conditionalFormatting>
  <conditionalFormatting sqref="W97">
    <cfRule type="containsBlanks" dxfId="331" priority="30">
      <formula>LEN(TRIM(W97))=0</formula>
    </cfRule>
  </conditionalFormatting>
  <conditionalFormatting sqref="Z97">
    <cfRule type="containsBlanks" dxfId="330" priority="29">
      <formula>LEN(TRIM(Z97))=0</formula>
    </cfRule>
  </conditionalFormatting>
  <conditionalFormatting sqref="G97">
    <cfRule type="containsBlanks" dxfId="329" priority="28">
      <formula>LEN(TRIM(G97))=0</formula>
    </cfRule>
  </conditionalFormatting>
  <conditionalFormatting sqref="N97">
    <cfRule type="containsBlanks" dxfId="328" priority="27">
      <formula>LEN(TRIM(N97))=0</formula>
    </cfRule>
  </conditionalFormatting>
  <conditionalFormatting sqref="Q97">
    <cfRule type="containsBlanks" dxfId="327" priority="26">
      <formula>LEN(TRIM(Q97))=0</formula>
    </cfRule>
  </conditionalFormatting>
  <conditionalFormatting sqref="T97">
    <cfRule type="containsBlanks" dxfId="326" priority="25">
      <formula>LEN(TRIM(T97))=0</formula>
    </cfRule>
  </conditionalFormatting>
  <conditionalFormatting sqref="AC97">
    <cfRule type="containsBlanks" dxfId="325" priority="24">
      <formula>LEN(TRIM(AC97))=0</formula>
    </cfRule>
  </conditionalFormatting>
  <conditionalFormatting sqref="AF97">
    <cfRule type="containsBlanks" dxfId="324" priority="23">
      <formula>LEN(TRIM(AF97))=0</formula>
    </cfRule>
  </conditionalFormatting>
  <conditionalFormatting sqref="B98">
    <cfRule type="containsBlanks" dxfId="323" priority="22">
      <formula>LEN(TRIM(B98))=0</formula>
    </cfRule>
  </conditionalFormatting>
  <conditionalFormatting sqref="I98">
    <cfRule type="containsBlanks" dxfId="322" priority="21">
      <formula>LEN(TRIM(I98))=0</formula>
    </cfRule>
  </conditionalFormatting>
  <conditionalFormatting sqref="W98">
    <cfRule type="containsBlanks" dxfId="321" priority="20">
      <formula>LEN(TRIM(W98))=0</formula>
    </cfRule>
  </conditionalFormatting>
  <conditionalFormatting sqref="Z98">
    <cfRule type="containsBlanks" dxfId="320" priority="19">
      <formula>LEN(TRIM(Z98))=0</formula>
    </cfRule>
  </conditionalFormatting>
  <conditionalFormatting sqref="G98">
    <cfRule type="containsBlanks" dxfId="319" priority="18">
      <formula>LEN(TRIM(G98))=0</formula>
    </cfRule>
  </conditionalFormatting>
  <conditionalFormatting sqref="N98">
    <cfRule type="containsBlanks" dxfId="318" priority="17">
      <formula>LEN(TRIM(N98))=0</formula>
    </cfRule>
  </conditionalFormatting>
  <conditionalFormatting sqref="Q98">
    <cfRule type="containsBlanks" dxfId="317" priority="16">
      <formula>LEN(TRIM(Q98))=0</formula>
    </cfRule>
  </conditionalFormatting>
  <conditionalFormatting sqref="T98">
    <cfRule type="containsBlanks" dxfId="316" priority="15">
      <formula>LEN(TRIM(T98))=0</formula>
    </cfRule>
  </conditionalFormatting>
  <conditionalFormatting sqref="AC98">
    <cfRule type="containsBlanks" dxfId="315" priority="14">
      <formula>LEN(TRIM(AC98))=0</formula>
    </cfRule>
  </conditionalFormatting>
  <conditionalFormatting sqref="AF98">
    <cfRule type="containsBlanks" dxfId="314" priority="13">
      <formula>LEN(TRIM(AF98))=0</formula>
    </cfRule>
  </conditionalFormatting>
  <conditionalFormatting sqref="F16:J16 F9 Q103:S106">
    <cfRule type="containsBlanks" dxfId="313" priority="12">
      <formula>LEN(TRIM(F9))=0</formula>
    </cfRule>
  </conditionalFormatting>
  <conditionalFormatting sqref="F20">
    <cfRule type="containsBlanks" dxfId="312" priority="11">
      <formula>LEN(TRIM(F20))=0</formula>
    </cfRule>
  </conditionalFormatting>
  <conditionalFormatting sqref="F29">
    <cfRule type="containsBlanks" dxfId="311" priority="10">
      <formula>LEN(TRIM(F29))=0</formula>
    </cfRule>
  </conditionalFormatting>
  <conditionalFormatting sqref="F46">
    <cfRule type="containsBlanks" dxfId="310" priority="9">
      <formula>LEN(TRIM(F46))=0</formula>
    </cfRule>
  </conditionalFormatting>
  <conditionalFormatting sqref="F62">
    <cfRule type="containsBlanks" dxfId="309" priority="8">
      <formula>LEN(TRIM(F62))=0</formula>
    </cfRule>
  </conditionalFormatting>
  <conditionalFormatting sqref="F78">
    <cfRule type="containsBlanks" dxfId="308" priority="7">
      <formula>LEN(TRIM(F78))=0</formula>
    </cfRule>
  </conditionalFormatting>
  <conditionalFormatting sqref="M95:M98">
    <cfRule type="containsBlanks" dxfId="307" priority="6">
      <formula>LEN(TRIM(M95))=0</formula>
    </cfRule>
  </conditionalFormatting>
  <conditionalFormatting sqref="J103:L106">
    <cfRule type="containsBlanks" dxfId="306" priority="5">
      <formula>LEN(TRIM(J103))=0</formula>
    </cfRule>
  </conditionalFormatting>
  <conditionalFormatting sqref="W67:W74">
    <cfRule type="containsBlanks" dxfId="305" priority="4">
      <formula>LEN(TRIM(W67))=0</formula>
    </cfRule>
  </conditionalFormatting>
  <conditionalFormatting sqref="X16:Z16">
    <cfRule type="containsBlanks" dxfId="304" priority="3">
      <formula>LEN(TRIM(X16))=0</formula>
    </cfRule>
  </conditionalFormatting>
  <conditionalFormatting sqref="W25">
    <cfRule type="containsBlanks" dxfId="303" priority="2">
      <formula>LEN(TRIM(W25))=0</formula>
    </cfRule>
  </conditionalFormatting>
  <conditionalFormatting sqref="W83:W90">
    <cfRule type="containsBlanks" dxfId="302" priority="1">
      <formula>LEN(TRIM(W83))=0</formula>
    </cfRule>
  </conditionalFormatting>
  <dataValidations count="3">
    <dataValidation type="list" allowBlank="1" sqref="F20 F29 F46 F62 F78 M95:M98" xr:uid="{00000000-0002-0000-0800-000000000000}">
      <formula1>VLANList</formula1>
    </dataValidation>
    <dataValidation type="list" allowBlank="1" sqref="F30 F47" xr:uid="{00000000-0002-0000-0800-000001000000}">
      <formula1>$C$17:$C$22</formula1>
    </dataValidation>
    <dataValidation type="list" allowBlank="1" showInputMessage="1" showErrorMessage="1" sqref="W25:Y25 W83:Y90" xr:uid="{00000000-0002-0000-0800-000002000000}">
      <formula1>$B$109:$B$118</formula1>
    </dataValidation>
  </dataValidations>
  <printOptions gridLines="1"/>
  <pageMargins left="0.75" right="0.25" top="0.25" bottom="0.75" header="0.3" footer="0.3"/>
  <pageSetup paperSize="3" scale="85" fitToHeight="0" orientation="landscape" r:id="rId1"/>
  <headerFooter>
    <oddFooter>&amp;R&amp;A
&amp;P</oddFooter>
  </headerFooter>
  <drawing r:id="rId2"/>
  <legacyDrawing r:id="rId3"/>
  <extLst>
    <ext xmlns:x14="http://schemas.microsoft.com/office/spreadsheetml/2009/9/main" uri="{CCE6A557-97BC-4b89-ADB6-D9C93CAAB3DF}">
      <x14:dataValidations xmlns:xm="http://schemas.microsoft.com/office/excel/2006/main" count="8">
        <x14:dataValidation type="list" allowBlank="1" xr:uid="{00000000-0002-0000-0800-000004000000}">
          <x14:formula1>
            <xm:f>Dropdowns!$B$3:$B$4</xm:f>
          </x14:formula1>
          <xm:sqref>F22 F48 F31 F64 F80 I14 K14 M14 G14</xm:sqref>
        </x14:dataValidation>
        <x14:dataValidation type="list" allowBlank="1" xr:uid="{00000000-0002-0000-0800-000005000000}">
          <x14:formula1>
            <xm:f>'c-Cluster'!$C$21:$C$26</xm:f>
          </x14:formula1>
          <xm:sqref>F79</xm:sqref>
        </x14:dataValidation>
        <x14:dataValidation type="list" allowBlank="1" xr:uid="{00000000-0002-0000-0800-000006000000}">
          <x14:formula1>
            <xm:f>Dropdowns!$I$5:$I$6</xm:f>
          </x14:formula1>
          <xm:sqref>G95:G98</xm:sqref>
        </x14:dataValidation>
        <x14:dataValidation type="list" allowBlank="1" showInputMessage="1" showErrorMessage="1" xr:uid="{00000000-0002-0000-0800-000007000000}">
          <x14:formula1>
            <xm:f>'c-Cluster'!$E$71:$E$75</xm:f>
          </x14:formula1>
          <xm:sqref>F16:J16</xm:sqref>
        </x14:dataValidation>
        <x14:dataValidation type="list" allowBlank="1" showInputMessage="1" showErrorMessage="1" xr:uid="{00000000-0002-0000-0800-000008000000}">
          <x14:formula1>
            <xm:f>'c-Cluster'!$B$104:$B$113</xm:f>
          </x14:formula1>
          <xm:sqref>W67:Y74</xm:sqref>
        </x14:dataValidation>
        <x14:dataValidation type="list" allowBlank="1" showInputMessage="1" showErrorMessage="1" xr:uid="{00000000-0002-0000-0800-000009000000}">
          <x14:formula1>
            <xm:f>'c-Cluster'!$B$83:$B$86</xm:f>
          </x14:formula1>
          <xm:sqref>X16:Z16</xm:sqref>
        </x14:dataValidation>
        <x14:dataValidation type="list" allowBlank="1" xr:uid="{00000000-0002-0000-0800-00000A000000}">
          <x14:formula1>
            <xm:f>'c-Cluster'!$C21:C25</xm:f>
          </x14:formula1>
          <xm:sqref>F21</xm:sqref>
        </x14:dataValidation>
        <x14:dataValidation type="list" allowBlank="1" xr:uid="{00000000-0002-0000-0800-00000B000000}">
          <x14:formula1>
            <xm:f>'c-Cluster'!$C21:C25</xm:f>
          </x14:formula1>
          <xm:sqref>F63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sheetPr>
  <dimension ref="A2:AF173"/>
  <sheetViews>
    <sheetView workbookViewId="0">
      <pane ySplit="4" topLeftCell="A5" activePane="bottomLeft" state="frozenSplit"/>
      <selection pane="bottomLeft" activeCell="K10" sqref="K10"/>
    </sheetView>
  </sheetViews>
  <sheetFormatPr defaultColWidth="7.140625" defaultRowHeight="10.5" x14ac:dyDescent="0.25"/>
  <cols>
    <col min="1" max="1" width="1.42578125" style="35" customWidth="1"/>
    <col min="2" max="31" width="7.140625" style="35" customWidth="1"/>
    <col min="32" max="16384" width="7.140625" style="35"/>
  </cols>
  <sheetData>
    <row r="2" spans="1:31" ht="30.75" customHeight="1" x14ac:dyDescent="0.25">
      <c r="A2" s="2" t="s">
        <v>1</v>
      </c>
      <c r="B2"/>
      <c r="V2" s="1" t="s">
        <v>1114</v>
      </c>
    </row>
    <row r="3" spans="1:31" ht="9" customHeight="1" x14ac:dyDescent="0.25"/>
    <row r="4" spans="1:31" ht="9" customHeight="1" x14ac:dyDescent="0.25"/>
    <row r="5" spans="1:31" ht="15" x14ac:dyDescent="0.25">
      <c r="A5" s="5"/>
      <c r="R5" s="350" t="str">
        <f>IF('Site Info'!$C$8=Dropdowns!$R$4,"",IF('Site Info'!$C$8=Dropdowns!$R$7,"",IF('Site Info'!$C$8=Dropdowns!$R$8,"","THIS TAB IS NOT APPLICABLE FOR THIS SOLUTION, HIDE THIS TAB")))</f>
        <v/>
      </c>
      <c r="S5" s="350"/>
      <c r="T5" s="350"/>
      <c r="U5" s="350"/>
      <c r="V5" s="350"/>
      <c r="W5" s="350"/>
      <c r="X5" s="350"/>
      <c r="Y5" s="350"/>
      <c r="Z5" s="350"/>
      <c r="AA5" s="350"/>
      <c r="AB5" s="350"/>
      <c r="AC5" s="350"/>
      <c r="AD5" s="350"/>
      <c r="AE5" s="350"/>
    </row>
    <row r="6" spans="1:31" ht="14.25" customHeight="1" x14ac:dyDescent="0.25">
      <c r="B6" s="4" t="str">
        <f>CONCATENATE("SVM #",F9," - General Information")</f>
        <v>SVM #01 - General Information</v>
      </c>
      <c r="AB6" s="76" t="s">
        <v>986</v>
      </c>
    </row>
    <row r="7" spans="1:31" ht="6" customHeight="1" x14ac:dyDescent="0.25">
      <c r="B7" s="4"/>
      <c r="G7" s="6"/>
    </row>
    <row r="8" spans="1:31" ht="14.25" customHeight="1" x14ac:dyDescent="0.25">
      <c r="B8" s="303"/>
      <c r="C8" s="303"/>
      <c r="D8" s="303"/>
      <c r="E8" s="303"/>
      <c r="F8" s="176"/>
      <c r="G8" s="303" t="s">
        <v>985</v>
      </c>
      <c r="H8" s="303"/>
      <c r="I8" s="303"/>
      <c r="J8" s="303"/>
      <c r="K8" s="288" t="s">
        <v>910</v>
      </c>
      <c r="L8" s="289"/>
      <c r="M8" s="289"/>
      <c r="N8" s="289"/>
      <c r="O8" s="290"/>
    </row>
    <row r="9" spans="1:31" ht="14.25" customHeight="1" x14ac:dyDescent="0.25">
      <c r="B9" s="303" t="s">
        <v>976</v>
      </c>
      <c r="C9" s="303"/>
      <c r="D9" s="303"/>
      <c r="E9" s="303"/>
      <c r="F9" s="40" t="s">
        <v>1325</v>
      </c>
      <c r="G9" s="303" t="s">
        <v>975</v>
      </c>
      <c r="H9" s="303"/>
      <c r="I9" s="303"/>
      <c r="J9" s="303"/>
      <c r="K9" s="288" t="str">
        <f>IF(Inventory!$F$10="Clustered OnTap",CONCATENATE(Inventory!$G$12,"-",$K$8,"-",$F$9),"")</f>
        <v>shpsan-hyperv-01</v>
      </c>
      <c r="L9" s="289"/>
      <c r="M9" s="289"/>
      <c r="N9" s="289"/>
      <c r="O9" s="290"/>
      <c r="P9" s="237"/>
      <c r="Q9" s="83"/>
      <c r="R9" s="83"/>
      <c r="S9" s="83"/>
      <c r="T9" s="304" t="s">
        <v>1092</v>
      </c>
      <c r="U9" s="304"/>
      <c r="V9" s="304"/>
      <c r="W9" s="356"/>
      <c r="X9" s="291" t="str">
        <f>IF(Inventory!$F$10="Clustered OnTap",CONCATENATE("svm",$K$8,$F$9),"")</f>
        <v>svmhyperv01</v>
      </c>
      <c r="Y9" s="291"/>
      <c r="Z9" s="291"/>
      <c r="AA9" s="291"/>
      <c r="AB9" s="291"/>
    </row>
    <row r="10" spans="1:31" ht="6" customHeight="1" thickBot="1" x14ac:dyDescent="0.3"/>
    <row r="11" spans="1:31" ht="14.25" customHeight="1" x14ac:dyDescent="0.25">
      <c r="B11" s="303" t="s">
        <v>987</v>
      </c>
      <c r="C11" s="303"/>
      <c r="D11" s="303"/>
      <c r="E11" s="303"/>
      <c r="F11" s="288" t="str">
        <f>IF('Site Info'!$F$25&lt;&gt;0,'Site Info'!$F$25,"")</f>
        <v>speedcast.com</v>
      </c>
      <c r="G11" s="289"/>
      <c r="H11" s="289"/>
      <c r="I11" s="290"/>
      <c r="S11" s="382" t="s">
        <v>483</v>
      </c>
      <c r="T11" s="383"/>
      <c r="U11" s="383"/>
      <c r="V11" s="383"/>
      <c r="W11" s="383"/>
      <c r="X11" s="383"/>
      <c r="Y11" s="383"/>
      <c r="Z11" s="383"/>
      <c r="AA11" s="383"/>
      <c r="AB11" s="384"/>
    </row>
    <row r="12" spans="1:31" ht="14.25" customHeight="1" x14ac:dyDescent="0.25">
      <c r="B12" s="303" t="s">
        <v>988</v>
      </c>
      <c r="C12" s="303"/>
      <c r="D12" s="303"/>
      <c r="E12" s="303"/>
      <c r="F12" s="288" t="str">
        <f>IF('Site Info'!$F$26&lt;&gt;0,'Site Info'!$F$26,"")</f>
        <v>10.126.131.11</v>
      </c>
      <c r="G12" s="289"/>
      <c r="H12" s="290"/>
      <c r="I12" s="288" t="str">
        <f>IF('Site Info'!$I$26&lt;&gt;0,'Site Info'!$I$26,"")</f>
        <v>175.176.252.8</v>
      </c>
      <c r="J12" s="289"/>
      <c r="K12" s="290"/>
      <c r="L12" s="288" t="str">
        <f>IF('Site Info'!$L$26&lt;&gt;0,'Site Info'!$L$26,"")</f>
        <v/>
      </c>
      <c r="M12" s="289"/>
      <c r="N12" s="290"/>
      <c r="S12" s="87"/>
      <c r="T12" s="171">
        <f>IF(G14="Yes",COUNTA(E35:I42)-COUNTIF(E35:I42," "),"0")</f>
        <v>2</v>
      </c>
      <c r="U12" s="83" t="s">
        <v>358</v>
      </c>
      <c r="V12" s="171">
        <f>IF(I14="Yes",COUNTA(E51:I58)-COUNTIF(E51:I58," "),0)</f>
        <v>0</v>
      </c>
      <c r="W12" s="83" t="s">
        <v>359</v>
      </c>
      <c r="X12" s="171">
        <f>IF(M14="Yes",(COUNTA(E67:I74)-COUNTIF(E67:I74," "))+(COUNTA(E83:I90)-COUNTIF(E83:I90," ")),0)</f>
        <v>0</v>
      </c>
      <c r="Y12" s="83" t="s">
        <v>175</v>
      </c>
      <c r="Z12" s="171">
        <v>1</v>
      </c>
      <c r="AA12" s="83" t="s">
        <v>990</v>
      </c>
      <c r="AB12" s="88"/>
    </row>
    <row r="13" spans="1:31" ht="14.25" customHeight="1" thickBot="1" x14ac:dyDescent="0.3">
      <c r="S13" s="89"/>
      <c r="T13" s="79"/>
      <c r="U13" s="79"/>
      <c r="V13" s="79"/>
      <c r="W13" s="79"/>
      <c r="X13" s="79"/>
      <c r="Y13" s="79"/>
      <c r="Z13" s="79"/>
      <c r="AA13" s="79"/>
      <c r="AB13" s="90"/>
    </row>
    <row r="14" spans="1:31" ht="14.25" customHeight="1" x14ac:dyDescent="0.25">
      <c r="B14" s="303" t="s">
        <v>445</v>
      </c>
      <c r="C14" s="303"/>
      <c r="D14" s="303"/>
      <c r="E14" s="303"/>
      <c r="F14" s="172" t="s">
        <v>446</v>
      </c>
      <c r="G14" s="171" t="s">
        <v>16</v>
      </c>
      <c r="H14" s="172" t="s">
        <v>447</v>
      </c>
      <c r="I14" s="171"/>
      <c r="J14" s="172" t="s">
        <v>448</v>
      </c>
      <c r="K14" s="171"/>
      <c r="L14" s="172" t="s">
        <v>449</v>
      </c>
      <c r="M14" s="171"/>
    </row>
    <row r="15" spans="1:31" ht="6" customHeight="1" x14ac:dyDescent="0.25">
      <c r="B15" s="4"/>
      <c r="G15" s="6"/>
    </row>
    <row r="16" spans="1:31" ht="14.25" customHeight="1" x14ac:dyDescent="0.25">
      <c r="B16" s="303" t="s">
        <v>977</v>
      </c>
      <c r="C16" s="303"/>
      <c r="D16" s="303"/>
      <c r="E16" s="303"/>
      <c r="F16" s="288"/>
      <c r="G16" s="289"/>
      <c r="H16" s="289"/>
      <c r="I16" s="289"/>
      <c r="J16" s="290"/>
      <c r="S16" s="303" t="s">
        <v>1284</v>
      </c>
      <c r="T16" s="303"/>
      <c r="U16" s="303"/>
      <c r="V16" s="303"/>
      <c r="W16" s="288"/>
      <c r="X16" s="289"/>
      <c r="Y16" s="290"/>
    </row>
    <row r="17" spans="1:28" ht="14.25" customHeight="1" x14ac:dyDescent="0.25"/>
    <row r="18" spans="1:28" ht="14.25" customHeight="1" x14ac:dyDescent="0.25">
      <c r="B18" s="4" t="s">
        <v>984</v>
      </c>
    </row>
    <row r="19" spans="1:28" ht="6" customHeight="1" x14ac:dyDescent="0.25">
      <c r="B19" s="4"/>
      <c r="G19" s="6"/>
    </row>
    <row r="20" spans="1:28" ht="14.25" customHeight="1" x14ac:dyDescent="0.25">
      <c r="B20" s="303" t="s">
        <v>982</v>
      </c>
      <c r="C20" s="303"/>
      <c r="D20" s="303"/>
      <c r="E20" s="303"/>
      <c r="F20" s="171"/>
      <c r="G20" s="303" t="s">
        <v>978</v>
      </c>
      <c r="H20" s="303"/>
      <c r="I20" s="303"/>
      <c r="J20" s="303"/>
      <c r="K20" s="288" t="str">
        <f>IF(E25&lt;&gt;"",IF(F20&lt;&gt;0,VLOOKUP(F20,'Site Info'!$G$34:$P$69,8,FALSE),"enter VLAN"),"")</f>
        <v>enter VLAN</v>
      </c>
      <c r="L20" s="289"/>
      <c r="M20" s="290"/>
      <c r="N20" s="303" t="s">
        <v>980</v>
      </c>
      <c r="O20" s="303"/>
      <c r="P20" s="303"/>
      <c r="Q20" s="303"/>
      <c r="R20" s="171">
        <v>10</v>
      </c>
    </row>
    <row r="21" spans="1:28" ht="14.25" customHeight="1" x14ac:dyDescent="0.25">
      <c r="B21" s="303" t="s">
        <v>983</v>
      </c>
      <c r="C21" s="303"/>
      <c r="D21" s="303"/>
      <c r="E21" s="303"/>
      <c r="F21" s="171"/>
      <c r="G21" s="303" t="s">
        <v>979</v>
      </c>
      <c r="H21" s="303"/>
      <c r="I21" s="303"/>
      <c r="J21" s="303"/>
      <c r="K21" s="288" t="str">
        <f>IF(E25&lt;&gt;"",IF(F20&lt;&gt;0,VLOOKUP(F20,'Site Info'!$G$34:$P$69,5,FALSE),"enter VLAN"),"")</f>
        <v>enter VLAN</v>
      </c>
      <c r="L21" s="289"/>
      <c r="M21" s="290"/>
    </row>
    <row r="22" spans="1:28" ht="14.25" customHeight="1" x14ac:dyDescent="0.25">
      <c r="B22" s="303" t="s">
        <v>91</v>
      </c>
      <c r="C22" s="303"/>
      <c r="D22" s="303"/>
      <c r="E22" s="303"/>
      <c r="F22" s="171"/>
    </row>
    <row r="23" spans="1:28" ht="14.25" customHeight="1" x14ac:dyDescent="0.25">
      <c r="J23" s="299" t="str">
        <f>IF($F$20&lt;&gt;0,IF(E25&lt;&gt;"",VLOOKUP($F$20,'Site Info'!$G$34:$P$69,2,FALSE),""),"")</f>
        <v/>
      </c>
      <c r="K23" s="299"/>
      <c r="L23" s="299"/>
    </row>
    <row r="24" spans="1:28" ht="14.25" customHeight="1" thickBot="1" x14ac:dyDescent="0.3">
      <c r="B24" s="312" t="s">
        <v>92</v>
      </c>
      <c r="C24" s="321"/>
      <c r="D24" s="313"/>
      <c r="E24" s="312" t="s">
        <v>981</v>
      </c>
      <c r="F24" s="321"/>
      <c r="G24" s="321"/>
      <c r="H24" s="321"/>
      <c r="I24" s="313"/>
      <c r="J24" s="312" t="s">
        <v>71</v>
      </c>
      <c r="K24" s="321"/>
      <c r="L24" s="313"/>
      <c r="M24" s="312" t="s">
        <v>93</v>
      </c>
      <c r="N24" s="321"/>
      <c r="O24" s="321"/>
      <c r="P24" s="313"/>
      <c r="Q24" s="312" t="s">
        <v>95</v>
      </c>
      <c r="R24" s="321"/>
      <c r="S24" s="313"/>
      <c r="T24" s="312" t="s">
        <v>96</v>
      </c>
      <c r="U24" s="321"/>
      <c r="V24" s="313"/>
      <c r="W24" s="312" t="s">
        <v>1269</v>
      </c>
      <c r="X24" s="321"/>
      <c r="Y24" s="313"/>
    </row>
    <row r="25" spans="1:28" ht="14.25" customHeight="1" x14ac:dyDescent="0.25">
      <c r="A25" s="26">
        <v>1</v>
      </c>
      <c r="B25" s="302" t="str">
        <f>IF(E25&lt;&gt;"","SVM Administration","")</f>
        <v>SVM Administration</v>
      </c>
      <c r="C25" s="302"/>
      <c r="D25" s="302"/>
      <c r="E25" s="302" t="str">
        <f>IF(K9&lt;&gt;"",CONCATENATE(K9,"-admin.",F11),"")</f>
        <v>shpsan-hyperv-01-admin.speedcast.com</v>
      </c>
      <c r="F25" s="302"/>
      <c r="G25" s="302"/>
      <c r="H25" s="302"/>
      <c r="I25" s="302"/>
      <c r="J25" s="288"/>
      <c r="K25" s="289"/>
      <c r="L25" s="290"/>
      <c r="M25" s="288" t="str">
        <f>IF(K9&lt;&gt;"",CONCATENATE(K9,"-admin",""),"")</f>
        <v>shpsan-hyperv-01-admin</v>
      </c>
      <c r="N25" s="289"/>
      <c r="O25" s="289"/>
      <c r="P25" s="290"/>
      <c r="Q25" s="302" t="str">
        <f>IF(E25&lt;&gt;"",Inventory!$C$15,"")</f>
        <v>shpsan-01</v>
      </c>
      <c r="R25" s="302"/>
      <c r="S25" s="302"/>
      <c r="T25" s="302" t="str">
        <f>IF(AND(E25&lt;&gt;"",$F$22&lt;&gt;0,$F$21&lt;&gt;0,$F$20&lt;&gt;0),IF($F$22&lt;&gt;"Yes",$F$21,CONCATENATE($F$21,"-",$F$20)),"")</f>
        <v/>
      </c>
      <c r="U25" s="302"/>
      <c r="V25" s="302"/>
      <c r="W25" s="302"/>
      <c r="X25" s="302"/>
      <c r="Y25" s="302"/>
    </row>
    <row r="26" spans="1:28" ht="14.25" customHeight="1" x14ac:dyDescent="0.25">
      <c r="AB26" s="36" t="s">
        <v>143</v>
      </c>
    </row>
    <row r="27" spans="1:28" ht="14.25" customHeight="1" x14ac:dyDescent="0.25">
      <c r="B27" s="4" t="s">
        <v>1180</v>
      </c>
    </row>
    <row r="28" spans="1:28" ht="6" customHeight="1" x14ac:dyDescent="0.25">
      <c r="B28" s="4"/>
      <c r="G28" s="6"/>
    </row>
    <row r="29" spans="1:28" ht="14.25" customHeight="1" x14ac:dyDescent="0.25">
      <c r="B29" s="303" t="s">
        <v>1181</v>
      </c>
      <c r="C29" s="303"/>
      <c r="D29" s="303"/>
      <c r="E29" s="303"/>
      <c r="F29" s="171"/>
      <c r="G29" s="303" t="s">
        <v>1183</v>
      </c>
      <c r="H29" s="303"/>
      <c r="I29" s="303"/>
      <c r="J29" s="303"/>
      <c r="K29" s="288" t="str">
        <f>IF(E35&lt;&gt;"",IF(F29&lt;&gt;0,VLOOKUP(F29,'Site Info'!$G$34:$P$69,8,FALSE),"enter VLAN"),"")</f>
        <v>enter VLAN</v>
      </c>
      <c r="L29" s="289"/>
      <c r="M29" s="290"/>
      <c r="N29" s="303" t="s">
        <v>129</v>
      </c>
      <c r="O29" s="303"/>
      <c r="P29" s="303"/>
      <c r="Q29" s="303"/>
      <c r="R29" s="171">
        <v>10</v>
      </c>
    </row>
    <row r="30" spans="1:28" ht="14.25" customHeight="1" x14ac:dyDescent="0.25">
      <c r="B30" s="303" t="s">
        <v>1182</v>
      </c>
      <c r="C30" s="303"/>
      <c r="D30" s="303"/>
      <c r="E30" s="303"/>
      <c r="F30" s="171"/>
      <c r="G30" s="303" t="s">
        <v>1184</v>
      </c>
      <c r="H30" s="303"/>
      <c r="I30" s="303"/>
      <c r="J30" s="303"/>
      <c r="K30" s="288" t="str">
        <f>IF(E35&lt;&gt;"",IF(F29&lt;&gt;0,VLOOKUP(F29,'Site Info'!$G$34:$P$69,5,FALSE),"enter VLAN"),"")</f>
        <v>enter VLAN</v>
      </c>
      <c r="L30" s="289"/>
      <c r="M30" s="290"/>
    </row>
    <row r="31" spans="1:28" ht="14.25" customHeight="1" x14ac:dyDescent="0.25">
      <c r="B31" s="303" t="s">
        <v>91</v>
      </c>
      <c r="C31" s="303"/>
      <c r="D31" s="303"/>
      <c r="E31" s="303"/>
      <c r="F31" s="171"/>
      <c r="G31" s="303" t="s">
        <v>1185</v>
      </c>
      <c r="H31" s="303"/>
      <c r="I31" s="303"/>
      <c r="J31" s="303"/>
      <c r="K31" s="288" t="str">
        <f>IF(X9&lt;&gt;"",CONCATENATE(X9,".",F11),"")</f>
        <v>svmhyperv01.speedcast.com</v>
      </c>
      <c r="L31" s="289"/>
      <c r="M31" s="289"/>
      <c r="N31" s="289"/>
      <c r="O31" s="290"/>
    </row>
    <row r="32" spans="1:28" ht="6" customHeight="1" x14ac:dyDescent="0.25">
      <c r="B32" s="4"/>
      <c r="G32" s="6"/>
    </row>
    <row r="33" spans="1:28" ht="14.25" customHeight="1" x14ac:dyDescent="0.25">
      <c r="J33" s="299" t="str">
        <f>IF(F29&lt;&gt;0,IF(E35&lt;&gt;"",VLOOKUP(F29,'Site Info'!$G$34:$P$69,2,FALSE),""),"")</f>
        <v/>
      </c>
      <c r="K33" s="299"/>
      <c r="L33" s="299"/>
    </row>
    <row r="34" spans="1:28" ht="14.25" customHeight="1" thickBot="1" x14ac:dyDescent="0.3">
      <c r="B34" s="312" t="s">
        <v>92</v>
      </c>
      <c r="C34" s="321"/>
      <c r="D34" s="313"/>
      <c r="E34" s="312" t="s">
        <v>133</v>
      </c>
      <c r="F34" s="321"/>
      <c r="G34" s="321"/>
      <c r="H34" s="321"/>
      <c r="I34" s="313"/>
      <c r="J34" s="312" t="s">
        <v>71</v>
      </c>
      <c r="K34" s="321"/>
      <c r="L34" s="313"/>
      <c r="M34" s="312" t="s">
        <v>93</v>
      </c>
      <c r="N34" s="321"/>
      <c r="O34" s="321"/>
      <c r="P34" s="313"/>
      <c r="Q34" s="312" t="s">
        <v>95</v>
      </c>
      <c r="R34" s="321"/>
      <c r="S34" s="313"/>
      <c r="T34" s="312" t="s">
        <v>96</v>
      </c>
      <c r="U34" s="321"/>
      <c r="V34" s="313"/>
      <c r="W34" s="312" t="s">
        <v>1269</v>
      </c>
      <c r="X34" s="321"/>
      <c r="Y34" s="313"/>
      <c r="Z34" s="258" t="s">
        <v>473</v>
      </c>
    </row>
    <row r="35" spans="1:28" ht="14.25" customHeight="1" x14ac:dyDescent="0.25">
      <c r="A35" s="26">
        <v>1</v>
      </c>
      <c r="B35" s="302" t="str">
        <f>IF(Inventory!$C$15&lt;&gt;"",CONCATENATE("CIFS - Node ",A35),"")</f>
        <v>CIFS - Node 1</v>
      </c>
      <c r="C35" s="302"/>
      <c r="D35" s="302"/>
      <c r="E35" s="302" t="str">
        <f>IF(B35&lt;&gt;"",CONCATENATE($K$9,"-0",A35,".",$F$11)," ")</f>
        <v>shpsan-hyperv-01-01.speedcast.com</v>
      </c>
      <c r="F35" s="302"/>
      <c r="G35" s="302"/>
      <c r="H35" s="302"/>
      <c r="I35" s="302"/>
      <c r="J35" s="288"/>
      <c r="K35" s="289"/>
      <c r="L35" s="290"/>
      <c r="M35" s="288" t="str">
        <f>IF(B35&lt;&gt;"",CONCATENATE($K$9,"-0",A35),"")</f>
        <v>shpsan-hyperv-01-01</v>
      </c>
      <c r="N35" s="289"/>
      <c r="O35" s="289"/>
      <c r="P35" s="290"/>
      <c r="Q35" s="302" t="str">
        <f>IF(E35&lt;&gt;"",Inventory!$C$15,"")</f>
        <v>shpsan-01</v>
      </c>
      <c r="R35" s="302"/>
      <c r="S35" s="302"/>
      <c r="T35" s="302" t="str">
        <f>IF(AND(E35&lt;&gt;"",F31&lt;&gt;0,F30&lt;&gt;0,F29&lt;&gt;0),IF(F31&lt;&gt;"Yes",F30,CONCATENATE(F30,"-",F29)),"")</f>
        <v/>
      </c>
      <c r="U35" s="302"/>
      <c r="V35" s="302"/>
      <c r="W35" s="302"/>
      <c r="X35" s="302"/>
      <c r="Y35" s="302"/>
      <c r="Z35" s="255" t="str">
        <f>IF($F$29&lt;&gt;0,IF(VLOOKUP($F$29,'Site Info'!$G$34:$V$69,8,FALSE)&lt;&gt;0,VLOOKUP($F$29,'Site Info'!$G$34:$V$69,11,FALSE),""),"")</f>
        <v/>
      </c>
    </row>
    <row r="36" spans="1:28" ht="14.25" customHeight="1" x14ac:dyDescent="0.25">
      <c r="A36" s="26">
        <v>2</v>
      </c>
      <c r="B36" s="302" t="str">
        <f>IF(Inventory!$C$16&lt;&gt;"",CONCATENATE("CIFS - Node ",A36),"")</f>
        <v>CIFS - Node 2</v>
      </c>
      <c r="C36" s="302"/>
      <c r="D36" s="302"/>
      <c r="E36" s="302" t="str">
        <f t="shared" ref="E36:E42" si="0">IF(B36&lt;&gt;"",CONCATENATE($K$9,"-0",A36,".",$F$11)," ")</f>
        <v>shpsan-hyperv-01-02.speedcast.com</v>
      </c>
      <c r="F36" s="302"/>
      <c r="G36" s="302"/>
      <c r="H36" s="302"/>
      <c r="I36" s="302"/>
      <c r="J36" s="288"/>
      <c r="K36" s="289"/>
      <c r="L36" s="290"/>
      <c r="M36" s="288" t="str">
        <f t="shared" ref="M36:M42" si="1">IF(B36&lt;&gt;"",CONCATENATE($K$9,"-0",A36),"")</f>
        <v>shpsan-hyperv-01-02</v>
      </c>
      <c r="N36" s="289"/>
      <c r="O36" s="289"/>
      <c r="P36" s="290"/>
      <c r="Q36" s="302" t="str">
        <f>IF(E36&lt;&gt;"",Inventory!$C$16,"")</f>
        <v>shpsan-02</v>
      </c>
      <c r="R36" s="302"/>
      <c r="S36" s="302"/>
      <c r="T36" s="302" t="str">
        <f>IF(AND(E36&lt;&gt;"",F31&lt;&gt;0,F30&lt;&gt;0,F29&lt;&gt;0),IF(F31&lt;&gt;"Yes",F30,CONCATENATE(F30,"-",F29)),"")</f>
        <v/>
      </c>
      <c r="U36" s="302"/>
      <c r="V36" s="302"/>
      <c r="W36" s="302"/>
      <c r="X36" s="302"/>
      <c r="Y36" s="302"/>
      <c r="Z36" s="255" t="str">
        <f>IF($F$29&lt;&gt;0,IF(VLOOKUP($F$29,'Site Info'!$G$34:$V$69,8,FALSE)&lt;&gt;0,VLOOKUP($F$29,'Site Info'!$G$34:$V$69,11,FALSE),""),"")</f>
        <v/>
      </c>
    </row>
    <row r="37" spans="1:28" ht="14.25" customHeight="1" x14ac:dyDescent="0.25">
      <c r="A37" s="26">
        <v>3</v>
      </c>
      <c r="B37" s="302" t="str">
        <f>IF(Inventory!$C$17&lt;&gt;"",CONCATENATE("CIFS - Node ",A37),"")</f>
        <v/>
      </c>
      <c r="C37" s="302"/>
      <c r="D37" s="302"/>
      <c r="E37" s="302" t="str">
        <f t="shared" si="0"/>
        <v xml:space="preserve"> </v>
      </c>
      <c r="F37" s="302"/>
      <c r="G37" s="302"/>
      <c r="H37" s="302"/>
      <c r="I37" s="302"/>
      <c r="J37" s="288"/>
      <c r="K37" s="289"/>
      <c r="L37" s="290"/>
      <c r="M37" s="288" t="str">
        <f t="shared" si="1"/>
        <v/>
      </c>
      <c r="N37" s="289"/>
      <c r="O37" s="289"/>
      <c r="P37" s="290"/>
      <c r="Q37" s="302" t="str">
        <f>IF(E37&lt;&gt;"",Inventory!$C$17,"")</f>
        <v/>
      </c>
      <c r="R37" s="302"/>
      <c r="S37" s="302"/>
      <c r="T37" s="302" t="str">
        <f>IF(AND(E37&lt;&gt;"",F31&lt;&gt;0,F30&lt;&gt;0,F29&lt;&gt;0),IF(F31&lt;&gt;"Yes",F30,CONCATENATE(F30,"-",F29)),"")</f>
        <v/>
      </c>
      <c r="U37" s="302"/>
      <c r="V37" s="302"/>
      <c r="W37" s="302"/>
      <c r="X37" s="302"/>
      <c r="Y37" s="302"/>
      <c r="Z37" s="255" t="str">
        <f>IF($F$29&lt;&gt;0,IF(VLOOKUP($F$29,'Site Info'!$G$34:$V$69,8,FALSE)&lt;&gt;0,VLOOKUP($F$29,'Site Info'!$G$34:$V$69,11,FALSE),""),"")</f>
        <v/>
      </c>
    </row>
    <row r="38" spans="1:28" ht="14.25" customHeight="1" x14ac:dyDescent="0.25">
      <c r="A38" s="26">
        <v>4</v>
      </c>
      <c r="B38" s="302" t="str">
        <f>IF(Inventory!$C$18&lt;&gt;"",CONCATENATE("CIFS - Node ",A38),"")</f>
        <v/>
      </c>
      <c r="C38" s="302"/>
      <c r="D38" s="302"/>
      <c r="E38" s="302" t="str">
        <f t="shared" si="0"/>
        <v xml:space="preserve"> </v>
      </c>
      <c r="F38" s="302"/>
      <c r="G38" s="302"/>
      <c r="H38" s="302"/>
      <c r="I38" s="302"/>
      <c r="J38" s="288"/>
      <c r="K38" s="289"/>
      <c r="L38" s="290"/>
      <c r="M38" s="288" t="str">
        <f t="shared" si="1"/>
        <v/>
      </c>
      <c r="N38" s="289"/>
      <c r="O38" s="289"/>
      <c r="P38" s="290"/>
      <c r="Q38" s="302" t="str">
        <f>IF(E38&lt;&gt;"",Inventory!$C$18,"")</f>
        <v/>
      </c>
      <c r="R38" s="302"/>
      <c r="S38" s="302"/>
      <c r="T38" s="302" t="str">
        <f>IF(AND(E38&lt;&gt;"",F31&lt;&gt;0,F30&lt;&gt;0,F29&lt;&gt;0),IF(F31&lt;&gt;"Yes",F30,CONCATENATE(F30,"-",F29)),"")</f>
        <v/>
      </c>
      <c r="U38" s="302"/>
      <c r="V38" s="302"/>
      <c r="W38" s="302"/>
      <c r="X38" s="302"/>
      <c r="Y38" s="302"/>
      <c r="Z38" s="255" t="str">
        <f>IF($F$29&lt;&gt;0,IF(VLOOKUP($F$29,'Site Info'!$G$34:$V$69,8,FALSE)&lt;&gt;0,VLOOKUP($F$29,'Site Info'!$G$34:$V$69,11,FALSE),""),"")</f>
        <v/>
      </c>
    </row>
    <row r="39" spans="1:28" ht="14.25" customHeight="1" x14ac:dyDescent="0.25">
      <c r="A39" s="26">
        <v>5</v>
      </c>
      <c r="B39" s="288" t="str">
        <f>IF(Inventory!$C$19&lt;&gt;"",CONCATENATE("CIFS - Node ",A39),"")</f>
        <v/>
      </c>
      <c r="C39" s="289"/>
      <c r="D39" s="290"/>
      <c r="E39" s="302" t="str">
        <f t="shared" si="0"/>
        <v xml:space="preserve"> </v>
      </c>
      <c r="F39" s="302"/>
      <c r="G39" s="302"/>
      <c r="H39" s="302"/>
      <c r="I39" s="302"/>
      <c r="J39" s="288"/>
      <c r="K39" s="289"/>
      <c r="L39" s="290"/>
      <c r="M39" s="288" t="str">
        <f t="shared" si="1"/>
        <v/>
      </c>
      <c r="N39" s="289"/>
      <c r="O39" s="289"/>
      <c r="P39" s="290"/>
      <c r="Q39" s="288" t="str">
        <f>IF(E39&lt;&gt;"",Inventory!$C$19,"")</f>
        <v/>
      </c>
      <c r="R39" s="289"/>
      <c r="S39" s="290"/>
      <c r="T39" s="288" t="str">
        <f>IF(AND(E39&lt;&gt;"",F31&lt;&gt;0,F30&lt;&gt;0,F29&lt;&gt;0),IF(F31&lt;&gt;"Yes",F30,CONCATENATE(F30,"-",F29)),"")</f>
        <v/>
      </c>
      <c r="U39" s="289"/>
      <c r="V39" s="290"/>
      <c r="W39" s="288"/>
      <c r="X39" s="289"/>
      <c r="Y39" s="290"/>
      <c r="Z39" s="255" t="str">
        <f>IF($F$29&lt;&gt;0,IF(VLOOKUP($F$29,'Site Info'!$G$34:$V$69,8,FALSE)&lt;&gt;0,VLOOKUP($F$29,'Site Info'!$G$34:$V$69,11,FALSE),""),"")</f>
        <v/>
      </c>
    </row>
    <row r="40" spans="1:28" ht="14.25" customHeight="1" x14ac:dyDescent="0.25">
      <c r="A40" s="26">
        <v>6</v>
      </c>
      <c r="B40" s="302" t="str">
        <f>IF(Inventory!$C$20&lt;&gt;"",CONCATENATE("CIFS - Node ",A40),"")</f>
        <v/>
      </c>
      <c r="C40" s="302"/>
      <c r="D40" s="302"/>
      <c r="E40" s="302" t="str">
        <f t="shared" si="0"/>
        <v xml:space="preserve"> </v>
      </c>
      <c r="F40" s="302"/>
      <c r="G40" s="302"/>
      <c r="H40" s="302"/>
      <c r="I40" s="302"/>
      <c r="J40" s="288"/>
      <c r="K40" s="289"/>
      <c r="L40" s="290"/>
      <c r="M40" s="288" t="str">
        <f t="shared" si="1"/>
        <v/>
      </c>
      <c r="N40" s="289"/>
      <c r="O40" s="289"/>
      <c r="P40" s="290"/>
      <c r="Q40" s="302" t="str">
        <f>IF(E40&lt;&gt;"",Inventory!$C$20,"")</f>
        <v/>
      </c>
      <c r="R40" s="302"/>
      <c r="S40" s="302"/>
      <c r="T40" s="288" t="str">
        <f>IF(AND(E40&lt;&gt;"",F31&lt;&gt;0,F30&lt;&gt;0,F29&lt;&gt;0),IF(F31&lt;&gt;"Yes",F30,CONCATENATE(F30,"-",F29)),"")</f>
        <v/>
      </c>
      <c r="U40" s="289"/>
      <c r="V40" s="290"/>
      <c r="W40" s="288"/>
      <c r="X40" s="289"/>
      <c r="Y40" s="290"/>
      <c r="Z40" s="255" t="str">
        <f>IF($F$29&lt;&gt;0,IF(VLOOKUP($F$29,'Site Info'!$G$34:$V$69,8,FALSE)&lt;&gt;0,VLOOKUP($F$29,'Site Info'!$G$34:$V$69,11,FALSE),""),"")</f>
        <v/>
      </c>
    </row>
    <row r="41" spans="1:28" ht="14.25" customHeight="1" x14ac:dyDescent="0.25">
      <c r="A41" s="26">
        <v>7</v>
      </c>
      <c r="B41" s="302" t="str">
        <f>IF(Inventory!$C$21&lt;&gt;"",CONCATENATE("CIFS - Node ",A41),"")</f>
        <v/>
      </c>
      <c r="C41" s="302"/>
      <c r="D41" s="302"/>
      <c r="E41" s="302" t="str">
        <f t="shared" si="0"/>
        <v xml:space="preserve"> </v>
      </c>
      <c r="F41" s="302"/>
      <c r="G41" s="302"/>
      <c r="H41" s="302"/>
      <c r="I41" s="302"/>
      <c r="J41" s="288"/>
      <c r="K41" s="289"/>
      <c r="L41" s="290"/>
      <c r="M41" s="288" t="str">
        <f t="shared" si="1"/>
        <v/>
      </c>
      <c r="N41" s="289"/>
      <c r="O41" s="289"/>
      <c r="P41" s="290"/>
      <c r="Q41" s="302" t="str">
        <f>IF(E41&lt;&gt;"",Inventory!$C$21,"")</f>
        <v/>
      </c>
      <c r="R41" s="302"/>
      <c r="S41" s="302"/>
      <c r="T41" s="302" t="str">
        <f>IF(AND(E41&lt;&gt;"",F31&lt;&gt;0,F30&lt;&gt;0,F29&lt;&gt;0),IF(F31&lt;&gt;"Yes",F30,CONCATENATE(F30,"-",F29)),"")</f>
        <v/>
      </c>
      <c r="U41" s="302"/>
      <c r="V41" s="302"/>
      <c r="W41" s="302"/>
      <c r="X41" s="302"/>
      <c r="Y41" s="302"/>
      <c r="Z41" s="255" t="str">
        <f>IF($F$29&lt;&gt;0,IF(VLOOKUP($F$29,'Site Info'!$G$34:$V$69,8,FALSE)&lt;&gt;0,VLOOKUP($F$29,'Site Info'!$G$34:$V$69,11,FALSE),""),"")</f>
        <v/>
      </c>
    </row>
    <row r="42" spans="1:28" ht="14.25" customHeight="1" x14ac:dyDescent="0.25">
      <c r="A42" s="26">
        <v>8</v>
      </c>
      <c r="B42" s="302" t="str">
        <f>IF(Inventory!$C$22&lt;&gt;"",CONCATENATE("CIFS - Node ",A42),"")</f>
        <v/>
      </c>
      <c r="C42" s="302"/>
      <c r="D42" s="302"/>
      <c r="E42" s="302" t="str">
        <f t="shared" si="0"/>
        <v xml:space="preserve"> </v>
      </c>
      <c r="F42" s="302"/>
      <c r="G42" s="302"/>
      <c r="H42" s="302"/>
      <c r="I42" s="302"/>
      <c r="J42" s="288"/>
      <c r="K42" s="289"/>
      <c r="L42" s="290"/>
      <c r="M42" s="288" t="str">
        <f t="shared" si="1"/>
        <v/>
      </c>
      <c r="N42" s="289"/>
      <c r="O42" s="289"/>
      <c r="P42" s="290"/>
      <c r="Q42" s="302" t="str">
        <f>IF(E42&lt;&gt;"",Inventory!$C$22,"")</f>
        <v/>
      </c>
      <c r="R42" s="302"/>
      <c r="S42" s="302"/>
      <c r="T42" s="302" t="str">
        <f>IF(AND(E42&lt;&gt;"",F31&lt;&gt;0,F30&lt;&gt;0,F29&lt;&gt;0),IF(F31&lt;&gt;"Yes",F30,CONCATENATE(F30,"-",F29)),"")</f>
        <v/>
      </c>
      <c r="U42" s="302"/>
      <c r="V42" s="302"/>
      <c r="W42" s="302"/>
      <c r="X42" s="302"/>
      <c r="Y42" s="302"/>
      <c r="Z42" s="255" t="str">
        <f>IF($F$29&lt;&gt;0,IF(VLOOKUP($F$29,'Site Info'!$G$34:$V$69,8,FALSE)&lt;&gt;0,VLOOKUP($F$29,'Site Info'!$G$34:$V$69,11,FALSE),""),"")</f>
        <v/>
      </c>
    </row>
    <row r="43" spans="1:28" ht="14.25" hidden="1" customHeight="1" x14ac:dyDescent="0.25">
      <c r="AB43" s="36" t="s">
        <v>143</v>
      </c>
    </row>
    <row r="44" spans="1:28" ht="14.25" hidden="1" customHeight="1" x14ac:dyDescent="0.25">
      <c r="B44" s="4" t="s">
        <v>135</v>
      </c>
    </row>
    <row r="45" spans="1:28" ht="6" hidden="1" customHeight="1" x14ac:dyDescent="0.25">
      <c r="B45" s="4"/>
      <c r="G45" s="6"/>
    </row>
    <row r="46" spans="1:28" ht="14.25" hidden="1" customHeight="1" x14ac:dyDescent="0.25">
      <c r="B46" s="303" t="s">
        <v>136</v>
      </c>
      <c r="C46" s="303"/>
      <c r="D46" s="303"/>
      <c r="E46" s="303"/>
      <c r="F46" s="171"/>
      <c r="G46" s="303" t="s">
        <v>137</v>
      </c>
      <c r="H46" s="303"/>
      <c r="I46" s="303"/>
      <c r="J46" s="303"/>
      <c r="K46" s="288" t="str">
        <f>IF(E51&lt;&gt;"",IF(F46&lt;&gt;0,VLOOKUP(F46,'Site Info'!$G$34:$P$69,8,FALSE),"enter VLAN"),"")</f>
        <v>enter VLAN</v>
      </c>
      <c r="L46" s="289"/>
      <c r="M46" s="290"/>
      <c r="N46" s="303" t="s">
        <v>138</v>
      </c>
      <c r="O46" s="303"/>
      <c r="P46" s="303"/>
      <c r="Q46" s="303"/>
      <c r="R46" s="171">
        <v>10</v>
      </c>
    </row>
    <row r="47" spans="1:28" ht="14.25" hidden="1" customHeight="1" x14ac:dyDescent="0.25">
      <c r="B47" s="303" t="s">
        <v>139</v>
      </c>
      <c r="C47" s="303"/>
      <c r="D47" s="303"/>
      <c r="E47" s="303"/>
      <c r="F47" s="171"/>
      <c r="G47" s="303" t="s">
        <v>140</v>
      </c>
      <c r="H47" s="303"/>
      <c r="I47" s="303"/>
      <c r="J47" s="303"/>
      <c r="K47" s="288" t="str">
        <f>IF(E51&lt;&gt;"",IF(F46&lt;&gt;0,VLOOKUP(F46,'Site Info'!$G$34:$P$69,5,FALSE),"enter VLAN"),"")</f>
        <v>enter VLAN</v>
      </c>
      <c r="L47" s="289"/>
      <c r="M47" s="290"/>
    </row>
    <row r="48" spans="1:28" ht="14.25" hidden="1" customHeight="1" x14ac:dyDescent="0.25">
      <c r="B48" s="303" t="s">
        <v>91</v>
      </c>
      <c r="C48" s="303"/>
      <c r="D48" s="303"/>
      <c r="E48" s="303"/>
      <c r="F48" s="171"/>
      <c r="G48" s="303" t="s">
        <v>141</v>
      </c>
      <c r="H48" s="303"/>
      <c r="I48" s="303"/>
      <c r="J48" s="303"/>
      <c r="K48" s="288"/>
      <c r="L48" s="289"/>
      <c r="M48" s="289"/>
      <c r="N48" s="289"/>
      <c r="O48" s="290"/>
    </row>
    <row r="49" spans="1:28" ht="14.25" hidden="1" customHeight="1" x14ac:dyDescent="0.25">
      <c r="J49" s="299" t="str">
        <f>IF(F46&lt;&gt;0,IF(E51&lt;&gt;"",VLOOKUP(F46,'Site Info'!$G$34:$P$69,2,FALSE),""),"")</f>
        <v/>
      </c>
      <c r="K49" s="299"/>
      <c r="L49" s="299"/>
    </row>
    <row r="50" spans="1:28" ht="14.25" hidden="1" customHeight="1" thickBot="1" x14ac:dyDescent="0.3">
      <c r="B50" s="312" t="s">
        <v>92</v>
      </c>
      <c r="C50" s="321"/>
      <c r="D50" s="313"/>
      <c r="E50" s="312" t="s">
        <v>142</v>
      </c>
      <c r="F50" s="321"/>
      <c r="G50" s="321"/>
      <c r="H50" s="321"/>
      <c r="I50" s="313"/>
      <c r="J50" s="312" t="s">
        <v>71</v>
      </c>
      <c r="K50" s="321"/>
      <c r="L50" s="313"/>
      <c r="M50" s="312" t="s">
        <v>93</v>
      </c>
      <c r="N50" s="321"/>
      <c r="O50" s="321"/>
      <c r="P50" s="313"/>
      <c r="Q50" s="312" t="s">
        <v>95</v>
      </c>
      <c r="R50" s="321"/>
      <c r="S50" s="313"/>
      <c r="T50" s="312" t="s">
        <v>96</v>
      </c>
      <c r="U50" s="321"/>
      <c r="V50" s="313"/>
      <c r="W50" s="312" t="s">
        <v>103</v>
      </c>
      <c r="X50" s="321"/>
      <c r="Y50" s="313"/>
      <c r="Z50" s="312" t="s">
        <v>104</v>
      </c>
      <c r="AA50" s="321"/>
      <c r="AB50" s="313"/>
    </row>
    <row r="51" spans="1:28" ht="14.25" hidden="1" customHeight="1" x14ac:dyDescent="0.25">
      <c r="A51" s="26">
        <v>1</v>
      </c>
      <c r="B51" s="302" t="str">
        <f>IF(Inventory!$C$15&lt;&gt;"",CONCATENATE("NFS - Node ",A51),"")</f>
        <v>NFS - Node 1</v>
      </c>
      <c r="C51" s="302"/>
      <c r="D51" s="302"/>
      <c r="E51" s="302" t="str">
        <f>IF(B51&lt;&gt;"",CONCATENATE(K9,"-n0",A51,".",F11)," ")</f>
        <v>shpsan-hyperv-01-n01.speedcast.com</v>
      </c>
      <c r="F51" s="302"/>
      <c r="G51" s="302"/>
      <c r="H51" s="302"/>
      <c r="I51" s="302"/>
      <c r="J51" s="288"/>
      <c r="K51" s="289"/>
      <c r="L51" s="290"/>
      <c r="M51" s="288" t="str">
        <f>IF(B51&lt;&gt;"",CONCATENATE(K9,"-n0",A51),"")</f>
        <v>shpsan-hyperv-01-n01</v>
      </c>
      <c r="N51" s="289"/>
      <c r="O51" s="289"/>
      <c r="P51" s="290"/>
      <c r="Q51" s="302" t="str">
        <f>IF(E51&lt;&gt;"",Inventory!$C$15,"")</f>
        <v>shpsan-01</v>
      </c>
      <c r="R51" s="302"/>
      <c r="S51" s="302"/>
      <c r="T51" s="302" t="str">
        <f>IF(AND(E51&lt;&gt;"",F48&lt;&gt;0,F47&lt;&gt;0,F46&lt;&gt;0),IF(F48&lt;&gt;"Yes",F47,CONCATENATE(F47,"-",F46)),"")</f>
        <v/>
      </c>
      <c r="U51" s="302"/>
      <c r="V51" s="302"/>
      <c r="W51" s="302" t="str">
        <f>IF(E51&lt;&gt;"",CONCATENATE("d",J49),"")</f>
        <v>d</v>
      </c>
      <c r="X51" s="302"/>
      <c r="Y51" s="302"/>
      <c r="Z51" s="302" t="str">
        <f>IF(E51&lt;&gt;"","0.0.0.0/0","")</f>
        <v>0.0.0.0/0</v>
      </c>
      <c r="AA51" s="302"/>
      <c r="AB51" s="302"/>
    </row>
    <row r="52" spans="1:28" ht="14.25" hidden="1" customHeight="1" x14ac:dyDescent="0.25">
      <c r="A52" s="26">
        <v>2</v>
      </c>
      <c r="B52" s="302" t="str">
        <f>IF(Inventory!$C$16&lt;&gt;"",CONCATENATE("NFS - Node ",A52),"")</f>
        <v>NFS - Node 2</v>
      </c>
      <c r="C52" s="302"/>
      <c r="D52" s="302"/>
      <c r="E52" s="302" t="str">
        <f>IF(B52&lt;&gt;"",CONCATENATE(K9,"-n0",A52,".",F11)," ")</f>
        <v>shpsan-hyperv-01-n02.speedcast.com</v>
      </c>
      <c r="F52" s="302"/>
      <c r="G52" s="302"/>
      <c r="H52" s="302"/>
      <c r="I52" s="302"/>
      <c r="J52" s="288"/>
      <c r="K52" s="289"/>
      <c r="L52" s="290"/>
      <c r="M52" s="288" t="str">
        <f>IF(B52&lt;&gt;"",CONCATENATE(K9,"-n0",A52),"")</f>
        <v>shpsan-hyperv-01-n02</v>
      </c>
      <c r="N52" s="289"/>
      <c r="O52" s="289"/>
      <c r="P52" s="290"/>
      <c r="Q52" s="302" t="str">
        <f>IF(E52&lt;&gt;"",Inventory!$C$16,"")</f>
        <v>shpsan-02</v>
      </c>
      <c r="R52" s="302"/>
      <c r="S52" s="302"/>
      <c r="T52" s="302" t="str">
        <f>IF(AND(E52&lt;&gt;"",F48&lt;&gt;0,F47&lt;&gt;0,F46&lt;&gt;0),IF(F48&lt;&gt;"Yes",F47,CONCATENATE(F47,"-",F46)),"")</f>
        <v/>
      </c>
      <c r="U52" s="302"/>
      <c r="V52" s="302"/>
      <c r="W52" s="302" t="str">
        <f>IF(E52&lt;&gt;"",CONCATENATE("d",J49),"")</f>
        <v>d</v>
      </c>
      <c r="X52" s="302"/>
      <c r="Y52" s="302"/>
      <c r="Z52" s="302" t="str">
        <f t="shared" ref="Z52:Z58" si="2">IF(E52&lt;&gt;"","0.0.0.0/0","")</f>
        <v>0.0.0.0/0</v>
      </c>
      <c r="AA52" s="302"/>
      <c r="AB52" s="302"/>
    </row>
    <row r="53" spans="1:28" ht="14.25" hidden="1" customHeight="1" x14ac:dyDescent="0.25">
      <c r="A53" s="26">
        <v>3</v>
      </c>
      <c r="B53" s="302" t="str">
        <f>IF(Inventory!$C$17&lt;&gt;"",CONCATENATE("NFS - Node ",A53),"")</f>
        <v/>
      </c>
      <c r="C53" s="302"/>
      <c r="D53" s="302"/>
      <c r="E53" s="302" t="str">
        <f>IF(B53&lt;&gt;"",CONCATENATE(K9,"-n0",A53,".",F11)," ")</f>
        <v xml:space="preserve"> </v>
      </c>
      <c r="F53" s="302"/>
      <c r="G53" s="302"/>
      <c r="H53" s="302"/>
      <c r="I53" s="302"/>
      <c r="J53" s="288"/>
      <c r="K53" s="289"/>
      <c r="L53" s="290"/>
      <c r="M53" s="288" t="str">
        <f>IF(B53&lt;&gt;"",CONCATENATE(K9,"-n0",A53),"")</f>
        <v/>
      </c>
      <c r="N53" s="289"/>
      <c r="O53" s="289"/>
      <c r="P53" s="290"/>
      <c r="Q53" s="302" t="str">
        <f>IF(E53&lt;&gt;"",Inventory!$C$17,"")</f>
        <v/>
      </c>
      <c r="R53" s="302"/>
      <c r="S53" s="302"/>
      <c r="T53" s="302" t="str">
        <f>IF(AND(E53&lt;&gt;"",F48&lt;&gt;0,F47&lt;&gt;0,F46&lt;&gt;0),IF(F48&lt;&gt;"Yes",F47,CONCATENATE(F47,"-",F46)),"")</f>
        <v/>
      </c>
      <c r="U53" s="302"/>
      <c r="V53" s="302"/>
      <c r="W53" s="302" t="str">
        <f>IF(E53&lt;&gt;"",CONCATENATE("d",J49),"")</f>
        <v>d</v>
      </c>
      <c r="X53" s="302"/>
      <c r="Y53" s="302"/>
      <c r="Z53" s="302" t="str">
        <f t="shared" si="2"/>
        <v>0.0.0.0/0</v>
      </c>
      <c r="AA53" s="302"/>
      <c r="AB53" s="302"/>
    </row>
    <row r="54" spans="1:28" ht="14.25" hidden="1" customHeight="1" x14ac:dyDescent="0.25">
      <c r="A54" s="26">
        <v>4</v>
      </c>
      <c r="B54" s="302" t="str">
        <f>IF(Inventory!$C$18&lt;&gt;"",CONCATENATE("NFS - Node ",A54),"")</f>
        <v/>
      </c>
      <c r="C54" s="302"/>
      <c r="D54" s="302"/>
      <c r="E54" s="302" t="str">
        <f>IF(B54&lt;&gt;"",CONCATENATE(K9,"-n0",A54,".",F11)," ")</f>
        <v xml:space="preserve"> </v>
      </c>
      <c r="F54" s="302"/>
      <c r="G54" s="302"/>
      <c r="H54" s="302"/>
      <c r="I54" s="302"/>
      <c r="J54" s="288"/>
      <c r="K54" s="289"/>
      <c r="L54" s="290"/>
      <c r="M54" s="288" t="str">
        <f>IF(B54&lt;&gt;"",CONCATENATE(K9,"-n0",A54),"")</f>
        <v/>
      </c>
      <c r="N54" s="289"/>
      <c r="O54" s="289"/>
      <c r="P54" s="290"/>
      <c r="Q54" s="302" t="str">
        <f>IF(E54&lt;&gt;"",Inventory!$C$18,"")</f>
        <v/>
      </c>
      <c r="R54" s="302"/>
      <c r="S54" s="302"/>
      <c r="T54" s="302" t="str">
        <f>IF(AND(E54&lt;&gt;"",F48&lt;&gt;0,F47&lt;&gt;0,F46&lt;&gt;0),IF(F48&lt;&gt;"Yes",F47,CONCATENATE(F47,"-",F46)),"")</f>
        <v/>
      </c>
      <c r="U54" s="302"/>
      <c r="V54" s="302"/>
      <c r="W54" s="302" t="str">
        <f>IF(E54&lt;&gt;"",CONCATENATE("d",J49),"")</f>
        <v>d</v>
      </c>
      <c r="X54" s="302"/>
      <c r="Y54" s="302"/>
      <c r="Z54" s="302" t="str">
        <f t="shared" si="2"/>
        <v>0.0.0.0/0</v>
      </c>
      <c r="AA54" s="302"/>
      <c r="AB54" s="302"/>
    </row>
    <row r="55" spans="1:28" ht="14.25" hidden="1" customHeight="1" x14ac:dyDescent="0.25">
      <c r="A55" s="26">
        <v>5</v>
      </c>
      <c r="B55" s="302" t="str">
        <f>IF(Inventory!$C$19&lt;&gt;"",CONCATENATE("NFS - Node ",A55),"")</f>
        <v/>
      </c>
      <c r="C55" s="302"/>
      <c r="D55" s="302"/>
      <c r="E55" s="302" t="str">
        <f>IF(B55&lt;&gt;"",CONCATENATE(K9,"-n0",A55,".",F11)," ")</f>
        <v xml:space="preserve"> </v>
      </c>
      <c r="F55" s="302"/>
      <c r="G55" s="302"/>
      <c r="H55" s="302"/>
      <c r="I55" s="302"/>
      <c r="J55" s="288"/>
      <c r="K55" s="289"/>
      <c r="L55" s="290"/>
      <c r="M55" s="288" t="str">
        <f>IF(B55&lt;&gt;"",CONCATENATE(K9,"-n0",A55),"")</f>
        <v/>
      </c>
      <c r="N55" s="289"/>
      <c r="O55" s="289"/>
      <c r="P55" s="290"/>
      <c r="Q55" s="302" t="str">
        <f>IF(E55&lt;&gt;"",Inventory!$C$19,"")</f>
        <v/>
      </c>
      <c r="R55" s="302"/>
      <c r="S55" s="302"/>
      <c r="T55" s="302" t="str">
        <f>IF(AND(E55&lt;&gt;"",F48&lt;&gt;0,F47&lt;&gt;0,F46&lt;&gt;0),IF(F48&lt;&gt;"Yes",F47,CONCATENATE(F47,"-",F46)),"")</f>
        <v/>
      </c>
      <c r="U55" s="302"/>
      <c r="V55" s="302"/>
      <c r="W55" s="302" t="str">
        <f>IF(E55&lt;&gt;"",CONCATENATE("d",J49),"")</f>
        <v>d</v>
      </c>
      <c r="X55" s="302"/>
      <c r="Y55" s="302"/>
      <c r="Z55" s="302" t="str">
        <f t="shared" si="2"/>
        <v>0.0.0.0/0</v>
      </c>
      <c r="AA55" s="302"/>
      <c r="AB55" s="302"/>
    </row>
    <row r="56" spans="1:28" ht="14.25" hidden="1" customHeight="1" x14ac:dyDescent="0.25">
      <c r="A56" s="26">
        <v>6</v>
      </c>
      <c r="B56" s="302" t="str">
        <f>IF(Inventory!$C$20&lt;&gt;"",CONCATENATE("NFS - Node ",A56),"")</f>
        <v/>
      </c>
      <c r="C56" s="302"/>
      <c r="D56" s="302"/>
      <c r="E56" s="302" t="str">
        <f>IF(B56&lt;&gt;"",CONCATENATE(K9,"-n0",A56,".",F11)," ")</f>
        <v xml:space="preserve"> </v>
      </c>
      <c r="F56" s="302"/>
      <c r="G56" s="302"/>
      <c r="H56" s="302"/>
      <c r="I56" s="302"/>
      <c r="J56" s="288"/>
      <c r="K56" s="289"/>
      <c r="L56" s="290"/>
      <c r="M56" s="288" t="str">
        <f>IF(B56&lt;&gt;"",CONCATENATE(K9,"-n0",A56),"")</f>
        <v/>
      </c>
      <c r="N56" s="289"/>
      <c r="O56" s="289"/>
      <c r="P56" s="290"/>
      <c r="Q56" s="302" t="str">
        <f>IF(E56&lt;&gt;"",Inventory!$C$20,"")</f>
        <v/>
      </c>
      <c r="R56" s="302"/>
      <c r="S56" s="302"/>
      <c r="T56" s="302" t="str">
        <f>IF(AND(E56&lt;&gt;"",F48&lt;&gt;0,F47&lt;&gt;0,F46&lt;&gt;0),IF(F48&lt;&gt;"Yes",F47,CONCATENATE(F47,"-",F46)),"")</f>
        <v/>
      </c>
      <c r="U56" s="302"/>
      <c r="V56" s="302"/>
      <c r="W56" s="302" t="str">
        <f>IF(E56&lt;&gt;"",CONCATENATE("d",J49),"")</f>
        <v>d</v>
      </c>
      <c r="X56" s="302"/>
      <c r="Y56" s="302"/>
      <c r="Z56" s="302" t="str">
        <f t="shared" si="2"/>
        <v>0.0.0.0/0</v>
      </c>
      <c r="AA56" s="302"/>
      <c r="AB56" s="302"/>
    </row>
    <row r="57" spans="1:28" ht="14.25" hidden="1" customHeight="1" x14ac:dyDescent="0.25">
      <c r="A57" s="26">
        <v>7</v>
      </c>
      <c r="B57" s="302" t="str">
        <f>IF(Inventory!$C$21&lt;&gt;"",CONCATENATE("NFS - Node ",A57),"")</f>
        <v/>
      </c>
      <c r="C57" s="302"/>
      <c r="D57" s="302"/>
      <c r="E57" s="302" t="str">
        <f>IF(B57&lt;&gt;"",CONCATENATE(K9,"-n0",A57,".",F11)," ")</f>
        <v xml:space="preserve"> </v>
      </c>
      <c r="F57" s="302"/>
      <c r="G57" s="302"/>
      <c r="H57" s="302"/>
      <c r="I57" s="302"/>
      <c r="J57" s="288"/>
      <c r="K57" s="289"/>
      <c r="L57" s="290"/>
      <c r="M57" s="288" t="str">
        <f>IF(B57&lt;&gt;"",CONCATENATE(K9,"-n0",A57),"")</f>
        <v/>
      </c>
      <c r="N57" s="289"/>
      <c r="O57" s="289"/>
      <c r="P57" s="290"/>
      <c r="Q57" s="302" t="str">
        <f>IF(E57&lt;&gt;"",Inventory!$C$21,"")</f>
        <v/>
      </c>
      <c r="R57" s="302"/>
      <c r="S57" s="302"/>
      <c r="T57" s="302" t="str">
        <f>IF(AND(E57&lt;&gt;"",F48&lt;&gt;0,F47&lt;&gt;0,F46&lt;&gt;0),IF(F48&lt;&gt;"Yes",F47,CONCATENATE(F47,"-",F46)),"")</f>
        <v/>
      </c>
      <c r="U57" s="302"/>
      <c r="V57" s="302"/>
      <c r="W57" s="302" t="str">
        <f>IF(E57&lt;&gt;"",CONCATENATE("d",J49),"")</f>
        <v>d</v>
      </c>
      <c r="X57" s="302"/>
      <c r="Y57" s="302"/>
      <c r="Z57" s="302" t="str">
        <f t="shared" si="2"/>
        <v>0.0.0.0/0</v>
      </c>
      <c r="AA57" s="302"/>
      <c r="AB57" s="302"/>
    </row>
    <row r="58" spans="1:28" ht="14.25" hidden="1" customHeight="1" x14ac:dyDescent="0.25">
      <c r="A58" s="26">
        <v>8</v>
      </c>
      <c r="B58" s="302" t="str">
        <f>IF(Inventory!$C$22&lt;&gt;"",CONCATENATE("NFS - Node ",A58),"")</f>
        <v/>
      </c>
      <c r="C58" s="302"/>
      <c r="D58" s="302"/>
      <c r="E58" s="302" t="str">
        <f>IF(B58&lt;&gt;"",CONCATENATE(K9,"-n0",A58,".",F11)," ")</f>
        <v xml:space="preserve"> </v>
      </c>
      <c r="F58" s="302"/>
      <c r="G58" s="302"/>
      <c r="H58" s="302"/>
      <c r="I58" s="302"/>
      <c r="J58" s="288"/>
      <c r="K58" s="289"/>
      <c r="L58" s="290"/>
      <c r="M58" s="288" t="str">
        <f>IF(B58&lt;&gt;"",CONCATENATE(K9,"-n0",A58),"")</f>
        <v/>
      </c>
      <c r="N58" s="289"/>
      <c r="O58" s="289"/>
      <c r="P58" s="290"/>
      <c r="Q58" s="302" t="str">
        <f>IF(E58&lt;&gt;"",Inventory!$C$22,"")</f>
        <v/>
      </c>
      <c r="R58" s="302"/>
      <c r="S58" s="302"/>
      <c r="T58" s="302" t="str">
        <f>IF(AND(E58&lt;&gt;"",F48&lt;&gt;0,F47&lt;&gt;0,F46&lt;&gt;0),IF(F48&lt;&gt;"Yes",F47,CONCATENATE(F47,"-",F46)),"")</f>
        <v/>
      </c>
      <c r="U58" s="302"/>
      <c r="V58" s="302"/>
      <c r="W58" s="302" t="str">
        <f>IF(E58&lt;&gt;"",CONCATENATE("d",J49),"")</f>
        <v>d</v>
      </c>
      <c r="X58" s="302"/>
      <c r="Y58" s="302"/>
      <c r="Z58" s="302" t="str">
        <f t="shared" si="2"/>
        <v>0.0.0.0/0</v>
      </c>
      <c r="AA58" s="302"/>
      <c r="AB58" s="302"/>
    </row>
    <row r="59" spans="1:28" ht="14.25" hidden="1" customHeight="1" x14ac:dyDescent="0.25">
      <c r="AB59" s="36" t="s">
        <v>143</v>
      </c>
    </row>
    <row r="60" spans="1:28" ht="14.25" hidden="1" customHeight="1" x14ac:dyDescent="0.25">
      <c r="B60" s="4" t="s">
        <v>144</v>
      </c>
    </row>
    <row r="61" spans="1:28" ht="6" hidden="1" customHeight="1" x14ac:dyDescent="0.25">
      <c r="B61" s="4"/>
      <c r="G61" s="6"/>
    </row>
    <row r="62" spans="1:28" ht="14.25" hidden="1" customHeight="1" x14ac:dyDescent="0.25">
      <c r="B62" s="303" t="s">
        <v>147</v>
      </c>
      <c r="C62" s="303"/>
      <c r="D62" s="303"/>
      <c r="E62" s="303"/>
      <c r="F62" s="181"/>
      <c r="G62" s="303" t="s">
        <v>148</v>
      </c>
      <c r="H62" s="303"/>
      <c r="I62" s="303"/>
      <c r="J62" s="303"/>
      <c r="K62" s="288" t="str">
        <f>IF(E67&lt;&gt;"",IF(F62&lt;&gt;0,VLOOKUP(F62,'Site Info'!$G$34:$P$69,8,FALSE),"enter VLAN"),"")</f>
        <v>enter VLAN</v>
      </c>
      <c r="L62" s="289"/>
      <c r="M62" s="290"/>
      <c r="N62" s="303" t="s">
        <v>149</v>
      </c>
      <c r="O62" s="303"/>
      <c r="P62" s="303"/>
      <c r="Q62" s="303"/>
      <c r="R62" s="181">
        <v>10</v>
      </c>
    </row>
    <row r="63" spans="1:28" ht="14.25" hidden="1" customHeight="1" x14ac:dyDescent="0.25">
      <c r="B63" s="303" t="s">
        <v>150</v>
      </c>
      <c r="C63" s="303"/>
      <c r="D63" s="303"/>
      <c r="E63" s="303"/>
      <c r="F63" s="181"/>
      <c r="G63" s="303" t="s">
        <v>151</v>
      </c>
      <c r="H63" s="303"/>
      <c r="I63" s="303"/>
      <c r="J63" s="303"/>
      <c r="K63" s="288" t="str">
        <f>IF(E67&lt;&gt;"",IF(F62&lt;&gt;0,VLOOKUP(F62,'Site Info'!$G$34:$P$69,5,FALSE),"enter VLAN"),"")</f>
        <v>enter VLAN</v>
      </c>
      <c r="L63" s="289"/>
      <c r="M63" s="290"/>
    </row>
    <row r="64" spans="1:28" ht="14.25" hidden="1" customHeight="1" x14ac:dyDescent="0.25">
      <c r="B64" s="303" t="s">
        <v>91</v>
      </c>
      <c r="C64" s="303"/>
      <c r="D64" s="303"/>
      <c r="E64" s="303"/>
      <c r="F64" s="181"/>
    </row>
    <row r="65" spans="1:28" ht="14.25" hidden="1" customHeight="1" x14ac:dyDescent="0.25">
      <c r="J65" s="299" t="str">
        <f>IF(F62&lt;&gt;0,IF(E67&lt;&gt;"",VLOOKUP(F62,'Site Info'!$G$34:$P$69,2,FALSE),""),"")</f>
        <v/>
      </c>
      <c r="K65" s="299"/>
      <c r="L65" s="299"/>
    </row>
    <row r="66" spans="1:28" ht="14.25" hidden="1" customHeight="1" thickBot="1" x14ac:dyDescent="0.3">
      <c r="B66" s="312" t="s">
        <v>92</v>
      </c>
      <c r="C66" s="321"/>
      <c r="D66" s="313"/>
      <c r="E66" s="312" t="s">
        <v>146</v>
      </c>
      <c r="F66" s="321"/>
      <c r="G66" s="321"/>
      <c r="H66" s="321"/>
      <c r="I66" s="313"/>
      <c r="J66" s="312" t="s">
        <v>71</v>
      </c>
      <c r="K66" s="321"/>
      <c r="L66" s="313"/>
      <c r="M66" s="312" t="s">
        <v>93</v>
      </c>
      <c r="N66" s="321"/>
      <c r="O66" s="321"/>
      <c r="P66" s="313"/>
      <c r="Q66" s="312" t="s">
        <v>95</v>
      </c>
      <c r="R66" s="321"/>
      <c r="S66" s="313"/>
      <c r="T66" s="312" t="s">
        <v>96</v>
      </c>
      <c r="U66" s="321"/>
      <c r="V66" s="313"/>
      <c r="W66" s="312" t="s">
        <v>103</v>
      </c>
      <c r="X66" s="321"/>
      <c r="Y66" s="313"/>
      <c r="Z66" s="312" t="s">
        <v>104</v>
      </c>
      <c r="AA66" s="321"/>
      <c r="AB66" s="313"/>
    </row>
    <row r="67" spans="1:28" ht="14.25" hidden="1" customHeight="1" x14ac:dyDescent="0.25">
      <c r="A67" s="26">
        <v>1</v>
      </c>
      <c r="B67" s="302" t="str">
        <f>IF(Inventory!$C$15&lt;&gt;"",CONCATENATE("iSCSI - Node ",A67),"")</f>
        <v>iSCSI - Node 1</v>
      </c>
      <c r="C67" s="302"/>
      <c r="D67" s="302"/>
      <c r="E67" s="302" t="str">
        <f>IF(B67&lt;&gt;"",CONCATENATE($K$9,"-i0",A67,"-01.",$F$11)," ")</f>
        <v>shpsan-hyperv-01-i01-01.speedcast.com</v>
      </c>
      <c r="F67" s="302"/>
      <c r="G67" s="302"/>
      <c r="H67" s="302"/>
      <c r="I67" s="302"/>
      <c r="J67" s="288"/>
      <c r="K67" s="289"/>
      <c r="L67" s="290"/>
      <c r="M67" s="288" t="str">
        <f>IF(B67&lt;&gt;"",CONCATENATE($K$9,"-i0",A67,"-01")," ")</f>
        <v>shpsan-hyperv-01-i01-01</v>
      </c>
      <c r="N67" s="289"/>
      <c r="O67" s="289"/>
      <c r="P67" s="290"/>
      <c r="Q67" s="302" t="str">
        <f>IF(B67&lt;&gt;"",Inventory!$C$15,"")</f>
        <v>shpsan-01</v>
      </c>
      <c r="R67" s="302"/>
      <c r="S67" s="302"/>
      <c r="T67" s="302" t="str">
        <f>IF(AND(E67&lt;&gt;"",F64&lt;&gt;0,F63&lt;&gt;0,F62&lt;&gt;0),IF(F64&lt;&gt;"Yes",F63,CONCATENATE(F63,"-",F62)),"")</f>
        <v/>
      </c>
      <c r="U67" s="302"/>
      <c r="V67" s="302"/>
      <c r="W67" s="302" t="str">
        <f>IF(E67&lt;&gt;"",CONCATENATE("d",J65),"")</f>
        <v>d</v>
      </c>
      <c r="X67" s="302"/>
      <c r="Y67" s="302"/>
      <c r="Z67" s="302" t="str">
        <f>IF(E67&lt;&gt;"","0.0.0.0/0","")</f>
        <v>0.0.0.0/0</v>
      </c>
      <c r="AA67" s="302"/>
      <c r="AB67" s="302"/>
    </row>
    <row r="68" spans="1:28" ht="14.25" hidden="1" customHeight="1" x14ac:dyDescent="0.25">
      <c r="A68" s="26">
        <v>2</v>
      </c>
      <c r="B68" s="302" t="str">
        <f>IF(Inventory!$C$16&lt;&gt;"",CONCATENATE("iSCSI - Node ",A68),"")</f>
        <v>iSCSI - Node 2</v>
      </c>
      <c r="C68" s="302"/>
      <c r="D68" s="302"/>
      <c r="E68" s="302" t="str">
        <f>IF(B68&lt;&gt;"",CONCATENATE($K$9,"-i0",A68,"-01.",$F$11)," ")</f>
        <v>shpsan-hyperv-01-i02-01.speedcast.com</v>
      </c>
      <c r="F68" s="302"/>
      <c r="G68" s="302"/>
      <c r="H68" s="302"/>
      <c r="I68" s="302"/>
      <c r="J68" s="288"/>
      <c r="K68" s="289"/>
      <c r="L68" s="290"/>
      <c r="M68" s="288" t="str">
        <f>IF(B68&lt;&gt;"",CONCATENATE($K$9,"-i0",A68,"-01")," ")</f>
        <v>shpsan-hyperv-01-i02-01</v>
      </c>
      <c r="N68" s="289"/>
      <c r="O68" s="289"/>
      <c r="P68" s="290"/>
      <c r="Q68" s="302" t="str">
        <f>IF(B68&lt;&gt;"",Inventory!$C$16,"")</f>
        <v>shpsan-02</v>
      </c>
      <c r="R68" s="302"/>
      <c r="S68" s="302"/>
      <c r="T68" s="302" t="str">
        <f>IF(AND(E68&lt;&gt;"",F64&lt;&gt;0,F63&lt;&gt;0,F62&lt;&gt;0),IF(F64&lt;&gt;"Yes",F63,CONCATENATE(F63,"-",F62)),"")</f>
        <v/>
      </c>
      <c r="U68" s="302"/>
      <c r="V68" s="302"/>
      <c r="W68" s="302" t="str">
        <f>IF(E68&lt;&gt;"",CONCATENATE("d",J65),"")</f>
        <v>d</v>
      </c>
      <c r="X68" s="302"/>
      <c r="Y68" s="302"/>
      <c r="Z68" s="302" t="str">
        <f t="shared" ref="Z68:Z74" si="3">IF(E68&lt;&gt;"","0.0.0.0/0","")</f>
        <v>0.0.0.0/0</v>
      </c>
      <c r="AA68" s="302"/>
      <c r="AB68" s="302"/>
    </row>
    <row r="69" spans="1:28" ht="14.25" hidden="1" customHeight="1" x14ac:dyDescent="0.25">
      <c r="A69" s="26">
        <v>3</v>
      </c>
      <c r="B69" s="302" t="str">
        <f>IF(Inventory!$C$17&lt;&gt;"",CONCATENATE("iSCSI - Node ",A69),"")</f>
        <v/>
      </c>
      <c r="C69" s="302"/>
      <c r="D69" s="302"/>
      <c r="E69" s="302" t="str">
        <f>IF(B69&lt;&gt;"",CONCATENATE($K$9,"-i0",A69,"-01.",$F$11)," ")</f>
        <v xml:space="preserve"> </v>
      </c>
      <c r="F69" s="302"/>
      <c r="G69" s="302"/>
      <c r="H69" s="302"/>
      <c r="I69" s="302"/>
      <c r="J69" s="288"/>
      <c r="K69" s="289"/>
      <c r="L69" s="290"/>
      <c r="M69" s="288" t="str">
        <f t="shared" ref="M69:M74" si="4">IF(B69&lt;&gt;"",CONCATENATE($K$9,"-i0",A69,"-01")," ")</f>
        <v xml:space="preserve"> </v>
      </c>
      <c r="N69" s="289"/>
      <c r="O69" s="289"/>
      <c r="P69" s="290"/>
      <c r="Q69" s="302" t="str">
        <f>IF(B69&lt;&gt;"",Inventory!$C$16,"")</f>
        <v/>
      </c>
      <c r="R69" s="302"/>
      <c r="S69" s="302"/>
      <c r="T69" s="302" t="str">
        <f>IF(AND(E69&lt;&gt;"",F64&lt;&gt;0,F63&lt;&gt;0,F62&lt;&gt;0),IF(F64&lt;&gt;"Yes",F63,CONCATENATE(F63,"-",F62)),"")</f>
        <v/>
      </c>
      <c r="U69" s="302"/>
      <c r="V69" s="302"/>
      <c r="W69" s="302" t="str">
        <f>IF(E69&lt;&gt;"",CONCATENATE("d",J65),"")</f>
        <v>d</v>
      </c>
      <c r="X69" s="302"/>
      <c r="Y69" s="302"/>
      <c r="Z69" s="302" t="str">
        <f t="shared" si="3"/>
        <v>0.0.0.0/0</v>
      </c>
      <c r="AA69" s="302"/>
      <c r="AB69" s="302"/>
    </row>
    <row r="70" spans="1:28" ht="14.25" hidden="1" customHeight="1" x14ac:dyDescent="0.25">
      <c r="A70" s="26">
        <v>4</v>
      </c>
      <c r="B70" s="302" t="str">
        <f>IF(Inventory!$C$18&lt;&gt;"",CONCATENATE("iSCSI - Node ",A70),"")</f>
        <v/>
      </c>
      <c r="C70" s="302"/>
      <c r="D70" s="302"/>
      <c r="E70" s="302" t="str">
        <f t="shared" ref="E70:E74" si="5">IF(B70&lt;&gt;"",CONCATENATE($K$9,"-i0",A70,"-01.",$F$11)," ")</f>
        <v xml:space="preserve"> </v>
      </c>
      <c r="F70" s="302"/>
      <c r="G70" s="302"/>
      <c r="H70" s="302"/>
      <c r="I70" s="302"/>
      <c r="J70" s="288"/>
      <c r="K70" s="289"/>
      <c r="L70" s="290"/>
      <c r="M70" s="288" t="str">
        <f t="shared" si="4"/>
        <v xml:space="preserve"> </v>
      </c>
      <c r="N70" s="289"/>
      <c r="O70" s="289"/>
      <c r="P70" s="290"/>
      <c r="Q70" s="302" t="str">
        <f>IF(B70&lt;&gt;"",Inventory!$C$16,"")</f>
        <v/>
      </c>
      <c r="R70" s="302"/>
      <c r="S70" s="302"/>
      <c r="T70" s="302" t="str">
        <f>IF(AND(E70&lt;&gt;"",F64&lt;&gt;0,F63&lt;&gt;0,F62&lt;&gt;0),IF(F64&lt;&gt;"Yes",F63,CONCATENATE(F63,"-",F62)),"")</f>
        <v/>
      </c>
      <c r="U70" s="302"/>
      <c r="V70" s="302"/>
      <c r="W70" s="302" t="str">
        <f>IF(E70&lt;&gt;"",CONCATENATE("d",J65),"")</f>
        <v>d</v>
      </c>
      <c r="X70" s="302"/>
      <c r="Y70" s="302"/>
      <c r="Z70" s="302" t="str">
        <f t="shared" si="3"/>
        <v>0.0.0.0/0</v>
      </c>
      <c r="AA70" s="302"/>
      <c r="AB70" s="302"/>
    </row>
    <row r="71" spans="1:28" ht="14.25" hidden="1" customHeight="1" x14ac:dyDescent="0.25">
      <c r="A71" s="26">
        <v>5</v>
      </c>
      <c r="B71" s="302" t="str">
        <f>IF(Inventory!$C$19&lt;&gt;"",CONCATENATE("iSCSI - Node ",A71),"")</f>
        <v/>
      </c>
      <c r="C71" s="302"/>
      <c r="D71" s="302"/>
      <c r="E71" s="302" t="str">
        <f t="shared" si="5"/>
        <v xml:space="preserve"> </v>
      </c>
      <c r="F71" s="302"/>
      <c r="G71" s="302"/>
      <c r="H71" s="302"/>
      <c r="I71" s="302"/>
      <c r="J71" s="288"/>
      <c r="K71" s="289"/>
      <c r="L71" s="290"/>
      <c r="M71" s="288" t="str">
        <f t="shared" si="4"/>
        <v xml:space="preserve"> </v>
      </c>
      <c r="N71" s="289"/>
      <c r="O71" s="289"/>
      <c r="P71" s="290"/>
      <c r="Q71" s="302" t="str">
        <f>IF(B71&lt;&gt;"",Inventory!$C$16,"")</f>
        <v/>
      </c>
      <c r="R71" s="302"/>
      <c r="S71" s="302"/>
      <c r="T71" s="302" t="str">
        <f>IF(AND(E71&lt;&gt;"",F64&lt;&gt;0,F63&lt;&gt;0,F62&lt;&gt;0),IF(F64&lt;&gt;"Yes",F63,CONCATENATE(F63,"-",F62)),"")</f>
        <v/>
      </c>
      <c r="U71" s="302"/>
      <c r="V71" s="302"/>
      <c r="W71" s="302" t="str">
        <f>IF(E71&lt;&gt;"",CONCATENATE("d",J65),"")</f>
        <v>d</v>
      </c>
      <c r="X71" s="302"/>
      <c r="Y71" s="302"/>
      <c r="Z71" s="302" t="str">
        <f t="shared" si="3"/>
        <v>0.0.0.0/0</v>
      </c>
      <c r="AA71" s="302"/>
      <c r="AB71" s="302"/>
    </row>
    <row r="72" spans="1:28" ht="14.25" hidden="1" customHeight="1" x14ac:dyDescent="0.25">
      <c r="A72" s="26">
        <v>6</v>
      </c>
      <c r="B72" s="302" t="str">
        <f>IF(Inventory!$C$20&lt;&gt;"",CONCATENATE("iSCSI - Node ",A72),"")</f>
        <v/>
      </c>
      <c r="C72" s="302"/>
      <c r="D72" s="302"/>
      <c r="E72" s="302" t="str">
        <f t="shared" si="5"/>
        <v xml:space="preserve"> </v>
      </c>
      <c r="F72" s="302"/>
      <c r="G72" s="302"/>
      <c r="H72" s="302"/>
      <c r="I72" s="302"/>
      <c r="J72" s="288"/>
      <c r="K72" s="289"/>
      <c r="L72" s="290"/>
      <c r="M72" s="288" t="str">
        <f t="shared" si="4"/>
        <v xml:space="preserve"> </v>
      </c>
      <c r="N72" s="289"/>
      <c r="O72" s="289"/>
      <c r="P72" s="290"/>
      <c r="Q72" s="302" t="str">
        <f>IF(B72&lt;&gt;"",Inventory!$C$16,"")</f>
        <v/>
      </c>
      <c r="R72" s="302"/>
      <c r="S72" s="302"/>
      <c r="T72" s="302" t="str">
        <f>IF(AND(E72&lt;&gt;"",F64&lt;&gt;0,F63&lt;&gt;0,F62&lt;&gt;0),IF(F64&lt;&gt;"Yes",F63,CONCATENATE(F63,"-",F62)),"")</f>
        <v/>
      </c>
      <c r="U72" s="302"/>
      <c r="V72" s="302"/>
      <c r="W72" s="302" t="str">
        <f>IF(E72&lt;&gt;"",CONCATENATE("d",J65),"")</f>
        <v>d</v>
      </c>
      <c r="X72" s="302"/>
      <c r="Y72" s="302"/>
      <c r="Z72" s="302" t="str">
        <f t="shared" si="3"/>
        <v>0.0.0.0/0</v>
      </c>
      <c r="AA72" s="302"/>
      <c r="AB72" s="302"/>
    </row>
    <row r="73" spans="1:28" ht="14.25" hidden="1" customHeight="1" x14ac:dyDescent="0.25">
      <c r="A73" s="26">
        <v>7</v>
      </c>
      <c r="B73" s="302" t="str">
        <f>IF(Inventory!$C$21&lt;&gt;"",CONCATENATE("iSCSI - Node ",A73),"")</f>
        <v/>
      </c>
      <c r="C73" s="302"/>
      <c r="D73" s="302"/>
      <c r="E73" s="302" t="str">
        <f t="shared" si="5"/>
        <v xml:space="preserve"> </v>
      </c>
      <c r="F73" s="302"/>
      <c r="G73" s="302"/>
      <c r="H73" s="302"/>
      <c r="I73" s="302"/>
      <c r="J73" s="288"/>
      <c r="K73" s="289"/>
      <c r="L73" s="290"/>
      <c r="M73" s="288" t="str">
        <f t="shared" si="4"/>
        <v xml:space="preserve"> </v>
      </c>
      <c r="N73" s="289"/>
      <c r="O73" s="289"/>
      <c r="P73" s="290"/>
      <c r="Q73" s="302" t="str">
        <f>IF(B73&lt;&gt;"",Inventory!$C$16,"")</f>
        <v/>
      </c>
      <c r="R73" s="302"/>
      <c r="S73" s="302"/>
      <c r="T73" s="302" t="str">
        <f>IF(AND(E73&lt;&gt;"",F64&lt;&gt;0,F63&lt;&gt;0,F62&lt;&gt;0),IF(F64&lt;&gt;"Yes",F63,CONCATENATE(F63,"-",F62)),"")</f>
        <v/>
      </c>
      <c r="U73" s="302"/>
      <c r="V73" s="302"/>
      <c r="W73" s="302" t="str">
        <f>IF(E73&lt;&gt;"",CONCATENATE("d",J65),"")</f>
        <v>d</v>
      </c>
      <c r="X73" s="302"/>
      <c r="Y73" s="302"/>
      <c r="Z73" s="302" t="str">
        <f t="shared" si="3"/>
        <v>0.0.0.0/0</v>
      </c>
      <c r="AA73" s="302"/>
      <c r="AB73" s="302"/>
    </row>
    <row r="74" spans="1:28" ht="14.25" hidden="1" customHeight="1" x14ac:dyDescent="0.25">
      <c r="A74" s="26">
        <v>8</v>
      </c>
      <c r="B74" s="302" t="str">
        <f>IF(Inventory!$C$22&lt;&gt;"",CONCATENATE("iSCSI - Node ",A74),"")</f>
        <v/>
      </c>
      <c r="C74" s="302"/>
      <c r="D74" s="302"/>
      <c r="E74" s="302" t="str">
        <f t="shared" si="5"/>
        <v xml:space="preserve"> </v>
      </c>
      <c r="F74" s="302"/>
      <c r="G74" s="302"/>
      <c r="H74" s="302"/>
      <c r="I74" s="302"/>
      <c r="J74" s="288"/>
      <c r="K74" s="289"/>
      <c r="L74" s="290"/>
      <c r="M74" s="288" t="str">
        <f t="shared" si="4"/>
        <v xml:space="preserve"> </v>
      </c>
      <c r="N74" s="289"/>
      <c r="O74" s="289"/>
      <c r="P74" s="290"/>
      <c r="Q74" s="302" t="str">
        <f>IF(B74&lt;&gt;"",Inventory!$C$16,"")</f>
        <v/>
      </c>
      <c r="R74" s="302"/>
      <c r="S74" s="302"/>
      <c r="T74" s="302" t="str">
        <f>IF(AND(E74&lt;&gt;"",F64&lt;&gt;0,F63&lt;&gt;0,F62&lt;&gt;0),IF(F64&lt;&gt;"Yes",F63,CONCATENATE(F63,"-",F62)),"")</f>
        <v/>
      </c>
      <c r="U74" s="302"/>
      <c r="V74" s="302"/>
      <c r="W74" s="302" t="str">
        <f>IF(E74&lt;&gt;"",CONCATENATE("d",J65),"")</f>
        <v>d</v>
      </c>
      <c r="X74" s="302"/>
      <c r="Y74" s="302"/>
      <c r="Z74" s="302" t="str">
        <f t="shared" si="3"/>
        <v>0.0.0.0/0</v>
      </c>
      <c r="AA74" s="302"/>
      <c r="AB74" s="302"/>
    </row>
    <row r="75" spans="1:28" ht="14.25" hidden="1" customHeight="1" x14ac:dyDescent="0.25">
      <c r="AB75" s="36" t="s">
        <v>143</v>
      </c>
    </row>
    <row r="76" spans="1:28" ht="14.25" hidden="1" customHeight="1" x14ac:dyDescent="0.25">
      <c r="B76" s="4" t="s">
        <v>145</v>
      </c>
    </row>
    <row r="77" spans="1:28" ht="6" hidden="1" customHeight="1" x14ac:dyDescent="0.25">
      <c r="B77" s="4"/>
      <c r="G77" s="6"/>
    </row>
    <row r="78" spans="1:28" ht="14.25" hidden="1" customHeight="1" x14ac:dyDescent="0.25">
      <c r="B78" s="303" t="s">
        <v>147</v>
      </c>
      <c r="C78" s="303"/>
      <c r="D78" s="303"/>
      <c r="E78" s="303"/>
      <c r="F78" s="181"/>
      <c r="G78" s="303" t="s">
        <v>148</v>
      </c>
      <c r="H78" s="303"/>
      <c r="I78" s="303"/>
      <c r="J78" s="303"/>
      <c r="K78" s="288" t="str">
        <f>IF(E83&lt;&gt;"",IF(F78&lt;&gt;0,VLOOKUP(F78,'Site Info'!$G$34:$P$69,8,FALSE),"enter VLAN"),"")</f>
        <v>enter VLAN</v>
      </c>
      <c r="L78" s="289"/>
      <c r="M78" s="290"/>
      <c r="N78" s="303" t="s">
        <v>149</v>
      </c>
      <c r="O78" s="303"/>
      <c r="P78" s="303"/>
      <c r="Q78" s="303"/>
      <c r="R78" s="181">
        <v>10</v>
      </c>
    </row>
    <row r="79" spans="1:28" ht="14.25" hidden="1" customHeight="1" x14ac:dyDescent="0.25">
      <c r="B79" s="303" t="s">
        <v>150</v>
      </c>
      <c r="C79" s="303"/>
      <c r="D79" s="303"/>
      <c r="E79" s="303"/>
      <c r="F79" s="181"/>
      <c r="G79" s="303" t="s">
        <v>151</v>
      </c>
      <c r="H79" s="303"/>
      <c r="I79" s="303"/>
      <c r="J79" s="303"/>
      <c r="K79" s="288" t="str">
        <f>IF(E83&lt;&gt;"",IF(F78&lt;&gt;0,VLOOKUP(F78,'Site Info'!$G$34:$P$69,5,FALSE),"enter VLAN"),"")</f>
        <v>enter VLAN</v>
      </c>
      <c r="L79" s="289"/>
      <c r="M79" s="290"/>
    </row>
    <row r="80" spans="1:28" ht="14.25" hidden="1" customHeight="1" x14ac:dyDescent="0.25">
      <c r="B80" s="303" t="s">
        <v>91</v>
      </c>
      <c r="C80" s="303"/>
      <c r="D80" s="303"/>
      <c r="E80" s="303"/>
      <c r="F80" s="181"/>
    </row>
    <row r="81" spans="1:32" ht="14.25" hidden="1" customHeight="1" x14ac:dyDescent="0.25">
      <c r="J81" s="299" t="str">
        <f>IF(F78&lt;&gt;0,IF(E83&lt;&gt;"",VLOOKUP(F78,'Site Info'!$G$34:$P$69,2,FALSE),""),"")</f>
        <v/>
      </c>
      <c r="K81" s="299"/>
      <c r="L81" s="299"/>
    </row>
    <row r="82" spans="1:32" ht="14.25" hidden="1" customHeight="1" thickBot="1" x14ac:dyDescent="0.3">
      <c r="B82" s="312" t="s">
        <v>92</v>
      </c>
      <c r="C82" s="321"/>
      <c r="D82" s="313"/>
      <c r="E82" s="312" t="s">
        <v>146</v>
      </c>
      <c r="F82" s="321"/>
      <c r="G82" s="321"/>
      <c r="H82" s="321"/>
      <c r="I82" s="313"/>
      <c r="J82" s="312" t="s">
        <v>71</v>
      </c>
      <c r="K82" s="321"/>
      <c r="L82" s="313"/>
      <c r="M82" s="312" t="s">
        <v>93</v>
      </c>
      <c r="N82" s="321"/>
      <c r="O82" s="321"/>
      <c r="P82" s="313"/>
      <c r="Q82" s="312" t="s">
        <v>95</v>
      </c>
      <c r="R82" s="321"/>
      <c r="S82" s="313"/>
      <c r="T82" s="312" t="s">
        <v>96</v>
      </c>
      <c r="U82" s="321"/>
      <c r="V82" s="313"/>
      <c r="W82" s="312" t="s">
        <v>103</v>
      </c>
      <c r="X82" s="321"/>
      <c r="Y82" s="313"/>
      <c r="Z82" s="312" t="s">
        <v>104</v>
      </c>
      <c r="AA82" s="321"/>
      <c r="AB82" s="313"/>
    </row>
    <row r="83" spans="1:32" ht="14.25" hidden="1" customHeight="1" x14ac:dyDescent="0.25">
      <c r="A83" s="26">
        <v>1</v>
      </c>
      <c r="B83" s="302" t="str">
        <f>IF(Inventory!$C$15&lt;&gt;"",CONCATENATE("iSCSI - Node ",A83),"")</f>
        <v>iSCSI - Node 1</v>
      </c>
      <c r="C83" s="302"/>
      <c r="D83" s="302"/>
      <c r="E83" s="302" t="str">
        <f>IF(B83&lt;&gt;"",CONCATENATE($K$9,"-i0",A83,"-02.",$F$11)," ")</f>
        <v>shpsan-hyperv-01-i01-02.speedcast.com</v>
      </c>
      <c r="F83" s="302"/>
      <c r="G83" s="302"/>
      <c r="H83" s="302"/>
      <c r="I83" s="302"/>
      <c r="J83" s="288"/>
      <c r="K83" s="289"/>
      <c r="L83" s="290"/>
      <c r="M83" s="288" t="str">
        <f>IF(B83&lt;&gt;"",CONCATENATE($K$9,"-i0",A83,"-01")," ")</f>
        <v>shpsan-hyperv-01-i01-01</v>
      </c>
      <c r="N83" s="289"/>
      <c r="O83" s="289"/>
      <c r="P83" s="290"/>
      <c r="Q83" s="302" t="str">
        <f>IF(B83&lt;&gt;"",Inventory!$C$15,"")</f>
        <v>shpsan-01</v>
      </c>
      <c r="R83" s="302"/>
      <c r="S83" s="302"/>
      <c r="T83" s="302" t="str">
        <f>IF(AND(E83&lt;&gt;"",F80&lt;&gt;0,F79&lt;&gt;0,F78&lt;&gt;0),IF(F80&lt;&gt;"Yes",F79,CONCATENATE(F79,"-",F78)),"")</f>
        <v/>
      </c>
      <c r="U83" s="302"/>
      <c r="V83" s="302"/>
      <c r="W83" s="302" t="str">
        <f>IF(E83&lt;&gt;"",CONCATENATE("d",J81),"")</f>
        <v>d</v>
      </c>
      <c r="X83" s="302"/>
      <c r="Y83" s="302"/>
      <c r="Z83" s="302" t="str">
        <f>IF(E83&lt;&gt;"","0.0.0.0/0","")</f>
        <v>0.0.0.0/0</v>
      </c>
      <c r="AA83" s="302"/>
      <c r="AB83" s="302"/>
    </row>
    <row r="84" spans="1:32" ht="14.25" hidden="1" customHeight="1" x14ac:dyDescent="0.25">
      <c r="A84" s="26">
        <v>2</v>
      </c>
      <c r="B84" s="302" t="str">
        <f>IF(Inventory!$C$16&lt;&gt;"",CONCATENATE("iSCSI - Node ",A84),"")</f>
        <v>iSCSI - Node 2</v>
      </c>
      <c r="C84" s="302"/>
      <c r="D84" s="302"/>
      <c r="E84" s="302" t="str">
        <f>IF(B84&lt;&gt;"",CONCATENATE($K$9,"-i0",A84,"-02.",$F$11)," ")</f>
        <v>shpsan-hyperv-01-i02-02.speedcast.com</v>
      </c>
      <c r="F84" s="302"/>
      <c r="G84" s="302"/>
      <c r="H84" s="302"/>
      <c r="I84" s="302"/>
      <c r="J84" s="288"/>
      <c r="K84" s="289"/>
      <c r="L84" s="290"/>
      <c r="M84" s="288" t="str">
        <f>IF(B84&lt;&gt;"",CONCATENATE($K$9,"-i0",A84,"-01")," ")</f>
        <v>shpsan-hyperv-01-i02-01</v>
      </c>
      <c r="N84" s="289"/>
      <c r="O84" s="289"/>
      <c r="P84" s="290"/>
      <c r="Q84" s="302" t="str">
        <f>IF(B84&lt;&gt;"",Inventory!$C$16,"")</f>
        <v>shpsan-02</v>
      </c>
      <c r="R84" s="302"/>
      <c r="S84" s="302"/>
      <c r="T84" s="302" t="str">
        <f>IF(AND(E84&lt;&gt;"",F80&lt;&gt;0,F79&lt;&gt;0,F78&lt;&gt;0),IF(F80&lt;&gt;"Yes",F79,CONCATENATE(F79,"-",F78)),"")</f>
        <v/>
      </c>
      <c r="U84" s="302"/>
      <c r="V84" s="302"/>
      <c r="W84" s="302" t="str">
        <f>IF(E84&lt;&gt;"",CONCATENATE("d",J81),"")</f>
        <v>d</v>
      </c>
      <c r="X84" s="302"/>
      <c r="Y84" s="302"/>
      <c r="Z84" s="302" t="str">
        <f t="shared" ref="Z84:Z90" si="6">IF(E84&lt;&gt;"","0.0.0.0/0","")</f>
        <v>0.0.0.0/0</v>
      </c>
      <c r="AA84" s="302"/>
      <c r="AB84" s="302"/>
    </row>
    <row r="85" spans="1:32" ht="14.25" hidden="1" customHeight="1" x14ac:dyDescent="0.25">
      <c r="A85" s="26">
        <v>3</v>
      </c>
      <c r="B85" s="302" t="str">
        <f>IF(Inventory!$C$17&lt;&gt;"",CONCATENATE("iSCSI - Node ",A85),"")</f>
        <v/>
      </c>
      <c r="C85" s="302"/>
      <c r="D85" s="302"/>
      <c r="E85" s="302" t="str">
        <f t="shared" ref="E85:E90" si="7">IF(B85&lt;&gt;"",CONCATENATE($K$9,"-i0",A85,"-02.",$F$11)," ")</f>
        <v xml:space="preserve"> </v>
      </c>
      <c r="F85" s="302"/>
      <c r="G85" s="302"/>
      <c r="H85" s="302"/>
      <c r="I85" s="302"/>
      <c r="J85" s="288"/>
      <c r="K85" s="289"/>
      <c r="L85" s="290"/>
      <c r="M85" s="288" t="str">
        <f t="shared" ref="M85:M90" si="8">IF(B85&lt;&gt;"",CONCATENATE($K$9,"-i0",A85,"-01")," ")</f>
        <v xml:space="preserve"> </v>
      </c>
      <c r="N85" s="289"/>
      <c r="O85" s="289"/>
      <c r="P85" s="290"/>
      <c r="Q85" s="302" t="str">
        <f>IF(B85&lt;&gt;"",Inventory!$C$16,"")</f>
        <v/>
      </c>
      <c r="R85" s="302"/>
      <c r="S85" s="302"/>
      <c r="T85" s="302" t="str">
        <f>IF(AND(E85&lt;&gt;"",F80&lt;&gt;0,F79&lt;&gt;0,F78&lt;&gt;0),IF(F80&lt;&gt;"Yes",F79,CONCATENATE(F79,"-",F78)),"")</f>
        <v/>
      </c>
      <c r="U85" s="302"/>
      <c r="V85" s="302"/>
      <c r="W85" s="302" t="str">
        <f>IF(E85&lt;&gt;"",CONCATENATE("d",J81),"")</f>
        <v>d</v>
      </c>
      <c r="X85" s="302"/>
      <c r="Y85" s="302"/>
      <c r="Z85" s="302" t="str">
        <f t="shared" si="6"/>
        <v>0.0.0.0/0</v>
      </c>
      <c r="AA85" s="302"/>
      <c r="AB85" s="302"/>
    </row>
    <row r="86" spans="1:32" ht="14.25" hidden="1" customHeight="1" x14ac:dyDescent="0.25">
      <c r="A86" s="26">
        <v>4</v>
      </c>
      <c r="B86" s="302" t="str">
        <f>IF(Inventory!$C$18&lt;&gt;"",CONCATENATE("iSCSI - Node ",A86),"")</f>
        <v/>
      </c>
      <c r="C86" s="302"/>
      <c r="D86" s="302"/>
      <c r="E86" s="302" t="str">
        <f t="shared" si="7"/>
        <v xml:space="preserve"> </v>
      </c>
      <c r="F86" s="302"/>
      <c r="G86" s="302"/>
      <c r="H86" s="302"/>
      <c r="I86" s="302"/>
      <c r="J86" s="288"/>
      <c r="K86" s="289"/>
      <c r="L86" s="290"/>
      <c r="M86" s="288" t="str">
        <f t="shared" si="8"/>
        <v xml:space="preserve"> </v>
      </c>
      <c r="N86" s="289"/>
      <c r="O86" s="289"/>
      <c r="P86" s="290"/>
      <c r="Q86" s="302" t="str">
        <f>IF(B86&lt;&gt;"",Inventory!$C$16,"")</f>
        <v/>
      </c>
      <c r="R86" s="302"/>
      <c r="S86" s="302"/>
      <c r="T86" s="302" t="str">
        <f>IF(AND(E86&lt;&gt;"",F80&lt;&gt;0,F79&lt;&gt;0,F78&lt;&gt;0),IF(F80&lt;&gt;"Yes",F79,CONCATENATE(F79,"-",F78)),"")</f>
        <v/>
      </c>
      <c r="U86" s="302"/>
      <c r="V86" s="302"/>
      <c r="W86" s="302" t="str">
        <f>IF(E86&lt;&gt;"",CONCATENATE("d",J81),"")</f>
        <v>d</v>
      </c>
      <c r="X86" s="302"/>
      <c r="Y86" s="302"/>
      <c r="Z86" s="302" t="str">
        <f t="shared" si="6"/>
        <v>0.0.0.0/0</v>
      </c>
      <c r="AA86" s="302"/>
      <c r="AB86" s="302"/>
    </row>
    <row r="87" spans="1:32" ht="14.25" hidden="1" customHeight="1" x14ac:dyDescent="0.25">
      <c r="A87" s="26">
        <v>5</v>
      </c>
      <c r="B87" s="302" t="str">
        <f>IF(Inventory!$C$19&lt;&gt;"",CONCATENATE("iSCSI - Node ",A87),"")</f>
        <v/>
      </c>
      <c r="C87" s="302"/>
      <c r="D87" s="302"/>
      <c r="E87" s="302" t="str">
        <f t="shared" si="7"/>
        <v xml:space="preserve"> </v>
      </c>
      <c r="F87" s="302"/>
      <c r="G87" s="302"/>
      <c r="H87" s="302"/>
      <c r="I87" s="302"/>
      <c r="J87" s="288"/>
      <c r="K87" s="289"/>
      <c r="L87" s="290"/>
      <c r="M87" s="288" t="str">
        <f t="shared" si="8"/>
        <v xml:space="preserve"> </v>
      </c>
      <c r="N87" s="289"/>
      <c r="O87" s="289"/>
      <c r="P87" s="290"/>
      <c r="Q87" s="302" t="str">
        <f>IF(B87&lt;&gt;"",Inventory!$C$16,"")</f>
        <v/>
      </c>
      <c r="R87" s="302"/>
      <c r="S87" s="302"/>
      <c r="T87" s="302" t="str">
        <f>IF(AND(E87&lt;&gt;"",F80&lt;&gt;0,F79&lt;&gt;0,F78&lt;&gt;0),IF(F80&lt;&gt;"Yes",F79,CONCATENATE(F79,"-",F78)),"")</f>
        <v/>
      </c>
      <c r="U87" s="302"/>
      <c r="V87" s="302"/>
      <c r="W87" s="302" t="str">
        <f>IF(E87&lt;&gt;"",CONCATENATE("d",J81),"")</f>
        <v>d</v>
      </c>
      <c r="X87" s="302"/>
      <c r="Y87" s="302"/>
      <c r="Z87" s="302" t="str">
        <f t="shared" si="6"/>
        <v>0.0.0.0/0</v>
      </c>
      <c r="AA87" s="302"/>
      <c r="AB87" s="302"/>
    </row>
    <row r="88" spans="1:32" ht="14.25" hidden="1" customHeight="1" x14ac:dyDescent="0.25">
      <c r="A88" s="26">
        <v>6</v>
      </c>
      <c r="B88" s="302" t="str">
        <f>IF(Inventory!$C$20&lt;&gt;"",CONCATENATE("iSCSI - Node ",A88),"")</f>
        <v/>
      </c>
      <c r="C88" s="302"/>
      <c r="D88" s="302"/>
      <c r="E88" s="302" t="str">
        <f t="shared" si="7"/>
        <v xml:space="preserve"> </v>
      </c>
      <c r="F88" s="302"/>
      <c r="G88" s="302"/>
      <c r="H88" s="302"/>
      <c r="I88" s="302"/>
      <c r="J88" s="288"/>
      <c r="K88" s="289"/>
      <c r="L88" s="290"/>
      <c r="M88" s="288" t="str">
        <f t="shared" si="8"/>
        <v xml:space="preserve"> </v>
      </c>
      <c r="N88" s="289"/>
      <c r="O88" s="289"/>
      <c r="P88" s="290"/>
      <c r="Q88" s="302" t="str">
        <f>IF(B88&lt;&gt;"",Inventory!$C$16,"")</f>
        <v/>
      </c>
      <c r="R88" s="302"/>
      <c r="S88" s="302"/>
      <c r="T88" s="302" t="str">
        <f>IF(AND(E88&lt;&gt;"",F80&lt;&gt;0,F79&lt;&gt;0,F78&lt;&gt;0),IF(F80&lt;&gt;"Yes",F79,CONCATENATE(F79,"-",F78)),"")</f>
        <v/>
      </c>
      <c r="U88" s="302"/>
      <c r="V88" s="302"/>
      <c r="W88" s="302" t="str">
        <f>IF(E88&lt;&gt;"",CONCATENATE("d",J81),"")</f>
        <v>d</v>
      </c>
      <c r="X88" s="302"/>
      <c r="Y88" s="302"/>
      <c r="Z88" s="302" t="str">
        <f t="shared" si="6"/>
        <v>0.0.0.0/0</v>
      </c>
      <c r="AA88" s="302"/>
      <c r="AB88" s="302"/>
    </row>
    <row r="89" spans="1:32" ht="14.25" hidden="1" customHeight="1" x14ac:dyDescent="0.25">
      <c r="A89" s="26">
        <v>7</v>
      </c>
      <c r="B89" s="302" t="str">
        <f>IF(Inventory!$C$21&lt;&gt;"",CONCATENATE("iSCSI - Node ",A89),"")</f>
        <v/>
      </c>
      <c r="C89" s="302"/>
      <c r="D89" s="302"/>
      <c r="E89" s="302" t="str">
        <f t="shared" si="7"/>
        <v xml:space="preserve"> </v>
      </c>
      <c r="F89" s="302"/>
      <c r="G89" s="302"/>
      <c r="H89" s="302"/>
      <c r="I89" s="302"/>
      <c r="J89" s="288"/>
      <c r="K89" s="289"/>
      <c r="L89" s="290"/>
      <c r="M89" s="288" t="str">
        <f t="shared" si="8"/>
        <v xml:space="preserve"> </v>
      </c>
      <c r="N89" s="289"/>
      <c r="O89" s="289"/>
      <c r="P89" s="290"/>
      <c r="Q89" s="302" t="str">
        <f>IF(B89&lt;&gt;"",Inventory!$C$16,"")</f>
        <v/>
      </c>
      <c r="R89" s="302"/>
      <c r="S89" s="302"/>
      <c r="T89" s="302" t="str">
        <f>IF(AND(E89&lt;&gt;"",F80&lt;&gt;0,F79&lt;&gt;0,F78&lt;&gt;0),IF(F80&lt;&gt;"Yes",F79,CONCATENATE(F79,"-",F78)),"")</f>
        <v/>
      </c>
      <c r="U89" s="302"/>
      <c r="V89" s="302"/>
      <c r="W89" s="302" t="str">
        <f>IF(E89&lt;&gt;"",CONCATENATE("d",J81),"")</f>
        <v>d</v>
      </c>
      <c r="X89" s="302"/>
      <c r="Y89" s="302"/>
      <c r="Z89" s="302" t="str">
        <f t="shared" si="6"/>
        <v>0.0.0.0/0</v>
      </c>
      <c r="AA89" s="302"/>
      <c r="AB89" s="302"/>
    </row>
    <row r="90" spans="1:32" ht="14.25" hidden="1" customHeight="1" x14ac:dyDescent="0.25">
      <c r="A90" s="26">
        <v>8</v>
      </c>
      <c r="B90" s="302" t="str">
        <f>IF(Inventory!$C$22&lt;&gt;"",CONCATENATE("iSCSI - Node ",A90),"")</f>
        <v/>
      </c>
      <c r="C90" s="302"/>
      <c r="D90" s="302"/>
      <c r="E90" s="302" t="str">
        <f t="shared" si="7"/>
        <v xml:space="preserve"> </v>
      </c>
      <c r="F90" s="302"/>
      <c r="G90" s="302"/>
      <c r="H90" s="302"/>
      <c r="I90" s="302"/>
      <c r="J90" s="288"/>
      <c r="K90" s="289"/>
      <c r="L90" s="290"/>
      <c r="M90" s="288" t="str">
        <f t="shared" si="8"/>
        <v xml:space="preserve"> </v>
      </c>
      <c r="N90" s="289"/>
      <c r="O90" s="289"/>
      <c r="P90" s="290"/>
      <c r="Q90" s="302" t="str">
        <f>IF(B90&lt;&gt;"",Inventory!$C$16,"")</f>
        <v/>
      </c>
      <c r="R90" s="302"/>
      <c r="S90" s="302"/>
      <c r="T90" s="302" t="str">
        <f>IF(AND(E90&lt;&gt;"",F80&lt;&gt;0,F79&lt;&gt;0,F78&lt;&gt;0),IF(F80&lt;&gt;"Yes",F79,CONCATENATE(F79,"-",F78)),"")</f>
        <v/>
      </c>
      <c r="U90" s="302"/>
      <c r="V90" s="302"/>
      <c r="W90" s="302" t="str">
        <f>IF(E90&lt;&gt;"",CONCATENATE("d",J81),"")</f>
        <v>d</v>
      </c>
      <c r="X90" s="302"/>
      <c r="Y90" s="302"/>
      <c r="Z90" s="302" t="str">
        <f t="shared" si="6"/>
        <v>0.0.0.0/0</v>
      </c>
      <c r="AA90" s="302"/>
      <c r="AB90" s="302"/>
    </row>
    <row r="91" spans="1:32" ht="14.25" hidden="1" customHeight="1" x14ac:dyDescent="0.25">
      <c r="AB91" s="36" t="s">
        <v>143</v>
      </c>
    </row>
    <row r="92" spans="1:32" ht="14.25" customHeight="1" x14ac:dyDescent="0.25">
      <c r="B92" s="4" t="s">
        <v>476</v>
      </c>
    </row>
    <row r="93" spans="1:32" ht="6" customHeight="1" x14ac:dyDescent="0.25">
      <c r="B93" s="4"/>
      <c r="G93" s="6"/>
    </row>
    <row r="94" spans="1:32" ht="14.25" customHeight="1" thickBot="1" x14ac:dyDescent="0.3">
      <c r="B94" s="311" t="s">
        <v>475</v>
      </c>
      <c r="C94" s="311"/>
      <c r="D94" s="311"/>
      <c r="E94" s="311"/>
      <c r="F94" s="311"/>
      <c r="G94" s="312" t="s">
        <v>362</v>
      </c>
      <c r="H94" s="313"/>
      <c r="I94" s="311" t="s">
        <v>93</v>
      </c>
      <c r="J94" s="311"/>
      <c r="K94" s="311"/>
      <c r="L94" s="311"/>
      <c r="M94" s="173" t="s">
        <v>43</v>
      </c>
      <c r="N94" s="311" t="s">
        <v>71</v>
      </c>
      <c r="O94" s="311"/>
      <c r="P94" s="311"/>
      <c r="Q94" s="311" t="s">
        <v>46</v>
      </c>
      <c r="R94" s="311"/>
      <c r="S94" s="311"/>
      <c r="T94" s="311" t="s">
        <v>477</v>
      </c>
      <c r="U94" s="311"/>
      <c r="V94" s="311"/>
      <c r="W94" s="311" t="s">
        <v>95</v>
      </c>
      <c r="X94" s="311"/>
      <c r="Y94" s="311"/>
      <c r="Z94" s="312" t="s">
        <v>96</v>
      </c>
      <c r="AA94" s="321"/>
      <c r="AB94" s="313"/>
      <c r="AC94" s="312" t="s">
        <v>1269</v>
      </c>
      <c r="AD94" s="321"/>
      <c r="AE94" s="313"/>
      <c r="AF94" s="258" t="s">
        <v>473</v>
      </c>
    </row>
    <row r="95" spans="1:32" ht="14.25" customHeight="1" x14ac:dyDescent="0.25">
      <c r="B95" s="298"/>
      <c r="C95" s="299"/>
      <c r="D95" s="299"/>
      <c r="E95" s="299"/>
      <c r="F95" s="300"/>
      <c r="G95" s="295"/>
      <c r="H95" s="296"/>
      <c r="I95" s="298"/>
      <c r="J95" s="299"/>
      <c r="K95" s="299"/>
      <c r="L95" s="300"/>
      <c r="M95" s="171"/>
      <c r="N95" s="298"/>
      <c r="O95" s="299"/>
      <c r="P95" s="300"/>
      <c r="Q95" s="298"/>
      <c r="R95" s="299"/>
      <c r="S95" s="300"/>
      <c r="T95" s="298"/>
      <c r="U95" s="299"/>
      <c r="V95" s="300"/>
      <c r="W95" s="298"/>
      <c r="X95" s="299"/>
      <c r="Y95" s="300"/>
      <c r="Z95" s="295"/>
      <c r="AA95" s="296"/>
      <c r="AB95" s="297"/>
      <c r="AC95" s="302"/>
      <c r="AD95" s="302"/>
      <c r="AE95" s="302"/>
      <c r="AF95" s="255" t="str">
        <f>IF($F$29&lt;&gt;0,IF(VLOOKUP($F$29,'Site Info'!$G$34:$V$69,8,FALSE)&lt;&gt;0,VLOOKUP($F$29,'Site Info'!$G$34:$V$69,11,FALSE),""),"")</f>
        <v/>
      </c>
    </row>
    <row r="96" spans="1:32" ht="14.25" customHeight="1" x14ac:dyDescent="0.25">
      <c r="B96" s="298"/>
      <c r="C96" s="299"/>
      <c r="D96" s="299"/>
      <c r="E96" s="299"/>
      <c r="F96" s="300"/>
      <c r="G96" s="288"/>
      <c r="H96" s="289"/>
      <c r="I96" s="298"/>
      <c r="J96" s="299"/>
      <c r="K96" s="299"/>
      <c r="L96" s="300"/>
      <c r="M96" s="171"/>
      <c r="N96" s="298"/>
      <c r="O96" s="299"/>
      <c r="P96" s="300"/>
      <c r="Q96" s="298"/>
      <c r="R96" s="299"/>
      <c r="S96" s="300"/>
      <c r="T96" s="298"/>
      <c r="U96" s="299"/>
      <c r="V96" s="300"/>
      <c r="W96" s="298"/>
      <c r="X96" s="299"/>
      <c r="Y96" s="300"/>
      <c r="Z96" s="288"/>
      <c r="AA96" s="289"/>
      <c r="AB96" s="290"/>
      <c r="AC96" s="302"/>
      <c r="AD96" s="302"/>
      <c r="AE96" s="302"/>
      <c r="AF96" s="255" t="str">
        <f>IF($F$29&lt;&gt;0,IF(VLOOKUP($F$29,'Site Info'!$G$34:$V$69,8,FALSE)&lt;&gt;0,VLOOKUP($F$29,'Site Info'!$G$34:$V$69,11,FALSE),""),"")</f>
        <v/>
      </c>
    </row>
    <row r="97" spans="2:32" ht="14.25" customHeight="1" x14ac:dyDescent="0.25">
      <c r="B97" s="298"/>
      <c r="C97" s="299"/>
      <c r="D97" s="299"/>
      <c r="E97" s="299"/>
      <c r="F97" s="300"/>
      <c r="G97" s="288"/>
      <c r="H97" s="289"/>
      <c r="I97" s="298"/>
      <c r="J97" s="299"/>
      <c r="K97" s="299"/>
      <c r="L97" s="300"/>
      <c r="M97" s="171"/>
      <c r="N97" s="298"/>
      <c r="O97" s="299"/>
      <c r="P97" s="300"/>
      <c r="Q97" s="298"/>
      <c r="R97" s="299"/>
      <c r="S97" s="300"/>
      <c r="T97" s="298"/>
      <c r="U97" s="299"/>
      <c r="V97" s="300"/>
      <c r="W97" s="298"/>
      <c r="X97" s="299"/>
      <c r="Y97" s="300"/>
      <c r="Z97" s="288"/>
      <c r="AA97" s="289"/>
      <c r="AB97" s="290"/>
      <c r="AC97" s="302"/>
      <c r="AD97" s="302"/>
      <c r="AE97" s="302"/>
      <c r="AF97" s="255" t="str">
        <f>IF($F$29&lt;&gt;0,IF(VLOOKUP($F$29,'Site Info'!$G$34:$V$69,8,FALSE)&lt;&gt;0,VLOOKUP($F$29,'Site Info'!$G$34:$V$69,11,FALSE),""),"")</f>
        <v/>
      </c>
    </row>
    <row r="98" spans="2:32" ht="14.25" customHeight="1" x14ac:dyDescent="0.25">
      <c r="B98" s="298"/>
      <c r="C98" s="299"/>
      <c r="D98" s="299"/>
      <c r="E98" s="299"/>
      <c r="F98" s="300"/>
      <c r="G98" s="288"/>
      <c r="H98" s="289"/>
      <c r="I98" s="298"/>
      <c r="J98" s="299"/>
      <c r="K98" s="299"/>
      <c r="L98" s="300"/>
      <c r="M98" s="171"/>
      <c r="N98" s="298"/>
      <c r="O98" s="299"/>
      <c r="P98" s="300"/>
      <c r="Q98" s="298"/>
      <c r="R98" s="299"/>
      <c r="S98" s="300"/>
      <c r="T98" s="298"/>
      <c r="U98" s="299"/>
      <c r="V98" s="300"/>
      <c r="W98" s="298"/>
      <c r="X98" s="299"/>
      <c r="Y98" s="300"/>
      <c r="Z98" s="298"/>
      <c r="AA98" s="299"/>
      <c r="AB98" s="300"/>
      <c r="AC98" s="302"/>
      <c r="AD98" s="302"/>
      <c r="AE98" s="302"/>
      <c r="AF98" s="255" t="str">
        <f>IF($F$29&lt;&gt;0,IF(VLOOKUP($F$29,'Site Info'!$G$34:$V$69,8,FALSE)&lt;&gt;0,VLOOKUP($F$29,'Site Info'!$G$34:$V$69,11,FALSE),""),"")</f>
        <v/>
      </c>
    </row>
    <row r="99" spans="2:32" ht="14.25" hidden="1" customHeight="1" x14ac:dyDescent="0.25">
      <c r="AB99" s="36"/>
    </row>
    <row r="100" spans="2:32" ht="14.25" hidden="1" customHeight="1" x14ac:dyDescent="0.25">
      <c r="B100" s="183" t="s">
        <v>934</v>
      </c>
      <c r="C100" s="183"/>
      <c r="D100" s="183"/>
      <c r="E100" s="183"/>
      <c r="F100" s="183"/>
      <c r="G100" s="184"/>
      <c r="H100" s="184"/>
      <c r="I100" s="184"/>
      <c r="J100" s="184"/>
      <c r="K100" s="184"/>
      <c r="L100" s="184"/>
      <c r="M100" s="184"/>
      <c r="N100" s="184"/>
      <c r="O100" s="184"/>
      <c r="P100" s="184"/>
      <c r="Q100" s="184"/>
      <c r="R100" s="184"/>
      <c r="S100" s="184"/>
      <c r="AB100" s="36"/>
    </row>
    <row r="101" spans="2:32" ht="14.25" hidden="1" customHeight="1" x14ac:dyDescent="0.25">
      <c r="B101" s="184"/>
      <c r="C101" s="184"/>
      <c r="D101" s="184"/>
      <c r="E101" s="184"/>
      <c r="F101" s="184"/>
      <c r="G101" s="184"/>
      <c r="H101" s="184"/>
      <c r="I101" s="184"/>
      <c r="J101" s="184"/>
      <c r="K101" s="184"/>
      <c r="L101" s="184"/>
      <c r="M101" s="184"/>
      <c r="N101" s="184"/>
      <c r="O101" s="184"/>
      <c r="P101" s="184"/>
      <c r="Q101" s="184"/>
      <c r="R101" s="184"/>
      <c r="S101" s="184"/>
      <c r="AB101" s="36"/>
    </row>
    <row r="102" spans="2:32" ht="14.25" hidden="1" customHeight="1" thickBot="1" x14ac:dyDescent="0.3">
      <c r="B102" s="385" t="s">
        <v>92</v>
      </c>
      <c r="C102" s="386"/>
      <c r="D102" s="387"/>
      <c r="E102" s="388" t="s">
        <v>935</v>
      </c>
      <c r="F102" s="386"/>
      <c r="G102" s="386"/>
      <c r="H102" s="386"/>
      <c r="I102" s="387"/>
      <c r="J102" s="388" t="s">
        <v>936</v>
      </c>
      <c r="K102" s="386"/>
      <c r="L102" s="387"/>
      <c r="M102" s="388" t="s">
        <v>937</v>
      </c>
      <c r="N102" s="386"/>
      <c r="O102" s="386"/>
      <c r="P102" s="387"/>
      <c r="Q102" s="388" t="s">
        <v>938</v>
      </c>
      <c r="R102" s="386"/>
      <c r="S102" s="387"/>
      <c r="AB102" s="36"/>
    </row>
    <row r="103" spans="2:32" ht="14.25" hidden="1" customHeight="1" x14ac:dyDescent="0.25">
      <c r="B103" s="389" t="s">
        <v>939</v>
      </c>
      <c r="C103" s="390"/>
      <c r="D103" s="391"/>
      <c r="E103" s="392" t="str">
        <f>IF(B103&lt;&gt;"",CONCATENATE(K9,"-f01-",Q103)," ")</f>
        <v>shpsan-hyperv-01-f01-3a</v>
      </c>
      <c r="F103" s="390"/>
      <c r="G103" s="390"/>
      <c r="H103" s="390"/>
      <c r="I103" s="391"/>
      <c r="J103" s="392" t="s">
        <v>940</v>
      </c>
      <c r="K103" s="390"/>
      <c r="L103" s="391"/>
      <c r="M103" s="392" t="str">
        <f>IF(B103&lt;&gt;"",Inventory!$C$15,"")</f>
        <v>shpsan-01</v>
      </c>
      <c r="N103" s="390"/>
      <c r="O103" s="390"/>
      <c r="P103" s="391"/>
      <c r="Q103" s="392" t="s">
        <v>941</v>
      </c>
      <c r="R103" s="390"/>
      <c r="S103" s="391"/>
      <c r="AB103" s="36"/>
    </row>
    <row r="104" spans="2:32" ht="14.25" hidden="1" customHeight="1" x14ac:dyDescent="0.25">
      <c r="B104" s="393" t="s">
        <v>939</v>
      </c>
      <c r="C104" s="394"/>
      <c r="D104" s="395"/>
      <c r="E104" s="396" t="str">
        <f>IF(B104&lt;&gt;"",CONCATENATE(K9,"-f01-",Q104)," ")</f>
        <v>shpsan-hyperv-01-f01-4a</v>
      </c>
      <c r="F104" s="394"/>
      <c r="G104" s="394"/>
      <c r="H104" s="394"/>
      <c r="I104" s="395"/>
      <c r="J104" s="396" t="s">
        <v>942</v>
      </c>
      <c r="K104" s="394"/>
      <c r="L104" s="395"/>
      <c r="M104" s="396" t="str">
        <f>IF(B104&lt;&gt;"",Inventory!$C$15,"")</f>
        <v>shpsan-01</v>
      </c>
      <c r="N104" s="394"/>
      <c r="O104" s="394"/>
      <c r="P104" s="395"/>
      <c r="Q104" s="396" t="s">
        <v>943</v>
      </c>
      <c r="R104" s="394"/>
      <c r="S104" s="395"/>
      <c r="AB104" s="36"/>
    </row>
    <row r="105" spans="2:32" ht="14.25" hidden="1" customHeight="1" x14ac:dyDescent="0.25">
      <c r="B105" s="393" t="s">
        <v>944</v>
      </c>
      <c r="C105" s="394"/>
      <c r="D105" s="395"/>
      <c r="E105" s="396" t="str">
        <f>IF(B105&lt;&gt;"",CONCATENATE(K9,"-f02-",Q105)," ")</f>
        <v>shpsan-hyperv-01-f02-3a</v>
      </c>
      <c r="F105" s="394"/>
      <c r="G105" s="394"/>
      <c r="H105" s="394"/>
      <c r="I105" s="395"/>
      <c r="J105" s="396" t="s">
        <v>945</v>
      </c>
      <c r="K105" s="394"/>
      <c r="L105" s="395"/>
      <c r="M105" s="396" t="str">
        <f>IF(B105&lt;&gt;"",Inventory!$C$16,"")</f>
        <v>shpsan-02</v>
      </c>
      <c r="N105" s="394"/>
      <c r="O105" s="394"/>
      <c r="P105" s="395"/>
      <c r="Q105" s="396" t="s">
        <v>941</v>
      </c>
      <c r="R105" s="394"/>
      <c r="S105" s="395"/>
      <c r="AB105" s="36"/>
    </row>
    <row r="106" spans="2:32" ht="14.25" hidden="1" customHeight="1" x14ac:dyDescent="0.25">
      <c r="B106" s="393" t="s">
        <v>944</v>
      </c>
      <c r="C106" s="394"/>
      <c r="D106" s="395"/>
      <c r="E106" s="396" t="str">
        <f>IF(B106&lt;&gt;"",CONCATENATE(K9,"-f02-",Q106)," ")</f>
        <v>shpsan-hyperv-01-f02-4a</v>
      </c>
      <c r="F106" s="394"/>
      <c r="G106" s="394"/>
      <c r="H106" s="394"/>
      <c r="I106" s="395"/>
      <c r="J106" s="396" t="s">
        <v>946</v>
      </c>
      <c r="K106" s="394"/>
      <c r="L106" s="395"/>
      <c r="M106" s="396" t="str">
        <f>IF(B106&lt;&gt;"",Inventory!$C$16,"")</f>
        <v>shpsan-02</v>
      </c>
      <c r="N106" s="394"/>
      <c r="O106" s="394"/>
      <c r="P106" s="395"/>
      <c r="Q106" s="396" t="s">
        <v>943</v>
      </c>
      <c r="R106" s="394"/>
      <c r="S106" s="395"/>
      <c r="AB106" s="36"/>
    </row>
    <row r="107" spans="2:32" ht="14.25" customHeight="1" x14ac:dyDescent="0.25">
      <c r="B107" s="185"/>
      <c r="C107" s="185"/>
      <c r="D107" s="185"/>
      <c r="E107" s="185"/>
      <c r="F107" s="185"/>
      <c r="G107" s="185"/>
      <c r="H107" s="185"/>
      <c r="I107" s="185"/>
      <c r="J107" s="185"/>
      <c r="K107" s="185"/>
      <c r="L107" s="185"/>
      <c r="M107" s="185"/>
      <c r="N107" s="185"/>
      <c r="O107" s="185"/>
      <c r="P107" s="185"/>
      <c r="Q107" s="185"/>
      <c r="R107" s="185"/>
      <c r="S107" s="185"/>
      <c r="AB107" s="36"/>
    </row>
    <row r="108" spans="2:32" ht="14.25" customHeight="1" x14ac:dyDescent="0.25">
      <c r="B108" s="4" t="s">
        <v>450</v>
      </c>
    </row>
    <row r="109" spans="2:32" ht="6" customHeight="1" x14ac:dyDescent="0.25">
      <c r="B109" s="4"/>
      <c r="G109" s="6"/>
    </row>
    <row r="110" spans="2:32" ht="14.25" customHeight="1" x14ac:dyDescent="0.25">
      <c r="B110" s="303" t="s">
        <v>451</v>
      </c>
      <c r="C110" s="303"/>
      <c r="D110" s="303"/>
      <c r="E110" s="303"/>
      <c r="F110" s="288"/>
      <c r="G110" s="289"/>
      <c r="H110" s="290"/>
      <c r="J110" s="303" t="s">
        <v>458</v>
      </c>
      <c r="K110" s="303"/>
      <c r="L110" s="303"/>
      <c r="M110" s="303"/>
      <c r="N110" s="288"/>
      <c r="O110" s="289"/>
      <c r="P110" s="290"/>
      <c r="Q110" s="288"/>
      <c r="R110" s="289"/>
      <c r="S110" s="290"/>
    </row>
    <row r="111" spans="2:32" ht="14.25" customHeight="1" x14ac:dyDescent="0.25">
      <c r="B111" s="303" t="s">
        <v>452</v>
      </c>
      <c r="C111" s="303"/>
      <c r="D111" s="303"/>
      <c r="E111" s="303"/>
      <c r="F111" s="288"/>
      <c r="G111" s="289"/>
      <c r="H111" s="290"/>
      <c r="J111" s="303" t="s">
        <v>454</v>
      </c>
      <c r="K111" s="303"/>
      <c r="L111" s="303"/>
      <c r="M111" s="303"/>
      <c r="N111" s="288"/>
      <c r="O111" s="289"/>
      <c r="P111" s="289"/>
      <c r="Q111" s="289"/>
      <c r="R111" s="290"/>
    </row>
    <row r="112" spans="2:32" ht="14.25" customHeight="1" x14ac:dyDescent="0.25">
      <c r="B112" s="303" t="s">
        <v>453</v>
      </c>
      <c r="C112" s="303"/>
      <c r="D112" s="303"/>
      <c r="E112" s="303"/>
      <c r="F112" s="288"/>
      <c r="G112" s="289"/>
      <c r="H112" s="290"/>
    </row>
    <row r="113" spans="2:19" ht="14.25" customHeight="1" x14ac:dyDescent="0.25"/>
    <row r="114" spans="2:19" ht="14.25" customHeight="1" x14ac:dyDescent="0.25">
      <c r="B114" s="4" t="s">
        <v>474</v>
      </c>
    </row>
    <row r="115" spans="2:19" ht="6" customHeight="1" x14ac:dyDescent="0.25">
      <c r="B115" s="4"/>
      <c r="G115" s="6"/>
    </row>
    <row r="116" spans="2:19" ht="14.25" customHeight="1" x14ac:dyDescent="0.25">
      <c r="B116" s="303" t="s">
        <v>600</v>
      </c>
      <c r="C116" s="303"/>
      <c r="D116" s="303"/>
      <c r="E116" s="303"/>
      <c r="F116" s="288"/>
      <c r="G116" s="289"/>
      <c r="H116" s="289"/>
      <c r="I116" s="289"/>
      <c r="J116" s="290"/>
      <c r="K116" s="303" t="s">
        <v>602</v>
      </c>
      <c r="L116" s="303"/>
      <c r="M116" s="303"/>
      <c r="N116" s="303"/>
      <c r="O116" s="288"/>
      <c r="P116" s="289"/>
      <c r="Q116" s="289"/>
      <c r="R116" s="289"/>
      <c r="S116" s="290"/>
    </row>
    <row r="117" spans="2:19" ht="14.25" customHeight="1" x14ac:dyDescent="0.25">
      <c r="B117" s="303" t="s">
        <v>601</v>
      </c>
      <c r="C117" s="303"/>
      <c r="D117" s="303"/>
      <c r="E117" s="303"/>
      <c r="F117" s="288"/>
      <c r="G117" s="289"/>
      <c r="H117" s="289"/>
      <c r="I117" s="289"/>
      <c r="J117" s="290"/>
      <c r="K117" s="303" t="s">
        <v>603</v>
      </c>
      <c r="L117" s="303"/>
      <c r="M117" s="303"/>
      <c r="N117" s="303"/>
      <c r="O117" s="288"/>
      <c r="P117" s="289"/>
      <c r="Q117" s="289"/>
      <c r="R117" s="289"/>
      <c r="S117" s="290"/>
    </row>
    <row r="118" spans="2:19" ht="14.25" customHeight="1" x14ac:dyDescent="0.25"/>
    <row r="119" spans="2:19" ht="14.25" customHeight="1" x14ac:dyDescent="0.25">
      <c r="B119" s="4" t="s">
        <v>455</v>
      </c>
    </row>
    <row r="120" spans="2:19" ht="6" customHeight="1" x14ac:dyDescent="0.25">
      <c r="B120" s="4"/>
      <c r="G120" s="6"/>
    </row>
    <row r="121" spans="2:19" ht="14.25" customHeight="1" x14ac:dyDescent="0.25">
      <c r="B121" s="303" t="s">
        <v>456</v>
      </c>
      <c r="C121" s="303"/>
      <c r="D121" s="303"/>
      <c r="E121" s="303"/>
      <c r="F121" s="288"/>
      <c r="G121" s="289"/>
      <c r="H121" s="289"/>
      <c r="I121" s="289"/>
      <c r="J121" s="290"/>
    </row>
    <row r="122" spans="2:19" ht="14.25" customHeight="1" x14ac:dyDescent="0.25">
      <c r="B122" s="303" t="s">
        <v>457</v>
      </c>
      <c r="C122" s="303"/>
      <c r="D122" s="303"/>
      <c r="E122" s="303"/>
      <c r="F122" s="288"/>
      <c r="G122" s="289"/>
      <c r="H122" s="290"/>
      <c r="I122" s="288"/>
      <c r="J122" s="289"/>
      <c r="K122" s="290"/>
    </row>
    <row r="123" spans="2:19" ht="14.25" customHeight="1" x14ac:dyDescent="0.25"/>
    <row r="124" spans="2:19" ht="14.25" customHeight="1" x14ac:dyDescent="0.25"/>
    <row r="125" spans="2:19" ht="14.25" customHeight="1" x14ac:dyDescent="0.25"/>
    <row r="126" spans="2:19" ht="14.25" customHeight="1" x14ac:dyDescent="0.25"/>
    <row r="127" spans="2:19" ht="14.25" customHeight="1" x14ac:dyDescent="0.25"/>
    <row r="128" spans="2:19"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sheetData>
  <mergeCells count="457">
    <mergeCell ref="F11:I11"/>
    <mergeCell ref="S11:AB11"/>
    <mergeCell ref="B22:E22"/>
    <mergeCell ref="J23:L23"/>
    <mergeCell ref="K31:O31"/>
    <mergeCell ref="J33:L33"/>
    <mergeCell ref="B34:D34"/>
    <mergeCell ref="E34:I34"/>
    <mergeCell ref="W24:Y24"/>
    <mergeCell ref="W25:Y25"/>
    <mergeCell ref="B24:D24"/>
    <mergeCell ref="E24:I24"/>
    <mergeCell ref="J24:L24"/>
    <mergeCell ref="M24:P24"/>
    <mergeCell ref="Q24:S24"/>
    <mergeCell ref="T24:V24"/>
    <mergeCell ref="B11:E11"/>
    <mergeCell ref="B12:E12"/>
    <mergeCell ref="F12:H12"/>
    <mergeCell ref="I12:K12"/>
    <mergeCell ref="L12:N12"/>
    <mergeCell ref="W16:Y16"/>
    <mergeCell ref="N20:Q20"/>
    <mergeCell ref="B21:E21"/>
    <mergeCell ref="R5:AE5"/>
    <mergeCell ref="B8:E8"/>
    <mergeCell ref="G8:J8"/>
    <mergeCell ref="K8:O8"/>
    <mergeCell ref="B9:E9"/>
    <mergeCell ref="G9:J9"/>
    <mergeCell ref="K9:O9"/>
    <mergeCell ref="T9:W9"/>
    <mergeCell ref="X9:AB9"/>
    <mergeCell ref="G21:J21"/>
    <mergeCell ref="K21:M21"/>
    <mergeCell ref="B14:E14"/>
    <mergeCell ref="B16:E16"/>
    <mergeCell ref="F16:J16"/>
    <mergeCell ref="B20:E20"/>
    <mergeCell ref="G20:J20"/>
    <mergeCell ref="K20:M20"/>
    <mergeCell ref="S16:V16"/>
    <mergeCell ref="B25:D25"/>
    <mergeCell ref="E25:I25"/>
    <mergeCell ref="J25:L25"/>
    <mergeCell ref="M25:P25"/>
    <mergeCell ref="Q25:S25"/>
    <mergeCell ref="T25:V25"/>
    <mergeCell ref="B31:E31"/>
    <mergeCell ref="G31:J31"/>
    <mergeCell ref="B29:E29"/>
    <mergeCell ref="G29:J29"/>
    <mergeCell ref="K29:M29"/>
    <mergeCell ref="N29:Q29"/>
    <mergeCell ref="B30:E30"/>
    <mergeCell ref="G30:J30"/>
    <mergeCell ref="K30:M30"/>
    <mergeCell ref="W34:Y34"/>
    <mergeCell ref="B35:D35"/>
    <mergeCell ref="E35:I35"/>
    <mergeCell ref="J35:L35"/>
    <mergeCell ref="M35:P35"/>
    <mergeCell ref="Q35:S35"/>
    <mergeCell ref="T35:V35"/>
    <mergeCell ref="W35:Y35"/>
    <mergeCell ref="J34:L34"/>
    <mergeCell ref="M34:P34"/>
    <mergeCell ref="Q34:S34"/>
    <mergeCell ref="T34:V34"/>
    <mergeCell ref="B36:D36"/>
    <mergeCell ref="E36:I36"/>
    <mergeCell ref="J36:L36"/>
    <mergeCell ref="M36:P36"/>
    <mergeCell ref="Q36:S36"/>
    <mergeCell ref="T36:V36"/>
    <mergeCell ref="W36:Y36"/>
    <mergeCell ref="W37:Y37"/>
    <mergeCell ref="B38:D38"/>
    <mergeCell ref="E38:I38"/>
    <mergeCell ref="J38:L38"/>
    <mergeCell ref="M38:P38"/>
    <mergeCell ref="Q38:S38"/>
    <mergeCell ref="T38:V38"/>
    <mergeCell ref="W38:Y38"/>
    <mergeCell ref="B37:D37"/>
    <mergeCell ref="E37:I37"/>
    <mergeCell ref="J37:L37"/>
    <mergeCell ref="M37:P37"/>
    <mergeCell ref="Q37:S37"/>
    <mergeCell ref="T37:V37"/>
    <mergeCell ref="W39:Y39"/>
    <mergeCell ref="B40:D40"/>
    <mergeCell ref="E40:I40"/>
    <mergeCell ref="J40:L40"/>
    <mergeCell ref="M40:P40"/>
    <mergeCell ref="Q40:S40"/>
    <mergeCell ref="T40:V40"/>
    <mergeCell ref="W40:Y40"/>
    <mergeCell ref="B39:D39"/>
    <mergeCell ref="E39:I39"/>
    <mergeCell ref="J39:L39"/>
    <mergeCell ref="M39:P39"/>
    <mergeCell ref="Q39:S39"/>
    <mergeCell ref="T39:V39"/>
    <mergeCell ref="W41:Y41"/>
    <mergeCell ref="B42:D42"/>
    <mergeCell ref="E42:I42"/>
    <mergeCell ref="J42:L42"/>
    <mergeCell ref="M42:P42"/>
    <mergeCell ref="Q42:S42"/>
    <mergeCell ref="T42:V42"/>
    <mergeCell ref="W42:Y42"/>
    <mergeCell ref="B41:D41"/>
    <mergeCell ref="E41:I41"/>
    <mergeCell ref="J41:L41"/>
    <mergeCell ref="M41:P41"/>
    <mergeCell ref="Q41:S41"/>
    <mergeCell ref="T41:V41"/>
    <mergeCell ref="B48:E48"/>
    <mergeCell ref="G48:J48"/>
    <mergeCell ref="K48:O48"/>
    <mergeCell ref="J49:L49"/>
    <mergeCell ref="B50:D50"/>
    <mergeCell ref="E50:I50"/>
    <mergeCell ref="J50:L50"/>
    <mergeCell ref="M50:P50"/>
    <mergeCell ref="B46:E46"/>
    <mergeCell ref="G46:J46"/>
    <mergeCell ref="K46:M46"/>
    <mergeCell ref="N46:Q46"/>
    <mergeCell ref="B47:E47"/>
    <mergeCell ref="G47:J47"/>
    <mergeCell ref="K47:M47"/>
    <mergeCell ref="Q50:S50"/>
    <mergeCell ref="T50:V50"/>
    <mergeCell ref="W50:Y50"/>
    <mergeCell ref="Z50:AB50"/>
    <mergeCell ref="B51:D51"/>
    <mergeCell ref="E51:I51"/>
    <mergeCell ref="J51:L51"/>
    <mergeCell ref="M51:P51"/>
    <mergeCell ref="Q51:S51"/>
    <mergeCell ref="T51:V51"/>
    <mergeCell ref="W51:Y51"/>
    <mergeCell ref="Z51:AB51"/>
    <mergeCell ref="B52:D52"/>
    <mergeCell ref="E52:I52"/>
    <mergeCell ref="J52:L52"/>
    <mergeCell ref="M52:P52"/>
    <mergeCell ref="Q52:S52"/>
    <mergeCell ref="T52:V52"/>
    <mergeCell ref="W52:Y52"/>
    <mergeCell ref="Z52:AB52"/>
    <mergeCell ref="W53:Y53"/>
    <mergeCell ref="Z53:AB53"/>
    <mergeCell ref="B54:D54"/>
    <mergeCell ref="E54:I54"/>
    <mergeCell ref="J54:L54"/>
    <mergeCell ref="M54:P54"/>
    <mergeCell ref="Q54:S54"/>
    <mergeCell ref="T54:V54"/>
    <mergeCell ref="W54:Y54"/>
    <mergeCell ref="Z54:AB54"/>
    <mergeCell ref="B53:D53"/>
    <mergeCell ref="E53:I53"/>
    <mergeCell ref="J53:L53"/>
    <mergeCell ref="M53:P53"/>
    <mergeCell ref="Q53:S53"/>
    <mergeCell ref="T53:V53"/>
    <mergeCell ref="W55:Y55"/>
    <mergeCell ref="Z55:AB55"/>
    <mergeCell ref="B56:D56"/>
    <mergeCell ref="E56:I56"/>
    <mergeCell ref="J56:L56"/>
    <mergeCell ref="M56:P56"/>
    <mergeCell ref="Q56:S56"/>
    <mergeCell ref="T56:V56"/>
    <mergeCell ref="W56:Y56"/>
    <mergeCell ref="Z56:AB56"/>
    <mergeCell ref="B55:D55"/>
    <mergeCell ref="E55:I55"/>
    <mergeCell ref="J55:L55"/>
    <mergeCell ref="M55:P55"/>
    <mergeCell ref="Q55:S55"/>
    <mergeCell ref="T55:V55"/>
    <mergeCell ref="W57:Y57"/>
    <mergeCell ref="Z57:AB57"/>
    <mergeCell ref="B58:D58"/>
    <mergeCell ref="E58:I58"/>
    <mergeCell ref="J58:L58"/>
    <mergeCell ref="M58:P58"/>
    <mergeCell ref="Q58:S58"/>
    <mergeCell ref="T58:V58"/>
    <mergeCell ref="W58:Y58"/>
    <mergeCell ref="Z58:AB58"/>
    <mergeCell ref="B57:D57"/>
    <mergeCell ref="E57:I57"/>
    <mergeCell ref="J57:L57"/>
    <mergeCell ref="M57:P57"/>
    <mergeCell ref="Q57:S57"/>
    <mergeCell ref="T57:V57"/>
    <mergeCell ref="B64:E64"/>
    <mergeCell ref="J65:L65"/>
    <mergeCell ref="B66:D66"/>
    <mergeCell ref="E66:I66"/>
    <mergeCell ref="J66:L66"/>
    <mergeCell ref="M66:P66"/>
    <mergeCell ref="B62:E62"/>
    <mergeCell ref="G62:J62"/>
    <mergeCell ref="K62:M62"/>
    <mergeCell ref="N62:Q62"/>
    <mergeCell ref="B63:E63"/>
    <mergeCell ref="G63:J63"/>
    <mergeCell ref="K63:M63"/>
    <mergeCell ref="Q66:S66"/>
    <mergeCell ref="T66:V66"/>
    <mergeCell ref="W66:Y66"/>
    <mergeCell ref="Z66:AB66"/>
    <mergeCell ref="B67:D67"/>
    <mergeCell ref="E67:I67"/>
    <mergeCell ref="J67:L67"/>
    <mergeCell ref="M67:P67"/>
    <mergeCell ref="Q67:S67"/>
    <mergeCell ref="T67:V67"/>
    <mergeCell ref="W67:Y67"/>
    <mergeCell ref="Z67:AB67"/>
    <mergeCell ref="B68:D68"/>
    <mergeCell ref="E68:I68"/>
    <mergeCell ref="J68:L68"/>
    <mergeCell ref="M68:P68"/>
    <mergeCell ref="Q68:S68"/>
    <mergeCell ref="T68:V68"/>
    <mergeCell ref="W68:Y68"/>
    <mergeCell ref="Z68:AB68"/>
    <mergeCell ref="W69:Y69"/>
    <mergeCell ref="Z69:AB69"/>
    <mergeCell ref="B70:D70"/>
    <mergeCell ref="E70:I70"/>
    <mergeCell ref="J70:L70"/>
    <mergeCell ref="M70:P70"/>
    <mergeCell ref="Q70:S70"/>
    <mergeCell ref="T70:V70"/>
    <mergeCell ref="W70:Y70"/>
    <mergeCell ref="Z70:AB70"/>
    <mergeCell ref="B69:D69"/>
    <mergeCell ref="E69:I69"/>
    <mergeCell ref="J69:L69"/>
    <mergeCell ref="M69:P69"/>
    <mergeCell ref="Q69:S69"/>
    <mergeCell ref="T69:V69"/>
    <mergeCell ref="W71:Y71"/>
    <mergeCell ref="Z71:AB71"/>
    <mergeCell ref="B72:D72"/>
    <mergeCell ref="E72:I72"/>
    <mergeCell ref="J72:L72"/>
    <mergeCell ref="M72:P72"/>
    <mergeCell ref="Q72:S72"/>
    <mergeCell ref="T72:V72"/>
    <mergeCell ref="W72:Y72"/>
    <mergeCell ref="Z72:AB72"/>
    <mergeCell ref="B71:D71"/>
    <mergeCell ref="E71:I71"/>
    <mergeCell ref="J71:L71"/>
    <mergeCell ref="M71:P71"/>
    <mergeCell ref="Q71:S71"/>
    <mergeCell ref="T71:V71"/>
    <mergeCell ref="W73:Y73"/>
    <mergeCell ref="Z73:AB73"/>
    <mergeCell ref="B74:D74"/>
    <mergeCell ref="E74:I74"/>
    <mergeCell ref="J74:L74"/>
    <mergeCell ref="M74:P74"/>
    <mergeCell ref="Q74:S74"/>
    <mergeCell ref="T74:V74"/>
    <mergeCell ref="W74:Y74"/>
    <mergeCell ref="Z74:AB74"/>
    <mergeCell ref="B73:D73"/>
    <mergeCell ref="E73:I73"/>
    <mergeCell ref="J73:L73"/>
    <mergeCell ref="M73:P73"/>
    <mergeCell ref="Q73:S73"/>
    <mergeCell ref="T73:V73"/>
    <mergeCell ref="B80:E80"/>
    <mergeCell ref="J81:L81"/>
    <mergeCell ref="B82:D82"/>
    <mergeCell ref="E82:I82"/>
    <mergeCell ref="J82:L82"/>
    <mergeCell ref="M82:P82"/>
    <mergeCell ref="B78:E78"/>
    <mergeCell ref="G78:J78"/>
    <mergeCell ref="K78:M78"/>
    <mergeCell ref="N78:Q78"/>
    <mergeCell ref="B79:E79"/>
    <mergeCell ref="G79:J79"/>
    <mergeCell ref="K79:M79"/>
    <mergeCell ref="Q82:S82"/>
    <mergeCell ref="T82:V82"/>
    <mergeCell ref="W82:Y82"/>
    <mergeCell ref="Z82:AB82"/>
    <mergeCell ref="B83:D83"/>
    <mergeCell ref="E83:I83"/>
    <mergeCell ref="J83:L83"/>
    <mergeCell ref="M83:P83"/>
    <mergeCell ref="Q83:S83"/>
    <mergeCell ref="T83:V83"/>
    <mergeCell ref="W83:Y83"/>
    <mergeCell ref="Z83:AB83"/>
    <mergeCell ref="B84:D84"/>
    <mergeCell ref="E84:I84"/>
    <mergeCell ref="J84:L84"/>
    <mergeCell ref="M84:P84"/>
    <mergeCell ref="Q84:S84"/>
    <mergeCell ref="T84:V84"/>
    <mergeCell ref="W84:Y84"/>
    <mergeCell ref="Z84:AB84"/>
    <mergeCell ref="W85:Y85"/>
    <mergeCell ref="Z85:AB85"/>
    <mergeCell ref="B86:D86"/>
    <mergeCell ref="E86:I86"/>
    <mergeCell ref="J86:L86"/>
    <mergeCell ref="M86:P86"/>
    <mergeCell ref="Q86:S86"/>
    <mergeCell ref="T86:V86"/>
    <mergeCell ref="W86:Y86"/>
    <mergeCell ref="Z86:AB86"/>
    <mergeCell ref="B85:D85"/>
    <mergeCell ref="E85:I85"/>
    <mergeCell ref="J85:L85"/>
    <mergeCell ref="M85:P85"/>
    <mergeCell ref="Q85:S85"/>
    <mergeCell ref="T85:V85"/>
    <mergeCell ref="W87:Y87"/>
    <mergeCell ref="Z87:AB87"/>
    <mergeCell ref="B88:D88"/>
    <mergeCell ref="E88:I88"/>
    <mergeCell ref="J88:L88"/>
    <mergeCell ref="M88:P88"/>
    <mergeCell ref="Q88:S88"/>
    <mergeCell ref="T88:V88"/>
    <mergeCell ref="W88:Y88"/>
    <mergeCell ref="Z88:AB88"/>
    <mergeCell ref="B87:D87"/>
    <mergeCell ref="E87:I87"/>
    <mergeCell ref="J87:L87"/>
    <mergeCell ref="M87:P87"/>
    <mergeCell ref="Q87:S87"/>
    <mergeCell ref="T87:V87"/>
    <mergeCell ref="W89:Y89"/>
    <mergeCell ref="Z89:AB89"/>
    <mergeCell ref="B90:D90"/>
    <mergeCell ref="E90:I90"/>
    <mergeCell ref="J90:L90"/>
    <mergeCell ref="M90:P90"/>
    <mergeCell ref="Q90:S90"/>
    <mergeCell ref="T90:V90"/>
    <mergeCell ref="W90:Y90"/>
    <mergeCell ref="Z90:AB90"/>
    <mergeCell ref="B89:D89"/>
    <mergeCell ref="E89:I89"/>
    <mergeCell ref="J89:L89"/>
    <mergeCell ref="M89:P89"/>
    <mergeCell ref="Q89:S89"/>
    <mergeCell ref="T89:V89"/>
    <mergeCell ref="N95:P95"/>
    <mergeCell ref="Q95:S95"/>
    <mergeCell ref="T95:V95"/>
    <mergeCell ref="B94:F94"/>
    <mergeCell ref="G94:H94"/>
    <mergeCell ref="I94:L94"/>
    <mergeCell ref="N94:P94"/>
    <mergeCell ref="Q94:S94"/>
    <mergeCell ref="T94:V94"/>
    <mergeCell ref="W94:Y94"/>
    <mergeCell ref="Z94:AB94"/>
    <mergeCell ref="AC94:AE94"/>
    <mergeCell ref="B97:F97"/>
    <mergeCell ref="G97:H97"/>
    <mergeCell ref="I97:L97"/>
    <mergeCell ref="N97:P97"/>
    <mergeCell ref="Q97:S97"/>
    <mergeCell ref="T97:V97"/>
    <mergeCell ref="B96:F96"/>
    <mergeCell ref="W95:Y95"/>
    <mergeCell ref="Z95:AB95"/>
    <mergeCell ref="AC95:AE95"/>
    <mergeCell ref="G96:H96"/>
    <mergeCell ref="I96:L96"/>
    <mergeCell ref="N96:P96"/>
    <mergeCell ref="Q96:S96"/>
    <mergeCell ref="T96:V96"/>
    <mergeCell ref="W96:Y96"/>
    <mergeCell ref="Z96:AB96"/>
    <mergeCell ref="AC96:AE96"/>
    <mergeCell ref="B95:F95"/>
    <mergeCell ref="G95:H95"/>
    <mergeCell ref="I95:L95"/>
    <mergeCell ref="B110:E110"/>
    <mergeCell ref="F110:H110"/>
    <mergeCell ref="J110:M110"/>
    <mergeCell ref="N110:P110"/>
    <mergeCell ref="Q110:S110"/>
    <mergeCell ref="W97:Y97"/>
    <mergeCell ref="Z97:AB97"/>
    <mergeCell ref="AC97:AE97"/>
    <mergeCell ref="B98:F98"/>
    <mergeCell ref="G98:H98"/>
    <mergeCell ref="I98:L98"/>
    <mergeCell ref="N98:P98"/>
    <mergeCell ref="Q98:S98"/>
    <mergeCell ref="T98:V98"/>
    <mergeCell ref="B105:D105"/>
    <mergeCell ref="E105:I105"/>
    <mergeCell ref="J105:L105"/>
    <mergeCell ref="M105:P105"/>
    <mergeCell ref="Q105:S105"/>
    <mergeCell ref="B106:D106"/>
    <mergeCell ref="E106:I106"/>
    <mergeCell ref="J106:L106"/>
    <mergeCell ref="M106:P106"/>
    <mergeCell ref="Q106:S106"/>
    <mergeCell ref="B111:E111"/>
    <mergeCell ref="F111:H111"/>
    <mergeCell ref="J111:M111"/>
    <mergeCell ref="N111:R111"/>
    <mergeCell ref="B112:E112"/>
    <mergeCell ref="F112:H112"/>
    <mergeCell ref="W98:Y98"/>
    <mergeCell ref="Z98:AB98"/>
    <mergeCell ref="AC98:AE98"/>
    <mergeCell ref="B102:D102"/>
    <mergeCell ref="E102:I102"/>
    <mergeCell ref="J102:L102"/>
    <mergeCell ref="M102:P102"/>
    <mergeCell ref="Q102:S102"/>
    <mergeCell ref="B103:D103"/>
    <mergeCell ref="E103:I103"/>
    <mergeCell ref="J103:L103"/>
    <mergeCell ref="M103:P103"/>
    <mergeCell ref="Q103:S103"/>
    <mergeCell ref="B104:D104"/>
    <mergeCell ref="E104:I104"/>
    <mergeCell ref="J104:L104"/>
    <mergeCell ref="M104:P104"/>
    <mergeCell ref="Q104:S104"/>
    <mergeCell ref="B121:E121"/>
    <mergeCell ref="F121:J121"/>
    <mergeCell ref="B122:E122"/>
    <mergeCell ref="F122:H122"/>
    <mergeCell ref="I122:K122"/>
    <mergeCell ref="B116:E116"/>
    <mergeCell ref="F116:J116"/>
    <mergeCell ref="K116:N116"/>
    <mergeCell ref="O116:S116"/>
    <mergeCell ref="B117:E117"/>
    <mergeCell ref="F117:J117"/>
    <mergeCell ref="K117:N117"/>
    <mergeCell ref="O117:S117"/>
  </mergeCells>
  <conditionalFormatting sqref="F22">
    <cfRule type="containsBlanks" dxfId="301" priority="85">
      <formula>LEN(TRIM(F22))=0</formula>
    </cfRule>
  </conditionalFormatting>
  <conditionalFormatting sqref="F31">
    <cfRule type="containsBlanks" dxfId="300" priority="84">
      <formula>LEN(TRIM(F31))=0</formula>
    </cfRule>
  </conditionalFormatting>
  <conditionalFormatting sqref="F48">
    <cfRule type="containsBlanks" dxfId="299" priority="83">
      <formula>LEN(TRIM(F48))=0</formula>
    </cfRule>
  </conditionalFormatting>
  <conditionalFormatting sqref="F47">
    <cfRule type="containsBlanks" dxfId="298" priority="79">
      <formula>LEN(TRIM(F47))=0</formula>
    </cfRule>
  </conditionalFormatting>
  <conditionalFormatting sqref="F30">
    <cfRule type="containsBlanks" dxfId="297" priority="78">
      <formula>LEN(TRIM(F30))=0</formula>
    </cfRule>
  </conditionalFormatting>
  <conditionalFormatting sqref="F21">
    <cfRule type="containsBlanks" dxfId="296" priority="77">
      <formula>LEN(TRIM(F21))=0</formula>
    </cfRule>
  </conditionalFormatting>
  <conditionalFormatting sqref="G14">
    <cfRule type="containsBlanks" dxfId="295" priority="68">
      <formula>LEN(TRIM(G14))=0</formula>
    </cfRule>
  </conditionalFormatting>
  <conditionalFormatting sqref="I14">
    <cfRule type="containsBlanks" dxfId="294" priority="67">
      <formula>LEN(TRIM(I14))=0</formula>
    </cfRule>
  </conditionalFormatting>
  <conditionalFormatting sqref="K14">
    <cfRule type="containsBlanks" dxfId="293" priority="66">
      <formula>LEN(TRIM(K14))=0</formula>
    </cfRule>
  </conditionalFormatting>
  <conditionalFormatting sqref="J51:J58">
    <cfRule type="containsBlanks" dxfId="292" priority="73">
      <formula>LEN(TRIM(J51))=0</formula>
    </cfRule>
  </conditionalFormatting>
  <conditionalFormatting sqref="J35:J42">
    <cfRule type="containsBlanks" dxfId="291" priority="72">
      <formula>LEN(TRIM(J35))=0</formula>
    </cfRule>
  </conditionalFormatting>
  <conditionalFormatting sqref="J25">
    <cfRule type="containsBlanks" dxfId="290" priority="71">
      <formula>LEN(TRIM(J25))=0</formula>
    </cfRule>
  </conditionalFormatting>
  <conditionalFormatting sqref="K48">
    <cfRule type="containsBlanks" dxfId="289" priority="70">
      <formula>LEN(TRIM(K48))=0</formula>
    </cfRule>
  </conditionalFormatting>
  <conditionalFormatting sqref="K31">
    <cfRule type="containsBlanks" dxfId="288" priority="69">
      <formula>LEN(TRIM(K31))=0</formula>
    </cfRule>
  </conditionalFormatting>
  <conditionalFormatting sqref="M14">
    <cfRule type="containsBlanks" dxfId="287" priority="65">
      <formula>LEN(TRIM(M14))=0</formula>
    </cfRule>
  </conditionalFormatting>
  <conditionalFormatting sqref="O116">
    <cfRule type="containsBlanks" dxfId="286" priority="64">
      <formula>LEN(TRIM(O116))=0</formula>
    </cfRule>
  </conditionalFormatting>
  <conditionalFormatting sqref="F117">
    <cfRule type="containsBlanks" dxfId="285" priority="63">
      <formula>LEN(TRIM(F117))=0</formula>
    </cfRule>
  </conditionalFormatting>
  <conditionalFormatting sqref="F116">
    <cfRule type="containsBlanks" dxfId="284" priority="62">
      <formula>LEN(TRIM(F116))=0</formula>
    </cfRule>
  </conditionalFormatting>
  <conditionalFormatting sqref="O117">
    <cfRule type="containsBlanks" dxfId="283" priority="61">
      <formula>LEN(TRIM(O117))=0</formula>
    </cfRule>
  </conditionalFormatting>
  <conditionalFormatting sqref="F121 F110:H112 F122:K122 Q110 N110:N111">
    <cfRule type="containsBlanks" dxfId="282" priority="60">
      <formula>LEN(TRIM(F110))=0</formula>
    </cfRule>
  </conditionalFormatting>
  <conditionalFormatting sqref="B95">
    <cfRule type="containsBlanks" dxfId="281" priority="59">
      <formula>LEN(TRIM(B95))=0</formula>
    </cfRule>
  </conditionalFormatting>
  <conditionalFormatting sqref="I95">
    <cfRule type="containsBlanks" dxfId="280" priority="58">
      <formula>LEN(TRIM(I95))=0</formula>
    </cfRule>
  </conditionalFormatting>
  <conditionalFormatting sqref="W95">
    <cfRule type="containsBlanks" dxfId="279" priority="57">
      <formula>LEN(TRIM(W95))=0</formula>
    </cfRule>
  </conditionalFormatting>
  <conditionalFormatting sqref="Z95">
    <cfRule type="containsBlanks" dxfId="278" priority="56">
      <formula>LEN(TRIM(Z95))=0</formula>
    </cfRule>
  </conditionalFormatting>
  <conditionalFormatting sqref="G95">
    <cfRule type="containsBlanks" dxfId="277" priority="55">
      <formula>LEN(TRIM(G95))=0</formula>
    </cfRule>
  </conditionalFormatting>
  <conditionalFormatting sqref="N95">
    <cfRule type="containsBlanks" dxfId="276" priority="54">
      <formula>LEN(TRIM(N95))=0</formula>
    </cfRule>
  </conditionalFormatting>
  <conditionalFormatting sqref="Q95">
    <cfRule type="containsBlanks" dxfId="275" priority="53">
      <formula>LEN(TRIM(Q95))=0</formula>
    </cfRule>
  </conditionalFormatting>
  <conditionalFormatting sqref="T95">
    <cfRule type="containsBlanks" dxfId="274" priority="52">
      <formula>LEN(TRIM(T95))=0</formula>
    </cfRule>
  </conditionalFormatting>
  <conditionalFormatting sqref="B96">
    <cfRule type="containsBlanks" dxfId="273" priority="49">
      <formula>LEN(TRIM(B96))=0</formula>
    </cfRule>
  </conditionalFormatting>
  <conditionalFormatting sqref="I96">
    <cfRule type="containsBlanks" dxfId="272" priority="48">
      <formula>LEN(TRIM(I96))=0</formula>
    </cfRule>
  </conditionalFormatting>
  <conditionalFormatting sqref="W96">
    <cfRule type="containsBlanks" dxfId="271" priority="47">
      <formula>LEN(TRIM(W96))=0</formula>
    </cfRule>
  </conditionalFormatting>
  <conditionalFormatting sqref="Z96">
    <cfRule type="containsBlanks" dxfId="270" priority="46">
      <formula>LEN(TRIM(Z96))=0</formula>
    </cfRule>
  </conditionalFormatting>
  <conditionalFormatting sqref="G96">
    <cfRule type="containsBlanks" dxfId="269" priority="45">
      <formula>LEN(TRIM(G96))=0</formula>
    </cfRule>
  </conditionalFormatting>
  <conditionalFormatting sqref="N96">
    <cfRule type="containsBlanks" dxfId="268" priority="44">
      <formula>LEN(TRIM(N96))=0</formula>
    </cfRule>
  </conditionalFormatting>
  <conditionalFormatting sqref="Q96">
    <cfRule type="containsBlanks" dxfId="267" priority="43">
      <formula>LEN(TRIM(Q96))=0</formula>
    </cfRule>
  </conditionalFormatting>
  <conditionalFormatting sqref="T96">
    <cfRule type="containsBlanks" dxfId="266" priority="42">
      <formula>LEN(TRIM(T96))=0</formula>
    </cfRule>
  </conditionalFormatting>
  <conditionalFormatting sqref="B97">
    <cfRule type="containsBlanks" dxfId="265" priority="39">
      <formula>LEN(TRIM(B97))=0</formula>
    </cfRule>
  </conditionalFormatting>
  <conditionalFormatting sqref="I97">
    <cfRule type="containsBlanks" dxfId="264" priority="38">
      <formula>LEN(TRIM(I97))=0</formula>
    </cfRule>
  </conditionalFormatting>
  <conditionalFormatting sqref="W97">
    <cfRule type="containsBlanks" dxfId="263" priority="37">
      <formula>LEN(TRIM(W97))=0</formula>
    </cfRule>
  </conditionalFormatting>
  <conditionalFormatting sqref="Z97">
    <cfRule type="containsBlanks" dxfId="262" priority="36">
      <formula>LEN(TRIM(Z97))=0</formula>
    </cfRule>
  </conditionalFormatting>
  <conditionalFormatting sqref="G97">
    <cfRule type="containsBlanks" dxfId="261" priority="35">
      <formula>LEN(TRIM(G97))=0</formula>
    </cfRule>
  </conditionalFormatting>
  <conditionalFormatting sqref="N97">
    <cfRule type="containsBlanks" dxfId="260" priority="34">
      <formula>LEN(TRIM(N97))=0</formula>
    </cfRule>
  </conditionalFormatting>
  <conditionalFormatting sqref="Q97">
    <cfRule type="containsBlanks" dxfId="259" priority="33">
      <formula>LEN(TRIM(Q97))=0</formula>
    </cfRule>
  </conditionalFormatting>
  <conditionalFormatting sqref="T97">
    <cfRule type="containsBlanks" dxfId="258" priority="32">
      <formula>LEN(TRIM(T97))=0</formula>
    </cfRule>
  </conditionalFormatting>
  <conditionalFormatting sqref="B98">
    <cfRule type="containsBlanks" dxfId="257" priority="29">
      <formula>LEN(TRIM(B98))=0</formula>
    </cfRule>
  </conditionalFormatting>
  <conditionalFormatting sqref="I98">
    <cfRule type="containsBlanks" dxfId="256" priority="28">
      <formula>LEN(TRIM(I98))=0</formula>
    </cfRule>
  </conditionalFormatting>
  <conditionalFormatting sqref="W98">
    <cfRule type="containsBlanks" dxfId="255" priority="27">
      <formula>LEN(TRIM(W98))=0</formula>
    </cfRule>
  </conditionalFormatting>
  <conditionalFormatting sqref="Z98">
    <cfRule type="containsBlanks" dxfId="254" priority="26">
      <formula>LEN(TRIM(Z98))=0</formula>
    </cfRule>
  </conditionalFormatting>
  <conditionalFormatting sqref="G98">
    <cfRule type="containsBlanks" dxfId="253" priority="25">
      <formula>LEN(TRIM(G98))=0</formula>
    </cfRule>
  </conditionalFormatting>
  <conditionalFormatting sqref="N98">
    <cfRule type="containsBlanks" dxfId="252" priority="24">
      <formula>LEN(TRIM(N98))=0</formula>
    </cfRule>
  </conditionalFormatting>
  <conditionalFormatting sqref="Q98">
    <cfRule type="containsBlanks" dxfId="251" priority="23">
      <formula>LEN(TRIM(Q98))=0</formula>
    </cfRule>
  </conditionalFormatting>
  <conditionalFormatting sqref="T98">
    <cfRule type="containsBlanks" dxfId="250" priority="22">
      <formula>LEN(TRIM(T98))=0</formula>
    </cfRule>
  </conditionalFormatting>
  <conditionalFormatting sqref="F16:J16 F9">
    <cfRule type="containsBlanks" dxfId="249" priority="19">
      <formula>LEN(TRIM(F9))=0</formula>
    </cfRule>
  </conditionalFormatting>
  <conditionalFormatting sqref="F20">
    <cfRule type="containsBlanks" dxfId="248" priority="18">
      <formula>LEN(TRIM(F20))=0</formula>
    </cfRule>
  </conditionalFormatting>
  <conditionalFormatting sqref="F29">
    <cfRule type="containsBlanks" dxfId="247" priority="17">
      <formula>LEN(TRIM(F29))=0</formula>
    </cfRule>
  </conditionalFormatting>
  <conditionalFormatting sqref="F46">
    <cfRule type="containsBlanks" dxfId="246" priority="16">
      <formula>LEN(TRIM(F46))=0</formula>
    </cfRule>
  </conditionalFormatting>
  <conditionalFormatting sqref="J67:J74">
    <cfRule type="containsBlanks" dxfId="245" priority="7">
      <formula>LEN(TRIM(J67))=0</formula>
    </cfRule>
  </conditionalFormatting>
  <conditionalFormatting sqref="F62">
    <cfRule type="containsBlanks" dxfId="244" priority="6">
      <formula>LEN(TRIM(F62))=0</formula>
    </cfRule>
  </conditionalFormatting>
  <conditionalFormatting sqref="M95:M98">
    <cfRule type="containsBlanks" dxfId="243" priority="13">
      <formula>LEN(TRIM(M95))=0</formula>
    </cfRule>
  </conditionalFormatting>
  <conditionalFormatting sqref="F64">
    <cfRule type="containsBlanks" dxfId="242" priority="12">
      <formula>LEN(TRIM(F64))=0</formula>
    </cfRule>
  </conditionalFormatting>
  <conditionalFormatting sqref="F79:F80">
    <cfRule type="containsBlanks" dxfId="241" priority="11">
      <formula>LEN(TRIM(F79))=0</formula>
    </cfRule>
  </conditionalFormatting>
  <conditionalFormatting sqref="F63">
    <cfRule type="containsBlanks" dxfId="240" priority="10">
      <formula>LEN(TRIM(F63))=0</formula>
    </cfRule>
  </conditionalFormatting>
  <conditionalFormatting sqref="J87:J90">
    <cfRule type="containsBlanks" dxfId="239" priority="9">
      <formula>LEN(TRIM(J87))=0</formula>
    </cfRule>
  </conditionalFormatting>
  <conditionalFormatting sqref="J83:J86">
    <cfRule type="containsBlanks" dxfId="238" priority="8">
      <formula>LEN(TRIM(J83))=0</formula>
    </cfRule>
  </conditionalFormatting>
  <conditionalFormatting sqref="F78">
    <cfRule type="containsBlanks" dxfId="237" priority="5">
      <formula>LEN(TRIM(F78))=0</formula>
    </cfRule>
  </conditionalFormatting>
  <conditionalFormatting sqref="W35:W42">
    <cfRule type="containsBlanks" dxfId="236" priority="4">
      <formula>LEN(TRIM(W35))=0</formula>
    </cfRule>
  </conditionalFormatting>
  <conditionalFormatting sqref="W16:Y16">
    <cfRule type="containsBlanks" dxfId="235" priority="3">
      <formula>LEN(TRIM(W16))=0</formula>
    </cfRule>
  </conditionalFormatting>
  <conditionalFormatting sqref="W25">
    <cfRule type="containsBlanks" dxfId="234" priority="2">
      <formula>LEN(TRIM(W25))=0</formula>
    </cfRule>
  </conditionalFormatting>
  <conditionalFormatting sqref="AC95:AC98">
    <cfRule type="containsBlanks" dxfId="233" priority="1">
      <formula>LEN(TRIM(AC95))=0</formula>
    </cfRule>
  </conditionalFormatting>
  <dataValidations count="3">
    <dataValidation type="list" allowBlank="1" sqref="F47 F63" xr:uid="{00000000-0002-0000-0900-000000000000}">
      <formula1>$C$17:$C$22</formula1>
    </dataValidation>
    <dataValidation type="list" allowBlank="1" sqref="F20 F29 F46 M95:M98 F62 F78" xr:uid="{00000000-0002-0000-0900-000001000000}">
      <formula1>VLANList</formula1>
    </dataValidation>
    <dataValidation type="list" allowBlank="1" showInputMessage="1" showErrorMessage="1" sqref="W25:Y25 AC95:AE98" xr:uid="{00000000-0002-0000-0900-000002000000}">
      <formula1>$B$109:$B$118</formula1>
    </dataValidation>
  </dataValidations>
  <pageMargins left="0.7" right="0.7" top="0.75" bottom="0.75" header="0.3" footer="0.3"/>
  <pageSetup orientation="portrait"/>
  <drawing r:id="rId1"/>
  <legacyDrawing r:id="rId2"/>
  <extLst>
    <ext xmlns:x14="http://schemas.microsoft.com/office/spreadsheetml/2009/9/main" uri="{CCE6A557-97BC-4b89-ADB6-D9C93CAAB3DF}">
      <x14:dataValidations xmlns:xm="http://schemas.microsoft.com/office/excel/2006/main" count="8">
        <x14:dataValidation type="list" allowBlank="1" xr:uid="{00000000-0002-0000-0900-000004000000}">
          <x14:formula1>
            <xm:f>Dropdowns!$I$5:$I$6</xm:f>
          </x14:formula1>
          <xm:sqref>G95:G98</xm:sqref>
        </x14:dataValidation>
        <x14:dataValidation type="list" allowBlank="1" xr:uid="{00000000-0002-0000-0900-000005000000}">
          <x14:formula1>
            <xm:f>'c-Cluster'!$C$21:$C$26</xm:f>
          </x14:formula1>
          <xm:sqref>F79</xm:sqref>
        </x14:dataValidation>
        <x14:dataValidation type="list" allowBlank="1" xr:uid="{00000000-0002-0000-0900-000006000000}">
          <x14:formula1>
            <xm:f>Dropdowns!$B$3:$B$4</xm:f>
          </x14:formula1>
          <xm:sqref>F22 F48 F31 M14 G14 I14 K14 F64 F80</xm:sqref>
        </x14:dataValidation>
        <x14:dataValidation type="list" allowBlank="1" showInputMessage="1" showErrorMessage="1" xr:uid="{00000000-0002-0000-0900-000007000000}">
          <x14:formula1>
            <xm:f>'c-Cluster'!$E$71:$E$75</xm:f>
          </x14:formula1>
          <xm:sqref>F16:J16</xm:sqref>
        </x14:dataValidation>
        <x14:dataValidation type="list" allowBlank="1" showInputMessage="1" showErrorMessage="1" xr:uid="{00000000-0002-0000-0900-000008000000}">
          <x14:formula1>
            <xm:f>'c-Cluster'!$B$104:$B$113</xm:f>
          </x14:formula1>
          <xm:sqref>W35:Y42</xm:sqref>
        </x14:dataValidation>
        <x14:dataValidation type="list" allowBlank="1" showInputMessage="1" showErrorMessage="1" xr:uid="{00000000-0002-0000-0900-000009000000}">
          <x14:formula1>
            <xm:f>'c-Cluster'!$B$83:$B$86</xm:f>
          </x14:formula1>
          <xm:sqref>W16:Y16</xm:sqref>
        </x14:dataValidation>
        <x14:dataValidation type="list" allowBlank="1" xr:uid="{00000000-0002-0000-0900-00000A000000}">
          <x14:formula1>
            <xm:f>'c-Cluster'!$C21:C25</xm:f>
          </x14:formula1>
          <xm:sqref>F21</xm:sqref>
        </x14:dataValidation>
        <x14:dataValidation type="list" allowBlank="1" xr:uid="{00000000-0002-0000-0900-00000B000000}">
          <x14:formula1>
            <xm:f>'c-Cluster'!$C21:C25</xm:f>
          </x14:formula1>
          <xm:sqref>F30</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sheetPr>
  <dimension ref="A2:AF173"/>
  <sheetViews>
    <sheetView workbookViewId="0">
      <pane ySplit="4" topLeftCell="A5" activePane="bottomLeft" state="frozenSplit"/>
      <selection pane="bottomLeft" activeCell="K10" sqref="K10"/>
    </sheetView>
  </sheetViews>
  <sheetFormatPr defaultColWidth="7.140625" defaultRowHeight="10.5" x14ac:dyDescent="0.25"/>
  <cols>
    <col min="1" max="1" width="1.42578125" style="35" customWidth="1"/>
    <col min="2" max="31" width="7.140625" style="35" customWidth="1"/>
    <col min="32" max="16384" width="7.140625" style="35"/>
  </cols>
  <sheetData>
    <row r="2" spans="1:31" ht="30.75" customHeight="1" x14ac:dyDescent="0.25">
      <c r="A2" s="2" t="s">
        <v>1</v>
      </c>
      <c r="B2"/>
      <c r="V2" s="1" t="s">
        <v>1114</v>
      </c>
    </row>
    <row r="3" spans="1:31" ht="9" customHeight="1" x14ac:dyDescent="0.25"/>
    <row r="4" spans="1:31" ht="9" customHeight="1" x14ac:dyDescent="0.25"/>
    <row r="5" spans="1:31" ht="15" x14ac:dyDescent="0.25">
      <c r="A5" s="5"/>
      <c r="R5" s="350" t="str">
        <f>IF('Site Info'!$C$8=Dropdowns!$R$4,"",IF('Site Info'!$C$8=Dropdowns!$R$7,"",IF('Site Info'!$C$8=Dropdowns!$R$8,"","THIS TAB IS NOT APPLICABLE FOR THIS SOLUTION, HIDE THIS TAB")))</f>
        <v/>
      </c>
      <c r="S5" s="350"/>
      <c r="T5" s="350"/>
      <c r="U5" s="350"/>
      <c r="V5" s="350"/>
      <c r="W5" s="350"/>
      <c r="X5" s="350"/>
      <c r="Y5" s="350"/>
      <c r="Z5" s="350"/>
      <c r="AA5" s="350"/>
      <c r="AB5" s="350"/>
      <c r="AC5" s="350"/>
      <c r="AD5" s="350"/>
      <c r="AE5" s="350"/>
    </row>
    <row r="6" spans="1:31" ht="14.25" customHeight="1" x14ac:dyDescent="0.25">
      <c r="B6" s="4" t="str">
        <f>CONCATENATE("SVM #",F9," - General Information")</f>
        <v>SVM #01 - General Information</v>
      </c>
      <c r="AB6" s="76" t="s">
        <v>986</v>
      </c>
    </row>
    <row r="7" spans="1:31" ht="6" customHeight="1" x14ac:dyDescent="0.25">
      <c r="B7" s="4"/>
      <c r="G7" s="6"/>
    </row>
    <row r="8" spans="1:31" ht="14.25" customHeight="1" x14ac:dyDescent="0.25">
      <c r="B8" s="303"/>
      <c r="C8" s="303"/>
      <c r="D8" s="303"/>
      <c r="E8" s="303"/>
      <c r="F8" s="176"/>
      <c r="G8" s="303" t="s">
        <v>985</v>
      </c>
      <c r="H8" s="303"/>
      <c r="I8" s="303"/>
      <c r="J8" s="303"/>
      <c r="K8" s="288" t="s">
        <v>912</v>
      </c>
      <c r="L8" s="289"/>
      <c r="M8" s="289"/>
      <c r="N8" s="289"/>
      <c r="O8" s="290"/>
    </row>
    <row r="9" spans="1:31" ht="14.25" customHeight="1" x14ac:dyDescent="0.25">
      <c r="B9" s="303" t="s">
        <v>976</v>
      </c>
      <c r="C9" s="303"/>
      <c r="D9" s="303"/>
      <c r="E9" s="303"/>
      <c r="F9" s="40" t="s">
        <v>1325</v>
      </c>
      <c r="G9" s="303" t="s">
        <v>975</v>
      </c>
      <c r="H9" s="303"/>
      <c r="I9" s="303"/>
      <c r="J9" s="303"/>
      <c r="K9" s="288" t="str">
        <f>IF(Inventory!$F$10="Clustered OnTap",CONCATENATE(Inventory!$G$12,"-",$K$8,"-",$F$9),"")</f>
        <v>shpsan-infinitevol-01</v>
      </c>
      <c r="L9" s="289"/>
      <c r="M9" s="289"/>
      <c r="N9" s="289"/>
      <c r="O9" s="290"/>
    </row>
    <row r="10" spans="1:31" ht="6" customHeight="1" thickBot="1" x14ac:dyDescent="0.3"/>
    <row r="11" spans="1:31" ht="14.25" customHeight="1" x14ac:dyDescent="0.25">
      <c r="B11" s="303" t="s">
        <v>987</v>
      </c>
      <c r="C11" s="303"/>
      <c r="D11" s="303"/>
      <c r="E11" s="303"/>
      <c r="F11" s="288" t="str">
        <f>IF('Site Info'!$F$25&lt;&gt;0,'Site Info'!$F$25,"")</f>
        <v>speedcast.com</v>
      </c>
      <c r="G11" s="289"/>
      <c r="H11" s="289"/>
      <c r="I11" s="290"/>
      <c r="S11" s="382" t="s">
        <v>483</v>
      </c>
      <c r="T11" s="383"/>
      <c r="U11" s="383"/>
      <c r="V11" s="383"/>
      <c r="W11" s="383"/>
      <c r="X11" s="383"/>
      <c r="Y11" s="383"/>
      <c r="Z11" s="383"/>
      <c r="AA11" s="383"/>
      <c r="AB11" s="384"/>
    </row>
    <row r="12" spans="1:31" ht="14.25" customHeight="1" x14ac:dyDescent="0.25">
      <c r="B12" s="303" t="s">
        <v>988</v>
      </c>
      <c r="C12" s="303"/>
      <c r="D12" s="303"/>
      <c r="E12" s="303"/>
      <c r="F12" s="288" t="str">
        <f>IF('Site Info'!$F$26&lt;&gt;0,'Site Info'!$F$26,"")</f>
        <v>10.126.131.11</v>
      </c>
      <c r="G12" s="289"/>
      <c r="H12" s="290"/>
      <c r="I12" s="288" t="str">
        <f>IF('Site Info'!$I$26&lt;&gt;0,'Site Info'!$I$26,"")</f>
        <v>175.176.252.8</v>
      </c>
      <c r="J12" s="289"/>
      <c r="K12" s="290"/>
      <c r="L12" s="288" t="str">
        <f>IF('Site Info'!$L$26&lt;&gt;0,'Site Info'!$L$26,"")</f>
        <v/>
      </c>
      <c r="M12" s="289"/>
      <c r="N12" s="290"/>
      <c r="S12" s="87"/>
      <c r="T12" s="171">
        <f>IF(G14="Yes",COUNTA(E35:I42)-COUNTIF(E35:I42," "),"0")</f>
        <v>2</v>
      </c>
      <c r="U12" s="83" t="s">
        <v>358</v>
      </c>
      <c r="V12" s="171">
        <f>IF(I14="Yes",COUNTA(E51:I58)-COUNTIF(E51:I58," "),0)</f>
        <v>2</v>
      </c>
      <c r="W12" s="83" t="s">
        <v>359</v>
      </c>
      <c r="X12" s="171">
        <f>IF(M14="Yes",(COUNTA(E67:I74)-COUNTIF(E67:I74," "))+(COUNTA(E83:I90)-COUNTIF(E83:I90," ")),0)</f>
        <v>0</v>
      </c>
      <c r="Y12" s="83" t="s">
        <v>175</v>
      </c>
      <c r="Z12" s="171">
        <v>1</v>
      </c>
      <c r="AA12" s="83" t="s">
        <v>990</v>
      </c>
      <c r="AB12" s="88"/>
    </row>
    <row r="13" spans="1:31" ht="14.25" customHeight="1" thickBot="1" x14ac:dyDescent="0.3">
      <c r="S13" s="89"/>
      <c r="T13" s="79"/>
      <c r="U13" s="79"/>
      <c r="V13" s="79"/>
      <c r="W13" s="79"/>
      <c r="X13" s="79"/>
      <c r="Y13" s="79"/>
      <c r="Z13" s="79"/>
      <c r="AA13" s="79"/>
      <c r="AB13" s="90"/>
    </row>
    <row r="14" spans="1:31" ht="14.25" customHeight="1" x14ac:dyDescent="0.25">
      <c r="B14" s="303" t="s">
        <v>445</v>
      </c>
      <c r="C14" s="303"/>
      <c r="D14" s="303"/>
      <c r="E14" s="303"/>
      <c r="F14" s="172" t="s">
        <v>446</v>
      </c>
      <c r="G14" s="171" t="s">
        <v>16</v>
      </c>
      <c r="H14" s="172" t="s">
        <v>447</v>
      </c>
      <c r="I14" s="171" t="s">
        <v>16</v>
      </c>
      <c r="J14" s="172" t="s">
        <v>448</v>
      </c>
      <c r="K14" s="171"/>
      <c r="L14" s="172" t="s">
        <v>449</v>
      </c>
      <c r="M14" s="171"/>
    </row>
    <row r="15" spans="1:31" ht="6" customHeight="1" x14ac:dyDescent="0.25">
      <c r="B15" s="4"/>
      <c r="G15" s="6"/>
    </row>
    <row r="16" spans="1:31" ht="14.25" customHeight="1" x14ac:dyDescent="0.25">
      <c r="B16" s="303" t="s">
        <v>977</v>
      </c>
      <c r="C16" s="303"/>
      <c r="D16" s="303"/>
      <c r="E16" s="303"/>
      <c r="F16" s="288"/>
      <c r="G16" s="289"/>
      <c r="H16" s="289"/>
      <c r="I16" s="289"/>
      <c r="J16" s="290"/>
      <c r="S16" s="303" t="s">
        <v>1284</v>
      </c>
      <c r="T16" s="303"/>
      <c r="U16" s="303"/>
      <c r="V16" s="303"/>
      <c r="W16" s="288"/>
      <c r="X16" s="289"/>
      <c r="Y16" s="290"/>
    </row>
    <row r="17" spans="1:28" ht="14.25" customHeight="1" x14ac:dyDescent="0.25"/>
    <row r="18" spans="1:28" ht="14.25" customHeight="1" x14ac:dyDescent="0.25">
      <c r="B18" s="4" t="s">
        <v>984</v>
      </c>
    </row>
    <row r="19" spans="1:28" ht="6" customHeight="1" x14ac:dyDescent="0.25">
      <c r="B19" s="4"/>
      <c r="G19" s="6"/>
    </row>
    <row r="20" spans="1:28" ht="14.25" customHeight="1" x14ac:dyDescent="0.25">
      <c r="B20" s="303" t="s">
        <v>982</v>
      </c>
      <c r="C20" s="303"/>
      <c r="D20" s="303"/>
      <c r="E20" s="303"/>
      <c r="F20" s="171"/>
      <c r="G20" s="303" t="s">
        <v>978</v>
      </c>
      <c r="H20" s="303"/>
      <c r="I20" s="303"/>
      <c r="J20" s="303"/>
      <c r="K20" s="288" t="str">
        <f>IF(E25&lt;&gt;"",IF(F20&lt;&gt;0,VLOOKUP(F20,'Site Info'!$G$34:$P$69,8,FALSE),"enter VLAN"),"")</f>
        <v>enter VLAN</v>
      </c>
      <c r="L20" s="289"/>
      <c r="M20" s="290"/>
      <c r="N20" s="303" t="s">
        <v>980</v>
      </c>
      <c r="O20" s="303"/>
      <c r="P20" s="303"/>
      <c r="Q20" s="303"/>
      <c r="R20" s="171">
        <v>10</v>
      </c>
    </row>
    <row r="21" spans="1:28" ht="14.25" customHeight="1" x14ac:dyDescent="0.25">
      <c r="B21" s="303" t="s">
        <v>983</v>
      </c>
      <c r="C21" s="303"/>
      <c r="D21" s="303"/>
      <c r="E21" s="303"/>
      <c r="F21" s="171"/>
      <c r="G21" s="303" t="s">
        <v>979</v>
      </c>
      <c r="H21" s="303"/>
      <c r="I21" s="303"/>
      <c r="J21" s="303"/>
      <c r="K21" s="288" t="str">
        <f>IF(E25&lt;&gt;"",IF(F20&lt;&gt;0,VLOOKUP(F20,'Site Info'!$G$34:$P$69,5,FALSE),"enter VLAN"),"")</f>
        <v>enter VLAN</v>
      </c>
      <c r="L21" s="289"/>
      <c r="M21" s="290"/>
    </row>
    <row r="22" spans="1:28" ht="14.25" customHeight="1" x14ac:dyDescent="0.25">
      <c r="B22" s="303" t="s">
        <v>91</v>
      </c>
      <c r="C22" s="303"/>
      <c r="D22" s="303"/>
      <c r="E22" s="303"/>
      <c r="F22" s="171"/>
    </row>
    <row r="23" spans="1:28" ht="14.25" customHeight="1" x14ac:dyDescent="0.25">
      <c r="J23" s="299" t="str">
        <f>IF($F$20&lt;&gt;0,IF(E25&lt;&gt;"",VLOOKUP($F$20,'Site Info'!$G$34:$P$69,2,FALSE),""),"")</f>
        <v/>
      </c>
      <c r="K23" s="299"/>
      <c r="L23" s="299"/>
    </row>
    <row r="24" spans="1:28" ht="14.25" customHeight="1" thickBot="1" x14ac:dyDescent="0.3">
      <c r="B24" s="312" t="s">
        <v>92</v>
      </c>
      <c r="C24" s="321"/>
      <c r="D24" s="313"/>
      <c r="E24" s="312" t="s">
        <v>991</v>
      </c>
      <c r="F24" s="321"/>
      <c r="G24" s="321"/>
      <c r="H24" s="321"/>
      <c r="I24" s="313"/>
      <c r="J24" s="312" t="s">
        <v>71</v>
      </c>
      <c r="K24" s="321"/>
      <c r="L24" s="313"/>
      <c r="M24" s="312" t="s">
        <v>93</v>
      </c>
      <c r="N24" s="321"/>
      <c r="O24" s="321"/>
      <c r="P24" s="313"/>
      <c r="Q24" s="312" t="s">
        <v>95</v>
      </c>
      <c r="R24" s="321"/>
      <c r="S24" s="313"/>
      <c r="T24" s="312" t="s">
        <v>96</v>
      </c>
      <c r="U24" s="321"/>
      <c r="V24" s="313"/>
      <c r="W24" s="312" t="s">
        <v>1269</v>
      </c>
      <c r="X24" s="321"/>
      <c r="Y24" s="313"/>
    </row>
    <row r="25" spans="1:28" ht="14.25" customHeight="1" x14ac:dyDescent="0.25">
      <c r="A25" s="26">
        <v>1</v>
      </c>
      <c r="B25" s="302" t="str">
        <f>IF(E25&lt;&gt;"","SVM Administration","")</f>
        <v>SVM Administration</v>
      </c>
      <c r="C25" s="302"/>
      <c r="D25" s="302"/>
      <c r="E25" s="302" t="str">
        <f>IF(K9&lt;&gt;"",CONCATENATE(K9,"-admin.",F11),"")</f>
        <v>shpsan-infinitevol-01-admin.speedcast.com</v>
      </c>
      <c r="F25" s="302"/>
      <c r="G25" s="302"/>
      <c r="H25" s="302"/>
      <c r="I25" s="302"/>
      <c r="J25" s="288"/>
      <c r="K25" s="289"/>
      <c r="L25" s="290"/>
      <c r="M25" s="288" t="str">
        <f>IF(K9&lt;&gt;"",CONCATENATE(K9,"-admin",""),"")</f>
        <v>shpsan-infinitevol-01-admin</v>
      </c>
      <c r="N25" s="289"/>
      <c r="O25" s="289"/>
      <c r="P25" s="290"/>
      <c r="Q25" s="302" t="str">
        <f>IF(E25&lt;&gt;"",Inventory!$C$15,"")</f>
        <v>shpsan-01</v>
      </c>
      <c r="R25" s="302"/>
      <c r="S25" s="302"/>
      <c r="T25" s="302" t="str">
        <f>IF(AND(E25&lt;&gt;"",$F$22&lt;&gt;0,$F$21&lt;&gt;0,$F$20&lt;&gt;0),IF($F$22&lt;&gt;"Yes",$F$21,CONCATENATE($F$21,"-",$F$20)),"")</f>
        <v/>
      </c>
      <c r="U25" s="302"/>
      <c r="V25" s="302"/>
      <c r="W25" s="302"/>
      <c r="X25" s="302"/>
      <c r="Y25" s="302"/>
    </row>
    <row r="26" spans="1:28" ht="14.25" customHeight="1" x14ac:dyDescent="0.25">
      <c r="AB26" s="36" t="s">
        <v>143</v>
      </c>
    </row>
    <row r="27" spans="1:28" ht="14.25" customHeight="1" x14ac:dyDescent="0.25">
      <c r="B27" s="4" t="s">
        <v>127</v>
      </c>
    </row>
    <row r="28" spans="1:28" ht="6" customHeight="1" x14ac:dyDescent="0.25">
      <c r="B28" s="4"/>
      <c r="G28" s="6"/>
    </row>
    <row r="29" spans="1:28" ht="14.25" customHeight="1" x14ac:dyDescent="0.25">
      <c r="B29" s="303" t="s">
        <v>131</v>
      </c>
      <c r="C29" s="303"/>
      <c r="D29" s="303"/>
      <c r="E29" s="303"/>
      <c r="F29" s="171"/>
      <c r="G29" s="303" t="s">
        <v>128</v>
      </c>
      <c r="H29" s="303"/>
      <c r="I29" s="303"/>
      <c r="J29" s="303"/>
      <c r="K29" s="288" t="str">
        <f>IF(E35&lt;&gt;"",IF(F29&lt;&gt;0,VLOOKUP(F29,'Site Info'!$G$34:$P$69,8,FALSE),"enter VLAN"),"")</f>
        <v>enter VLAN</v>
      </c>
      <c r="L29" s="289"/>
      <c r="M29" s="290"/>
      <c r="N29" s="303" t="s">
        <v>129</v>
      </c>
      <c r="O29" s="303"/>
      <c r="P29" s="303"/>
      <c r="Q29" s="303"/>
      <c r="R29" s="171">
        <v>10</v>
      </c>
    </row>
    <row r="30" spans="1:28" ht="14.25" customHeight="1" x14ac:dyDescent="0.25">
      <c r="B30" s="303" t="s">
        <v>132</v>
      </c>
      <c r="C30" s="303"/>
      <c r="D30" s="303"/>
      <c r="E30" s="303"/>
      <c r="F30" s="171"/>
      <c r="G30" s="303" t="s">
        <v>130</v>
      </c>
      <c r="H30" s="303"/>
      <c r="I30" s="303"/>
      <c r="J30" s="303"/>
      <c r="K30" s="288" t="str">
        <f>IF(E35&lt;&gt;"",IF(F29&lt;&gt;0,VLOOKUP(F29,'Site Info'!$G$34:$P$69,5,FALSE),"enter VLAN"),"")</f>
        <v>enter VLAN</v>
      </c>
      <c r="L30" s="289"/>
      <c r="M30" s="290"/>
    </row>
    <row r="31" spans="1:28" ht="14.25" customHeight="1" x14ac:dyDescent="0.25">
      <c r="B31" s="303" t="s">
        <v>91</v>
      </c>
      <c r="C31" s="303"/>
      <c r="D31" s="303"/>
      <c r="E31" s="303"/>
      <c r="F31" s="171"/>
      <c r="G31" s="303" t="s">
        <v>134</v>
      </c>
      <c r="H31" s="303"/>
      <c r="I31" s="303"/>
      <c r="J31" s="303"/>
      <c r="K31" s="288" t="str">
        <f>IF(K9&lt;&gt;"",CONCATENATE(K9,".",F11),"")</f>
        <v>shpsan-infinitevol-01.speedcast.com</v>
      </c>
      <c r="L31" s="289"/>
      <c r="M31" s="289"/>
      <c r="N31" s="289"/>
      <c r="O31" s="290"/>
    </row>
    <row r="32" spans="1:28" ht="6" customHeight="1" x14ac:dyDescent="0.25">
      <c r="B32" s="4"/>
      <c r="G32" s="6"/>
    </row>
    <row r="33" spans="1:29" ht="14.25" customHeight="1" x14ac:dyDescent="0.25">
      <c r="J33" s="299" t="str">
        <f>IF(F29&lt;&gt;0,IF(E35&lt;&gt;"",VLOOKUP(F29,'Site Info'!$G$34:$P$69,2,FALSE),""),"")</f>
        <v/>
      </c>
      <c r="K33" s="299"/>
      <c r="L33" s="299"/>
    </row>
    <row r="34" spans="1:29" ht="14.25" customHeight="1" thickBot="1" x14ac:dyDescent="0.3">
      <c r="B34" s="312" t="s">
        <v>92</v>
      </c>
      <c r="C34" s="321"/>
      <c r="D34" s="313"/>
      <c r="E34" s="312" t="s">
        <v>133</v>
      </c>
      <c r="F34" s="321"/>
      <c r="G34" s="321"/>
      <c r="H34" s="321"/>
      <c r="I34" s="313"/>
      <c r="J34" s="312" t="s">
        <v>71</v>
      </c>
      <c r="K34" s="321"/>
      <c r="L34" s="313"/>
      <c r="M34" s="312" t="s">
        <v>93</v>
      </c>
      <c r="N34" s="321"/>
      <c r="O34" s="321"/>
      <c r="P34" s="313"/>
      <c r="Q34" s="312" t="s">
        <v>95</v>
      </c>
      <c r="R34" s="321"/>
      <c r="S34" s="313"/>
      <c r="T34" s="312" t="s">
        <v>96</v>
      </c>
      <c r="U34" s="321"/>
      <c r="V34" s="313"/>
      <c r="W34" s="312" t="s">
        <v>1269</v>
      </c>
      <c r="X34" s="321"/>
      <c r="Y34" s="313"/>
      <c r="Z34" s="312" t="s">
        <v>104</v>
      </c>
      <c r="AA34" s="321"/>
      <c r="AB34" s="313"/>
      <c r="AC34" s="258" t="s">
        <v>473</v>
      </c>
    </row>
    <row r="35" spans="1:29" ht="14.25" customHeight="1" x14ac:dyDescent="0.25">
      <c r="A35" s="26">
        <v>1</v>
      </c>
      <c r="B35" s="302" t="str">
        <f>IF(Inventory!$C$15&lt;&gt;"",CONCATENATE("CIFS - Node ",A35),"")</f>
        <v>CIFS - Node 1</v>
      </c>
      <c r="C35" s="302"/>
      <c r="D35" s="302"/>
      <c r="E35" s="302" t="str">
        <f>IF(B35&lt;&gt;"",CONCATENATE(K9,"-0",A35,".",F11)," ")</f>
        <v>shpsan-infinitevol-01-01.speedcast.com</v>
      </c>
      <c r="F35" s="302"/>
      <c r="G35" s="302"/>
      <c r="H35" s="302"/>
      <c r="I35" s="302"/>
      <c r="J35" s="288"/>
      <c r="K35" s="289"/>
      <c r="L35" s="290"/>
      <c r="M35" s="288" t="str">
        <f>IF(B35&lt;&gt;"",CONCATENATE(K9,"-0",A35),"")</f>
        <v>shpsan-infinitevol-01-01</v>
      </c>
      <c r="N35" s="289"/>
      <c r="O35" s="289"/>
      <c r="P35" s="290"/>
      <c r="Q35" s="302" t="str">
        <f>IF(E35&lt;&gt;"",Inventory!$C$15,"")</f>
        <v>shpsan-01</v>
      </c>
      <c r="R35" s="302"/>
      <c r="S35" s="302"/>
      <c r="T35" s="302" t="str">
        <f>IF(AND(E35&lt;&gt;"",F31&lt;&gt;0,F30&lt;&gt;0,F29&lt;&gt;0),IF(F31&lt;&gt;"Yes",F30,CONCATENATE(F30,"-",F29)),"")</f>
        <v/>
      </c>
      <c r="U35" s="302"/>
      <c r="V35" s="302"/>
      <c r="W35" s="302"/>
      <c r="X35" s="302"/>
      <c r="Y35" s="302"/>
      <c r="Z35" s="302" t="str">
        <f>IF(E35&lt;&gt;"","0.0.0.0/0","")</f>
        <v>0.0.0.0/0</v>
      </c>
      <c r="AA35" s="302"/>
      <c r="AB35" s="302"/>
      <c r="AC35" s="255" t="str">
        <f>IF($F$29&lt;&gt;0,IF(VLOOKUP($F$29,'Site Info'!$G$34:$V$69,8,FALSE)&lt;&gt;0,VLOOKUP($F$29,'Site Info'!$G$34:$V$69,11,FALSE),""),"")</f>
        <v/>
      </c>
    </row>
    <row r="36" spans="1:29" ht="14.25" customHeight="1" x14ac:dyDescent="0.25">
      <c r="A36" s="26">
        <v>2</v>
      </c>
      <c r="B36" s="302" t="str">
        <f>IF(Inventory!$C$16&lt;&gt;"",CONCATENATE("CIFS - Node ",A36),"")</f>
        <v>CIFS - Node 2</v>
      </c>
      <c r="C36" s="302"/>
      <c r="D36" s="302"/>
      <c r="E36" s="302" t="str">
        <f>IF(B36&lt;&gt;"",CONCATENATE(K9,"-0",A36,".",F11)," ")</f>
        <v>shpsan-infinitevol-01-02.speedcast.com</v>
      </c>
      <c r="F36" s="302"/>
      <c r="G36" s="302"/>
      <c r="H36" s="302"/>
      <c r="I36" s="302"/>
      <c r="J36" s="288"/>
      <c r="K36" s="289"/>
      <c r="L36" s="290"/>
      <c r="M36" s="288" t="str">
        <f>IF(B36&lt;&gt;"",CONCATENATE(K9,"-0",A36),"")</f>
        <v>shpsan-infinitevol-01-02</v>
      </c>
      <c r="N36" s="289"/>
      <c r="O36" s="289"/>
      <c r="P36" s="290"/>
      <c r="Q36" s="302" t="str">
        <f>IF(E36&lt;&gt;"",Inventory!$C$16,"")</f>
        <v>shpsan-02</v>
      </c>
      <c r="R36" s="302"/>
      <c r="S36" s="302"/>
      <c r="T36" s="302" t="str">
        <f>IF(AND(E36&lt;&gt;"",F31&lt;&gt;0,F30&lt;&gt;0,F29&lt;&gt;0),IF(F31&lt;&gt;"Yes",F30,CONCATENATE(F30,"-",F29)),"")</f>
        <v/>
      </c>
      <c r="U36" s="302"/>
      <c r="V36" s="302"/>
      <c r="W36" s="302"/>
      <c r="X36" s="302"/>
      <c r="Y36" s="302"/>
      <c r="Z36" s="302" t="str">
        <f t="shared" ref="Z36:Z42" si="0">IF(E36&lt;&gt;"","0.0.0.0/0","")</f>
        <v>0.0.0.0/0</v>
      </c>
      <c r="AA36" s="302"/>
      <c r="AB36" s="302"/>
      <c r="AC36" s="255" t="str">
        <f>IF($F$29&lt;&gt;0,IF(VLOOKUP($F$29,'Site Info'!$G$34:$V$69,8,FALSE)&lt;&gt;0,VLOOKUP($F$29,'Site Info'!$G$34:$V$69,11,FALSE),""),"")</f>
        <v/>
      </c>
    </row>
    <row r="37" spans="1:29" ht="14.25" customHeight="1" x14ac:dyDescent="0.25">
      <c r="A37" s="26">
        <v>3</v>
      </c>
      <c r="B37" s="302" t="str">
        <f>IF(Inventory!$C$17&lt;&gt;"",CONCATENATE("CIFS - Node ",A37),"")</f>
        <v/>
      </c>
      <c r="C37" s="302"/>
      <c r="D37" s="302"/>
      <c r="E37" s="302" t="str">
        <f>IF(B37&lt;&gt;"",CONCATENATE(K9,"-0",A37,".",F11)," ")</f>
        <v xml:space="preserve"> </v>
      </c>
      <c r="F37" s="302"/>
      <c r="G37" s="302"/>
      <c r="H37" s="302"/>
      <c r="I37" s="302"/>
      <c r="J37" s="288"/>
      <c r="K37" s="289"/>
      <c r="L37" s="290"/>
      <c r="M37" s="288" t="str">
        <f>IF(B37&lt;&gt;"",CONCATENATE(K9,"-0",A37),"")</f>
        <v/>
      </c>
      <c r="N37" s="289"/>
      <c r="O37" s="289"/>
      <c r="P37" s="290"/>
      <c r="Q37" s="302" t="str">
        <f>IF(E37&lt;&gt;"",Inventory!$C$17,"")</f>
        <v/>
      </c>
      <c r="R37" s="302"/>
      <c r="S37" s="302"/>
      <c r="T37" s="302" t="str">
        <f>IF(AND(E37&lt;&gt;"",F31&lt;&gt;0,F30&lt;&gt;0,F29&lt;&gt;0),IF(F31&lt;&gt;"Yes",F30,CONCATENATE(F30,"-",F29)),"")</f>
        <v/>
      </c>
      <c r="U37" s="302"/>
      <c r="V37" s="302"/>
      <c r="W37" s="302"/>
      <c r="X37" s="302"/>
      <c r="Y37" s="302"/>
      <c r="Z37" s="302" t="str">
        <f t="shared" si="0"/>
        <v>0.0.0.0/0</v>
      </c>
      <c r="AA37" s="302"/>
      <c r="AB37" s="302"/>
      <c r="AC37" s="255" t="str">
        <f>IF($F$29&lt;&gt;0,IF(VLOOKUP($F$29,'Site Info'!$G$34:$V$69,8,FALSE)&lt;&gt;0,VLOOKUP($F$29,'Site Info'!$G$34:$V$69,11,FALSE),""),"")</f>
        <v/>
      </c>
    </row>
    <row r="38" spans="1:29" ht="14.25" customHeight="1" x14ac:dyDescent="0.25">
      <c r="A38" s="26">
        <v>4</v>
      </c>
      <c r="B38" s="302" t="str">
        <f>IF(Inventory!$C$18&lt;&gt;"",CONCATENATE("CIFS - Node ",A38),"")</f>
        <v/>
      </c>
      <c r="C38" s="302"/>
      <c r="D38" s="302"/>
      <c r="E38" s="302" t="str">
        <f>IF(B38&lt;&gt;"",CONCATENATE(K9,"-0",A38,".",F11)," ")</f>
        <v xml:space="preserve"> </v>
      </c>
      <c r="F38" s="302"/>
      <c r="G38" s="302"/>
      <c r="H38" s="302"/>
      <c r="I38" s="302"/>
      <c r="J38" s="288"/>
      <c r="K38" s="289"/>
      <c r="L38" s="290"/>
      <c r="M38" s="288" t="str">
        <f>IF(B38&lt;&gt;"",CONCATENATE(K9,"-0",A38),"")</f>
        <v/>
      </c>
      <c r="N38" s="289"/>
      <c r="O38" s="289"/>
      <c r="P38" s="290"/>
      <c r="Q38" s="302" t="str">
        <f>IF(E38&lt;&gt;"",Inventory!$C$18,"")</f>
        <v/>
      </c>
      <c r="R38" s="302"/>
      <c r="S38" s="302"/>
      <c r="T38" s="302" t="str">
        <f>IF(AND(E38&lt;&gt;"",F31&lt;&gt;0,F30&lt;&gt;0,F29&lt;&gt;0),IF(F31&lt;&gt;"Yes",F30,CONCATENATE(F30,"-",F29)),"")</f>
        <v/>
      </c>
      <c r="U38" s="302"/>
      <c r="V38" s="302"/>
      <c r="W38" s="302"/>
      <c r="X38" s="302"/>
      <c r="Y38" s="302"/>
      <c r="Z38" s="302" t="str">
        <f t="shared" si="0"/>
        <v>0.0.0.0/0</v>
      </c>
      <c r="AA38" s="302"/>
      <c r="AB38" s="302"/>
      <c r="AC38" s="255" t="str">
        <f>IF($F$29&lt;&gt;0,IF(VLOOKUP($F$29,'Site Info'!$G$34:$V$69,8,FALSE)&lt;&gt;0,VLOOKUP($F$29,'Site Info'!$G$34:$V$69,11,FALSE),""),"")</f>
        <v/>
      </c>
    </row>
    <row r="39" spans="1:29" ht="14.25" customHeight="1" x14ac:dyDescent="0.25">
      <c r="A39" s="26">
        <v>5</v>
      </c>
      <c r="B39" s="288" t="str">
        <f>IF(Inventory!$C$19&lt;&gt;"",CONCATENATE("CIFS - Node ",A39),"")</f>
        <v/>
      </c>
      <c r="C39" s="289"/>
      <c r="D39" s="290"/>
      <c r="E39" s="288" t="str">
        <f>IF(B39&lt;&gt;"",CONCATENATE(K9,"-0",A39,".",F11)," ")</f>
        <v xml:space="preserve"> </v>
      </c>
      <c r="F39" s="289"/>
      <c r="G39" s="289"/>
      <c r="H39" s="289"/>
      <c r="I39" s="290"/>
      <c r="J39" s="288"/>
      <c r="K39" s="289"/>
      <c r="L39" s="290"/>
      <c r="M39" s="288" t="str">
        <f>IF(B39&lt;&gt;"",CONCATENATE(K9,"-0",A39),"")</f>
        <v/>
      </c>
      <c r="N39" s="289"/>
      <c r="O39" s="289"/>
      <c r="P39" s="290"/>
      <c r="Q39" s="288" t="str">
        <f>IF(E39&lt;&gt;"",Inventory!$C$19,"")</f>
        <v/>
      </c>
      <c r="R39" s="289"/>
      <c r="S39" s="290"/>
      <c r="T39" s="288" t="str">
        <f>IF(AND(E39&lt;&gt;"",F31&lt;&gt;0,F30&lt;&gt;0,F29&lt;&gt;0),IF(F31&lt;&gt;"Yes",F30,CONCATENATE(F30,"-",F29)),"")</f>
        <v/>
      </c>
      <c r="U39" s="289"/>
      <c r="V39" s="290"/>
      <c r="W39" s="288"/>
      <c r="X39" s="289"/>
      <c r="Y39" s="290"/>
      <c r="Z39" s="288" t="str">
        <f t="shared" si="0"/>
        <v>0.0.0.0/0</v>
      </c>
      <c r="AA39" s="289"/>
      <c r="AB39" s="290"/>
      <c r="AC39" s="255" t="str">
        <f>IF($F$29&lt;&gt;0,IF(VLOOKUP($F$29,'Site Info'!$G$34:$V$69,8,FALSE)&lt;&gt;0,VLOOKUP($F$29,'Site Info'!$G$34:$V$69,11,FALSE),""),"")</f>
        <v/>
      </c>
    </row>
    <row r="40" spans="1:29" ht="14.25" customHeight="1" x14ac:dyDescent="0.25">
      <c r="A40" s="26">
        <v>6</v>
      </c>
      <c r="B40" s="302" t="str">
        <f>IF(Inventory!$C$20&lt;&gt;"",CONCATENATE("CIFS - Node ",A40),"")</f>
        <v/>
      </c>
      <c r="C40" s="302"/>
      <c r="D40" s="302"/>
      <c r="E40" s="302" t="str">
        <f>IF(B40&lt;&gt;"",CONCATENATE(K9,"-0",A40,".",F11)," ")</f>
        <v xml:space="preserve"> </v>
      </c>
      <c r="F40" s="302"/>
      <c r="G40" s="302"/>
      <c r="H40" s="302"/>
      <c r="I40" s="302"/>
      <c r="J40" s="288"/>
      <c r="K40" s="289"/>
      <c r="L40" s="290"/>
      <c r="M40" s="288" t="str">
        <f>IF(B40&lt;&gt;"",CONCATENATE(K9,"-0",A40),"")</f>
        <v/>
      </c>
      <c r="N40" s="289"/>
      <c r="O40" s="289"/>
      <c r="P40" s="290"/>
      <c r="Q40" s="302" t="str">
        <f>IF(E40&lt;&gt;"",Inventory!$C$20,"")</f>
        <v/>
      </c>
      <c r="R40" s="302"/>
      <c r="S40" s="302"/>
      <c r="T40" s="288" t="str">
        <f>IF(AND(E40&lt;&gt;"",F31&lt;&gt;0,F30&lt;&gt;0,F29&lt;&gt;0),IF(F31&lt;&gt;"Yes",F30,CONCATENATE(F30,"-",F29)),"")</f>
        <v/>
      </c>
      <c r="U40" s="289"/>
      <c r="V40" s="290"/>
      <c r="W40" s="288"/>
      <c r="X40" s="289"/>
      <c r="Y40" s="290"/>
      <c r="Z40" s="288" t="str">
        <f t="shared" si="0"/>
        <v>0.0.0.0/0</v>
      </c>
      <c r="AA40" s="289"/>
      <c r="AB40" s="290"/>
      <c r="AC40" s="255" t="str">
        <f>IF($F$29&lt;&gt;0,IF(VLOOKUP($F$29,'Site Info'!$G$34:$V$69,8,FALSE)&lt;&gt;0,VLOOKUP($F$29,'Site Info'!$G$34:$V$69,11,FALSE),""),"")</f>
        <v/>
      </c>
    </row>
    <row r="41" spans="1:29" ht="14.25" customHeight="1" x14ac:dyDescent="0.25">
      <c r="A41" s="26">
        <v>7</v>
      </c>
      <c r="B41" s="302" t="str">
        <f>IF(Inventory!$C$21&lt;&gt;"",CONCATENATE("CIFS - Node ",A41),"")</f>
        <v/>
      </c>
      <c r="C41" s="302"/>
      <c r="D41" s="302"/>
      <c r="E41" s="302" t="str">
        <f>IF(B41&lt;&gt;"",CONCATENATE(K9,"-0",A41,".",F11)," ")</f>
        <v xml:space="preserve"> </v>
      </c>
      <c r="F41" s="302"/>
      <c r="G41" s="302"/>
      <c r="H41" s="302"/>
      <c r="I41" s="302"/>
      <c r="J41" s="288"/>
      <c r="K41" s="289"/>
      <c r="L41" s="290"/>
      <c r="M41" s="288" t="str">
        <f>IF(B41&lt;&gt;"",CONCATENATE(K9,"-0",A41),"")</f>
        <v/>
      </c>
      <c r="N41" s="289"/>
      <c r="O41" s="289"/>
      <c r="P41" s="290"/>
      <c r="Q41" s="302" t="str">
        <f>IF(E41&lt;&gt;"",Inventory!$C$21,"")</f>
        <v/>
      </c>
      <c r="R41" s="302"/>
      <c r="S41" s="302"/>
      <c r="T41" s="302" t="str">
        <f>IF(AND(E41&lt;&gt;"",F31&lt;&gt;0,F30&lt;&gt;0,F29&lt;&gt;0),IF(F31&lt;&gt;"Yes",F30,CONCATENATE(F30,"-",F29)),"")</f>
        <v/>
      </c>
      <c r="U41" s="302"/>
      <c r="V41" s="302"/>
      <c r="W41" s="302"/>
      <c r="X41" s="302"/>
      <c r="Y41" s="302"/>
      <c r="Z41" s="302" t="str">
        <f t="shared" si="0"/>
        <v>0.0.0.0/0</v>
      </c>
      <c r="AA41" s="302"/>
      <c r="AB41" s="302"/>
      <c r="AC41" s="255" t="str">
        <f>IF($F$29&lt;&gt;0,IF(VLOOKUP($F$29,'Site Info'!$G$34:$V$69,8,FALSE)&lt;&gt;0,VLOOKUP($F$29,'Site Info'!$G$34:$V$69,11,FALSE),""),"")</f>
        <v/>
      </c>
    </row>
    <row r="42" spans="1:29" ht="14.25" customHeight="1" x14ac:dyDescent="0.25">
      <c r="A42" s="26">
        <v>8</v>
      </c>
      <c r="B42" s="302" t="str">
        <f>IF(Inventory!$C$22&lt;&gt;"",CONCATENATE("CIFS - Node ",A42),"")</f>
        <v/>
      </c>
      <c r="C42" s="302"/>
      <c r="D42" s="302"/>
      <c r="E42" s="302" t="str">
        <f>IF(B42&lt;&gt;"",CONCATENATE(K9,"-0",A42,".",F11)," ")</f>
        <v xml:space="preserve"> </v>
      </c>
      <c r="F42" s="302"/>
      <c r="G42" s="302"/>
      <c r="H42" s="302"/>
      <c r="I42" s="302"/>
      <c r="J42" s="288"/>
      <c r="K42" s="289"/>
      <c r="L42" s="290"/>
      <c r="M42" s="288" t="str">
        <f>IF(B42&lt;&gt;"",CONCATENATE(K9,"-0",A42),"")</f>
        <v/>
      </c>
      <c r="N42" s="289"/>
      <c r="O42" s="289"/>
      <c r="P42" s="290"/>
      <c r="Q42" s="302" t="str">
        <f>IF(E42&lt;&gt;"",Inventory!$C$22,"")</f>
        <v/>
      </c>
      <c r="R42" s="302"/>
      <c r="S42" s="302"/>
      <c r="T42" s="302" t="str">
        <f>IF(AND(E42&lt;&gt;"",F31&lt;&gt;0,F30&lt;&gt;0,F29&lt;&gt;0),IF(F31&lt;&gt;"Yes",F30,CONCATENATE(F30,"-",F29)),"")</f>
        <v/>
      </c>
      <c r="U42" s="302"/>
      <c r="V42" s="302"/>
      <c r="W42" s="302"/>
      <c r="X42" s="302"/>
      <c r="Y42" s="302"/>
      <c r="Z42" s="302" t="str">
        <f t="shared" si="0"/>
        <v>0.0.0.0/0</v>
      </c>
      <c r="AA42" s="302"/>
      <c r="AB42" s="302"/>
      <c r="AC42" s="255" t="str">
        <f>IF($F$29&lt;&gt;0,IF(VLOOKUP($F$29,'Site Info'!$G$34:$V$69,8,FALSE)&lt;&gt;0,VLOOKUP($F$29,'Site Info'!$G$34:$V$69,11,FALSE),""),"")</f>
        <v/>
      </c>
    </row>
    <row r="43" spans="1:29" ht="14.25" customHeight="1" x14ac:dyDescent="0.25">
      <c r="AB43" s="36" t="s">
        <v>143</v>
      </c>
    </row>
    <row r="44" spans="1:29" ht="14.25" customHeight="1" x14ac:dyDescent="0.25">
      <c r="B44" s="4" t="s">
        <v>135</v>
      </c>
    </row>
    <row r="45" spans="1:29" ht="6" customHeight="1" x14ac:dyDescent="0.25">
      <c r="B45" s="4"/>
      <c r="G45" s="6"/>
    </row>
    <row r="46" spans="1:29" ht="14.25" customHeight="1" x14ac:dyDescent="0.25">
      <c r="B46" s="303" t="s">
        <v>136</v>
      </c>
      <c r="C46" s="303"/>
      <c r="D46" s="303"/>
      <c r="E46" s="303"/>
      <c r="F46" s="171"/>
      <c r="G46" s="303" t="s">
        <v>137</v>
      </c>
      <c r="H46" s="303"/>
      <c r="I46" s="303"/>
      <c r="J46" s="303"/>
      <c r="K46" s="288" t="str">
        <f>IF(E51&lt;&gt;"",IF(F46&lt;&gt;0,VLOOKUP(F46,'Site Info'!$G$34:$P$69,8,FALSE),"enter VLAN"),"")</f>
        <v>enter VLAN</v>
      </c>
      <c r="L46" s="289"/>
      <c r="M46" s="290"/>
      <c r="N46" s="303" t="s">
        <v>138</v>
      </c>
      <c r="O46" s="303"/>
      <c r="P46" s="303"/>
      <c r="Q46" s="303"/>
      <c r="R46" s="171">
        <v>10</v>
      </c>
    </row>
    <row r="47" spans="1:29" ht="14.25" customHeight="1" x14ac:dyDescent="0.25">
      <c r="B47" s="303" t="s">
        <v>139</v>
      </c>
      <c r="C47" s="303"/>
      <c r="D47" s="303"/>
      <c r="E47" s="303"/>
      <c r="F47" s="196"/>
      <c r="G47" s="303" t="s">
        <v>140</v>
      </c>
      <c r="H47" s="303"/>
      <c r="I47" s="303"/>
      <c r="J47" s="303"/>
      <c r="K47" s="288" t="str">
        <f>IF(E51&lt;&gt;"",IF(F46&lt;&gt;0,VLOOKUP(F46,'Site Info'!$G$34:$P$69,5,FALSE),"enter VLAN"),"")</f>
        <v>enter VLAN</v>
      </c>
      <c r="L47" s="289"/>
      <c r="M47" s="290"/>
    </row>
    <row r="48" spans="1:29" ht="14.25" customHeight="1" x14ac:dyDescent="0.25">
      <c r="B48" s="303" t="s">
        <v>91</v>
      </c>
      <c r="C48" s="303"/>
      <c r="D48" s="303"/>
      <c r="E48" s="303"/>
      <c r="F48" s="171"/>
      <c r="G48" s="303" t="s">
        <v>141</v>
      </c>
      <c r="H48" s="303"/>
      <c r="I48" s="303"/>
      <c r="J48" s="303"/>
      <c r="K48" s="288"/>
      <c r="L48" s="289"/>
      <c r="M48" s="289"/>
      <c r="N48" s="289"/>
      <c r="O48" s="290"/>
    </row>
    <row r="49" spans="1:28" ht="14.25" customHeight="1" x14ac:dyDescent="0.25">
      <c r="J49" s="299" t="str">
        <f>IF(F46&lt;&gt;0,IF(E51&lt;&gt;"",VLOOKUP(F46,'Site Info'!$G$34:$P$69,2,FALSE),""),"")</f>
        <v/>
      </c>
      <c r="K49" s="299"/>
      <c r="L49" s="299"/>
    </row>
    <row r="50" spans="1:28" ht="14.25" customHeight="1" thickBot="1" x14ac:dyDescent="0.3">
      <c r="B50" s="312" t="s">
        <v>92</v>
      </c>
      <c r="C50" s="321"/>
      <c r="D50" s="313"/>
      <c r="E50" s="312" t="s">
        <v>142</v>
      </c>
      <c r="F50" s="321"/>
      <c r="G50" s="321"/>
      <c r="H50" s="321"/>
      <c r="I50" s="313"/>
      <c r="J50" s="312" t="s">
        <v>71</v>
      </c>
      <c r="K50" s="321"/>
      <c r="L50" s="313"/>
      <c r="M50" s="312" t="s">
        <v>93</v>
      </c>
      <c r="N50" s="321"/>
      <c r="O50" s="321"/>
      <c r="P50" s="313"/>
      <c r="Q50" s="312" t="s">
        <v>95</v>
      </c>
      <c r="R50" s="321"/>
      <c r="S50" s="313"/>
      <c r="T50" s="312" t="s">
        <v>96</v>
      </c>
      <c r="U50" s="321"/>
      <c r="V50" s="313"/>
      <c r="W50" s="312" t="s">
        <v>1269</v>
      </c>
      <c r="X50" s="321"/>
      <c r="Y50" s="313"/>
      <c r="Z50" s="258" t="s">
        <v>473</v>
      </c>
    </row>
    <row r="51" spans="1:28" ht="14.25" customHeight="1" x14ac:dyDescent="0.25">
      <c r="A51" s="26">
        <v>1</v>
      </c>
      <c r="B51" s="302" t="str">
        <f>IF(Inventory!$C$15&lt;&gt;"",CONCATENATE("NFS - Node ",A51),"")</f>
        <v>NFS - Node 1</v>
      </c>
      <c r="C51" s="302"/>
      <c r="D51" s="302"/>
      <c r="E51" s="302" t="str">
        <f>IF(B51&lt;&gt;"",CONCATENATE(K9,"-0",A51,".",F11)," ")</f>
        <v>shpsan-infinitevol-01-01.speedcast.com</v>
      </c>
      <c r="F51" s="302"/>
      <c r="G51" s="302"/>
      <c r="H51" s="302"/>
      <c r="I51" s="302"/>
      <c r="J51" s="288"/>
      <c r="K51" s="289"/>
      <c r="L51" s="290"/>
      <c r="M51" s="288" t="str">
        <f>IF(B51&lt;&gt;"",CONCATENATE(K9,"-0",A51),"")</f>
        <v>shpsan-infinitevol-01-01</v>
      </c>
      <c r="N51" s="289"/>
      <c r="O51" s="289"/>
      <c r="P51" s="290"/>
      <c r="Q51" s="302" t="str">
        <f>IF(E51&lt;&gt;"",Inventory!$C$15,"")</f>
        <v>shpsan-01</v>
      </c>
      <c r="R51" s="302"/>
      <c r="S51" s="302"/>
      <c r="T51" s="302" t="str">
        <f>IF(AND(E51&lt;&gt;"",F48&lt;&gt;0,F47&lt;&gt;0,F46&lt;&gt;0),IF(F48&lt;&gt;"Yes",F47,CONCATENATE(F47,"-",F46)),"")</f>
        <v/>
      </c>
      <c r="U51" s="302"/>
      <c r="V51" s="302"/>
      <c r="W51" s="302"/>
      <c r="X51" s="302"/>
      <c r="Y51" s="302"/>
      <c r="Z51" s="255" t="str">
        <f>IF($F$46&lt;&gt;0,IF(VLOOKUP($F$46,'Site Info'!$G$34:$V$69,8,FALSE)&lt;&gt;0,VLOOKUP($F$46,'Site Info'!$G$34:$V$69,11,FALSE),""),"")</f>
        <v/>
      </c>
    </row>
    <row r="52" spans="1:28" ht="14.25" customHeight="1" x14ac:dyDescent="0.25">
      <c r="A52" s="26">
        <v>2</v>
      </c>
      <c r="B52" s="302" t="str">
        <f>IF(Inventory!$C$16&lt;&gt;"",CONCATENATE("NFS - Node ",A52),"")</f>
        <v>NFS - Node 2</v>
      </c>
      <c r="C52" s="302"/>
      <c r="D52" s="302"/>
      <c r="E52" s="302" t="str">
        <f>IF(B52&lt;&gt;"",CONCATENATE(K9,"-0",A52,".",F11)," ")</f>
        <v>shpsan-infinitevol-01-02.speedcast.com</v>
      </c>
      <c r="F52" s="302"/>
      <c r="G52" s="302"/>
      <c r="H52" s="302"/>
      <c r="I52" s="302"/>
      <c r="J52" s="288"/>
      <c r="K52" s="289"/>
      <c r="L52" s="290"/>
      <c r="M52" s="288" t="str">
        <f>IF(B52&lt;&gt;"",CONCATENATE(K9,"-0",A52),"")</f>
        <v>shpsan-infinitevol-01-02</v>
      </c>
      <c r="N52" s="289"/>
      <c r="O52" s="289"/>
      <c r="P52" s="290"/>
      <c r="Q52" s="302" t="str">
        <f>IF(E52&lt;&gt;"",Inventory!$C$16,"")</f>
        <v>shpsan-02</v>
      </c>
      <c r="R52" s="302"/>
      <c r="S52" s="302"/>
      <c r="T52" s="302" t="str">
        <f>IF(AND(E52&lt;&gt;"",F48&lt;&gt;0,F47&lt;&gt;0,F46&lt;&gt;0),IF(F48&lt;&gt;"Yes",F47,CONCATENATE(F47,"-",F46)),"")</f>
        <v/>
      </c>
      <c r="U52" s="302"/>
      <c r="V52" s="302"/>
      <c r="W52" s="302"/>
      <c r="X52" s="302"/>
      <c r="Y52" s="302"/>
      <c r="Z52" s="255" t="str">
        <f>IF($F$46&lt;&gt;0,IF(VLOOKUP($F$46,'Site Info'!$G$34:$V$69,8,FALSE)&lt;&gt;0,VLOOKUP($F$46,'Site Info'!$G$34:$V$69,11,FALSE),""),"")</f>
        <v/>
      </c>
    </row>
    <row r="53" spans="1:28" ht="14.25" customHeight="1" x14ac:dyDescent="0.25">
      <c r="A53" s="26">
        <v>3</v>
      </c>
      <c r="B53" s="302" t="str">
        <f>IF(Inventory!$C$17&lt;&gt;"",CONCATENATE("NFS - Node ",A53),"")</f>
        <v/>
      </c>
      <c r="C53" s="302"/>
      <c r="D53" s="302"/>
      <c r="E53" s="302" t="str">
        <f>IF(B53&lt;&gt;"",CONCATENATE(K9,"-0",A53,".",F11)," ")</f>
        <v xml:space="preserve"> </v>
      </c>
      <c r="F53" s="302"/>
      <c r="G53" s="302"/>
      <c r="H53" s="302"/>
      <c r="I53" s="302"/>
      <c r="J53" s="288"/>
      <c r="K53" s="289"/>
      <c r="L53" s="290"/>
      <c r="M53" s="288" t="str">
        <f>IF(B53&lt;&gt;"",CONCATENATE(K9,"-0",A53),"")</f>
        <v/>
      </c>
      <c r="N53" s="289"/>
      <c r="O53" s="289"/>
      <c r="P53" s="290"/>
      <c r="Q53" s="302" t="str">
        <f>IF(E53&lt;&gt;"",Inventory!$C$17,"")</f>
        <v/>
      </c>
      <c r="R53" s="302"/>
      <c r="S53" s="302"/>
      <c r="T53" s="302" t="str">
        <f>IF(AND(E53&lt;&gt;"",F48&lt;&gt;0,F47&lt;&gt;0,F46&lt;&gt;0),IF(F48&lt;&gt;"Yes",F47,CONCATENATE(F47,"-",F46)),"")</f>
        <v/>
      </c>
      <c r="U53" s="302"/>
      <c r="V53" s="302"/>
      <c r="W53" s="302"/>
      <c r="X53" s="302"/>
      <c r="Y53" s="302"/>
      <c r="Z53" s="255" t="str">
        <f>IF($F$46&lt;&gt;0,IF(VLOOKUP($F$46,'Site Info'!$G$34:$V$69,8,FALSE)&lt;&gt;0,VLOOKUP($F$46,'Site Info'!$G$34:$V$69,11,FALSE),""),"")</f>
        <v/>
      </c>
    </row>
    <row r="54" spans="1:28" ht="14.25" customHeight="1" x14ac:dyDescent="0.25">
      <c r="A54" s="26">
        <v>4</v>
      </c>
      <c r="B54" s="302" t="str">
        <f>IF(Inventory!$C$18&lt;&gt;"",CONCATENATE("NFS - Node ",A54),"")</f>
        <v/>
      </c>
      <c r="C54" s="302"/>
      <c r="D54" s="302"/>
      <c r="E54" s="302" t="str">
        <f>IF(B54&lt;&gt;"",CONCATENATE(K9,"-0",A54,".",F11)," ")</f>
        <v xml:space="preserve"> </v>
      </c>
      <c r="F54" s="302"/>
      <c r="G54" s="302"/>
      <c r="H54" s="302"/>
      <c r="I54" s="302"/>
      <c r="J54" s="288"/>
      <c r="K54" s="289"/>
      <c r="L54" s="290"/>
      <c r="M54" s="288" t="str">
        <f>IF(B54&lt;&gt;"",CONCATENATE(K9,"-0",A54),"")</f>
        <v/>
      </c>
      <c r="N54" s="289"/>
      <c r="O54" s="289"/>
      <c r="P54" s="290"/>
      <c r="Q54" s="302" t="str">
        <f>IF(E54&lt;&gt;"",Inventory!$C$18,"")</f>
        <v/>
      </c>
      <c r="R54" s="302"/>
      <c r="S54" s="302"/>
      <c r="T54" s="302" t="str">
        <f>IF(AND(E54&lt;&gt;"",F48&lt;&gt;0,F47&lt;&gt;0,F46&lt;&gt;0),IF(F48&lt;&gt;"Yes",F47,CONCATENATE(F47,"-",F46)),"")</f>
        <v/>
      </c>
      <c r="U54" s="302"/>
      <c r="V54" s="302"/>
      <c r="W54" s="302"/>
      <c r="X54" s="302"/>
      <c r="Y54" s="302"/>
      <c r="Z54" s="255" t="str">
        <f>IF($F$46&lt;&gt;0,IF(VLOOKUP($F$46,'Site Info'!$G$34:$V$69,8,FALSE)&lt;&gt;0,VLOOKUP($F$46,'Site Info'!$G$34:$V$69,11,FALSE),""),"")</f>
        <v/>
      </c>
    </row>
    <row r="55" spans="1:28" ht="14.25" customHeight="1" x14ac:dyDescent="0.25">
      <c r="A55" s="26">
        <v>5</v>
      </c>
      <c r="B55" s="302" t="str">
        <f>IF(Inventory!$C$19&lt;&gt;"",CONCATENATE("NFS - Node ",A55),"")</f>
        <v/>
      </c>
      <c r="C55" s="302"/>
      <c r="D55" s="302"/>
      <c r="E55" s="302" t="str">
        <f>IF(B55&lt;&gt;"",CONCATENATE(K9,"-0",A55,".",F11)," ")</f>
        <v xml:space="preserve"> </v>
      </c>
      <c r="F55" s="302"/>
      <c r="G55" s="302"/>
      <c r="H55" s="302"/>
      <c r="I55" s="302"/>
      <c r="J55" s="288"/>
      <c r="K55" s="289"/>
      <c r="L55" s="290"/>
      <c r="M55" s="288" t="str">
        <f>IF(B55&lt;&gt;"",CONCATENATE(K9,"-0",A55),"")</f>
        <v/>
      </c>
      <c r="N55" s="289"/>
      <c r="O55" s="289"/>
      <c r="P55" s="290"/>
      <c r="Q55" s="302" t="str">
        <f>IF(E55&lt;&gt;"",Inventory!$C$19,"")</f>
        <v/>
      </c>
      <c r="R55" s="302"/>
      <c r="S55" s="302"/>
      <c r="T55" s="302" t="str">
        <f>IF(AND(E55&lt;&gt;"",F48&lt;&gt;0,F47&lt;&gt;0,F46&lt;&gt;0),IF(F48&lt;&gt;"Yes",F47,CONCATENATE(F47,"-",F46)),"")</f>
        <v/>
      </c>
      <c r="U55" s="302"/>
      <c r="V55" s="302"/>
      <c r="W55" s="288"/>
      <c r="X55" s="289"/>
      <c r="Y55" s="290"/>
      <c r="Z55" s="255" t="str">
        <f>IF($F$46&lt;&gt;0,IF(VLOOKUP($F$46,'Site Info'!$G$34:$V$69,8,FALSE)&lt;&gt;0,VLOOKUP($F$46,'Site Info'!$G$34:$V$69,11,FALSE),""),"")</f>
        <v/>
      </c>
    </row>
    <row r="56" spans="1:28" ht="14.25" customHeight="1" x14ac:dyDescent="0.25">
      <c r="A56" s="26">
        <v>6</v>
      </c>
      <c r="B56" s="302" t="str">
        <f>IF(Inventory!$C$20&lt;&gt;"",CONCATENATE("NFS - Node ",A56),"")</f>
        <v/>
      </c>
      <c r="C56" s="302"/>
      <c r="D56" s="302"/>
      <c r="E56" s="302" t="str">
        <f>IF(B56&lt;&gt;"",CONCATENATE(K9,"-0",A56,".",F11)," ")</f>
        <v xml:space="preserve"> </v>
      </c>
      <c r="F56" s="302"/>
      <c r="G56" s="302"/>
      <c r="H56" s="302"/>
      <c r="I56" s="302"/>
      <c r="J56" s="288"/>
      <c r="K56" s="289"/>
      <c r="L56" s="290"/>
      <c r="M56" s="288" t="str">
        <f>IF(B56&lt;&gt;"",CONCATENATE(K9,"-0",A56),"")</f>
        <v/>
      </c>
      <c r="N56" s="289"/>
      <c r="O56" s="289"/>
      <c r="P56" s="290"/>
      <c r="Q56" s="302" t="str">
        <f>IF(E56&lt;&gt;"",Inventory!$C$20,"")</f>
        <v/>
      </c>
      <c r="R56" s="302"/>
      <c r="S56" s="302"/>
      <c r="T56" s="302" t="str">
        <f>IF(AND(E56&lt;&gt;"",F48&lt;&gt;0,F47&lt;&gt;0,F46&lt;&gt;0),IF(F48&lt;&gt;"Yes",F47,CONCATENATE(F47,"-",F46)),"")</f>
        <v/>
      </c>
      <c r="U56" s="302"/>
      <c r="V56" s="302"/>
      <c r="W56" s="288"/>
      <c r="X56" s="289"/>
      <c r="Y56" s="290"/>
      <c r="Z56" s="255" t="str">
        <f>IF($F$46&lt;&gt;0,IF(VLOOKUP($F$46,'Site Info'!$G$34:$V$69,8,FALSE)&lt;&gt;0,VLOOKUP($F$46,'Site Info'!$G$34:$V$69,11,FALSE),""),"")</f>
        <v/>
      </c>
    </row>
    <row r="57" spans="1:28" ht="14.25" customHeight="1" x14ac:dyDescent="0.25">
      <c r="A57" s="26">
        <v>7</v>
      </c>
      <c r="B57" s="302" t="str">
        <f>IF(Inventory!$C$21&lt;&gt;"",CONCATENATE("NFS - Node ",A57),"")</f>
        <v/>
      </c>
      <c r="C57" s="302"/>
      <c r="D57" s="302"/>
      <c r="E57" s="302" t="str">
        <f>IF(B57&lt;&gt;"",CONCATENATE(K9,"-0",A57,".",F11)," ")</f>
        <v xml:space="preserve"> </v>
      </c>
      <c r="F57" s="302"/>
      <c r="G57" s="302"/>
      <c r="H57" s="302"/>
      <c r="I57" s="302"/>
      <c r="J57" s="288"/>
      <c r="K57" s="289"/>
      <c r="L57" s="290"/>
      <c r="M57" s="288" t="str">
        <f>IF(B57&lt;&gt;"",CONCATENATE(K9,"-0",A57),"")</f>
        <v/>
      </c>
      <c r="N57" s="289"/>
      <c r="O57" s="289"/>
      <c r="P57" s="290"/>
      <c r="Q57" s="302" t="str">
        <f>IF(E57&lt;&gt;"",Inventory!$C$21,"")</f>
        <v/>
      </c>
      <c r="R57" s="302"/>
      <c r="S57" s="302"/>
      <c r="T57" s="302" t="str">
        <f>IF(AND(E57&lt;&gt;"",F48&lt;&gt;0,F47&lt;&gt;0,F46&lt;&gt;0),IF(F48&lt;&gt;"Yes",F47,CONCATENATE(F47,"-",F46)),"")</f>
        <v/>
      </c>
      <c r="U57" s="302"/>
      <c r="V57" s="302"/>
      <c r="W57" s="302"/>
      <c r="X57" s="302"/>
      <c r="Y57" s="302"/>
      <c r="Z57" s="255" t="str">
        <f>IF($F$46&lt;&gt;0,IF(VLOOKUP($F$46,'Site Info'!$G$34:$V$69,8,FALSE)&lt;&gt;0,VLOOKUP($F$46,'Site Info'!$G$34:$V$69,11,FALSE),""),"")</f>
        <v/>
      </c>
    </row>
    <row r="58" spans="1:28" ht="14.25" customHeight="1" x14ac:dyDescent="0.25">
      <c r="A58" s="26">
        <v>8</v>
      </c>
      <c r="B58" s="302" t="str">
        <f>IF(Inventory!$C$22&lt;&gt;"",CONCATENATE("NFS - Node ",A58),"")</f>
        <v/>
      </c>
      <c r="C58" s="302"/>
      <c r="D58" s="302"/>
      <c r="E58" s="302" t="str">
        <f>IF(B58&lt;&gt;"",CONCATENATE(K9,"-0",A58,".",F11)," ")</f>
        <v xml:space="preserve"> </v>
      </c>
      <c r="F58" s="302"/>
      <c r="G58" s="302"/>
      <c r="H58" s="302"/>
      <c r="I58" s="302"/>
      <c r="J58" s="288"/>
      <c r="K58" s="289"/>
      <c r="L58" s="290"/>
      <c r="M58" s="288" t="str">
        <f>IF(B58&lt;&gt;"",CONCATENATE(K9,"-0",A58),"")</f>
        <v/>
      </c>
      <c r="N58" s="289"/>
      <c r="O58" s="289"/>
      <c r="P58" s="290"/>
      <c r="Q58" s="302" t="str">
        <f>IF(E58&lt;&gt;"",Inventory!$C$22,"")</f>
        <v/>
      </c>
      <c r="R58" s="302"/>
      <c r="S58" s="302"/>
      <c r="T58" s="302" t="str">
        <f>IF(AND(E58&lt;&gt;"",F48&lt;&gt;0,F47&lt;&gt;0,F46&lt;&gt;0),IF(F48&lt;&gt;"Yes",F47,CONCATENATE(F47,"-",F46)),"")</f>
        <v/>
      </c>
      <c r="U58" s="302"/>
      <c r="V58" s="302"/>
      <c r="W58" s="302"/>
      <c r="X58" s="302"/>
      <c r="Y58" s="302"/>
      <c r="Z58" s="255" t="str">
        <f>IF($F$46&lt;&gt;0,IF(VLOOKUP($F$46,'Site Info'!$G$34:$V$69,8,FALSE)&lt;&gt;0,VLOOKUP($F$46,'Site Info'!$G$34:$V$69,11,FALSE),""),"")</f>
        <v/>
      </c>
    </row>
    <row r="59" spans="1:28" ht="14.25" customHeight="1" x14ac:dyDescent="0.25">
      <c r="AB59" s="36" t="s">
        <v>143</v>
      </c>
    </row>
    <row r="60" spans="1:28" ht="14.25" hidden="1" customHeight="1" x14ac:dyDescent="0.25">
      <c r="B60" s="4" t="s">
        <v>144</v>
      </c>
    </row>
    <row r="61" spans="1:28" ht="6" hidden="1" customHeight="1" x14ac:dyDescent="0.25">
      <c r="B61" s="4"/>
      <c r="G61" s="6"/>
    </row>
    <row r="62" spans="1:28" ht="14.25" hidden="1" customHeight="1" x14ac:dyDescent="0.25">
      <c r="B62" s="303" t="s">
        <v>147</v>
      </c>
      <c r="C62" s="303"/>
      <c r="D62" s="303"/>
      <c r="E62" s="303"/>
      <c r="F62" s="181"/>
      <c r="G62" s="303" t="s">
        <v>148</v>
      </c>
      <c r="H62" s="303"/>
      <c r="I62" s="303"/>
      <c r="J62" s="303"/>
      <c r="K62" s="288" t="str">
        <f>IF(E67&lt;&gt;"",IF(F62&lt;&gt;0,VLOOKUP(F62,'Site Info'!$G$34:$P$69,8,FALSE),"enter VLAN"),"")</f>
        <v>enter VLAN</v>
      </c>
      <c r="L62" s="289"/>
      <c r="M62" s="290"/>
      <c r="N62" s="303" t="s">
        <v>149</v>
      </c>
      <c r="O62" s="303"/>
      <c r="P62" s="303"/>
      <c r="Q62" s="303"/>
      <c r="R62" s="181">
        <v>10</v>
      </c>
    </row>
    <row r="63" spans="1:28" ht="14.25" hidden="1" customHeight="1" x14ac:dyDescent="0.25">
      <c r="B63" s="303" t="s">
        <v>150</v>
      </c>
      <c r="C63" s="303"/>
      <c r="D63" s="303"/>
      <c r="E63" s="303"/>
      <c r="F63" s="181"/>
      <c r="G63" s="303" t="s">
        <v>151</v>
      </c>
      <c r="H63" s="303"/>
      <c r="I63" s="303"/>
      <c r="J63" s="303"/>
      <c r="K63" s="288" t="str">
        <f>IF(E67&lt;&gt;"",IF(F62&lt;&gt;0,VLOOKUP(F62,'Site Info'!$G$34:$P$69,5,FALSE),"enter VLAN"),"")</f>
        <v>enter VLAN</v>
      </c>
      <c r="L63" s="289"/>
      <c r="M63" s="290"/>
    </row>
    <row r="64" spans="1:28" ht="14.25" hidden="1" customHeight="1" x14ac:dyDescent="0.25">
      <c r="B64" s="303" t="s">
        <v>91</v>
      </c>
      <c r="C64" s="303"/>
      <c r="D64" s="303"/>
      <c r="E64" s="303"/>
      <c r="F64" s="181"/>
    </row>
    <row r="65" spans="1:28" ht="14.25" hidden="1" customHeight="1" x14ac:dyDescent="0.25">
      <c r="J65" s="299" t="str">
        <f>IF(F62&lt;&gt;0,IF(E67&lt;&gt;"",VLOOKUP(F62,'Site Info'!$G$34:$P$69,2,FALSE),""),"")</f>
        <v/>
      </c>
      <c r="K65" s="299"/>
      <c r="L65" s="299"/>
    </row>
    <row r="66" spans="1:28" ht="14.25" hidden="1" customHeight="1" thickBot="1" x14ac:dyDescent="0.3">
      <c r="B66" s="312" t="s">
        <v>92</v>
      </c>
      <c r="C66" s="321"/>
      <c r="D66" s="313"/>
      <c r="E66" s="312" t="s">
        <v>146</v>
      </c>
      <c r="F66" s="321"/>
      <c r="G66" s="321"/>
      <c r="H66" s="321"/>
      <c r="I66" s="313"/>
      <c r="J66" s="312" t="s">
        <v>71</v>
      </c>
      <c r="K66" s="321"/>
      <c r="L66" s="313"/>
      <c r="M66" s="312" t="s">
        <v>93</v>
      </c>
      <c r="N66" s="321"/>
      <c r="O66" s="321"/>
      <c r="P66" s="313"/>
      <c r="Q66" s="312" t="s">
        <v>95</v>
      </c>
      <c r="R66" s="321"/>
      <c r="S66" s="313"/>
      <c r="T66" s="312" t="s">
        <v>96</v>
      </c>
      <c r="U66" s="321"/>
      <c r="V66" s="313"/>
      <c r="W66" s="312" t="s">
        <v>103</v>
      </c>
      <c r="X66" s="321"/>
      <c r="Y66" s="313"/>
      <c r="Z66" s="312" t="s">
        <v>104</v>
      </c>
      <c r="AA66" s="321"/>
      <c r="AB66" s="313"/>
    </row>
    <row r="67" spans="1:28" ht="14.25" hidden="1" customHeight="1" x14ac:dyDescent="0.25">
      <c r="A67" s="26">
        <v>1</v>
      </c>
      <c r="B67" s="302" t="str">
        <f>IF(Inventory!$C$15&lt;&gt;"",CONCATENATE("iSCSI - Node ",A67),"")</f>
        <v>iSCSI - Node 1</v>
      </c>
      <c r="C67" s="302"/>
      <c r="D67" s="302"/>
      <c r="E67" s="302" t="str">
        <f>IF(B67&lt;&gt;"",CONCATENATE($K$9,"-i0",A67,"-01.",$F$11)," ")</f>
        <v>shpsan-infinitevol-01-i01-01.speedcast.com</v>
      </c>
      <c r="F67" s="302"/>
      <c r="G67" s="302"/>
      <c r="H67" s="302"/>
      <c r="I67" s="302"/>
      <c r="J67" s="288"/>
      <c r="K67" s="289"/>
      <c r="L67" s="290"/>
      <c r="M67" s="288" t="str">
        <f>IF(B67&lt;&gt;"",CONCATENATE($K$9,"-i0",A67,"-01")," ")</f>
        <v>shpsan-infinitevol-01-i01-01</v>
      </c>
      <c r="N67" s="289"/>
      <c r="O67" s="289"/>
      <c r="P67" s="290"/>
      <c r="Q67" s="302" t="str">
        <f>IF(B67&lt;&gt;"",Inventory!$C$15,"")</f>
        <v>shpsan-01</v>
      </c>
      <c r="R67" s="302"/>
      <c r="S67" s="302"/>
      <c r="T67" s="302" t="str">
        <f>IF(AND(E67&lt;&gt;"",F64&lt;&gt;0,F63&lt;&gt;0,F62&lt;&gt;0),IF(F64&lt;&gt;"Yes",F63,CONCATENATE(F63,"-",F62)),"")</f>
        <v/>
      </c>
      <c r="U67" s="302"/>
      <c r="V67" s="302"/>
      <c r="W67" s="302" t="str">
        <f>IF(E67&lt;&gt;"",CONCATENATE("d",J65),"")</f>
        <v>d</v>
      </c>
      <c r="X67" s="302"/>
      <c r="Y67" s="302"/>
      <c r="Z67" s="302" t="str">
        <f>IF(E67&lt;&gt;"","0.0.0.0/0","")</f>
        <v>0.0.0.0/0</v>
      </c>
      <c r="AA67" s="302"/>
      <c r="AB67" s="302"/>
    </row>
    <row r="68" spans="1:28" ht="14.25" hidden="1" customHeight="1" x14ac:dyDescent="0.25">
      <c r="A68" s="26">
        <v>2</v>
      </c>
      <c r="B68" s="302" t="str">
        <f>IF(Inventory!$C$16&lt;&gt;"",CONCATENATE("iSCSI - Node ",A68),"")</f>
        <v>iSCSI - Node 2</v>
      </c>
      <c r="C68" s="302"/>
      <c r="D68" s="302"/>
      <c r="E68" s="302" t="str">
        <f>IF(B68&lt;&gt;"",CONCATENATE($K$9,"-i0",A68,"-01.",$F$11)," ")</f>
        <v>shpsan-infinitevol-01-i02-01.speedcast.com</v>
      </c>
      <c r="F68" s="302"/>
      <c r="G68" s="302"/>
      <c r="H68" s="302"/>
      <c r="I68" s="302"/>
      <c r="J68" s="288"/>
      <c r="K68" s="289"/>
      <c r="L68" s="290"/>
      <c r="M68" s="288" t="str">
        <f>IF(B68&lt;&gt;"",CONCATENATE($K$9,"-i0",A68,"-01")," ")</f>
        <v>shpsan-infinitevol-01-i02-01</v>
      </c>
      <c r="N68" s="289"/>
      <c r="O68" s="289"/>
      <c r="P68" s="290"/>
      <c r="Q68" s="302" t="str">
        <f>IF(B68&lt;&gt;"",Inventory!$C$16,"")</f>
        <v>shpsan-02</v>
      </c>
      <c r="R68" s="302"/>
      <c r="S68" s="302"/>
      <c r="T68" s="302" t="str">
        <f>IF(AND(E68&lt;&gt;"",F64&lt;&gt;0,F63&lt;&gt;0,F62&lt;&gt;0),IF(F64&lt;&gt;"Yes",F63,CONCATENATE(F63,"-",F62)),"")</f>
        <v/>
      </c>
      <c r="U68" s="302"/>
      <c r="V68" s="302"/>
      <c r="W68" s="302" t="str">
        <f>IF(E68&lt;&gt;"",CONCATENATE("d",J65),"")</f>
        <v>d</v>
      </c>
      <c r="X68" s="302"/>
      <c r="Y68" s="302"/>
      <c r="Z68" s="302" t="str">
        <f t="shared" ref="Z68:Z74" si="1">IF(E68&lt;&gt;"","0.0.0.0/0","")</f>
        <v>0.0.0.0/0</v>
      </c>
      <c r="AA68" s="302"/>
      <c r="AB68" s="302"/>
    </row>
    <row r="69" spans="1:28" ht="14.25" hidden="1" customHeight="1" x14ac:dyDescent="0.25">
      <c r="A69" s="26">
        <v>3</v>
      </c>
      <c r="B69" s="302" t="str">
        <f>IF(Inventory!$C$17&lt;&gt;"",CONCATENATE("iSCSI - Node ",A69),"")</f>
        <v/>
      </c>
      <c r="C69" s="302"/>
      <c r="D69" s="302"/>
      <c r="E69" s="302" t="str">
        <f>IF(B69&lt;&gt;"",CONCATENATE($K$9,"-i0",A69,"-01.",$F$11)," ")</f>
        <v xml:space="preserve"> </v>
      </c>
      <c r="F69" s="302"/>
      <c r="G69" s="302"/>
      <c r="H69" s="302"/>
      <c r="I69" s="302"/>
      <c r="J69" s="288"/>
      <c r="K69" s="289"/>
      <c r="L69" s="290"/>
      <c r="M69" s="288" t="str">
        <f t="shared" ref="M69:M74" si="2">IF(B69&lt;&gt;"",CONCATENATE($K$9,"-i0",A69,"-01")," ")</f>
        <v xml:space="preserve"> </v>
      </c>
      <c r="N69" s="289"/>
      <c r="O69" s="289"/>
      <c r="P69" s="290"/>
      <c r="Q69" s="302" t="str">
        <f>IF(B69&lt;&gt;"",Inventory!$C$16,"")</f>
        <v/>
      </c>
      <c r="R69" s="302"/>
      <c r="S69" s="302"/>
      <c r="T69" s="302" t="str">
        <f>IF(AND(E69&lt;&gt;"",F64&lt;&gt;0,F63&lt;&gt;0,F62&lt;&gt;0),IF(F64&lt;&gt;"Yes",F63,CONCATENATE(F63,"-",F62)),"")</f>
        <v/>
      </c>
      <c r="U69" s="302"/>
      <c r="V69" s="302"/>
      <c r="W69" s="302" t="str">
        <f>IF(E69&lt;&gt;"",CONCATENATE("d",J65),"")</f>
        <v>d</v>
      </c>
      <c r="X69" s="302"/>
      <c r="Y69" s="302"/>
      <c r="Z69" s="302" t="str">
        <f t="shared" si="1"/>
        <v>0.0.0.0/0</v>
      </c>
      <c r="AA69" s="302"/>
      <c r="AB69" s="302"/>
    </row>
    <row r="70" spans="1:28" ht="14.25" hidden="1" customHeight="1" x14ac:dyDescent="0.25">
      <c r="A70" s="26">
        <v>4</v>
      </c>
      <c r="B70" s="302" t="str">
        <f>IF(Inventory!$C$18&lt;&gt;"",CONCATENATE("iSCSI - Node ",A70),"")</f>
        <v/>
      </c>
      <c r="C70" s="302"/>
      <c r="D70" s="302"/>
      <c r="E70" s="302" t="str">
        <f t="shared" ref="E70:E74" si="3">IF(B70&lt;&gt;"",CONCATENATE($K$9,"-i0",A70,"-01.",$F$11)," ")</f>
        <v xml:space="preserve"> </v>
      </c>
      <c r="F70" s="302"/>
      <c r="G70" s="302"/>
      <c r="H70" s="302"/>
      <c r="I70" s="302"/>
      <c r="J70" s="288"/>
      <c r="K70" s="289"/>
      <c r="L70" s="290"/>
      <c r="M70" s="288" t="str">
        <f t="shared" si="2"/>
        <v xml:space="preserve"> </v>
      </c>
      <c r="N70" s="289"/>
      <c r="O70" s="289"/>
      <c r="P70" s="290"/>
      <c r="Q70" s="302" t="str">
        <f>IF(B70&lt;&gt;"",Inventory!$C$16,"")</f>
        <v/>
      </c>
      <c r="R70" s="302"/>
      <c r="S70" s="302"/>
      <c r="T70" s="302" t="str">
        <f>IF(AND(E70&lt;&gt;"",F64&lt;&gt;0,F63&lt;&gt;0,F62&lt;&gt;0),IF(F64&lt;&gt;"Yes",F63,CONCATENATE(F63,"-",F62)),"")</f>
        <v/>
      </c>
      <c r="U70" s="302"/>
      <c r="V70" s="302"/>
      <c r="W70" s="302" t="str">
        <f>IF(E70&lt;&gt;"",CONCATENATE("d",J65),"")</f>
        <v>d</v>
      </c>
      <c r="X70" s="302"/>
      <c r="Y70" s="302"/>
      <c r="Z70" s="302" t="str">
        <f t="shared" si="1"/>
        <v>0.0.0.0/0</v>
      </c>
      <c r="AA70" s="302"/>
      <c r="AB70" s="302"/>
    </row>
    <row r="71" spans="1:28" ht="14.25" hidden="1" customHeight="1" x14ac:dyDescent="0.25">
      <c r="A71" s="26">
        <v>5</v>
      </c>
      <c r="B71" s="302" t="str">
        <f>IF(Inventory!$C$19&lt;&gt;"",CONCATENATE("iSCSI - Node ",A71),"")</f>
        <v/>
      </c>
      <c r="C71" s="302"/>
      <c r="D71" s="302"/>
      <c r="E71" s="302" t="str">
        <f t="shared" si="3"/>
        <v xml:space="preserve"> </v>
      </c>
      <c r="F71" s="302"/>
      <c r="G71" s="302"/>
      <c r="H71" s="302"/>
      <c r="I71" s="302"/>
      <c r="J71" s="288"/>
      <c r="K71" s="289"/>
      <c r="L71" s="290"/>
      <c r="M71" s="288" t="str">
        <f t="shared" si="2"/>
        <v xml:space="preserve"> </v>
      </c>
      <c r="N71" s="289"/>
      <c r="O71" s="289"/>
      <c r="P71" s="290"/>
      <c r="Q71" s="302" t="str">
        <f>IF(B71&lt;&gt;"",Inventory!$C$16,"")</f>
        <v/>
      </c>
      <c r="R71" s="302"/>
      <c r="S71" s="302"/>
      <c r="T71" s="302" t="str">
        <f>IF(AND(E71&lt;&gt;"",F64&lt;&gt;0,F63&lt;&gt;0,F62&lt;&gt;0),IF(F64&lt;&gt;"Yes",F63,CONCATENATE(F63,"-",F62)),"")</f>
        <v/>
      </c>
      <c r="U71" s="302"/>
      <c r="V71" s="302"/>
      <c r="W71" s="302" t="str">
        <f>IF(E71&lt;&gt;"",CONCATENATE("d",J65),"")</f>
        <v>d</v>
      </c>
      <c r="X71" s="302"/>
      <c r="Y71" s="302"/>
      <c r="Z71" s="302" t="str">
        <f t="shared" si="1"/>
        <v>0.0.0.0/0</v>
      </c>
      <c r="AA71" s="302"/>
      <c r="AB71" s="302"/>
    </row>
    <row r="72" spans="1:28" ht="14.25" hidden="1" customHeight="1" x14ac:dyDescent="0.25">
      <c r="A72" s="26">
        <v>6</v>
      </c>
      <c r="B72" s="302" t="str">
        <f>IF(Inventory!$C$20&lt;&gt;"",CONCATENATE("iSCSI - Node ",A72),"")</f>
        <v/>
      </c>
      <c r="C72" s="302"/>
      <c r="D72" s="302"/>
      <c r="E72" s="302" t="str">
        <f t="shared" si="3"/>
        <v xml:space="preserve"> </v>
      </c>
      <c r="F72" s="302"/>
      <c r="G72" s="302"/>
      <c r="H72" s="302"/>
      <c r="I72" s="302"/>
      <c r="J72" s="288"/>
      <c r="K72" s="289"/>
      <c r="L72" s="290"/>
      <c r="M72" s="288" t="str">
        <f t="shared" si="2"/>
        <v xml:space="preserve"> </v>
      </c>
      <c r="N72" s="289"/>
      <c r="O72" s="289"/>
      <c r="P72" s="290"/>
      <c r="Q72" s="302" t="str">
        <f>IF(B72&lt;&gt;"",Inventory!$C$16,"")</f>
        <v/>
      </c>
      <c r="R72" s="302"/>
      <c r="S72" s="302"/>
      <c r="T72" s="302" t="str">
        <f>IF(AND(E72&lt;&gt;"",F64&lt;&gt;0,F63&lt;&gt;0,F62&lt;&gt;0),IF(F64&lt;&gt;"Yes",F63,CONCATENATE(F63,"-",F62)),"")</f>
        <v/>
      </c>
      <c r="U72" s="302"/>
      <c r="V72" s="302"/>
      <c r="W72" s="302" t="str">
        <f>IF(E72&lt;&gt;"",CONCATENATE("d",J65),"")</f>
        <v>d</v>
      </c>
      <c r="X72" s="302"/>
      <c r="Y72" s="302"/>
      <c r="Z72" s="302" t="str">
        <f t="shared" si="1"/>
        <v>0.0.0.0/0</v>
      </c>
      <c r="AA72" s="302"/>
      <c r="AB72" s="302"/>
    </row>
    <row r="73" spans="1:28" ht="14.25" hidden="1" customHeight="1" x14ac:dyDescent="0.25">
      <c r="A73" s="26">
        <v>7</v>
      </c>
      <c r="B73" s="302" t="str">
        <f>IF(Inventory!$C$21&lt;&gt;"",CONCATENATE("iSCSI - Node ",A73),"")</f>
        <v/>
      </c>
      <c r="C73" s="302"/>
      <c r="D73" s="302"/>
      <c r="E73" s="302" t="str">
        <f t="shared" si="3"/>
        <v xml:space="preserve"> </v>
      </c>
      <c r="F73" s="302"/>
      <c r="G73" s="302"/>
      <c r="H73" s="302"/>
      <c r="I73" s="302"/>
      <c r="J73" s="288"/>
      <c r="K73" s="289"/>
      <c r="L73" s="290"/>
      <c r="M73" s="288" t="str">
        <f t="shared" si="2"/>
        <v xml:space="preserve"> </v>
      </c>
      <c r="N73" s="289"/>
      <c r="O73" s="289"/>
      <c r="P73" s="290"/>
      <c r="Q73" s="302" t="str">
        <f>IF(B73&lt;&gt;"",Inventory!$C$16,"")</f>
        <v/>
      </c>
      <c r="R73" s="302"/>
      <c r="S73" s="302"/>
      <c r="T73" s="302" t="str">
        <f>IF(AND(E73&lt;&gt;"",F64&lt;&gt;0,F63&lt;&gt;0,F62&lt;&gt;0),IF(F64&lt;&gt;"Yes",F63,CONCATENATE(F63,"-",F62)),"")</f>
        <v/>
      </c>
      <c r="U73" s="302"/>
      <c r="V73" s="302"/>
      <c r="W73" s="302" t="str">
        <f>IF(E73&lt;&gt;"",CONCATENATE("d",J65),"")</f>
        <v>d</v>
      </c>
      <c r="X73" s="302"/>
      <c r="Y73" s="302"/>
      <c r="Z73" s="302" t="str">
        <f t="shared" si="1"/>
        <v>0.0.0.0/0</v>
      </c>
      <c r="AA73" s="302"/>
      <c r="AB73" s="302"/>
    </row>
    <row r="74" spans="1:28" ht="14.25" hidden="1" customHeight="1" x14ac:dyDescent="0.25">
      <c r="A74" s="26">
        <v>8</v>
      </c>
      <c r="B74" s="302" t="str">
        <f>IF(Inventory!$C$22&lt;&gt;"",CONCATENATE("iSCSI - Node ",A74),"")</f>
        <v/>
      </c>
      <c r="C74" s="302"/>
      <c r="D74" s="302"/>
      <c r="E74" s="302" t="str">
        <f t="shared" si="3"/>
        <v xml:space="preserve"> </v>
      </c>
      <c r="F74" s="302"/>
      <c r="G74" s="302"/>
      <c r="H74" s="302"/>
      <c r="I74" s="302"/>
      <c r="J74" s="288"/>
      <c r="K74" s="289"/>
      <c r="L74" s="290"/>
      <c r="M74" s="288" t="str">
        <f t="shared" si="2"/>
        <v xml:space="preserve"> </v>
      </c>
      <c r="N74" s="289"/>
      <c r="O74" s="289"/>
      <c r="P74" s="290"/>
      <c r="Q74" s="302" t="str">
        <f>IF(B74&lt;&gt;"",Inventory!$C$16,"")</f>
        <v/>
      </c>
      <c r="R74" s="302"/>
      <c r="S74" s="302"/>
      <c r="T74" s="302" t="str">
        <f>IF(AND(E74&lt;&gt;"",F64&lt;&gt;0,F63&lt;&gt;0,F62&lt;&gt;0),IF(F64&lt;&gt;"Yes",F63,CONCATENATE(F63,"-",F62)),"")</f>
        <v/>
      </c>
      <c r="U74" s="302"/>
      <c r="V74" s="302"/>
      <c r="W74" s="302" t="str">
        <f>IF(E74&lt;&gt;"",CONCATENATE("d",J65),"")</f>
        <v>d</v>
      </c>
      <c r="X74" s="302"/>
      <c r="Y74" s="302"/>
      <c r="Z74" s="302" t="str">
        <f t="shared" si="1"/>
        <v>0.0.0.0/0</v>
      </c>
      <c r="AA74" s="302"/>
      <c r="AB74" s="302"/>
    </row>
    <row r="75" spans="1:28" ht="14.25" hidden="1" customHeight="1" x14ac:dyDescent="0.25">
      <c r="AB75" s="36" t="s">
        <v>143</v>
      </c>
    </row>
    <row r="76" spans="1:28" ht="14.25" hidden="1" customHeight="1" x14ac:dyDescent="0.25">
      <c r="B76" s="4" t="s">
        <v>145</v>
      </c>
    </row>
    <row r="77" spans="1:28" ht="6" hidden="1" customHeight="1" x14ac:dyDescent="0.25">
      <c r="B77" s="4"/>
      <c r="G77" s="6"/>
    </row>
    <row r="78" spans="1:28" ht="14.25" hidden="1" customHeight="1" x14ac:dyDescent="0.25">
      <c r="B78" s="303" t="s">
        <v>147</v>
      </c>
      <c r="C78" s="303"/>
      <c r="D78" s="303"/>
      <c r="E78" s="303"/>
      <c r="F78" s="181"/>
      <c r="G78" s="303" t="s">
        <v>148</v>
      </c>
      <c r="H78" s="303"/>
      <c r="I78" s="303"/>
      <c r="J78" s="303"/>
      <c r="K78" s="288" t="str">
        <f>IF(E83&lt;&gt;"",IF(F78&lt;&gt;0,VLOOKUP(F78,'Site Info'!$G$34:$P$69,8,FALSE),"enter VLAN"),"")</f>
        <v>enter VLAN</v>
      </c>
      <c r="L78" s="289"/>
      <c r="M78" s="290"/>
      <c r="N78" s="303" t="s">
        <v>149</v>
      </c>
      <c r="O78" s="303"/>
      <c r="P78" s="303"/>
      <c r="Q78" s="303"/>
      <c r="R78" s="181">
        <v>10</v>
      </c>
    </row>
    <row r="79" spans="1:28" ht="14.25" hidden="1" customHeight="1" x14ac:dyDescent="0.25">
      <c r="B79" s="303" t="s">
        <v>150</v>
      </c>
      <c r="C79" s="303"/>
      <c r="D79" s="303"/>
      <c r="E79" s="303"/>
      <c r="F79" s="181"/>
      <c r="G79" s="303" t="s">
        <v>151</v>
      </c>
      <c r="H79" s="303"/>
      <c r="I79" s="303"/>
      <c r="J79" s="303"/>
      <c r="K79" s="288" t="str">
        <f>IF(E83&lt;&gt;"",IF(F78&lt;&gt;0,VLOOKUP(F78,'Site Info'!$G$34:$P$69,5,FALSE),"enter VLAN"),"")</f>
        <v>enter VLAN</v>
      </c>
      <c r="L79" s="289"/>
      <c r="M79" s="290"/>
    </row>
    <row r="80" spans="1:28" ht="14.25" hidden="1" customHeight="1" x14ac:dyDescent="0.25">
      <c r="B80" s="303" t="s">
        <v>91</v>
      </c>
      <c r="C80" s="303"/>
      <c r="D80" s="303"/>
      <c r="E80" s="303"/>
      <c r="F80" s="181"/>
    </row>
    <row r="81" spans="1:32" ht="14.25" hidden="1" customHeight="1" x14ac:dyDescent="0.25">
      <c r="J81" s="299" t="str">
        <f>IF(F78&lt;&gt;0,IF(E83&lt;&gt;"",VLOOKUP(F78,'Site Info'!$G$34:$P$69,2,FALSE),""),"")</f>
        <v/>
      </c>
      <c r="K81" s="299"/>
      <c r="L81" s="299"/>
    </row>
    <row r="82" spans="1:32" ht="14.25" hidden="1" customHeight="1" thickBot="1" x14ac:dyDescent="0.3">
      <c r="B82" s="312" t="s">
        <v>92</v>
      </c>
      <c r="C82" s="321"/>
      <c r="D82" s="313"/>
      <c r="E82" s="312" t="s">
        <v>146</v>
      </c>
      <c r="F82" s="321"/>
      <c r="G82" s="321"/>
      <c r="H82" s="321"/>
      <c r="I82" s="313"/>
      <c r="J82" s="312" t="s">
        <v>71</v>
      </c>
      <c r="K82" s="321"/>
      <c r="L82" s="313"/>
      <c r="M82" s="312" t="s">
        <v>93</v>
      </c>
      <c r="N82" s="321"/>
      <c r="O82" s="321"/>
      <c r="P82" s="313"/>
      <c r="Q82" s="312" t="s">
        <v>95</v>
      </c>
      <c r="R82" s="321"/>
      <c r="S82" s="313"/>
      <c r="T82" s="312" t="s">
        <v>96</v>
      </c>
      <c r="U82" s="321"/>
      <c r="V82" s="313"/>
      <c r="W82" s="312" t="s">
        <v>103</v>
      </c>
      <c r="X82" s="321"/>
      <c r="Y82" s="313"/>
      <c r="Z82" s="312" t="s">
        <v>104</v>
      </c>
      <c r="AA82" s="321"/>
      <c r="AB82" s="313"/>
    </row>
    <row r="83" spans="1:32" ht="14.25" hidden="1" customHeight="1" x14ac:dyDescent="0.25">
      <c r="A83" s="26">
        <v>1</v>
      </c>
      <c r="B83" s="302" t="str">
        <f>IF(Inventory!$C$15&lt;&gt;"",CONCATENATE("iSCSI - Node ",A83),"")</f>
        <v>iSCSI - Node 1</v>
      </c>
      <c r="C83" s="302"/>
      <c r="D83" s="302"/>
      <c r="E83" s="302" t="str">
        <f>IF(B83&lt;&gt;"",CONCATENATE($K$9,"-i0",A83,"-02.",$F$11)," ")</f>
        <v>shpsan-infinitevol-01-i01-02.speedcast.com</v>
      </c>
      <c r="F83" s="302"/>
      <c r="G83" s="302"/>
      <c r="H83" s="302"/>
      <c r="I83" s="302"/>
      <c r="J83" s="288"/>
      <c r="K83" s="289"/>
      <c r="L83" s="290"/>
      <c r="M83" s="288" t="str">
        <f>IF(B83&lt;&gt;"",CONCATENATE($K$9,"-i0",A83,"-01")," ")</f>
        <v>shpsan-infinitevol-01-i01-01</v>
      </c>
      <c r="N83" s="289"/>
      <c r="O83" s="289"/>
      <c r="P83" s="290"/>
      <c r="Q83" s="302" t="str">
        <f>IF(B83&lt;&gt;"",Inventory!$C$15,"")</f>
        <v>shpsan-01</v>
      </c>
      <c r="R83" s="302"/>
      <c r="S83" s="302"/>
      <c r="T83" s="302" t="str">
        <f>IF(AND(E83&lt;&gt;"",F80&lt;&gt;0,F79&lt;&gt;0,F78&lt;&gt;0),IF(F80&lt;&gt;"Yes",F79,CONCATENATE(F79,"-",F78)),"")</f>
        <v/>
      </c>
      <c r="U83" s="302"/>
      <c r="V83" s="302"/>
      <c r="W83" s="302" t="str">
        <f>IF(E83&lt;&gt;"",CONCATENATE("d",J81),"")</f>
        <v>d</v>
      </c>
      <c r="X83" s="302"/>
      <c r="Y83" s="302"/>
      <c r="Z83" s="302" t="str">
        <f>IF(E83&lt;&gt;"","0.0.0.0/0","")</f>
        <v>0.0.0.0/0</v>
      </c>
      <c r="AA83" s="302"/>
      <c r="AB83" s="302"/>
    </row>
    <row r="84" spans="1:32" ht="14.25" hidden="1" customHeight="1" x14ac:dyDescent="0.25">
      <c r="A84" s="26">
        <v>2</v>
      </c>
      <c r="B84" s="302" t="str">
        <f>IF(Inventory!$C$16&lt;&gt;"",CONCATENATE("iSCSI - Node ",A84),"")</f>
        <v>iSCSI - Node 2</v>
      </c>
      <c r="C84" s="302"/>
      <c r="D84" s="302"/>
      <c r="E84" s="302" t="str">
        <f>IF(B84&lt;&gt;"",CONCATENATE($K$9,"-i0",A84,"-02.",$F$11)," ")</f>
        <v>shpsan-infinitevol-01-i02-02.speedcast.com</v>
      </c>
      <c r="F84" s="302"/>
      <c r="G84" s="302"/>
      <c r="H84" s="302"/>
      <c r="I84" s="302"/>
      <c r="J84" s="288"/>
      <c r="K84" s="289"/>
      <c r="L84" s="290"/>
      <c r="M84" s="288" t="str">
        <f>IF(B84&lt;&gt;"",CONCATENATE($K$9,"-i0",A84,"-01")," ")</f>
        <v>shpsan-infinitevol-01-i02-01</v>
      </c>
      <c r="N84" s="289"/>
      <c r="O84" s="289"/>
      <c r="P84" s="290"/>
      <c r="Q84" s="302" t="str">
        <f>IF(B84&lt;&gt;"",Inventory!$C$16,"")</f>
        <v>shpsan-02</v>
      </c>
      <c r="R84" s="302"/>
      <c r="S84" s="302"/>
      <c r="T84" s="302" t="str">
        <f>IF(AND(E84&lt;&gt;"",F80&lt;&gt;0,F79&lt;&gt;0,F78&lt;&gt;0),IF(F80&lt;&gt;"Yes",F79,CONCATENATE(F79,"-",F78)),"")</f>
        <v/>
      </c>
      <c r="U84" s="302"/>
      <c r="V84" s="302"/>
      <c r="W84" s="302" t="str">
        <f>IF(E84&lt;&gt;"",CONCATENATE("d",J81),"")</f>
        <v>d</v>
      </c>
      <c r="X84" s="302"/>
      <c r="Y84" s="302"/>
      <c r="Z84" s="302" t="str">
        <f t="shared" ref="Z84:Z90" si="4">IF(E84&lt;&gt;"","0.0.0.0/0","")</f>
        <v>0.0.0.0/0</v>
      </c>
      <c r="AA84" s="302"/>
      <c r="AB84" s="302"/>
    </row>
    <row r="85" spans="1:32" ht="14.25" hidden="1" customHeight="1" x14ac:dyDescent="0.25">
      <c r="A85" s="26">
        <v>3</v>
      </c>
      <c r="B85" s="302" t="str">
        <f>IF(Inventory!$C$17&lt;&gt;"",CONCATENATE("iSCSI - Node ",A85),"")</f>
        <v/>
      </c>
      <c r="C85" s="302"/>
      <c r="D85" s="302"/>
      <c r="E85" s="302" t="str">
        <f t="shared" ref="E85:E90" si="5">IF(B85&lt;&gt;"",CONCATENATE($K$9,"-i0",A85,"-02.",$F$11)," ")</f>
        <v xml:space="preserve"> </v>
      </c>
      <c r="F85" s="302"/>
      <c r="G85" s="302"/>
      <c r="H85" s="302"/>
      <c r="I85" s="302"/>
      <c r="J85" s="288"/>
      <c r="K85" s="289"/>
      <c r="L85" s="290"/>
      <c r="M85" s="288" t="str">
        <f t="shared" ref="M85:M90" si="6">IF(B85&lt;&gt;"",CONCATENATE($K$9,"-i0",A85,"-01")," ")</f>
        <v xml:space="preserve"> </v>
      </c>
      <c r="N85" s="289"/>
      <c r="O85" s="289"/>
      <c r="P85" s="290"/>
      <c r="Q85" s="302" t="str">
        <f>IF(B85&lt;&gt;"",Inventory!$C$16,"")</f>
        <v/>
      </c>
      <c r="R85" s="302"/>
      <c r="S85" s="302"/>
      <c r="T85" s="302" t="str">
        <f>IF(AND(E85&lt;&gt;"",F80&lt;&gt;0,F79&lt;&gt;0,F78&lt;&gt;0),IF(F80&lt;&gt;"Yes",F79,CONCATENATE(F79,"-",F78)),"")</f>
        <v/>
      </c>
      <c r="U85" s="302"/>
      <c r="V85" s="302"/>
      <c r="W85" s="302" t="str">
        <f>IF(E85&lt;&gt;"",CONCATENATE("d",J81),"")</f>
        <v>d</v>
      </c>
      <c r="X85" s="302"/>
      <c r="Y85" s="302"/>
      <c r="Z85" s="302" t="str">
        <f t="shared" si="4"/>
        <v>0.0.0.0/0</v>
      </c>
      <c r="AA85" s="302"/>
      <c r="AB85" s="302"/>
    </row>
    <row r="86" spans="1:32" ht="14.25" hidden="1" customHeight="1" x14ac:dyDescent="0.25">
      <c r="A86" s="26">
        <v>4</v>
      </c>
      <c r="B86" s="302" t="str">
        <f>IF(Inventory!$C$18&lt;&gt;"",CONCATENATE("iSCSI - Node ",A86),"")</f>
        <v/>
      </c>
      <c r="C86" s="302"/>
      <c r="D86" s="302"/>
      <c r="E86" s="302" t="str">
        <f t="shared" si="5"/>
        <v xml:space="preserve"> </v>
      </c>
      <c r="F86" s="302"/>
      <c r="G86" s="302"/>
      <c r="H86" s="302"/>
      <c r="I86" s="302"/>
      <c r="J86" s="288"/>
      <c r="K86" s="289"/>
      <c r="L86" s="290"/>
      <c r="M86" s="288" t="str">
        <f t="shared" si="6"/>
        <v xml:space="preserve"> </v>
      </c>
      <c r="N86" s="289"/>
      <c r="O86" s="289"/>
      <c r="P86" s="290"/>
      <c r="Q86" s="302" t="str">
        <f>IF(B86&lt;&gt;"",Inventory!$C$16,"")</f>
        <v/>
      </c>
      <c r="R86" s="302"/>
      <c r="S86" s="302"/>
      <c r="T86" s="302" t="str">
        <f>IF(AND(E86&lt;&gt;"",F80&lt;&gt;0,F79&lt;&gt;0,F78&lt;&gt;0),IF(F80&lt;&gt;"Yes",F79,CONCATENATE(F79,"-",F78)),"")</f>
        <v/>
      </c>
      <c r="U86" s="302"/>
      <c r="V86" s="302"/>
      <c r="W86" s="302" t="str">
        <f>IF(E86&lt;&gt;"",CONCATENATE("d",J81),"")</f>
        <v>d</v>
      </c>
      <c r="X86" s="302"/>
      <c r="Y86" s="302"/>
      <c r="Z86" s="302" t="str">
        <f t="shared" si="4"/>
        <v>0.0.0.0/0</v>
      </c>
      <c r="AA86" s="302"/>
      <c r="AB86" s="302"/>
    </row>
    <row r="87" spans="1:32" ht="14.25" hidden="1" customHeight="1" x14ac:dyDescent="0.25">
      <c r="A87" s="26">
        <v>5</v>
      </c>
      <c r="B87" s="302" t="str">
        <f>IF(Inventory!$C$19&lt;&gt;"",CONCATENATE("iSCSI - Node ",A87),"")</f>
        <v/>
      </c>
      <c r="C87" s="302"/>
      <c r="D87" s="302"/>
      <c r="E87" s="302" t="str">
        <f t="shared" si="5"/>
        <v xml:space="preserve"> </v>
      </c>
      <c r="F87" s="302"/>
      <c r="G87" s="302"/>
      <c r="H87" s="302"/>
      <c r="I87" s="302"/>
      <c r="J87" s="288"/>
      <c r="K87" s="289"/>
      <c r="L87" s="290"/>
      <c r="M87" s="288" t="str">
        <f t="shared" si="6"/>
        <v xml:space="preserve"> </v>
      </c>
      <c r="N87" s="289"/>
      <c r="O87" s="289"/>
      <c r="P87" s="290"/>
      <c r="Q87" s="302" t="str">
        <f>IF(B87&lt;&gt;"",Inventory!$C$16,"")</f>
        <v/>
      </c>
      <c r="R87" s="302"/>
      <c r="S87" s="302"/>
      <c r="T87" s="302" t="str">
        <f>IF(AND(E87&lt;&gt;"",F80&lt;&gt;0,F79&lt;&gt;0,F78&lt;&gt;0),IF(F80&lt;&gt;"Yes",F79,CONCATENATE(F79,"-",F78)),"")</f>
        <v/>
      </c>
      <c r="U87" s="302"/>
      <c r="V87" s="302"/>
      <c r="W87" s="302" t="str">
        <f>IF(E87&lt;&gt;"",CONCATENATE("d",J81),"")</f>
        <v>d</v>
      </c>
      <c r="X87" s="302"/>
      <c r="Y87" s="302"/>
      <c r="Z87" s="302" t="str">
        <f t="shared" si="4"/>
        <v>0.0.0.0/0</v>
      </c>
      <c r="AA87" s="302"/>
      <c r="AB87" s="302"/>
    </row>
    <row r="88" spans="1:32" ht="14.25" hidden="1" customHeight="1" x14ac:dyDescent="0.25">
      <c r="A88" s="26">
        <v>6</v>
      </c>
      <c r="B88" s="302" t="str">
        <f>IF(Inventory!$C$20&lt;&gt;"",CONCATENATE("iSCSI - Node ",A88),"")</f>
        <v/>
      </c>
      <c r="C88" s="302"/>
      <c r="D88" s="302"/>
      <c r="E88" s="302" t="str">
        <f t="shared" si="5"/>
        <v xml:space="preserve"> </v>
      </c>
      <c r="F88" s="302"/>
      <c r="G88" s="302"/>
      <c r="H88" s="302"/>
      <c r="I88" s="302"/>
      <c r="J88" s="288"/>
      <c r="K88" s="289"/>
      <c r="L88" s="290"/>
      <c r="M88" s="288" t="str">
        <f t="shared" si="6"/>
        <v xml:space="preserve"> </v>
      </c>
      <c r="N88" s="289"/>
      <c r="O88" s="289"/>
      <c r="P88" s="290"/>
      <c r="Q88" s="302" t="str">
        <f>IF(B88&lt;&gt;"",Inventory!$C$16,"")</f>
        <v/>
      </c>
      <c r="R88" s="302"/>
      <c r="S88" s="302"/>
      <c r="T88" s="302" t="str">
        <f>IF(AND(E88&lt;&gt;"",F80&lt;&gt;0,F79&lt;&gt;0,F78&lt;&gt;0),IF(F80&lt;&gt;"Yes",F79,CONCATENATE(F79,"-",F78)),"")</f>
        <v/>
      </c>
      <c r="U88" s="302"/>
      <c r="V88" s="302"/>
      <c r="W88" s="302" t="str">
        <f>IF(E88&lt;&gt;"",CONCATENATE("d",J81),"")</f>
        <v>d</v>
      </c>
      <c r="X88" s="302"/>
      <c r="Y88" s="302"/>
      <c r="Z88" s="302" t="str">
        <f t="shared" si="4"/>
        <v>0.0.0.0/0</v>
      </c>
      <c r="AA88" s="302"/>
      <c r="AB88" s="302"/>
    </row>
    <row r="89" spans="1:32" ht="14.25" hidden="1" customHeight="1" x14ac:dyDescent="0.25">
      <c r="A89" s="26">
        <v>7</v>
      </c>
      <c r="B89" s="302" t="str">
        <f>IF(Inventory!$C$21&lt;&gt;"",CONCATENATE("iSCSI - Node ",A89),"")</f>
        <v/>
      </c>
      <c r="C89" s="302"/>
      <c r="D89" s="302"/>
      <c r="E89" s="302" t="str">
        <f t="shared" si="5"/>
        <v xml:space="preserve"> </v>
      </c>
      <c r="F89" s="302"/>
      <c r="G89" s="302"/>
      <c r="H89" s="302"/>
      <c r="I89" s="302"/>
      <c r="J89" s="288"/>
      <c r="K89" s="289"/>
      <c r="L89" s="290"/>
      <c r="M89" s="288" t="str">
        <f t="shared" si="6"/>
        <v xml:space="preserve"> </v>
      </c>
      <c r="N89" s="289"/>
      <c r="O89" s="289"/>
      <c r="P89" s="290"/>
      <c r="Q89" s="302" t="str">
        <f>IF(B89&lt;&gt;"",Inventory!$C$16,"")</f>
        <v/>
      </c>
      <c r="R89" s="302"/>
      <c r="S89" s="302"/>
      <c r="T89" s="302" t="str">
        <f>IF(AND(E89&lt;&gt;"",F80&lt;&gt;0,F79&lt;&gt;0,F78&lt;&gt;0),IF(F80&lt;&gt;"Yes",F79,CONCATENATE(F79,"-",F78)),"")</f>
        <v/>
      </c>
      <c r="U89" s="302"/>
      <c r="V89" s="302"/>
      <c r="W89" s="302" t="str">
        <f>IF(E89&lt;&gt;"",CONCATENATE("d",J81),"")</f>
        <v>d</v>
      </c>
      <c r="X89" s="302"/>
      <c r="Y89" s="302"/>
      <c r="Z89" s="302" t="str">
        <f t="shared" si="4"/>
        <v>0.0.0.0/0</v>
      </c>
      <c r="AA89" s="302"/>
      <c r="AB89" s="302"/>
    </row>
    <row r="90" spans="1:32" ht="14.25" hidden="1" customHeight="1" x14ac:dyDescent="0.25">
      <c r="A90" s="26">
        <v>8</v>
      </c>
      <c r="B90" s="302" t="str">
        <f>IF(Inventory!$C$22&lt;&gt;"",CONCATENATE("iSCSI - Node ",A90),"")</f>
        <v/>
      </c>
      <c r="C90" s="302"/>
      <c r="D90" s="302"/>
      <c r="E90" s="302" t="str">
        <f t="shared" si="5"/>
        <v xml:space="preserve"> </v>
      </c>
      <c r="F90" s="302"/>
      <c r="G90" s="302"/>
      <c r="H90" s="302"/>
      <c r="I90" s="302"/>
      <c r="J90" s="288"/>
      <c r="K90" s="289"/>
      <c r="L90" s="290"/>
      <c r="M90" s="288" t="str">
        <f t="shared" si="6"/>
        <v xml:space="preserve"> </v>
      </c>
      <c r="N90" s="289"/>
      <c r="O90" s="289"/>
      <c r="P90" s="290"/>
      <c r="Q90" s="302" t="str">
        <f>IF(B90&lt;&gt;"",Inventory!$C$16,"")</f>
        <v/>
      </c>
      <c r="R90" s="302"/>
      <c r="S90" s="302"/>
      <c r="T90" s="302" t="str">
        <f>IF(AND(E90&lt;&gt;"",F80&lt;&gt;0,F79&lt;&gt;0,F78&lt;&gt;0),IF(F80&lt;&gt;"Yes",F79,CONCATENATE(F79,"-",F78)),"")</f>
        <v/>
      </c>
      <c r="U90" s="302"/>
      <c r="V90" s="302"/>
      <c r="W90" s="302" t="str">
        <f>IF(E90&lt;&gt;"",CONCATENATE("d",J81),"")</f>
        <v>d</v>
      </c>
      <c r="X90" s="302"/>
      <c r="Y90" s="302"/>
      <c r="Z90" s="302" t="str">
        <f t="shared" si="4"/>
        <v>0.0.0.0/0</v>
      </c>
      <c r="AA90" s="302"/>
      <c r="AB90" s="302"/>
    </row>
    <row r="91" spans="1:32" ht="14.25" hidden="1" customHeight="1" x14ac:dyDescent="0.25">
      <c r="AB91" s="36" t="s">
        <v>143</v>
      </c>
    </row>
    <row r="92" spans="1:32" ht="14.25" customHeight="1" x14ac:dyDescent="0.25">
      <c r="B92" s="4" t="s">
        <v>476</v>
      </c>
    </row>
    <row r="93" spans="1:32" ht="6" customHeight="1" x14ac:dyDescent="0.25">
      <c r="B93" s="4"/>
      <c r="G93" s="6"/>
    </row>
    <row r="94" spans="1:32" ht="14.25" customHeight="1" thickBot="1" x14ac:dyDescent="0.3">
      <c r="B94" s="311" t="s">
        <v>475</v>
      </c>
      <c r="C94" s="311"/>
      <c r="D94" s="311"/>
      <c r="E94" s="311"/>
      <c r="F94" s="311"/>
      <c r="G94" s="312" t="s">
        <v>362</v>
      </c>
      <c r="H94" s="313"/>
      <c r="I94" s="311" t="s">
        <v>93</v>
      </c>
      <c r="J94" s="311"/>
      <c r="K94" s="311"/>
      <c r="L94" s="311"/>
      <c r="M94" s="173" t="s">
        <v>43</v>
      </c>
      <c r="N94" s="311" t="s">
        <v>71</v>
      </c>
      <c r="O94" s="311"/>
      <c r="P94" s="311"/>
      <c r="Q94" s="311" t="s">
        <v>46</v>
      </c>
      <c r="R94" s="311"/>
      <c r="S94" s="311"/>
      <c r="T94" s="311" t="s">
        <v>477</v>
      </c>
      <c r="U94" s="311"/>
      <c r="V94" s="311"/>
      <c r="W94" s="311" t="s">
        <v>95</v>
      </c>
      <c r="X94" s="311"/>
      <c r="Y94" s="311"/>
      <c r="Z94" s="311" t="s">
        <v>96</v>
      </c>
      <c r="AA94" s="311"/>
      <c r="AB94" s="311"/>
      <c r="AC94" s="312" t="s">
        <v>1269</v>
      </c>
      <c r="AD94" s="321"/>
      <c r="AE94" s="313"/>
      <c r="AF94" s="258" t="s">
        <v>473</v>
      </c>
    </row>
    <row r="95" spans="1:32" ht="14.25" customHeight="1" x14ac:dyDescent="0.25">
      <c r="B95" s="298"/>
      <c r="C95" s="299"/>
      <c r="D95" s="299"/>
      <c r="E95" s="299"/>
      <c r="F95" s="300"/>
      <c r="G95" s="295"/>
      <c r="H95" s="296"/>
      <c r="I95" s="298"/>
      <c r="J95" s="299"/>
      <c r="K95" s="299"/>
      <c r="L95" s="300"/>
      <c r="M95" s="171"/>
      <c r="N95" s="298"/>
      <c r="O95" s="299"/>
      <c r="P95" s="300"/>
      <c r="Q95" s="298"/>
      <c r="R95" s="299"/>
      <c r="S95" s="300"/>
      <c r="T95" s="298"/>
      <c r="U95" s="299"/>
      <c r="V95" s="300"/>
      <c r="W95" s="298"/>
      <c r="X95" s="299"/>
      <c r="Y95" s="300"/>
      <c r="Z95" s="298"/>
      <c r="AA95" s="299"/>
      <c r="AB95" s="300"/>
      <c r="AC95" s="302"/>
      <c r="AD95" s="302"/>
      <c r="AE95" s="302"/>
      <c r="AF95" s="255" t="str">
        <f>IF(M95&lt;&gt;0,IF(VLOOKUP(M95,'Site Info'!$G$34:$V$69,8,FALSE)&lt;&gt;0,VLOOKUP(M95,'Site Info'!$G$34:$V$69,11,FALSE),""),"")</f>
        <v/>
      </c>
    </row>
    <row r="96" spans="1:32" ht="14.25" customHeight="1" x14ac:dyDescent="0.25">
      <c r="B96" s="298"/>
      <c r="C96" s="299"/>
      <c r="D96" s="299"/>
      <c r="E96" s="299"/>
      <c r="F96" s="300"/>
      <c r="G96" s="288"/>
      <c r="H96" s="289"/>
      <c r="I96" s="298"/>
      <c r="J96" s="299"/>
      <c r="K96" s="299"/>
      <c r="L96" s="300"/>
      <c r="M96" s="171"/>
      <c r="N96" s="298"/>
      <c r="O96" s="299"/>
      <c r="P96" s="300"/>
      <c r="Q96" s="298"/>
      <c r="R96" s="299"/>
      <c r="S96" s="300"/>
      <c r="T96" s="298"/>
      <c r="U96" s="299"/>
      <c r="V96" s="300"/>
      <c r="W96" s="298"/>
      <c r="X96" s="299"/>
      <c r="Y96" s="300"/>
      <c r="Z96" s="298"/>
      <c r="AA96" s="299"/>
      <c r="AB96" s="300"/>
      <c r="AC96" s="302"/>
      <c r="AD96" s="302"/>
      <c r="AE96" s="302"/>
      <c r="AF96" s="255" t="str">
        <f>IF(M96&lt;&gt;0,IF(VLOOKUP(M96,'Site Info'!$G$34:$V$69,8,FALSE)&lt;&gt;0,VLOOKUP(M96,'Site Info'!$G$34:$V$69,11,FALSE),""),"")</f>
        <v/>
      </c>
    </row>
    <row r="97" spans="2:32" ht="14.25" customHeight="1" x14ac:dyDescent="0.25">
      <c r="B97" s="298"/>
      <c r="C97" s="299"/>
      <c r="D97" s="299"/>
      <c r="E97" s="299"/>
      <c r="F97" s="300"/>
      <c r="G97" s="288"/>
      <c r="H97" s="289"/>
      <c r="I97" s="298"/>
      <c r="J97" s="299"/>
      <c r="K97" s="299"/>
      <c r="L97" s="300"/>
      <c r="M97" s="171"/>
      <c r="N97" s="298"/>
      <c r="O97" s="299"/>
      <c r="P97" s="300"/>
      <c r="Q97" s="298"/>
      <c r="R97" s="299"/>
      <c r="S97" s="300"/>
      <c r="T97" s="298"/>
      <c r="U97" s="299"/>
      <c r="V97" s="300"/>
      <c r="W97" s="298"/>
      <c r="X97" s="299"/>
      <c r="Y97" s="300"/>
      <c r="Z97" s="298"/>
      <c r="AA97" s="299"/>
      <c r="AB97" s="300"/>
      <c r="AC97" s="302"/>
      <c r="AD97" s="302"/>
      <c r="AE97" s="302"/>
      <c r="AF97" s="255" t="str">
        <f>IF(M97&lt;&gt;0,IF(VLOOKUP(M97,'Site Info'!$G$34:$V$69,8,FALSE)&lt;&gt;0,VLOOKUP(M97,'Site Info'!$G$34:$V$69,11,FALSE),""),"")</f>
        <v/>
      </c>
    </row>
    <row r="98" spans="2:32" ht="14.25" customHeight="1" x14ac:dyDescent="0.25">
      <c r="B98" s="298"/>
      <c r="C98" s="299"/>
      <c r="D98" s="299"/>
      <c r="E98" s="299"/>
      <c r="F98" s="300"/>
      <c r="G98" s="288"/>
      <c r="H98" s="289"/>
      <c r="I98" s="298"/>
      <c r="J98" s="299"/>
      <c r="K98" s="299"/>
      <c r="L98" s="300"/>
      <c r="M98" s="171"/>
      <c r="N98" s="298"/>
      <c r="O98" s="299"/>
      <c r="P98" s="300"/>
      <c r="Q98" s="298"/>
      <c r="R98" s="299"/>
      <c r="S98" s="300"/>
      <c r="T98" s="298"/>
      <c r="U98" s="299"/>
      <c r="V98" s="300"/>
      <c r="W98" s="298"/>
      <c r="X98" s="299"/>
      <c r="Y98" s="300"/>
      <c r="Z98" s="298"/>
      <c r="AA98" s="299"/>
      <c r="AB98" s="300"/>
      <c r="AC98" s="302"/>
      <c r="AD98" s="302"/>
      <c r="AE98" s="302"/>
      <c r="AF98" s="255" t="str">
        <f>IF(M98&lt;&gt;0,IF(VLOOKUP(M98,'Site Info'!$G$34:$V$69,8,FALSE)&lt;&gt;0,VLOOKUP(M98,'Site Info'!$G$34:$V$69,11,FALSE),""),"")</f>
        <v/>
      </c>
    </row>
    <row r="99" spans="2:32" ht="14.25" customHeight="1" x14ac:dyDescent="0.25">
      <c r="AB99" s="36"/>
    </row>
    <row r="100" spans="2:32" ht="14.25" hidden="1" customHeight="1" x14ac:dyDescent="0.25">
      <c r="B100" s="183" t="s">
        <v>934</v>
      </c>
      <c r="C100" s="183"/>
      <c r="D100" s="183"/>
      <c r="E100" s="183"/>
      <c r="F100" s="183"/>
      <c r="G100" s="184"/>
      <c r="H100" s="184"/>
      <c r="I100" s="184"/>
      <c r="J100" s="184"/>
      <c r="K100" s="184"/>
      <c r="L100" s="184"/>
      <c r="M100" s="184"/>
      <c r="N100" s="184"/>
      <c r="O100" s="184"/>
      <c r="P100" s="184"/>
      <c r="Q100" s="184"/>
      <c r="R100" s="184"/>
      <c r="S100" s="184"/>
      <c r="AB100" s="36"/>
    </row>
    <row r="101" spans="2:32" ht="14.25" hidden="1" customHeight="1" x14ac:dyDescent="0.25">
      <c r="B101" s="184"/>
      <c r="C101" s="184"/>
      <c r="D101" s="184"/>
      <c r="E101" s="184"/>
      <c r="F101" s="184"/>
      <c r="G101" s="184"/>
      <c r="H101" s="184"/>
      <c r="I101" s="184"/>
      <c r="J101" s="184"/>
      <c r="K101" s="184"/>
      <c r="L101" s="184"/>
      <c r="M101" s="184"/>
      <c r="N101" s="184"/>
      <c r="O101" s="184"/>
      <c r="P101" s="184"/>
      <c r="Q101" s="184"/>
      <c r="R101" s="184"/>
      <c r="S101" s="184"/>
      <c r="AB101" s="36"/>
    </row>
    <row r="102" spans="2:32" ht="14.25" hidden="1" customHeight="1" thickBot="1" x14ac:dyDescent="0.3">
      <c r="B102" s="385" t="s">
        <v>92</v>
      </c>
      <c r="C102" s="386"/>
      <c r="D102" s="387"/>
      <c r="E102" s="388" t="s">
        <v>935</v>
      </c>
      <c r="F102" s="386"/>
      <c r="G102" s="386"/>
      <c r="H102" s="386"/>
      <c r="I102" s="387"/>
      <c r="J102" s="388" t="s">
        <v>936</v>
      </c>
      <c r="K102" s="386"/>
      <c r="L102" s="387"/>
      <c r="M102" s="388" t="s">
        <v>937</v>
      </c>
      <c r="N102" s="386"/>
      <c r="O102" s="386"/>
      <c r="P102" s="387"/>
      <c r="Q102" s="388" t="s">
        <v>938</v>
      </c>
      <c r="R102" s="386"/>
      <c r="S102" s="387"/>
      <c r="AB102" s="36"/>
    </row>
    <row r="103" spans="2:32" ht="14.25" hidden="1" customHeight="1" x14ac:dyDescent="0.25">
      <c r="B103" s="389" t="s">
        <v>939</v>
      </c>
      <c r="C103" s="390"/>
      <c r="D103" s="391"/>
      <c r="E103" s="392" t="str">
        <f>IF(B103&lt;&gt;"",CONCATENATE(K9,"-f01-",Q103)," ")</f>
        <v>shpsan-infinitevol-01-f01-3a</v>
      </c>
      <c r="F103" s="390"/>
      <c r="G103" s="390"/>
      <c r="H103" s="390"/>
      <c r="I103" s="391"/>
      <c r="J103" s="392" t="s">
        <v>940</v>
      </c>
      <c r="K103" s="390"/>
      <c r="L103" s="391"/>
      <c r="M103" s="392" t="str">
        <f>IF(B103&lt;&gt;"",Inventory!$C$15,"")</f>
        <v>shpsan-01</v>
      </c>
      <c r="N103" s="390"/>
      <c r="O103" s="390"/>
      <c r="P103" s="391"/>
      <c r="Q103" s="392" t="s">
        <v>941</v>
      </c>
      <c r="R103" s="390"/>
      <c r="S103" s="391"/>
      <c r="AB103" s="36"/>
    </row>
    <row r="104" spans="2:32" ht="14.25" hidden="1" customHeight="1" x14ac:dyDescent="0.25">
      <c r="B104" s="393" t="s">
        <v>939</v>
      </c>
      <c r="C104" s="394"/>
      <c r="D104" s="395"/>
      <c r="E104" s="396" t="str">
        <f>IF(B104&lt;&gt;"",CONCATENATE(K9,"-f01-",Q104)," ")</f>
        <v>shpsan-infinitevol-01-f01-4a</v>
      </c>
      <c r="F104" s="394"/>
      <c r="G104" s="394"/>
      <c r="H104" s="394"/>
      <c r="I104" s="395"/>
      <c r="J104" s="396" t="s">
        <v>942</v>
      </c>
      <c r="K104" s="394"/>
      <c r="L104" s="395"/>
      <c r="M104" s="396" t="str">
        <f>IF(B104&lt;&gt;"",Inventory!$C$15,"")</f>
        <v>shpsan-01</v>
      </c>
      <c r="N104" s="394"/>
      <c r="O104" s="394"/>
      <c r="P104" s="395"/>
      <c r="Q104" s="396" t="s">
        <v>943</v>
      </c>
      <c r="R104" s="394"/>
      <c r="S104" s="395"/>
      <c r="AB104" s="36"/>
    </row>
    <row r="105" spans="2:32" ht="14.25" hidden="1" customHeight="1" x14ac:dyDescent="0.25">
      <c r="B105" s="393" t="s">
        <v>944</v>
      </c>
      <c r="C105" s="394"/>
      <c r="D105" s="395"/>
      <c r="E105" s="396" t="str">
        <f>IF(B105&lt;&gt;"",CONCATENATE(K9,"-f02-",Q105)," ")</f>
        <v>shpsan-infinitevol-01-f02-3a</v>
      </c>
      <c r="F105" s="394"/>
      <c r="G105" s="394"/>
      <c r="H105" s="394"/>
      <c r="I105" s="395"/>
      <c r="J105" s="396" t="s">
        <v>945</v>
      </c>
      <c r="K105" s="394"/>
      <c r="L105" s="395"/>
      <c r="M105" s="396" t="str">
        <f>IF(B105&lt;&gt;"",Inventory!$C$16,"")</f>
        <v>shpsan-02</v>
      </c>
      <c r="N105" s="394"/>
      <c r="O105" s="394"/>
      <c r="P105" s="395"/>
      <c r="Q105" s="396" t="s">
        <v>941</v>
      </c>
      <c r="R105" s="394"/>
      <c r="S105" s="395"/>
      <c r="AB105" s="36"/>
    </row>
    <row r="106" spans="2:32" ht="14.25" hidden="1" customHeight="1" x14ac:dyDescent="0.25">
      <c r="B106" s="393" t="s">
        <v>944</v>
      </c>
      <c r="C106" s="394"/>
      <c r="D106" s="395"/>
      <c r="E106" s="396" t="str">
        <f>IF(B106&lt;&gt;"",CONCATENATE(K9,"-f02-",Q106)," ")</f>
        <v>shpsan-infinitevol-01-f02-4a</v>
      </c>
      <c r="F106" s="394"/>
      <c r="G106" s="394"/>
      <c r="H106" s="394"/>
      <c r="I106" s="395"/>
      <c r="J106" s="396" t="s">
        <v>946</v>
      </c>
      <c r="K106" s="394"/>
      <c r="L106" s="395"/>
      <c r="M106" s="396" t="str">
        <f>IF(B106&lt;&gt;"",Inventory!$C$16,"")</f>
        <v>shpsan-02</v>
      </c>
      <c r="N106" s="394"/>
      <c r="O106" s="394"/>
      <c r="P106" s="395"/>
      <c r="Q106" s="396" t="s">
        <v>943</v>
      </c>
      <c r="R106" s="394"/>
      <c r="S106" s="395"/>
      <c r="AB106" s="36"/>
    </row>
    <row r="107" spans="2:32" ht="14.25" hidden="1" customHeight="1" x14ac:dyDescent="0.25">
      <c r="AB107" s="36"/>
    </row>
    <row r="108" spans="2:32" ht="14.25" customHeight="1" x14ac:dyDescent="0.25">
      <c r="B108" s="4" t="s">
        <v>450</v>
      </c>
    </row>
    <row r="109" spans="2:32" ht="6" customHeight="1" x14ac:dyDescent="0.25">
      <c r="B109" s="4"/>
      <c r="G109" s="6"/>
    </row>
    <row r="110" spans="2:32" ht="14.25" customHeight="1" x14ac:dyDescent="0.25">
      <c r="B110" s="303" t="s">
        <v>451</v>
      </c>
      <c r="C110" s="303"/>
      <c r="D110" s="303"/>
      <c r="E110" s="303"/>
      <c r="F110" s="288"/>
      <c r="G110" s="289"/>
      <c r="H110" s="290"/>
      <c r="J110" s="303" t="s">
        <v>458</v>
      </c>
      <c r="K110" s="303"/>
      <c r="L110" s="303"/>
      <c r="M110" s="303"/>
      <c r="N110" s="288"/>
      <c r="O110" s="289"/>
      <c r="P110" s="290"/>
      <c r="Q110" s="288"/>
      <c r="R110" s="289"/>
      <c r="S110" s="290"/>
    </row>
    <row r="111" spans="2:32" ht="14.25" customHeight="1" x14ac:dyDescent="0.25">
      <c r="B111" s="303" t="s">
        <v>452</v>
      </c>
      <c r="C111" s="303"/>
      <c r="D111" s="303"/>
      <c r="E111" s="303"/>
      <c r="F111" s="288"/>
      <c r="G111" s="289"/>
      <c r="H111" s="290"/>
      <c r="J111" s="303" t="s">
        <v>454</v>
      </c>
      <c r="K111" s="303"/>
      <c r="L111" s="303"/>
      <c r="M111" s="303"/>
      <c r="N111" s="288"/>
      <c r="O111" s="289"/>
      <c r="P111" s="289"/>
      <c r="Q111" s="289"/>
      <c r="R111" s="290"/>
    </row>
    <row r="112" spans="2:32" ht="14.25" customHeight="1" x14ac:dyDescent="0.25">
      <c r="B112" s="303" t="s">
        <v>453</v>
      </c>
      <c r="C112" s="303"/>
      <c r="D112" s="303"/>
      <c r="E112" s="303"/>
      <c r="F112" s="288"/>
      <c r="G112" s="289"/>
      <c r="H112" s="290"/>
    </row>
    <row r="113" spans="2:19" ht="14.25" customHeight="1" x14ac:dyDescent="0.25"/>
    <row r="114" spans="2:19" ht="14.25" customHeight="1" x14ac:dyDescent="0.25">
      <c r="B114" s="4" t="s">
        <v>474</v>
      </c>
    </row>
    <row r="115" spans="2:19" ht="6" customHeight="1" x14ac:dyDescent="0.25">
      <c r="B115" s="4"/>
      <c r="G115" s="6"/>
    </row>
    <row r="116" spans="2:19" ht="14.25" customHeight="1" x14ac:dyDescent="0.25">
      <c r="B116" s="303" t="s">
        <v>600</v>
      </c>
      <c r="C116" s="303"/>
      <c r="D116" s="303"/>
      <c r="E116" s="303"/>
      <c r="F116" s="288"/>
      <c r="G116" s="289"/>
      <c r="H116" s="289"/>
      <c r="I116" s="289"/>
      <c r="J116" s="290"/>
      <c r="K116" s="303" t="s">
        <v>602</v>
      </c>
      <c r="L116" s="303"/>
      <c r="M116" s="303"/>
      <c r="N116" s="303"/>
      <c r="O116" s="288"/>
      <c r="P116" s="289"/>
      <c r="Q116" s="289"/>
      <c r="R116" s="289"/>
      <c r="S116" s="290"/>
    </row>
    <row r="117" spans="2:19" ht="14.25" customHeight="1" x14ac:dyDescent="0.25">
      <c r="B117" s="303" t="s">
        <v>601</v>
      </c>
      <c r="C117" s="303"/>
      <c r="D117" s="303"/>
      <c r="E117" s="303"/>
      <c r="F117" s="288"/>
      <c r="G117" s="289"/>
      <c r="H117" s="289"/>
      <c r="I117" s="289"/>
      <c r="J117" s="290"/>
      <c r="K117" s="303" t="s">
        <v>603</v>
      </c>
      <c r="L117" s="303"/>
      <c r="M117" s="303"/>
      <c r="N117" s="303"/>
      <c r="O117" s="288"/>
      <c r="P117" s="289"/>
      <c r="Q117" s="289"/>
      <c r="R117" s="289"/>
      <c r="S117" s="290"/>
    </row>
    <row r="118" spans="2:19" ht="14.25" customHeight="1" x14ac:dyDescent="0.25"/>
    <row r="119" spans="2:19" ht="14.25" customHeight="1" x14ac:dyDescent="0.25">
      <c r="B119" s="4" t="s">
        <v>455</v>
      </c>
    </row>
    <row r="120" spans="2:19" ht="6" customHeight="1" x14ac:dyDescent="0.25">
      <c r="B120" s="4"/>
      <c r="G120" s="6"/>
    </row>
    <row r="121" spans="2:19" ht="14.25" customHeight="1" x14ac:dyDescent="0.25">
      <c r="B121" s="303" t="s">
        <v>456</v>
      </c>
      <c r="C121" s="303"/>
      <c r="D121" s="303"/>
      <c r="E121" s="303"/>
      <c r="F121" s="288"/>
      <c r="G121" s="289"/>
      <c r="H121" s="289"/>
      <c r="I121" s="289"/>
      <c r="J121" s="290"/>
    </row>
    <row r="122" spans="2:19" ht="14.25" customHeight="1" x14ac:dyDescent="0.25">
      <c r="B122" s="303" t="s">
        <v>457</v>
      </c>
      <c r="C122" s="303"/>
      <c r="D122" s="303"/>
      <c r="E122" s="303"/>
      <c r="F122" s="288"/>
      <c r="G122" s="289"/>
      <c r="H122" s="290"/>
      <c r="I122" s="288"/>
      <c r="J122" s="289"/>
      <c r="K122" s="290"/>
    </row>
    <row r="123" spans="2:19" ht="14.25" customHeight="1" x14ac:dyDescent="0.25"/>
    <row r="124" spans="2:19" ht="14.25" customHeight="1" x14ac:dyDescent="0.25"/>
    <row r="125" spans="2:19" ht="14.25" customHeight="1" x14ac:dyDescent="0.25"/>
    <row r="126" spans="2:19" ht="14.25" customHeight="1" x14ac:dyDescent="0.25"/>
    <row r="127" spans="2:19" ht="14.25" customHeight="1" x14ac:dyDescent="0.25"/>
    <row r="128" spans="2:19"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sheetData>
  <mergeCells count="455">
    <mergeCell ref="R5:AE5"/>
    <mergeCell ref="B8:E8"/>
    <mergeCell ref="G8:J8"/>
    <mergeCell ref="K8:O8"/>
    <mergeCell ref="B9:E9"/>
    <mergeCell ref="G9:J9"/>
    <mergeCell ref="K9:O9"/>
    <mergeCell ref="W16:Y16"/>
    <mergeCell ref="B105:D105"/>
    <mergeCell ref="E105:I105"/>
    <mergeCell ref="J105:L105"/>
    <mergeCell ref="M105:P105"/>
    <mergeCell ref="Q105:S105"/>
    <mergeCell ref="N20:Q20"/>
    <mergeCell ref="B21:E21"/>
    <mergeCell ref="G21:J21"/>
    <mergeCell ref="K21:M21"/>
    <mergeCell ref="B22:E22"/>
    <mergeCell ref="J23:L23"/>
    <mergeCell ref="B31:E31"/>
    <mergeCell ref="G31:J31"/>
    <mergeCell ref="K31:O31"/>
    <mergeCell ref="J33:L33"/>
    <mergeCell ref="B34:D34"/>
    <mergeCell ref="W25:Y25"/>
    <mergeCell ref="B24:D24"/>
    <mergeCell ref="E24:I24"/>
    <mergeCell ref="J24:L24"/>
    <mergeCell ref="M24:P24"/>
    <mergeCell ref="Q24:S24"/>
    <mergeCell ref="T24:V24"/>
    <mergeCell ref="B11:E11"/>
    <mergeCell ref="F11:I11"/>
    <mergeCell ref="S11:AB11"/>
    <mergeCell ref="B12:E12"/>
    <mergeCell ref="F12:H12"/>
    <mergeCell ref="I12:K12"/>
    <mergeCell ref="L12:N12"/>
    <mergeCell ref="W24:Y24"/>
    <mergeCell ref="B29:E29"/>
    <mergeCell ref="G29:J29"/>
    <mergeCell ref="K29:M29"/>
    <mergeCell ref="N29:Q29"/>
    <mergeCell ref="B30:E30"/>
    <mergeCell ref="G30:J30"/>
    <mergeCell ref="K30:M30"/>
    <mergeCell ref="Q34:S34"/>
    <mergeCell ref="B14:E14"/>
    <mergeCell ref="B16:E16"/>
    <mergeCell ref="F16:J16"/>
    <mergeCell ref="B20:E20"/>
    <mergeCell ref="G20:J20"/>
    <mergeCell ref="K20:M20"/>
    <mergeCell ref="S16:V16"/>
    <mergeCell ref="T34:V34"/>
    <mergeCell ref="B25:D25"/>
    <mergeCell ref="E25:I25"/>
    <mergeCell ref="J25:L25"/>
    <mergeCell ref="M25:P25"/>
    <mergeCell ref="Q25:S25"/>
    <mergeCell ref="T25:V25"/>
    <mergeCell ref="E34:I34"/>
    <mergeCell ref="W34:Y34"/>
    <mergeCell ref="Z34:AB34"/>
    <mergeCell ref="B35:D35"/>
    <mergeCell ref="E35:I35"/>
    <mergeCell ref="J35:L35"/>
    <mergeCell ref="M35:P35"/>
    <mergeCell ref="Q35:S35"/>
    <mergeCell ref="T35:V35"/>
    <mergeCell ref="W35:Y35"/>
    <mergeCell ref="Z35:AB35"/>
    <mergeCell ref="J34:L34"/>
    <mergeCell ref="M34:P34"/>
    <mergeCell ref="B36:D36"/>
    <mergeCell ref="E36:I36"/>
    <mergeCell ref="J36:L36"/>
    <mergeCell ref="M36:P36"/>
    <mergeCell ref="Q36:S36"/>
    <mergeCell ref="T36:V36"/>
    <mergeCell ref="W36:Y36"/>
    <mergeCell ref="Z36:AB36"/>
    <mergeCell ref="W37:Y37"/>
    <mergeCell ref="Z37:AB37"/>
    <mergeCell ref="B38:D38"/>
    <mergeCell ref="E38:I38"/>
    <mergeCell ref="J38:L38"/>
    <mergeCell ref="M38:P38"/>
    <mergeCell ref="Q38:S38"/>
    <mergeCell ref="T38:V38"/>
    <mergeCell ref="W38:Y38"/>
    <mergeCell ref="Z38:AB38"/>
    <mergeCell ref="B37:D37"/>
    <mergeCell ref="E37:I37"/>
    <mergeCell ref="J37:L37"/>
    <mergeCell ref="M37:P37"/>
    <mergeCell ref="Q37:S37"/>
    <mergeCell ref="T37:V37"/>
    <mergeCell ref="W39:Y39"/>
    <mergeCell ref="Z39:AB39"/>
    <mergeCell ref="B40:D40"/>
    <mergeCell ref="E40:I40"/>
    <mergeCell ref="J40:L40"/>
    <mergeCell ref="M40:P40"/>
    <mergeCell ref="Q40:S40"/>
    <mergeCell ref="T40:V40"/>
    <mergeCell ref="W40:Y40"/>
    <mergeCell ref="Z40:AB40"/>
    <mergeCell ref="B39:D39"/>
    <mergeCell ref="E39:I39"/>
    <mergeCell ref="J39:L39"/>
    <mergeCell ref="M39:P39"/>
    <mergeCell ref="Q39:S39"/>
    <mergeCell ref="T39:V39"/>
    <mergeCell ref="W41:Y41"/>
    <mergeCell ref="Z41:AB41"/>
    <mergeCell ref="B42:D42"/>
    <mergeCell ref="E42:I42"/>
    <mergeCell ref="J42:L42"/>
    <mergeCell ref="M42:P42"/>
    <mergeCell ref="Q42:S42"/>
    <mergeCell ref="T42:V42"/>
    <mergeCell ref="W42:Y42"/>
    <mergeCell ref="Z42:AB42"/>
    <mergeCell ref="B41:D41"/>
    <mergeCell ref="E41:I41"/>
    <mergeCell ref="J41:L41"/>
    <mergeCell ref="M41:P41"/>
    <mergeCell ref="Q41:S41"/>
    <mergeCell ref="T41:V41"/>
    <mergeCell ref="B48:E48"/>
    <mergeCell ref="G48:J48"/>
    <mergeCell ref="K48:O48"/>
    <mergeCell ref="J49:L49"/>
    <mergeCell ref="B50:D50"/>
    <mergeCell ref="E50:I50"/>
    <mergeCell ref="J50:L50"/>
    <mergeCell ref="M50:P50"/>
    <mergeCell ref="B46:E46"/>
    <mergeCell ref="G46:J46"/>
    <mergeCell ref="K46:M46"/>
    <mergeCell ref="N46:Q46"/>
    <mergeCell ref="B47:E47"/>
    <mergeCell ref="G47:J47"/>
    <mergeCell ref="K47:M47"/>
    <mergeCell ref="Q50:S50"/>
    <mergeCell ref="T50:V50"/>
    <mergeCell ref="W50:Y50"/>
    <mergeCell ref="B51:D51"/>
    <mergeCell ref="E51:I51"/>
    <mergeCell ref="J51:L51"/>
    <mergeCell ref="M51:P51"/>
    <mergeCell ref="Q51:S51"/>
    <mergeCell ref="T51:V51"/>
    <mergeCell ref="W51:Y51"/>
    <mergeCell ref="B52:D52"/>
    <mergeCell ref="E52:I52"/>
    <mergeCell ref="J52:L52"/>
    <mergeCell ref="M52:P52"/>
    <mergeCell ref="Q52:S52"/>
    <mergeCell ref="T52:V52"/>
    <mergeCell ref="W52:Y52"/>
    <mergeCell ref="W53:Y53"/>
    <mergeCell ref="B54:D54"/>
    <mergeCell ref="E54:I54"/>
    <mergeCell ref="J54:L54"/>
    <mergeCell ref="M54:P54"/>
    <mergeCell ref="Q54:S54"/>
    <mergeCell ref="T54:V54"/>
    <mergeCell ref="W54:Y54"/>
    <mergeCell ref="B53:D53"/>
    <mergeCell ref="E53:I53"/>
    <mergeCell ref="J53:L53"/>
    <mergeCell ref="M53:P53"/>
    <mergeCell ref="Q53:S53"/>
    <mergeCell ref="T53:V53"/>
    <mergeCell ref="W55:Y55"/>
    <mergeCell ref="B56:D56"/>
    <mergeCell ref="E56:I56"/>
    <mergeCell ref="J56:L56"/>
    <mergeCell ref="M56:P56"/>
    <mergeCell ref="Q56:S56"/>
    <mergeCell ref="T56:V56"/>
    <mergeCell ref="W56:Y56"/>
    <mergeCell ref="B55:D55"/>
    <mergeCell ref="E55:I55"/>
    <mergeCell ref="J55:L55"/>
    <mergeCell ref="M55:P55"/>
    <mergeCell ref="Q55:S55"/>
    <mergeCell ref="T55:V55"/>
    <mergeCell ref="W57:Y57"/>
    <mergeCell ref="B58:D58"/>
    <mergeCell ref="E58:I58"/>
    <mergeCell ref="J58:L58"/>
    <mergeCell ref="M58:P58"/>
    <mergeCell ref="Q58:S58"/>
    <mergeCell ref="T58:V58"/>
    <mergeCell ref="W58:Y58"/>
    <mergeCell ref="B57:D57"/>
    <mergeCell ref="E57:I57"/>
    <mergeCell ref="J57:L57"/>
    <mergeCell ref="M57:P57"/>
    <mergeCell ref="Q57:S57"/>
    <mergeCell ref="T57:V57"/>
    <mergeCell ref="B64:E64"/>
    <mergeCell ref="J65:L65"/>
    <mergeCell ref="B66:D66"/>
    <mergeCell ref="E66:I66"/>
    <mergeCell ref="J66:L66"/>
    <mergeCell ref="M66:P66"/>
    <mergeCell ref="B62:E62"/>
    <mergeCell ref="G62:J62"/>
    <mergeCell ref="K62:M62"/>
    <mergeCell ref="N62:Q62"/>
    <mergeCell ref="B63:E63"/>
    <mergeCell ref="G63:J63"/>
    <mergeCell ref="K63:M63"/>
    <mergeCell ref="Q66:S66"/>
    <mergeCell ref="T66:V66"/>
    <mergeCell ref="W66:Y66"/>
    <mergeCell ref="Z66:AB66"/>
    <mergeCell ref="B67:D67"/>
    <mergeCell ref="E67:I67"/>
    <mergeCell ref="J67:L67"/>
    <mergeCell ref="M67:P67"/>
    <mergeCell ref="Q67:S67"/>
    <mergeCell ref="T67:V67"/>
    <mergeCell ref="W67:Y67"/>
    <mergeCell ref="Z67:AB67"/>
    <mergeCell ref="B68:D68"/>
    <mergeCell ref="E68:I68"/>
    <mergeCell ref="J68:L68"/>
    <mergeCell ref="M68:P68"/>
    <mergeCell ref="Q68:S68"/>
    <mergeCell ref="T68:V68"/>
    <mergeCell ref="W68:Y68"/>
    <mergeCell ref="Z68:AB68"/>
    <mergeCell ref="W69:Y69"/>
    <mergeCell ref="Z69:AB69"/>
    <mergeCell ref="B70:D70"/>
    <mergeCell ref="E70:I70"/>
    <mergeCell ref="J70:L70"/>
    <mergeCell ref="M70:P70"/>
    <mergeCell ref="Q70:S70"/>
    <mergeCell ref="T70:V70"/>
    <mergeCell ref="W70:Y70"/>
    <mergeCell ref="Z70:AB70"/>
    <mergeCell ref="B69:D69"/>
    <mergeCell ref="E69:I69"/>
    <mergeCell ref="J69:L69"/>
    <mergeCell ref="M69:P69"/>
    <mergeCell ref="Q69:S69"/>
    <mergeCell ref="T69:V69"/>
    <mergeCell ref="W71:Y71"/>
    <mergeCell ref="Z71:AB71"/>
    <mergeCell ref="B72:D72"/>
    <mergeCell ref="E72:I72"/>
    <mergeCell ref="J72:L72"/>
    <mergeCell ref="M72:P72"/>
    <mergeCell ref="Q72:S72"/>
    <mergeCell ref="T72:V72"/>
    <mergeCell ref="W72:Y72"/>
    <mergeCell ref="Z72:AB72"/>
    <mergeCell ref="B71:D71"/>
    <mergeCell ref="E71:I71"/>
    <mergeCell ref="J71:L71"/>
    <mergeCell ref="M71:P71"/>
    <mergeCell ref="Q71:S71"/>
    <mergeCell ref="T71:V71"/>
    <mergeCell ref="W73:Y73"/>
    <mergeCell ref="Z73:AB73"/>
    <mergeCell ref="B74:D74"/>
    <mergeCell ref="E74:I74"/>
    <mergeCell ref="J74:L74"/>
    <mergeCell ref="M74:P74"/>
    <mergeCell ref="Q74:S74"/>
    <mergeCell ref="T74:V74"/>
    <mergeCell ref="W74:Y74"/>
    <mergeCell ref="Z74:AB74"/>
    <mergeCell ref="B73:D73"/>
    <mergeCell ref="E73:I73"/>
    <mergeCell ref="J73:L73"/>
    <mergeCell ref="M73:P73"/>
    <mergeCell ref="Q73:S73"/>
    <mergeCell ref="T73:V73"/>
    <mergeCell ref="B80:E80"/>
    <mergeCell ref="J81:L81"/>
    <mergeCell ref="B82:D82"/>
    <mergeCell ref="E82:I82"/>
    <mergeCell ref="J82:L82"/>
    <mergeCell ref="M82:P82"/>
    <mergeCell ref="B78:E78"/>
    <mergeCell ref="G78:J78"/>
    <mergeCell ref="K78:M78"/>
    <mergeCell ref="N78:Q78"/>
    <mergeCell ref="B79:E79"/>
    <mergeCell ref="G79:J79"/>
    <mergeCell ref="K79:M79"/>
    <mergeCell ref="Q82:S82"/>
    <mergeCell ref="T82:V82"/>
    <mergeCell ref="W82:Y82"/>
    <mergeCell ref="Z82:AB82"/>
    <mergeCell ref="B83:D83"/>
    <mergeCell ref="E83:I83"/>
    <mergeCell ref="J83:L83"/>
    <mergeCell ref="M83:P83"/>
    <mergeCell ref="Q83:S83"/>
    <mergeCell ref="T83:V83"/>
    <mergeCell ref="W83:Y83"/>
    <mergeCell ref="Z83:AB83"/>
    <mergeCell ref="B84:D84"/>
    <mergeCell ref="E84:I84"/>
    <mergeCell ref="J84:L84"/>
    <mergeCell ref="M84:P84"/>
    <mergeCell ref="Q84:S84"/>
    <mergeCell ref="T84:V84"/>
    <mergeCell ref="W84:Y84"/>
    <mergeCell ref="Z84:AB84"/>
    <mergeCell ref="W85:Y85"/>
    <mergeCell ref="Z85:AB85"/>
    <mergeCell ref="B86:D86"/>
    <mergeCell ref="E86:I86"/>
    <mergeCell ref="J86:L86"/>
    <mergeCell ref="M86:P86"/>
    <mergeCell ref="Q86:S86"/>
    <mergeCell ref="T86:V86"/>
    <mergeCell ref="W86:Y86"/>
    <mergeCell ref="Z86:AB86"/>
    <mergeCell ref="B85:D85"/>
    <mergeCell ref="E85:I85"/>
    <mergeCell ref="J85:L85"/>
    <mergeCell ref="M85:P85"/>
    <mergeCell ref="Q85:S85"/>
    <mergeCell ref="T85:V85"/>
    <mergeCell ref="W87:Y87"/>
    <mergeCell ref="Z87:AB87"/>
    <mergeCell ref="B88:D88"/>
    <mergeCell ref="E88:I88"/>
    <mergeCell ref="J88:L88"/>
    <mergeCell ref="M88:P88"/>
    <mergeCell ref="Q88:S88"/>
    <mergeCell ref="T88:V88"/>
    <mergeCell ref="W88:Y88"/>
    <mergeCell ref="Z88:AB88"/>
    <mergeCell ref="B87:D87"/>
    <mergeCell ref="E87:I87"/>
    <mergeCell ref="J87:L87"/>
    <mergeCell ref="M87:P87"/>
    <mergeCell ref="Q87:S87"/>
    <mergeCell ref="T87:V87"/>
    <mergeCell ref="W89:Y89"/>
    <mergeCell ref="Z89:AB89"/>
    <mergeCell ref="B90:D90"/>
    <mergeCell ref="E90:I90"/>
    <mergeCell ref="J90:L90"/>
    <mergeCell ref="M90:P90"/>
    <mergeCell ref="Q90:S90"/>
    <mergeCell ref="T90:V90"/>
    <mergeCell ref="W90:Y90"/>
    <mergeCell ref="Z90:AB90"/>
    <mergeCell ref="B89:D89"/>
    <mergeCell ref="E89:I89"/>
    <mergeCell ref="J89:L89"/>
    <mergeCell ref="M89:P89"/>
    <mergeCell ref="Q89:S89"/>
    <mergeCell ref="T89:V89"/>
    <mergeCell ref="N95:P95"/>
    <mergeCell ref="Q95:S95"/>
    <mergeCell ref="T95:V95"/>
    <mergeCell ref="B94:F94"/>
    <mergeCell ref="G94:H94"/>
    <mergeCell ref="I94:L94"/>
    <mergeCell ref="N94:P94"/>
    <mergeCell ref="Q94:S94"/>
    <mergeCell ref="T94:V94"/>
    <mergeCell ref="W94:Y94"/>
    <mergeCell ref="Z94:AB94"/>
    <mergeCell ref="AC94:AE94"/>
    <mergeCell ref="B97:F97"/>
    <mergeCell ref="G97:H97"/>
    <mergeCell ref="I97:L97"/>
    <mergeCell ref="N97:P97"/>
    <mergeCell ref="Q97:S97"/>
    <mergeCell ref="T97:V97"/>
    <mergeCell ref="B96:F96"/>
    <mergeCell ref="W95:Y95"/>
    <mergeCell ref="Z95:AB95"/>
    <mergeCell ref="AC95:AE95"/>
    <mergeCell ref="G96:H96"/>
    <mergeCell ref="I96:L96"/>
    <mergeCell ref="N96:P96"/>
    <mergeCell ref="Q96:S96"/>
    <mergeCell ref="T96:V96"/>
    <mergeCell ref="W96:Y96"/>
    <mergeCell ref="Z96:AB96"/>
    <mergeCell ref="AC96:AE96"/>
    <mergeCell ref="B95:F95"/>
    <mergeCell ref="G95:H95"/>
    <mergeCell ref="I95:L95"/>
    <mergeCell ref="B110:E110"/>
    <mergeCell ref="F110:H110"/>
    <mergeCell ref="J110:M110"/>
    <mergeCell ref="N110:P110"/>
    <mergeCell ref="Q110:S110"/>
    <mergeCell ref="W97:Y97"/>
    <mergeCell ref="Z97:AB97"/>
    <mergeCell ref="AC97:AE97"/>
    <mergeCell ref="B98:F98"/>
    <mergeCell ref="G98:H98"/>
    <mergeCell ref="I98:L98"/>
    <mergeCell ref="N98:P98"/>
    <mergeCell ref="Q98:S98"/>
    <mergeCell ref="T98:V98"/>
    <mergeCell ref="B106:D106"/>
    <mergeCell ref="E106:I106"/>
    <mergeCell ref="J106:L106"/>
    <mergeCell ref="M106:P106"/>
    <mergeCell ref="Q106:S106"/>
    <mergeCell ref="B111:E111"/>
    <mergeCell ref="F111:H111"/>
    <mergeCell ref="J111:M111"/>
    <mergeCell ref="N111:R111"/>
    <mergeCell ref="B112:E112"/>
    <mergeCell ref="F112:H112"/>
    <mergeCell ref="W98:Y98"/>
    <mergeCell ref="Z98:AB98"/>
    <mergeCell ref="AC98:AE98"/>
    <mergeCell ref="B102:D102"/>
    <mergeCell ref="E102:I102"/>
    <mergeCell ref="J102:L102"/>
    <mergeCell ref="M102:P102"/>
    <mergeCell ref="Q102:S102"/>
    <mergeCell ref="B103:D103"/>
    <mergeCell ref="E103:I103"/>
    <mergeCell ref="J103:L103"/>
    <mergeCell ref="M103:P103"/>
    <mergeCell ref="Q103:S103"/>
    <mergeCell ref="B104:D104"/>
    <mergeCell ref="E104:I104"/>
    <mergeCell ref="J104:L104"/>
    <mergeCell ref="M104:P104"/>
    <mergeCell ref="Q104:S104"/>
    <mergeCell ref="B121:E121"/>
    <mergeCell ref="F121:J121"/>
    <mergeCell ref="B122:E122"/>
    <mergeCell ref="F122:H122"/>
    <mergeCell ref="I122:K122"/>
    <mergeCell ref="B116:E116"/>
    <mergeCell ref="F116:J116"/>
    <mergeCell ref="K116:N116"/>
    <mergeCell ref="O116:S116"/>
    <mergeCell ref="B117:E117"/>
    <mergeCell ref="F117:J117"/>
    <mergeCell ref="K117:N117"/>
    <mergeCell ref="O117:S117"/>
  </mergeCells>
  <conditionalFormatting sqref="F22">
    <cfRule type="containsBlanks" dxfId="232" priority="86">
      <formula>LEN(TRIM(F22))=0</formula>
    </cfRule>
  </conditionalFormatting>
  <conditionalFormatting sqref="F31">
    <cfRule type="containsBlanks" dxfId="231" priority="85">
      <formula>LEN(TRIM(F31))=0</formula>
    </cfRule>
  </conditionalFormatting>
  <conditionalFormatting sqref="F48">
    <cfRule type="containsBlanks" dxfId="230" priority="84">
      <formula>LEN(TRIM(F48))=0</formula>
    </cfRule>
  </conditionalFormatting>
  <conditionalFormatting sqref="F47">
    <cfRule type="containsBlanks" dxfId="229" priority="80">
      <formula>LEN(TRIM(F47))=0</formula>
    </cfRule>
  </conditionalFormatting>
  <conditionalFormatting sqref="F30">
    <cfRule type="containsBlanks" dxfId="228" priority="79">
      <formula>LEN(TRIM(F30))=0</formula>
    </cfRule>
  </conditionalFormatting>
  <conditionalFormatting sqref="F21">
    <cfRule type="containsBlanks" dxfId="227" priority="78">
      <formula>LEN(TRIM(F21))=0</formula>
    </cfRule>
  </conditionalFormatting>
  <conditionalFormatting sqref="G14">
    <cfRule type="containsBlanks" dxfId="226" priority="69">
      <formula>LEN(TRIM(G14))=0</formula>
    </cfRule>
  </conditionalFormatting>
  <conditionalFormatting sqref="I14">
    <cfRule type="containsBlanks" dxfId="225" priority="68">
      <formula>LEN(TRIM(I14))=0</formula>
    </cfRule>
  </conditionalFormatting>
  <conditionalFormatting sqref="K14">
    <cfRule type="containsBlanks" dxfId="224" priority="67">
      <formula>LEN(TRIM(K14))=0</formula>
    </cfRule>
  </conditionalFormatting>
  <conditionalFormatting sqref="J51:J58">
    <cfRule type="containsBlanks" dxfId="223" priority="74">
      <formula>LEN(TRIM(J51))=0</formula>
    </cfRule>
  </conditionalFormatting>
  <conditionalFormatting sqref="J35:J42">
    <cfRule type="containsBlanks" dxfId="222" priority="73">
      <formula>LEN(TRIM(J35))=0</formula>
    </cfRule>
  </conditionalFormatting>
  <conditionalFormatting sqref="J25">
    <cfRule type="containsBlanks" dxfId="221" priority="72">
      <formula>LEN(TRIM(J25))=0</formula>
    </cfRule>
  </conditionalFormatting>
  <conditionalFormatting sqref="K48">
    <cfRule type="containsBlanks" dxfId="220" priority="71">
      <formula>LEN(TRIM(K48))=0</formula>
    </cfRule>
  </conditionalFormatting>
  <conditionalFormatting sqref="K31">
    <cfRule type="containsBlanks" dxfId="219" priority="70">
      <formula>LEN(TRIM(K31))=0</formula>
    </cfRule>
  </conditionalFormatting>
  <conditionalFormatting sqref="M14">
    <cfRule type="containsBlanks" dxfId="218" priority="66">
      <formula>LEN(TRIM(M14))=0</formula>
    </cfRule>
  </conditionalFormatting>
  <conditionalFormatting sqref="O116">
    <cfRule type="containsBlanks" dxfId="217" priority="65">
      <formula>LEN(TRIM(O116))=0</formula>
    </cfRule>
  </conditionalFormatting>
  <conditionalFormatting sqref="F117">
    <cfRule type="containsBlanks" dxfId="216" priority="64">
      <formula>LEN(TRIM(F117))=0</formula>
    </cfRule>
  </conditionalFormatting>
  <conditionalFormatting sqref="F116">
    <cfRule type="containsBlanks" dxfId="215" priority="63">
      <formula>LEN(TRIM(F116))=0</formula>
    </cfRule>
  </conditionalFormatting>
  <conditionalFormatting sqref="O117">
    <cfRule type="containsBlanks" dxfId="214" priority="62">
      <formula>LEN(TRIM(O117))=0</formula>
    </cfRule>
  </conditionalFormatting>
  <conditionalFormatting sqref="F121 F110:H112 F122:K122 Q110 N110:N111">
    <cfRule type="containsBlanks" dxfId="213" priority="61">
      <formula>LEN(TRIM(F110))=0</formula>
    </cfRule>
  </conditionalFormatting>
  <conditionalFormatting sqref="B95">
    <cfRule type="containsBlanks" dxfId="212" priority="60">
      <formula>LEN(TRIM(B95))=0</formula>
    </cfRule>
  </conditionalFormatting>
  <conditionalFormatting sqref="I95">
    <cfRule type="containsBlanks" dxfId="211" priority="59">
      <formula>LEN(TRIM(I95))=0</formula>
    </cfRule>
  </conditionalFormatting>
  <conditionalFormatting sqref="W95">
    <cfRule type="containsBlanks" dxfId="210" priority="58">
      <formula>LEN(TRIM(W95))=0</formula>
    </cfRule>
  </conditionalFormatting>
  <conditionalFormatting sqref="Z95">
    <cfRule type="containsBlanks" dxfId="209" priority="57">
      <formula>LEN(TRIM(Z95))=0</formula>
    </cfRule>
  </conditionalFormatting>
  <conditionalFormatting sqref="G95">
    <cfRule type="containsBlanks" dxfId="208" priority="56">
      <formula>LEN(TRIM(G95))=0</formula>
    </cfRule>
  </conditionalFormatting>
  <conditionalFormatting sqref="N95">
    <cfRule type="containsBlanks" dxfId="207" priority="55">
      <formula>LEN(TRIM(N95))=0</formula>
    </cfRule>
  </conditionalFormatting>
  <conditionalFormatting sqref="Q95">
    <cfRule type="containsBlanks" dxfId="206" priority="54">
      <formula>LEN(TRIM(Q95))=0</formula>
    </cfRule>
  </conditionalFormatting>
  <conditionalFormatting sqref="T95">
    <cfRule type="containsBlanks" dxfId="205" priority="53">
      <formula>LEN(TRIM(T95))=0</formula>
    </cfRule>
  </conditionalFormatting>
  <conditionalFormatting sqref="B96">
    <cfRule type="containsBlanks" dxfId="204" priority="50">
      <formula>LEN(TRIM(B96))=0</formula>
    </cfRule>
  </conditionalFormatting>
  <conditionalFormatting sqref="I96">
    <cfRule type="containsBlanks" dxfId="203" priority="49">
      <formula>LEN(TRIM(I96))=0</formula>
    </cfRule>
  </conditionalFormatting>
  <conditionalFormatting sqref="W96">
    <cfRule type="containsBlanks" dxfId="202" priority="48">
      <formula>LEN(TRIM(W96))=0</formula>
    </cfRule>
  </conditionalFormatting>
  <conditionalFormatting sqref="Z96">
    <cfRule type="containsBlanks" dxfId="201" priority="47">
      <formula>LEN(TRIM(Z96))=0</formula>
    </cfRule>
  </conditionalFormatting>
  <conditionalFormatting sqref="G96">
    <cfRule type="containsBlanks" dxfId="200" priority="46">
      <formula>LEN(TRIM(G96))=0</formula>
    </cfRule>
  </conditionalFormatting>
  <conditionalFormatting sqref="N96">
    <cfRule type="containsBlanks" dxfId="199" priority="45">
      <formula>LEN(TRIM(N96))=0</formula>
    </cfRule>
  </conditionalFormatting>
  <conditionalFormatting sqref="Q96">
    <cfRule type="containsBlanks" dxfId="198" priority="44">
      <formula>LEN(TRIM(Q96))=0</formula>
    </cfRule>
  </conditionalFormatting>
  <conditionalFormatting sqref="T96">
    <cfRule type="containsBlanks" dxfId="197" priority="43">
      <formula>LEN(TRIM(T96))=0</formula>
    </cfRule>
  </conditionalFormatting>
  <conditionalFormatting sqref="B97">
    <cfRule type="containsBlanks" dxfId="196" priority="40">
      <formula>LEN(TRIM(B97))=0</formula>
    </cfRule>
  </conditionalFormatting>
  <conditionalFormatting sqref="I97">
    <cfRule type="containsBlanks" dxfId="195" priority="39">
      <formula>LEN(TRIM(I97))=0</formula>
    </cfRule>
  </conditionalFormatting>
  <conditionalFormatting sqref="W97">
    <cfRule type="containsBlanks" dxfId="194" priority="38">
      <formula>LEN(TRIM(W97))=0</formula>
    </cfRule>
  </conditionalFormatting>
  <conditionalFormatting sqref="Z97">
    <cfRule type="containsBlanks" dxfId="193" priority="37">
      <formula>LEN(TRIM(Z97))=0</formula>
    </cfRule>
  </conditionalFormatting>
  <conditionalFormatting sqref="G97">
    <cfRule type="containsBlanks" dxfId="192" priority="36">
      <formula>LEN(TRIM(G97))=0</formula>
    </cfRule>
  </conditionalFormatting>
  <conditionalFormatting sqref="N97">
    <cfRule type="containsBlanks" dxfId="191" priority="35">
      <formula>LEN(TRIM(N97))=0</formula>
    </cfRule>
  </conditionalFormatting>
  <conditionalFormatting sqref="Q97">
    <cfRule type="containsBlanks" dxfId="190" priority="34">
      <formula>LEN(TRIM(Q97))=0</formula>
    </cfRule>
  </conditionalFormatting>
  <conditionalFormatting sqref="T97">
    <cfRule type="containsBlanks" dxfId="189" priority="33">
      <formula>LEN(TRIM(T97))=0</formula>
    </cfRule>
  </conditionalFormatting>
  <conditionalFormatting sqref="B98">
    <cfRule type="containsBlanks" dxfId="188" priority="30">
      <formula>LEN(TRIM(B98))=0</formula>
    </cfRule>
  </conditionalFormatting>
  <conditionalFormatting sqref="I98">
    <cfRule type="containsBlanks" dxfId="187" priority="29">
      <formula>LEN(TRIM(I98))=0</formula>
    </cfRule>
  </conditionalFormatting>
  <conditionalFormatting sqref="W98">
    <cfRule type="containsBlanks" dxfId="186" priority="28">
      <formula>LEN(TRIM(W98))=0</formula>
    </cfRule>
  </conditionalFormatting>
  <conditionalFormatting sqref="Z98">
    <cfRule type="containsBlanks" dxfId="185" priority="27">
      <formula>LEN(TRIM(Z98))=0</formula>
    </cfRule>
  </conditionalFormatting>
  <conditionalFormatting sqref="G98">
    <cfRule type="containsBlanks" dxfId="184" priority="26">
      <formula>LEN(TRIM(G98))=0</formula>
    </cfRule>
  </conditionalFormatting>
  <conditionalFormatting sqref="N98">
    <cfRule type="containsBlanks" dxfId="183" priority="25">
      <formula>LEN(TRIM(N98))=0</formula>
    </cfRule>
  </conditionalFormatting>
  <conditionalFormatting sqref="Q98">
    <cfRule type="containsBlanks" dxfId="182" priority="24">
      <formula>LEN(TRIM(Q98))=0</formula>
    </cfRule>
  </conditionalFormatting>
  <conditionalFormatting sqref="T98">
    <cfRule type="containsBlanks" dxfId="181" priority="23">
      <formula>LEN(TRIM(T98))=0</formula>
    </cfRule>
  </conditionalFormatting>
  <conditionalFormatting sqref="F16:J16 F9">
    <cfRule type="containsBlanks" dxfId="180" priority="20">
      <formula>LEN(TRIM(F9))=0</formula>
    </cfRule>
  </conditionalFormatting>
  <conditionalFormatting sqref="F20">
    <cfRule type="containsBlanks" dxfId="179" priority="19">
      <formula>LEN(TRIM(F20))=0</formula>
    </cfRule>
  </conditionalFormatting>
  <conditionalFormatting sqref="F29">
    <cfRule type="containsBlanks" dxfId="178" priority="18">
      <formula>LEN(TRIM(F29))=0</formula>
    </cfRule>
  </conditionalFormatting>
  <conditionalFormatting sqref="F46">
    <cfRule type="containsBlanks" dxfId="177" priority="17">
      <formula>LEN(TRIM(F46))=0</formula>
    </cfRule>
  </conditionalFormatting>
  <conditionalFormatting sqref="J67:J74">
    <cfRule type="containsBlanks" dxfId="176" priority="8">
      <formula>LEN(TRIM(J67))=0</formula>
    </cfRule>
  </conditionalFormatting>
  <conditionalFormatting sqref="F62">
    <cfRule type="containsBlanks" dxfId="175" priority="7">
      <formula>LEN(TRIM(F62))=0</formula>
    </cfRule>
  </conditionalFormatting>
  <conditionalFormatting sqref="M95:M98">
    <cfRule type="containsBlanks" dxfId="174" priority="14">
      <formula>LEN(TRIM(M95))=0</formula>
    </cfRule>
  </conditionalFormatting>
  <conditionalFormatting sqref="F64">
    <cfRule type="containsBlanks" dxfId="173" priority="13">
      <formula>LEN(TRIM(F64))=0</formula>
    </cfRule>
  </conditionalFormatting>
  <conditionalFormatting sqref="F79:F80">
    <cfRule type="containsBlanks" dxfId="172" priority="12">
      <formula>LEN(TRIM(F79))=0</formula>
    </cfRule>
  </conditionalFormatting>
  <conditionalFormatting sqref="F63">
    <cfRule type="containsBlanks" dxfId="171" priority="11">
      <formula>LEN(TRIM(F63))=0</formula>
    </cfRule>
  </conditionalFormatting>
  <conditionalFormatting sqref="J87:J90">
    <cfRule type="containsBlanks" dxfId="170" priority="10">
      <formula>LEN(TRIM(J87))=0</formula>
    </cfRule>
  </conditionalFormatting>
  <conditionalFormatting sqref="J83:J86">
    <cfRule type="containsBlanks" dxfId="169" priority="9">
      <formula>LEN(TRIM(J83))=0</formula>
    </cfRule>
  </conditionalFormatting>
  <conditionalFormatting sqref="F78">
    <cfRule type="containsBlanks" dxfId="168" priority="6">
      <formula>LEN(TRIM(F78))=0</formula>
    </cfRule>
  </conditionalFormatting>
  <conditionalFormatting sqref="W35:W42">
    <cfRule type="containsBlanks" dxfId="167" priority="5">
      <formula>LEN(TRIM(W35))=0</formula>
    </cfRule>
  </conditionalFormatting>
  <conditionalFormatting sqref="W16:Y16">
    <cfRule type="containsBlanks" dxfId="166" priority="4">
      <formula>LEN(TRIM(W16))=0</formula>
    </cfRule>
  </conditionalFormatting>
  <conditionalFormatting sqref="W25">
    <cfRule type="containsBlanks" dxfId="165" priority="3">
      <formula>LEN(TRIM(W25))=0</formula>
    </cfRule>
  </conditionalFormatting>
  <conditionalFormatting sqref="W51:W58">
    <cfRule type="containsBlanks" dxfId="164" priority="2">
      <formula>LEN(TRIM(W51))=0</formula>
    </cfRule>
  </conditionalFormatting>
  <conditionalFormatting sqref="AC95:AC98">
    <cfRule type="containsBlanks" dxfId="163" priority="1">
      <formula>LEN(TRIM(AC95))=0</formula>
    </cfRule>
  </conditionalFormatting>
  <dataValidations count="3">
    <dataValidation type="list" allowBlank="1" sqref="F63" xr:uid="{00000000-0002-0000-0A00-000000000000}">
      <formula1>$C$17:$C$22</formula1>
    </dataValidation>
    <dataValidation type="list" allowBlank="1" sqref="F20 F29 F46 M95:M98 F62 F78" xr:uid="{00000000-0002-0000-0A00-000001000000}">
      <formula1>VLANList</formula1>
    </dataValidation>
    <dataValidation type="list" allowBlank="1" showInputMessage="1" showErrorMessage="1" sqref="W25:Y25 AC95:AE98 W51:Y58" xr:uid="{00000000-0002-0000-0A00-000002000000}">
      <formula1>$B$109:$B$118</formula1>
    </dataValidation>
  </dataValidations>
  <pageMargins left="0.7" right="0.7" top="0.75" bottom="0.75" header="0.3" footer="0.3"/>
  <pageSetup orientation="portrait"/>
  <drawing r:id="rId1"/>
  <legacyDrawing r:id="rId2"/>
  <extLst>
    <ext xmlns:x14="http://schemas.microsoft.com/office/spreadsheetml/2009/9/main" uri="{CCE6A557-97BC-4b89-ADB6-D9C93CAAB3DF}">
      <x14:dataValidations xmlns:xm="http://schemas.microsoft.com/office/excel/2006/main" count="9">
        <x14:dataValidation type="list" allowBlank="1" xr:uid="{00000000-0002-0000-0A00-000005000000}">
          <x14:formula1>
            <xm:f>Dropdowns!$I$5:$I$6</xm:f>
          </x14:formula1>
          <xm:sqref>G95:G98</xm:sqref>
        </x14:dataValidation>
        <x14:dataValidation type="list" allowBlank="1" xr:uid="{00000000-0002-0000-0A00-000006000000}">
          <x14:formula1>
            <xm:f>'c-Cluster'!$C$21:$C$26</xm:f>
          </x14:formula1>
          <xm:sqref>F79</xm:sqref>
        </x14:dataValidation>
        <x14:dataValidation type="list" allowBlank="1" xr:uid="{00000000-0002-0000-0A00-000007000000}">
          <x14:formula1>
            <xm:f>Dropdowns!$B$3:$B$4</xm:f>
          </x14:formula1>
          <xm:sqref>F22 F48 F31 M14 G14 I14 K14 F64 F80</xm:sqref>
        </x14:dataValidation>
        <x14:dataValidation type="list" allowBlank="1" showInputMessage="1" showErrorMessage="1" xr:uid="{00000000-0002-0000-0A00-000008000000}">
          <x14:formula1>
            <xm:f>'c-Cluster'!$E$71:$E$75</xm:f>
          </x14:formula1>
          <xm:sqref>F16:J16</xm:sqref>
        </x14:dataValidation>
        <x14:dataValidation type="list" allowBlank="1" showInputMessage="1" showErrorMessage="1" xr:uid="{00000000-0002-0000-0A00-000009000000}">
          <x14:formula1>
            <xm:f>'c-Cluster'!$B$104:$B$113</xm:f>
          </x14:formula1>
          <xm:sqref>W35:Y42</xm:sqref>
        </x14:dataValidation>
        <x14:dataValidation type="list" allowBlank="1" showInputMessage="1" showErrorMessage="1" xr:uid="{00000000-0002-0000-0A00-00000A000000}">
          <x14:formula1>
            <xm:f>'c-Cluster'!$B$83:$B$86</xm:f>
          </x14:formula1>
          <xm:sqref>W16:Y16</xm:sqref>
        </x14:dataValidation>
        <x14:dataValidation type="list" allowBlank="1" xr:uid="{00000000-0002-0000-0A00-00000B000000}">
          <x14:formula1>
            <xm:f>'c-Cluster'!$C21:C25</xm:f>
          </x14:formula1>
          <xm:sqref>F21</xm:sqref>
        </x14:dataValidation>
        <x14:dataValidation type="list" allowBlank="1" xr:uid="{00000000-0002-0000-0A00-00000C000000}">
          <x14:formula1>
            <xm:f>'c-Cluster'!$C21:C25</xm:f>
          </x14:formula1>
          <xm:sqref>F30</xm:sqref>
        </x14:dataValidation>
        <x14:dataValidation type="list" allowBlank="1" xr:uid="{00000000-0002-0000-0A00-00000D000000}">
          <x14:formula1>
            <xm:f>'c-Cluster'!$C21:C25</xm:f>
          </x14:formula1>
          <xm:sqref>F47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AH105"/>
  <sheetViews>
    <sheetView workbookViewId="0">
      <selection activeCell="O83" sqref="O83:P83"/>
    </sheetView>
  </sheetViews>
  <sheetFormatPr defaultColWidth="8.85546875" defaultRowHeight="14.25" x14ac:dyDescent="0.2"/>
  <cols>
    <col min="1" max="26" width="7.140625" style="165" customWidth="1"/>
    <col min="27" max="16384" width="8.85546875" style="165"/>
  </cols>
  <sheetData>
    <row r="2" spans="1:23" ht="19.5" x14ac:dyDescent="0.25">
      <c r="A2" s="164" t="s">
        <v>877</v>
      </c>
    </row>
    <row r="3" spans="1:23" ht="18" x14ac:dyDescent="0.25">
      <c r="U3" s="166" t="s">
        <v>878</v>
      </c>
    </row>
    <row r="5" spans="1:23" x14ac:dyDescent="0.2">
      <c r="A5" s="165" t="s">
        <v>879</v>
      </c>
    </row>
    <row r="6" spans="1:23" s="168" customFormat="1" ht="10.5" x14ac:dyDescent="0.15">
      <c r="A6" s="167"/>
    </row>
    <row r="7" spans="1:23" ht="15" thickBot="1" x14ac:dyDescent="0.25">
      <c r="A7" s="165" t="s">
        <v>880</v>
      </c>
    </row>
    <row r="8" spans="1:23" s="168" customFormat="1" ht="12" thickBot="1" x14ac:dyDescent="0.25">
      <c r="B8" s="402" t="s">
        <v>881</v>
      </c>
      <c r="C8" s="403"/>
      <c r="D8" s="404"/>
      <c r="E8" s="398" t="s">
        <v>882</v>
      </c>
      <c r="F8" s="404"/>
      <c r="G8" s="398" t="s">
        <v>229</v>
      </c>
      <c r="H8" s="403"/>
      <c r="I8" s="404"/>
      <c r="J8" s="398" t="s">
        <v>883</v>
      </c>
      <c r="K8" s="403"/>
      <c r="L8" s="404"/>
      <c r="M8" s="398" t="s">
        <v>477</v>
      </c>
      <c r="N8" s="403"/>
      <c r="O8" s="404"/>
      <c r="P8" s="398" t="s">
        <v>46</v>
      </c>
      <c r="Q8" s="403"/>
      <c r="R8" s="404"/>
      <c r="S8" s="398" t="s">
        <v>884</v>
      </c>
      <c r="T8" s="399"/>
      <c r="U8" s="398" t="s">
        <v>64</v>
      </c>
      <c r="V8" s="399"/>
    </row>
    <row r="9" spans="1:23" s="168" customFormat="1" ht="14.25" customHeight="1" x14ac:dyDescent="0.2">
      <c r="B9" s="400">
        <v>1</v>
      </c>
      <c r="C9" s="401"/>
      <c r="D9" s="401"/>
      <c r="E9" s="400" t="s">
        <v>885</v>
      </c>
      <c r="F9" s="401"/>
      <c r="G9" s="295"/>
      <c r="H9" s="296"/>
      <c r="I9" s="297"/>
      <c r="J9" s="295"/>
      <c r="K9" s="296"/>
      <c r="L9" s="297"/>
      <c r="M9" s="295"/>
      <c r="N9" s="296"/>
      <c r="O9" s="297"/>
      <c r="P9" s="295"/>
      <c r="Q9" s="296"/>
      <c r="R9" s="297"/>
      <c r="S9" s="295"/>
      <c r="T9" s="297"/>
      <c r="U9" s="295"/>
      <c r="V9" s="297"/>
    </row>
    <row r="10" spans="1:23" s="168" customFormat="1" ht="11.25" x14ac:dyDescent="0.2">
      <c r="B10" s="405">
        <v>2</v>
      </c>
      <c r="C10" s="406"/>
      <c r="D10" s="406"/>
      <c r="E10" s="405" t="s">
        <v>885</v>
      </c>
      <c r="F10" s="406"/>
      <c r="G10" s="288"/>
      <c r="H10" s="289"/>
      <c r="I10" s="290"/>
      <c r="J10" s="288"/>
      <c r="K10" s="289"/>
      <c r="L10" s="290"/>
      <c r="M10" s="288"/>
      <c r="N10" s="289"/>
      <c r="O10" s="290"/>
      <c r="P10" s="288"/>
      <c r="Q10" s="289"/>
      <c r="R10" s="290"/>
      <c r="S10" s="288"/>
      <c r="T10" s="290"/>
      <c r="U10" s="288"/>
      <c r="V10" s="290"/>
    </row>
    <row r="11" spans="1:23" s="168" customFormat="1" ht="11.25" x14ac:dyDescent="0.2">
      <c r="B11" s="405">
        <v>3</v>
      </c>
      <c r="C11" s="406"/>
      <c r="D11" s="406"/>
      <c r="E11" s="405" t="s">
        <v>886</v>
      </c>
      <c r="F11" s="406"/>
      <c r="G11" s="288"/>
      <c r="H11" s="289"/>
      <c r="I11" s="290"/>
      <c r="J11" s="288"/>
      <c r="K11" s="289"/>
      <c r="L11" s="290"/>
      <c r="M11" s="288"/>
      <c r="N11" s="289"/>
      <c r="O11" s="290"/>
      <c r="P11" s="288"/>
      <c r="Q11" s="289"/>
      <c r="R11" s="290"/>
      <c r="S11" s="288"/>
      <c r="T11" s="290"/>
      <c r="U11" s="288"/>
      <c r="V11" s="290"/>
    </row>
    <row r="12" spans="1:23" s="168" customFormat="1" ht="11.25" x14ac:dyDescent="0.2">
      <c r="B12" s="405">
        <v>4</v>
      </c>
      <c r="C12" s="406"/>
      <c r="D12" s="406"/>
      <c r="E12" s="405" t="s">
        <v>886</v>
      </c>
      <c r="F12" s="406"/>
      <c r="G12" s="288"/>
      <c r="H12" s="289"/>
      <c r="I12" s="290"/>
      <c r="J12" s="288"/>
      <c r="K12" s="289"/>
      <c r="L12" s="290"/>
      <c r="M12" s="288"/>
      <c r="N12" s="289"/>
      <c r="O12" s="290"/>
      <c r="P12" s="288"/>
      <c r="Q12" s="289"/>
      <c r="R12" s="290"/>
      <c r="S12" s="288"/>
      <c r="T12" s="290"/>
      <c r="U12" s="288"/>
      <c r="V12" s="290"/>
    </row>
    <row r="13" spans="1:23" s="168" customFormat="1" ht="10.5" x14ac:dyDescent="0.15"/>
    <row r="14" spans="1:23" ht="15" thickBot="1" x14ac:dyDescent="0.25">
      <c r="A14" s="165" t="s">
        <v>887</v>
      </c>
    </row>
    <row r="15" spans="1:23" s="168" customFormat="1" ht="12" thickBot="1" x14ac:dyDescent="0.25">
      <c r="B15" s="402" t="s">
        <v>888</v>
      </c>
      <c r="C15" s="403"/>
      <c r="D15" s="404"/>
      <c r="E15" s="398" t="s">
        <v>882</v>
      </c>
      <c r="F15" s="404"/>
      <c r="G15" s="398" t="s">
        <v>889</v>
      </c>
      <c r="H15" s="404"/>
      <c r="I15" s="398" t="s">
        <v>229</v>
      </c>
      <c r="J15" s="403"/>
      <c r="K15" s="404"/>
      <c r="L15" s="398" t="s">
        <v>883</v>
      </c>
      <c r="M15" s="403"/>
      <c r="N15" s="404"/>
      <c r="O15" s="398" t="s">
        <v>477</v>
      </c>
      <c r="P15" s="403"/>
      <c r="Q15" s="404"/>
      <c r="R15" s="398" t="s">
        <v>46</v>
      </c>
      <c r="S15" s="403"/>
      <c r="T15" s="404"/>
      <c r="U15" s="398" t="s">
        <v>64</v>
      </c>
      <c r="V15" s="403"/>
      <c r="W15" s="404"/>
    </row>
    <row r="16" spans="1:23" s="168" customFormat="1" ht="14.25" customHeight="1" x14ac:dyDescent="0.2">
      <c r="B16" s="400">
        <v>10</v>
      </c>
      <c r="C16" s="401"/>
      <c r="D16" s="401"/>
      <c r="E16" s="400" t="s">
        <v>885</v>
      </c>
      <c r="F16" s="401"/>
      <c r="G16" s="400" t="s">
        <v>885</v>
      </c>
      <c r="H16" s="401"/>
      <c r="I16" s="407"/>
      <c r="J16" s="408"/>
      <c r="K16" s="409"/>
      <c r="L16" s="407"/>
      <c r="M16" s="408"/>
      <c r="N16" s="409"/>
      <c r="O16" s="407"/>
      <c r="P16" s="408"/>
      <c r="Q16" s="409"/>
      <c r="R16" s="407"/>
      <c r="S16" s="408"/>
      <c r="T16" s="409"/>
      <c r="U16" s="407"/>
      <c r="V16" s="408"/>
      <c r="W16" s="409"/>
    </row>
    <row r="17" spans="1:34" s="168" customFormat="1" ht="14.25" customHeight="1" x14ac:dyDescent="0.2">
      <c r="B17" s="405">
        <v>10</v>
      </c>
      <c r="C17" s="406"/>
      <c r="D17" s="406"/>
      <c r="E17" s="405" t="s">
        <v>885</v>
      </c>
      <c r="F17" s="406"/>
      <c r="G17" s="405" t="s">
        <v>886</v>
      </c>
      <c r="H17" s="406"/>
      <c r="I17" s="288"/>
      <c r="J17" s="289"/>
      <c r="K17" s="290"/>
      <c r="L17" s="288"/>
      <c r="M17" s="289"/>
      <c r="N17" s="290"/>
      <c r="O17" s="288"/>
      <c r="P17" s="289"/>
      <c r="Q17" s="290"/>
      <c r="R17" s="288"/>
      <c r="S17" s="289"/>
      <c r="T17" s="290"/>
      <c r="U17" s="288"/>
      <c r="V17" s="289"/>
      <c r="W17" s="290"/>
    </row>
    <row r="18" spans="1:34" s="168" customFormat="1" ht="14.25" customHeight="1" x14ac:dyDescent="0.2">
      <c r="B18" s="405">
        <v>20</v>
      </c>
      <c r="C18" s="406"/>
      <c r="D18" s="406"/>
      <c r="E18" s="405" t="s">
        <v>886</v>
      </c>
      <c r="F18" s="406"/>
      <c r="G18" s="405" t="s">
        <v>885</v>
      </c>
      <c r="H18" s="406"/>
      <c r="I18" s="288"/>
      <c r="J18" s="289"/>
      <c r="K18" s="290"/>
      <c r="L18" s="288"/>
      <c r="M18" s="289"/>
      <c r="N18" s="290"/>
      <c r="O18" s="288"/>
      <c r="P18" s="289"/>
      <c r="Q18" s="290"/>
      <c r="R18" s="288"/>
      <c r="S18" s="289"/>
      <c r="T18" s="290"/>
      <c r="U18" s="288"/>
      <c r="V18" s="289"/>
      <c r="W18" s="290"/>
    </row>
    <row r="19" spans="1:34" s="168" customFormat="1" ht="14.25" customHeight="1" x14ac:dyDescent="0.2">
      <c r="B19" s="405">
        <v>20</v>
      </c>
      <c r="C19" s="406"/>
      <c r="D19" s="406"/>
      <c r="E19" s="405" t="s">
        <v>886</v>
      </c>
      <c r="F19" s="406"/>
      <c r="G19" s="405" t="s">
        <v>886</v>
      </c>
      <c r="H19" s="406"/>
      <c r="I19" s="288"/>
      <c r="J19" s="289"/>
      <c r="K19" s="290"/>
      <c r="L19" s="288"/>
      <c r="M19" s="289"/>
      <c r="N19" s="290"/>
      <c r="O19" s="288"/>
      <c r="P19" s="289"/>
      <c r="Q19" s="290"/>
      <c r="R19" s="288"/>
      <c r="S19" s="289"/>
      <c r="T19" s="290"/>
      <c r="U19" s="288"/>
      <c r="V19" s="289"/>
      <c r="W19" s="290"/>
    </row>
    <row r="20" spans="1:34" s="168" customFormat="1" ht="14.25" customHeight="1" x14ac:dyDescent="0.2">
      <c r="B20" s="400">
        <v>30</v>
      </c>
      <c r="C20" s="401"/>
      <c r="D20" s="401"/>
      <c r="E20" s="400" t="s">
        <v>885</v>
      </c>
      <c r="F20" s="401"/>
      <c r="G20" s="400" t="s">
        <v>885</v>
      </c>
      <c r="H20" s="401"/>
      <c r="I20" s="288"/>
      <c r="J20" s="289"/>
      <c r="K20" s="290"/>
      <c r="L20" s="288"/>
      <c r="M20" s="289"/>
      <c r="N20" s="290"/>
      <c r="O20" s="288"/>
      <c r="P20" s="289"/>
      <c r="Q20" s="290"/>
      <c r="R20" s="288"/>
      <c r="S20" s="289"/>
      <c r="T20" s="290"/>
      <c r="U20" s="288"/>
      <c r="V20" s="289"/>
      <c r="W20" s="290"/>
    </row>
    <row r="21" spans="1:34" s="168" customFormat="1" ht="14.25" customHeight="1" x14ac:dyDescent="0.2">
      <c r="B21" s="405">
        <v>30</v>
      </c>
      <c r="C21" s="406"/>
      <c r="D21" s="406"/>
      <c r="E21" s="405" t="s">
        <v>885</v>
      </c>
      <c r="F21" s="406"/>
      <c r="G21" s="405" t="s">
        <v>886</v>
      </c>
      <c r="H21" s="406"/>
      <c r="I21" s="288"/>
      <c r="J21" s="289"/>
      <c r="K21" s="290"/>
      <c r="L21" s="288"/>
      <c r="M21" s="289"/>
      <c r="N21" s="290"/>
      <c r="O21" s="288"/>
      <c r="P21" s="289"/>
      <c r="Q21" s="290"/>
      <c r="R21" s="288"/>
      <c r="S21" s="289"/>
      <c r="T21" s="290"/>
      <c r="U21" s="288"/>
      <c r="V21" s="289"/>
      <c r="W21" s="290"/>
    </row>
    <row r="22" spans="1:34" s="168" customFormat="1" ht="14.25" customHeight="1" x14ac:dyDescent="0.2">
      <c r="B22" s="405">
        <v>40</v>
      </c>
      <c r="C22" s="406"/>
      <c r="D22" s="406"/>
      <c r="E22" s="405" t="s">
        <v>886</v>
      </c>
      <c r="F22" s="406"/>
      <c r="G22" s="405" t="s">
        <v>885</v>
      </c>
      <c r="H22" s="406"/>
      <c r="I22" s="288"/>
      <c r="J22" s="289"/>
      <c r="K22" s="290"/>
      <c r="L22" s="288"/>
      <c r="M22" s="289"/>
      <c r="N22" s="290"/>
      <c r="O22" s="288"/>
      <c r="P22" s="289"/>
      <c r="Q22" s="290"/>
      <c r="R22" s="288"/>
      <c r="S22" s="289"/>
      <c r="T22" s="290"/>
      <c r="U22" s="288"/>
      <c r="V22" s="289"/>
      <c r="W22" s="290"/>
    </row>
    <row r="23" spans="1:34" s="168" customFormat="1" ht="14.25" customHeight="1" x14ac:dyDescent="0.2">
      <c r="B23" s="405">
        <v>40</v>
      </c>
      <c r="C23" s="406"/>
      <c r="D23" s="406"/>
      <c r="E23" s="405" t="s">
        <v>886</v>
      </c>
      <c r="F23" s="406"/>
      <c r="G23" s="405" t="s">
        <v>886</v>
      </c>
      <c r="H23" s="406"/>
      <c r="I23" s="288"/>
      <c r="J23" s="289"/>
      <c r="K23" s="290"/>
      <c r="L23" s="288"/>
      <c r="M23" s="289"/>
      <c r="N23" s="290"/>
      <c r="O23" s="288"/>
      <c r="P23" s="289"/>
      <c r="Q23" s="290"/>
      <c r="R23" s="288"/>
      <c r="S23" s="289"/>
      <c r="T23" s="290"/>
      <c r="U23" s="288"/>
      <c r="V23" s="289"/>
      <c r="W23" s="290"/>
    </row>
    <row r="24" spans="1:34" s="168" customFormat="1" ht="14.25" customHeight="1" x14ac:dyDescent="0.15"/>
    <row r="25" spans="1:34" ht="14.25" customHeight="1" thickBot="1" x14ac:dyDescent="0.25">
      <c r="A25" s="165" t="s">
        <v>890</v>
      </c>
      <c r="S25" s="165" t="s">
        <v>891</v>
      </c>
    </row>
    <row r="26" spans="1:34" s="168" customFormat="1" ht="14.25" customHeight="1" thickBot="1" x14ac:dyDescent="0.25">
      <c r="B26" s="402" t="s">
        <v>881</v>
      </c>
      <c r="C26" s="403"/>
      <c r="D26" s="404"/>
      <c r="E26" s="398" t="s">
        <v>892</v>
      </c>
      <c r="F26" s="404"/>
      <c r="G26" s="398" t="s">
        <v>893</v>
      </c>
      <c r="H26" s="404"/>
      <c r="I26" s="398" t="s">
        <v>894</v>
      </c>
      <c r="J26" s="404"/>
      <c r="K26" s="398" t="s">
        <v>895</v>
      </c>
      <c r="L26" s="404"/>
      <c r="M26" s="398" t="s">
        <v>896</v>
      </c>
      <c r="N26" s="404"/>
      <c r="O26" s="398" t="s">
        <v>897</v>
      </c>
      <c r="P26" s="399"/>
      <c r="T26" s="402" t="s">
        <v>881</v>
      </c>
      <c r="U26" s="403"/>
      <c r="V26" s="404"/>
      <c r="W26" s="398" t="s">
        <v>892</v>
      </c>
      <c r="X26" s="404"/>
      <c r="Y26" s="398" t="s">
        <v>893</v>
      </c>
      <c r="Z26" s="404"/>
      <c r="AA26" s="398" t="s">
        <v>894</v>
      </c>
      <c r="AB26" s="404"/>
      <c r="AC26" s="398" t="s">
        <v>895</v>
      </c>
      <c r="AD26" s="404"/>
      <c r="AE26" s="398" t="s">
        <v>896</v>
      </c>
      <c r="AF26" s="404"/>
      <c r="AG26" s="398" t="s">
        <v>897</v>
      </c>
      <c r="AH26" s="399"/>
    </row>
    <row r="27" spans="1:34" s="168" customFormat="1" ht="14.25" customHeight="1" x14ac:dyDescent="0.2">
      <c r="B27" s="400">
        <v>1</v>
      </c>
      <c r="C27" s="401"/>
      <c r="D27" s="401"/>
      <c r="E27" s="400">
        <v>0</v>
      </c>
      <c r="F27" s="401"/>
      <c r="G27" s="410"/>
      <c r="H27" s="411"/>
      <c r="I27" s="410"/>
      <c r="J27" s="411"/>
      <c r="K27" s="410"/>
      <c r="L27" s="411"/>
      <c r="M27" s="410"/>
      <c r="N27" s="411"/>
      <c r="O27" s="410"/>
      <c r="P27" s="411"/>
      <c r="T27" s="400">
        <v>2</v>
      </c>
      <c r="U27" s="401"/>
      <c r="V27" s="401"/>
      <c r="W27" s="400">
        <v>0</v>
      </c>
      <c r="X27" s="401"/>
      <c r="Y27" s="410"/>
      <c r="Z27" s="411"/>
      <c r="AA27" s="410"/>
      <c r="AB27" s="411"/>
      <c r="AC27" s="410"/>
      <c r="AD27" s="411"/>
      <c r="AE27" s="410"/>
      <c r="AF27" s="411"/>
      <c r="AG27" s="410"/>
      <c r="AH27" s="411"/>
    </row>
    <row r="28" spans="1:34" s="168" customFormat="1" ht="14.25" customHeight="1" x14ac:dyDescent="0.2">
      <c r="B28" s="400">
        <v>1</v>
      </c>
      <c r="C28" s="401"/>
      <c r="D28" s="401"/>
      <c r="E28" s="405">
        <v>1</v>
      </c>
      <c r="F28" s="406"/>
      <c r="G28" s="412"/>
      <c r="H28" s="413"/>
      <c r="I28" s="412"/>
      <c r="J28" s="413"/>
      <c r="K28" s="412"/>
      <c r="L28" s="413"/>
      <c r="M28" s="412"/>
      <c r="N28" s="413"/>
      <c r="O28" s="412"/>
      <c r="P28" s="413"/>
      <c r="T28" s="400">
        <v>2</v>
      </c>
      <c r="U28" s="401"/>
      <c r="V28" s="401"/>
      <c r="W28" s="405">
        <v>1</v>
      </c>
      <c r="X28" s="406"/>
      <c r="Y28" s="412"/>
      <c r="Z28" s="413"/>
      <c r="AA28" s="412"/>
      <c r="AB28" s="413"/>
      <c r="AC28" s="412"/>
      <c r="AD28" s="413"/>
      <c r="AE28" s="412"/>
      <c r="AF28" s="413"/>
      <c r="AG28" s="412"/>
      <c r="AH28" s="413"/>
    </row>
    <row r="29" spans="1:34" s="168" customFormat="1" ht="14.25" customHeight="1" x14ac:dyDescent="0.2">
      <c r="B29" s="400">
        <v>1</v>
      </c>
      <c r="C29" s="401"/>
      <c r="D29" s="401"/>
      <c r="E29" s="405">
        <v>2</v>
      </c>
      <c r="F29" s="406"/>
      <c r="G29" s="412"/>
      <c r="H29" s="413"/>
      <c r="I29" s="412"/>
      <c r="J29" s="413"/>
      <c r="K29" s="412"/>
      <c r="L29" s="413"/>
      <c r="M29" s="412"/>
      <c r="N29" s="413"/>
      <c r="O29" s="412"/>
      <c r="P29" s="413"/>
      <c r="T29" s="400">
        <v>2</v>
      </c>
      <c r="U29" s="401"/>
      <c r="V29" s="401"/>
      <c r="W29" s="405">
        <v>2</v>
      </c>
      <c r="X29" s="406"/>
      <c r="Y29" s="412"/>
      <c r="Z29" s="413"/>
      <c r="AA29" s="412"/>
      <c r="AB29" s="413"/>
      <c r="AC29" s="412"/>
      <c r="AD29" s="413"/>
      <c r="AE29" s="412"/>
      <c r="AF29" s="413"/>
      <c r="AG29" s="412"/>
      <c r="AH29" s="413"/>
    </row>
    <row r="30" spans="1:34" s="168" customFormat="1" ht="14.25" customHeight="1" x14ac:dyDescent="0.2">
      <c r="B30" s="400">
        <v>1</v>
      </c>
      <c r="C30" s="401"/>
      <c r="D30" s="401"/>
      <c r="E30" s="405">
        <v>3</v>
      </c>
      <c r="F30" s="406"/>
      <c r="G30" s="412"/>
      <c r="H30" s="413"/>
      <c r="I30" s="412"/>
      <c r="J30" s="413"/>
      <c r="K30" s="412"/>
      <c r="L30" s="413"/>
      <c r="M30" s="412"/>
      <c r="N30" s="413"/>
      <c r="O30" s="412"/>
      <c r="P30" s="413"/>
      <c r="T30" s="400">
        <v>2</v>
      </c>
      <c r="U30" s="401"/>
      <c r="V30" s="401"/>
      <c r="W30" s="405">
        <v>3</v>
      </c>
      <c r="X30" s="406"/>
      <c r="Y30" s="412"/>
      <c r="Z30" s="413"/>
      <c r="AA30" s="412"/>
      <c r="AB30" s="413"/>
      <c r="AC30" s="412"/>
      <c r="AD30" s="413"/>
      <c r="AE30" s="412"/>
      <c r="AF30" s="413"/>
      <c r="AG30" s="412"/>
      <c r="AH30" s="413"/>
    </row>
    <row r="31" spans="1:34" s="168" customFormat="1" ht="14.25" customHeight="1" x14ac:dyDescent="0.2">
      <c r="B31" s="400">
        <v>1</v>
      </c>
      <c r="C31" s="401"/>
      <c r="D31" s="401"/>
      <c r="E31" s="405">
        <v>4</v>
      </c>
      <c r="F31" s="406"/>
      <c r="G31" s="412"/>
      <c r="H31" s="413"/>
      <c r="I31" s="412"/>
      <c r="J31" s="413"/>
      <c r="K31" s="412"/>
      <c r="L31" s="413"/>
      <c r="M31" s="412"/>
      <c r="N31" s="413"/>
      <c r="O31" s="412"/>
      <c r="P31" s="413"/>
      <c r="T31" s="400">
        <v>2</v>
      </c>
      <c r="U31" s="401"/>
      <c r="V31" s="401"/>
      <c r="W31" s="405">
        <v>4</v>
      </c>
      <c r="X31" s="406"/>
      <c r="Y31" s="412"/>
      <c r="Z31" s="413"/>
      <c r="AA31" s="412"/>
      <c r="AB31" s="413"/>
      <c r="AC31" s="412"/>
      <c r="AD31" s="413"/>
      <c r="AE31" s="412"/>
      <c r="AF31" s="413"/>
      <c r="AG31" s="412"/>
      <c r="AH31" s="413"/>
    </row>
    <row r="32" spans="1:34" s="168" customFormat="1" ht="14.25" customHeight="1" x14ac:dyDescent="0.2">
      <c r="B32" s="400">
        <v>1</v>
      </c>
      <c r="C32" s="401"/>
      <c r="D32" s="401"/>
      <c r="E32" s="405">
        <v>5</v>
      </c>
      <c r="F32" s="406"/>
      <c r="G32" s="412"/>
      <c r="H32" s="413"/>
      <c r="I32" s="412"/>
      <c r="J32" s="413"/>
      <c r="K32" s="412"/>
      <c r="L32" s="413"/>
      <c r="M32" s="412"/>
      <c r="N32" s="413"/>
      <c r="O32" s="412"/>
      <c r="P32" s="413"/>
      <c r="T32" s="400">
        <v>2</v>
      </c>
      <c r="U32" s="401"/>
      <c r="V32" s="401"/>
      <c r="W32" s="405">
        <v>5</v>
      </c>
      <c r="X32" s="406"/>
      <c r="Y32" s="412"/>
      <c r="Z32" s="413"/>
      <c r="AA32" s="412"/>
      <c r="AB32" s="413"/>
      <c r="AC32" s="412"/>
      <c r="AD32" s="413"/>
      <c r="AE32" s="412"/>
      <c r="AF32" s="413"/>
      <c r="AG32" s="412"/>
      <c r="AH32" s="413"/>
    </row>
    <row r="33" spans="2:34" s="168" customFormat="1" ht="14.25" customHeight="1" x14ac:dyDescent="0.2">
      <c r="B33" s="400">
        <v>1</v>
      </c>
      <c r="C33" s="401"/>
      <c r="D33" s="401"/>
      <c r="E33" s="405">
        <v>6</v>
      </c>
      <c r="F33" s="406"/>
      <c r="G33" s="412"/>
      <c r="H33" s="413"/>
      <c r="I33" s="412"/>
      <c r="J33" s="413"/>
      <c r="K33" s="412"/>
      <c r="L33" s="413"/>
      <c r="M33" s="412"/>
      <c r="N33" s="413"/>
      <c r="O33" s="412"/>
      <c r="P33" s="413"/>
      <c r="T33" s="400">
        <v>2</v>
      </c>
      <c r="U33" s="401"/>
      <c r="V33" s="401"/>
      <c r="W33" s="405">
        <v>6</v>
      </c>
      <c r="X33" s="406"/>
      <c r="Y33" s="412"/>
      <c r="Z33" s="413"/>
      <c r="AA33" s="412"/>
      <c r="AB33" s="413"/>
      <c r="AC33" s="412"/>
      <c r="AD33" s="413"/>
      <c r="AE33" s="412"/>
      <c r="AF33" s="413"/>
      <c r="AG33" s="412"/>
      <c r="AH33" s="413"/>
    </row>
    <row r="34" spans="2:34" s="168" customFormat="1" ht="14.25" customHeight="1" x14ac:dyDescent="0.2">
      <c r="B34" s="400">
        <v>1</v>
      </c>
      <c r="C34" s="401"/>
      <c r="D34" s="401"/>
      <c r="E34" s="405">
        <v>7</v>
      </c>
      <c r="F34" s="406"/>
      <c r="G34" s="412"/>
      <c r="H34" s="413"/>
      <c r="I34" s="412"/>
      <c r="J34" s="413"/>
      <c r="K34" s="412"/>
      <c r="L34" s="413"/>
      <c r="M34" s="412"/>
      <c r="N34" s="413"/>
      <c r="O34" s="412"/>
      <c r="P34" s="413"/>
      <c r="T34" s="400">
        <v>2</v>
      </c>
      <c r="U34" s="401"/>
      <c r="V34" s="401"/>
      <c r="W34" s="405">
        <v>7</v>
      </c>
      <c r="X34" s="406"/>
      <c r="Y34" s="412"/>
      <c r="Z34" s="413"/>
      <c r="AA34" s="412"/>
      <c r="AB34" s="413"/>
      <c r="AC34" s="412"/>
      <c r="AD34" s="413"/>
      <c r="AE34" s="412"/>
      <c r="AF34" s="413"/>
      <c r="AG34" s="412"/>
      <c r="AH34" s="413"/>
    </row>
    <row r="35" spans="2:34" s="168" customFormat="1" ht="14.25" customHeight="1" x14ac:dyDescent="0.2">
      <c r="B35" s="400">
        <v>1</v>
      </c>
      <c r="C35" s="401"/>
      <c r="D35" s="401"/>
      <c r="E35" s="405">
        <v>8</v>
      </c>
      <c r="F35" s="406"/>
      <c r="G35" s="412"/>
      <c r="H35" s="413"/>
      <c r="I35" s="412"/>
      <c r="J35" s="413"/>
      <c r="K35" s="412"/>
      <c r="L35" s="413"/>
      <c r="M35" s="412"/>
      <c r="N35" s="413"/>
      <c r="O35" s="412"/>
      <c r="P35" s="413"/>
      <c r="T35" s="400">
        <v>2</v>
      </c>
      <c r="U35" s="401"/>
      <c r="V35" s="401"/>
      <c r="W35" s="405">
        <v>8</v>
      </c>
      <c r="X35" s="406"/>
      <c r="Y35" s="412"/>
      <c r="Z35" s="413"/>
      <c r="AA35" s="412"/>
      <c r="AB35" s="413"/>
      <c r="AC35" s="412"/>
      <c r="AD35" s="413"/>
      <c r="AE35" s="412"/>
      <c r="AF35" s="413"/>
      <c r="AG35" s="412"/>
      <c r="AH35" s="413"/>
    </row>
    <row r="36" spans="2:34" s="168" customFormat="1" ht="14.25" customHeight="1" x14ac:dyDescent="0.2">
      <c r="B36" s="400">
        <v>1</v>
      </c>
      <c r="C36" s="401"/>
      <c r="D36" s="401"/>
      <c r="E36" s="405">
        <v>9</v>
      </c>
      <c r="F36" s="406"/>
      <c r="G36" s="412"/>
      <c r="H36" s="413"/>
      <c r="I36" s="412"/>
      <c r="J36" s="413"/>
      <c r="K36" s="412"/>
      <c r="L36" s="413"/>
      <c r="M36" s="412"/>
      <c r="N36" s="413"/>
      <c r="O36" s="412"/>
      <c r="P36" s="413"/>
      <c r="T36" s="400">
        <v>2</v>
      </c>
      <c r="U36" s="401"/>
      <c r="V36" s="401"/>
      <c r="W36" s="405">
        <v>9</v>
      </c>
      <c r="X36" s="406"/>
      <c r="Y36" s="412"/>
      <c r="Z36" s="413"/>
      <c r="AA36" s="412"/>
      <c r="AB36" s="413"/>
      <c r="AC36" s="412"/>
      <c r="AD36" s="413"/>
      <c r="AE36" s="412"/>
      <c r="AF36" s="413"/>
      <c r="AG36" s="412"/>
      <c r="AH36" s="413"/>
    </row>
    <row r="37" spans="2:34" s="168" customFormat="1" ht="14.25" customHeight="1" x14ac:dyDescent="0.2">
      <c r="B37" s="400">
        <v>1</v>
      </c>
      <c r="C37" s="401"/>
      <c r="D37" s="401"/>
      <c r="E37" s="405">
        <v>10</v>
      </c>
      <c r="F37" s="406"/>
      <c r="G37" s="412"/>
      <c r="H37" s="413"/>
      <c r="I37" s="412"/>
      <c r="J37" s="413"/>
      <c r="K37" s="412"/>
      <c r="L37" s="413"/>
      <c r="M37" s="412"/>
      <c r="N37" s="413"/>
      <c r="O37" s="412"/>
      <c r="P37" s="413"/>
      <c r="T37" s="400">
        <v>2</v>
      </c>
      <c r="U37" s="401"/>
      <c r="V37" s="401"/>
      <c r="W37" s="405">
        <v>10</v>
      </c>
      <c r="X37" s="406"/>
      <c r="Y37" s="412"/>
      <c r="Z37" s="413"/>
      <c r="AA37" s="412"/>
      <c r="AB37" s="413"/>
      <c r="AC37" s="412"/>
      <c r="AD37" s="413"/>
      <c r="AE37" s="412"/>
      <c r="AF37" s="413"/>
      <c r="AG37" s="412"/>
      <c r="AH37" s="413"/>
    </row>
    <row r="38" spans="2:34" s="168" customFormat="1" ht="14.25" customHeight="1" x14ac:dyDescent="0.2">
      <c r="B38" s="400">
        <v>1</v>
      </c>
      <c r="C38" s="401"/>
      <c r="D38" s="401"/>
      <c r="E38" s="405">
        <v>11</v>
      </c>
      <c r="F38" s="406"/>
      <c r="G38" s="412"/>
      <c r="H38" s="413"/>
      <c r="I38" s="412"/>
      <c r="J38" s="413"/>
      <c r="K38" s="412"/>
      <c r="L38" s="413"/>
      <c r="M38" s="412"/>
      <c r="N38" s="413"/>
      <c r="O38" s="412"/>
      <c r="P38" s="413"/>
      <c r="T38" s="400">
        <v>2</v>
      </c>
      <c r="U38" s="401"/>
      <c r="V38" s="401"/>
      <c r="W38" s="405">
        <v>11</v>
      </c>
      <c r="X38" s="406"/>
      <c r="Y38" s="412"/>
      <c r="Z38" s="413"/>
      <c r="AA38" s="412"/>
      <c r="AB38" s="413"/>
      <c r="AC38" s="412"/>
      <c r="AD38" s="413"/>
      <c r="AE38" s="412"/>
      <c r="AF38" s="413"/>
      <c r="AG38" s="412"/>
      <c r="AH38" s="413"/>
    </row>
    <row r="39" spans="2:34" s="168" customFormat="1" ht="14.25" customHeight="1" x14ac:dyDescent="0.2">
      <c r="B39" s="400">
        <v>1</v>
      </c>
      <c r="C39" s="401"/>
      <c r="D39" s="401"/>
      <c r="E39" s="405">
        <v>12</v>
      </c>
      <c r="F39" s="406"/>
      <c r="G39" s="412"/>
      <c r="H39" s="413"/>
      <c r="I39" s="412"/>
      <c r="J39" s="413"/>
      <c r="K39" s="412"/>
      <c r="L39" s="413"/>
      <c r="M39" s="412"/>
      <c r="N39" s="413"/>
      <c r="O39" s="412"/>
      <c r="P39" s="413"/>
      <c r="T39" s="400">
        <v>2</v>
      </c>
      <c r="U39" s="401"/>
      <c r="V39" s="401"/>
      <c r="W39" s="405">
        <v>12</v>
      </c>
      <c r="X39" s="406"/>
      <c r="Y39" s="412"/>
      <c r="Z39" s="413"/>
      <c r="AA39" s="412"/>
      <c r="AB39" s="413"/>
      <c r="AC39" s="412"/>
      <c r="AD39" s="413"/>
      <c r="AE39" s="412"/>
      <c r="AF39" s="413"/>
      <c r="AG39" s="412"/>
      <c r="AH39" s="413"/>
    </row>
    <row r="40" spans="2:34" s="168" customFormat="1" ht="14.25" customHeight="1" x14ac:dyDescent="0.2">
      <c r="B40" s="400">
        <v>1</v>
      </c>
      <c r="C40" s="401"/>
      <c r="D40" s="401"/>
      <c r="E40" s="405">
        <v>13</v>
      </c>
      <c r="F40" s="406"/>
      <c r="G40" s="412"/>
      <c r="H40" s="413"/>
      <c r="I40" s="412"/>
      <c r="J40" s="413"/>
      <c r="K40" s="412"/>
      <c r="L40" s="413"/>
      <c r="M40" s="412"/>
      <c r="N40" s="413"/>
      <c r="O40" s="412"/>
      <c r="P40" s="413"/>
      <c r="T40" s="400">
        <v>2</v>
      </c>
      <c r="U40" s="401"/>
      <c r="V40" s="401"/>
      <c r="W40" s="405">
        <v>13</v>
      </c>
      <c r="X40" s="406"/>
      <c r="Y40" s="412"/>
      <c r="Z40" s="413"/>
      <c r="AA40" s="412"/>
      <c r="AB40" s="413"/>
      <c r="AC40" s="412"/>
      <c r="AD40" s="413"/>
      <c r="AE40" s="412"/>
      <c r="AF40" s="413"/>
      <c r="AG40" s="412"/>
      <c r="AH40" s="413"/>
    </row>
    <row r="41" spans="2:34" s="168" customFormat="1" ht="14.25" customHeight="1" x14ac:dyDescent="0.2">
      <c r="B41" s="400">
        <v>1</v>
      </c>
      <c r="C41" s="401"/>
      <c r="D41" s="401"/>
      <c r="E41" s="405">
        <v>14</v>
      </c>
      <c r="F41" s="406"/>
      <c r="G41" s="412"/>
      <c r="H41" s="413"/>
      <c r="I41" s="412"/>
      <c r="J41" s="413"/>
      <c r="K41" s="412"/>
      <c r="L41" s="413"/>
      <c r="M41" s="412"/>
      <c r="N41" s="413"/>
      <c r="O41" s="412"/>
      <c r="P41" s="413"/>
      <c r="T41" s="400">
        <v>2</v>
      </c>
      <c r="U41" s="401"/>
      <c r="V41" s="401"/>
      <c r="W41" s="405">
        <v>14</v>
      </c>
      <c r="X41" s="406"/>
      <c r="Y41" s="412"/>
      <c r="Z41" s="413"/>
      <c r="AA41" s="412"/>
      <c r="AB41" s="413"/>
      <c r="AC41" s="412"/>
      <c r="AD41" s="413"/>
      <c r="AE41" s="412"/>
      <c r="AF41" s="413"/>
      <c r="AG41" s="412"/>
      <c r="AH41" s="413"/>
    </row>
    <row r="42" spans="2:34" s="168" customFormat="1" ht="14.25" customHeight="1" x14ac:dyDescent="0.2">
      <c r="B42" s="400">
        <v>1</v>
      </c>
      <c r="C42" s="401"/>
      <c r="D42" s="401"/>
      <c r="E42" s="405">
        <v>15</v>
      </c>
      <c r="F42" s="406"/>
      <c r="G42" s="412"/>
      <c r="H42" s="413"/>
      <c r="I42" s="412"/>
      <c r="J42" s="413"/>
      <c r="K42" s="412"/>
      <c r="L42" s="413"/>
      <c r="M42" s="412"/>
      <c r="N42" s="413"/>
      <c r="O42" s="412"/>
      <c r="P42" s="413"/>
      <c r="T42" s="400">
        <v>2</v>
      </c>
      <c r="U42" s="401"/>
      <c r="V42" s="401"/>
      <c r="W42" s="405">
        <v>15</v>
      </c>
      <c r="X42" s="406"/>
      <c r="Y42" s="412"/>
      <c r="Z42" s="413"/>
      <c r="AA42" s="412"/>
      <c r="AB42" s="413"/>
      <c r="AC42" s="412"/>
      <c r="AD42" s="413"/>
      <c r="AE42" s="412"/>
      <c r="AF42" s="413"/>
      <c r="AG42" s="412"/>
      <c r="AH42" s="413"/>
    </row>
    <row r="43" spans="2:34" s="168" customFormat="1" ht="14.25" customHeight="1" x14ac:dyDescent="0.2">
      <c r="B43" s="400">
        <v>1</v>
      </c>
      <c r="C43" s="401"/>
      <c r="D43" s="401"/>
      <c r="E43" s="405">
        <v>16</v>
      </c>
      <c r="F43" s="406"/>
      <c r="G43" s="412"/>
      <c r="H43" s="413"/>
      <c r="I43" s="412"/>
      <c r="J43" s="413"/>
      <c r="K43" s="412"/>
      <c r="L43" s="413"/>
      <c r="M43" s="412"/>
      <c r="N43" s="413"/>
      <c r="O43" s="412"/>
      <c r="P43" s="413"/>
      <c r="T43" s="400">
        <v>2</v>
      </c>
      <c r="U43" s="401"/>
      <c r="V43" s="401"/>
      <c r="W43" s="405">
        <v>16</v>
      </c>
      <c r="X43" s="406"/>
      <c r="Y43" s="412"/>
      <c r="Z43" s="413"/>
      <c r="AA43" s="412"/>
      <c r="AB43" s="413"/>
      <c r="AC43" s="412"/>
      <c r="AD43" s="413"/>
      <c r="AE43" s="412"/>
      <c r="AF43" s="413"/>
      <c r="AG43" s="412"/>
      <c r="AH43" s="413"/>
    </row>
    <row r="44" spans="2:34" s="168" customFormat="1" ht="14.25" customHeight="1" x14ac:dyDescent="0.2">
      <c r="B44" s="400">
        <v>1</v>
      </c>
      <c r="C44" s="401"/>
      <c r="D44" s="401"/>
      <c r="E44" s="405">
        <v>17</v>
      </c>
      <c r="F44" s="406"/>
      <c r="G44" s="412"/>
      <c r="H44" s="413"/>
      <c r="I44" s="412"/>
      <c r="J44" s="413"/>
      <c r="K44" s="412"/>
      <c r="L44" s="413"/>
      <c r="M44" s="412"/>
      <c r="N44" s="413"/>
      <c r="O44" s="412"/>
      <c r="P44" s="413"/>
      <c r="T44" s="400">
        <v>2</v>
      </c>
      <c r="U44" s="401"/>
      <c r="V44" s="401"/>
      <c r="W44" s="405">
        <v>17</v>
      </c>
      <c r="X44" s="406"/>
      <c r="Y44" s="412"/>
      <c r="Z44" s="413"/>
      <c r="AA44" s="412"/>
      <c r="AB44" s="413"/>
      <c r="AC44" s="412"/>
      <c r="AD44" s="413"/>
      <c r="AE44" s="412"/>
      <c r="AF44" s="413"/>
      <c r="AG44" s="412"/>
      <c r="AH44" s="413"/>
    </row>
    <row r="45" spans="2:34" s="168" customFormat="1" ht="14.25" customHeight="1" x14ac:dyDescent="0.2">
      <c r="B45" s="400">
        <v>1</v>
      </c>
      <c r="C45" s="401"/>
      <c r="D45" s="401"/>
      <c r="E45" s="405">
        <v>18</v>
      </c>
      <c r="F45" s="406"/>
      <c r="G45" s="412"/>
      <c r="H45" s="413"/>
      <c r="I45" s="412"/>
      <c r="J45" s="413"/>
      <c r="K45" s="412"/>
      <c r="L45" s="413"/>
      <c r="M45" s="412"/>
      <c r="N45" s="413"/>
      <c r="O45" s="412"/>
      <c r="P45" s="413"/>
      <c r="T45" s="400">
        <v>2</v>
      </c>
      <c r="U45" s="401"/>
      <c r="V45" s="401"/>
      <c r="W45" s="405">
        <v>18</v>
      </c>
      <c r="X45" s="406"/>
      <c r="Y45" s="412"/>
      <c r="Z45" s="413"/>
      <c r="AA45" s="412"/>
      <c r="AB45" s="413"/>
      <c r="AC45" s="412"/>
      <c r="AD45" s="413"/>
      <c r="AE45" s="412"/>
      <c r="AF45" s="413"/>
      <c r="AG45" s="412"/>
      <c r="AH45" s="413"/>
    </row>
    <row r="46" spans="2:34" s="168" customFormat="1" ht="14.25" customHeight="1" x14ac:dyDescent="0.2">
      <c r="B46" s="400">
        <v>1</v>
      </c>
      <c r="C46" s="401"/>
      <c r="D46" s="401"/>
      <c r="E46" s="405">
        <v>19</v>
      </c>
      <c r="F46" s="406"/>
      <c r="G46" s="412"/>
      <c r="H46" s="413"/>
      <c r="I46" s="412"/>
      <c r="J46" s="413"/>
      <c r="K46" s="412"/>
      <c r="L46" s="413"/>
      <c r="M46" s="412"/>
      <c r="N46" s="413"/>
      <c r="O46" s="412"/>
      <c r="P46" s="413"/>
      <c r="T46" s="400">
        <v>2</v>
      </c>
      <c r="U46" s="401"/>
      <c r="V46" s="401"/>
      <c r="W46" s="405">
        <v>19</v>
      </c>
      <c r="X46" s="406"/>
      <c r="Y46" s="412"/>
      <c r="Z46" s="413"/>
      <c r="AA46" s="412"/>
      <c r="AB46" s="413"/>
      <c r="AC46" s="412"/>
      <c r="AD46" s="413"/>
      <c r="AE46" s="412"/>
      <c r="AF46" s="413"/>
      <c r="AG46" s="412"/>
      <c r="AH46" s="413"/>
    </row>
    <row r="47" spans="2:34" s="168" customFormat="1" ht="14.25" customHeight="1" x14ac:dyDescent="0.2">
      <c r="B47" s="400">
        <v>1</v>
      </c>
      <c r="C47" s="401"/>
      <c r="D47" s="401"/>
      <c r="E47" s="405">
        <v>20</v>
      </c>
      <c r="F47" s="406"/>
      <c r="G47" s="412"/>
      <c r="H47" s="413"/>
      <c r="I47" s="412"/>
      <c r="J47" s="413"/>
      <c r="K47" s="412"/>
      <c r="L47" s="413"/>
      <c r="M47" s="412"/>
      <c r="N47" s="413"/>
      <c r="O47" s="412"/>
      <c r="P47" s="413"/>
      <c r="T47" s="400">
        <v>2</v>
      </c>
      <c r="U47" s="401"/>
      <c r="V47" s="401"/>
      <c r="W47" s="405">
        <v>20</v>
      </c>
      <c r="X47" s="406"/>
      <c r="Y47" s="412"/>
      <c r="Z47" s="413"/>
      <c r="AA47" s="412"/>
      <c r="AB47" s="413"/>
      <c r="AC47" s="412"/>
      <c r="AD47" s="413"/>
      <c r="AE47" s="412"/>
      <c r="AF47" s="413"/>
      <c r="AG47" s="412"/>
      <c r="AH47" s="413"/>
    </row>
    <row r="48" spans="2:34" s="168" customFormat="1" ht="14.25" customHeight="1" x14ac:dyDescent="0.2">
      <c r="B48" s="400">
        <v>1</v>
      </c>
      <c r="C48" s="401"/>
      <c r="D48" s="401"/>
      <c r="E48" s="405">
        <v>21</v>
      </c>
      <c r="F48" s="406"/>
      <c r="G48" s="412"/>
      <c r="H48" s="413"/>
      <c r="I48" s="412"/>
      <c r="J48" s="413"/>
      <c r="K48" s="412"/>
      <c r="L48" s="413"/>
      <c r="M48" s="412"/>
      <c r="N48" s="413"/>
      <c r="O48" s="412"/>
      <c r="P48" s="413"/>
      <c r="T48" s="400">
        <v>2</v>
      </c>
      <c r="U48" s="401"/>
      <c r="V48" s="401"/>
      <c r="W48" s="405">
        <v>21</v>
      </c>
      <c r="X48" s="406"/>
      <c r="Y48" s="412"/>
      <c r="Z48" s="413"/>
      <c r="AA48" s="412"/>
      <c r="AB48" s="413"/>
      <c r="AC48" s="412"/>
      <c r="AD48" s="413"/>
      <c r="AE48" s="412"/>
      <c r="AF48" s="413"/>
      <c r="AG48" s="412"/>
      <c r="AH48" s="413"/>
    </row>
    <row r="49" spans="1:34" s="168" customFormat="1" ht="14.25" customHeight="1" x14ac:dyDescent="0.2">
      <c r="B49" s="400">
        <v>1</v>
      </c>
      <c r="C49" s="401"/>
      <c r="D49" s="401"/>
      <c r="E49" s="405">
        <v>22</v>
      </c>
      <c r="F49" s="406"/>
      <c r="G49" s="412"/>
      <c r="H49" s="413"/>
      <c r="I49" s="412"/>
      <c r="J49" s="413"/>
      <c r="K49" s="412"/>
      <c r="L49" s="413"/>
      <c r="M49" s="412"/>
      <c r="N49" s="413"/>
      <c r="O49" s="412"/>
      <c r="P49" s="413"/>
      <c r="T49" s="400">
        <v>2</v>
      </c>
      <c r="U49" s="401"/>
      <c r="V49" s="401"/>
      <c r="W49" s="405">
        <v>22</v>
      </c>
      <c r="X49" s="406"/>
      <c r="Y49" s="412"/>
      <c r="Z49" s="413"/>
      <c r="AA49" s="412"/>
      <c r="AB49" s="413"/>
      <c r="AC49" s="412"/>
      <c r="AD49" s="413"/>
      <c r="AE49" s="412"/>
      <c r="AF49" s="413"/>
      <c r="AG49" s="412"/>
      <c r="AH49" s="413"/>
    </row>
    <row r="50" spans="1:34" s="168" customFormat="1" ht="14.25" customHeight="1" x14ac:dyDescent="0.2">
      <c r="B50" s="400">
        <v>1</v>
      </c>
      <c r="C50" s="401"/>
      <c r="D50" s="401"/>
      <c r="E50" s="405">
        <v>23</v>
      </c>
      <c r="F50" s="406"/>
      <c r="G50" s="412"/>
      <c r="H50" s="413"/>
      <c r="I50" s="412"/>
      <c r="J50" s="413"/>
      <c r="K50" s="412"/>
      <c r="L50" s="413"/>
      <c r="M50" s="412"/>
      <c r="N50" s="413"/>
      <c r="O50" s="412"/>
      <c r="P50" s="413"/>
      <c r="T50" s="400">
        <v>2</v>
      </c>
      <c r="U50" s="401"/>
      <c r="V50" s="401"/>
      <c r="W50" s="405">
        <v>23</v>
      </c>
      <c r="X50" s="406"/>
      <c r="Y50" s="412"/>
      <c r="Z50" s="413"/>
      <c r="AA50" s="412"/>
      <c r="AB50" s="413"/>
      <c r="AC50" s="412"/>
      <c r="AD50" s="413"/>
      <c r="AE50" s="412"/>
      <c r="AF50" s="413"/>
      <c r="AG50" s="412"/>
      <c r="AH50" s="413"/>
    </row>
    <row r="51" spans="1:34" s="168" customFormat="1" ht="14.25" customHeight="1" x14ac:dyDescent="0.2">
      <c r="B51" s="400">
        <v>1</v>
      </c>
      <c r="C51" s="401"/>
      <c r="D51" s="401"/>
      <c r="E51" s="405">
        <v>24</v>
      </c>
      <c r="F51" s="406"/>
      <c r="G51" s="412"/>
      <c r="H51" s="413"/>
      <c r="I51" s="412"/>
      <c r="J51" s="413"/>
      <c r="K51" s="412"/>
      <c r="L51" s="413"/>
      <c r="M51" s="412"/>
      <c r="N51" s="413"/>
      <c r="O51" s="412"/>
      <c r="P51" s="413"/>
      <c r="T51" s="400">
        <v>2</v>
      </c>
      <c r="U51" s="401"/>
      <c r="V51" s="401"/>
      <c r="W51" s="405">
        <v>24</v>
      </c>
      <c r="X51" s="406"/>
      <c r="Y51" s="412"/>
      <c r="Z51" s="413"/>
      <c r="AA51" s="412"/>
      <c r="AB51" s="413"/>
      <c r="AC51" s="412"/>
      <c r="AD51" s="413"/>
      <c r="AE51" s="412"/>
      <c r="AF51" s="413"/>
      <c r="AG51" s="412"/>
      <c r="AH51" s="413"/>
    </row>
    <row r="52" spans="1:34" s="168" customFormat="1" ht="14.25" customHeight="1" x14ac:dyDescent="0.15"/>
    <row r="53" spans="1:34" ht="14.25" customHeight="1" thickBot="1" x14ac:dyDescent="0.25">
      <c r="A53" s="165" t="s">
        <v>898</v>
      </c>
      <c r="S53" s="165" t="s">
        <v>899</v>
      </c>
    </row>
    <row r="54" spans="1:34" s="168" customFormat="1" ht="14.25" customHeight="1" thickBot="1" x14ac:dyDescent="0.25">
      <c r="B54" s="402" t="s">
        <v>881</v>
      </c>
      <c r="C54" s="403"/>
      <c r="D54" s="404"/>
      <c r="E54" s="398" t="s">
        <v>892</v>
      </c>
      <c r="F54" s="404"/>
      <c r="G54" s="398" t="s">
        <v>893</v>
      </c>
      <c r="H54" s="404"/>
      <c r="I54" s="398" t="s">
        <v>894</v>
      </c>
      <c r="J54" s="404"/>
      <c r="K54" s="398" t="s">
        <v>895</v>
      </c>
      <c r="L54" s="404"/>
      <c r="M54" s="398" t="s">
        <v>896</v>
      </c>
      <c r="N54" s="404"/>
      <c r="O54" s="398" t="s">
        <v>897</v>
      </c>
      <c r="P54" s="399"/>
      <c r="T54" s="402" t="s">
        <v>881</v>
      </c>
      <c r="U54" s="403"/>
      <c r="V54" s="404"/>
      <c r="W54" s="398" t="s">
        <v>892</v>
      </c>
      <c r="X54" s="404"/>
      <c r="Y54" s="398" t="s">
        <v>893</v>
      </c>
      <c r="Z54" s="404"/>
      <c r="AA54" s="398" t="s">
        <v>894</v>
      </c>
      <c r="AB54" s="404"/>
      <c r="AC54" s="398" t="s">
        <v>895</v>
      </c>
      <c r="AD54" s="404"/>
      <c r="AE54" s="398" t="s">
        <v>896</v>
      </c>
      <c r="AF54" s="404"/>
      <c r="AG54" s="398" t="s">
        <v>897</v>
      </c>
      <c r="AH54" s="399"/>
    </row>
    <row r="55" spans="1:34" s="168" customFormat="1" ht="14.25" customHeight="1" x14ac:dyDescent="0.2">
      <c r="B55" s="400">
        <v>3</v>
      </c>
      <c r="C55" s="401"/>
      <c r="D55" s="401"/>
      <c r="E55" s="400">
        <v>0</v>
      </c>
      <c r="F55" s="401"/>
      <c r="G55" s="410"/>
      <c r="H55" s="411"/>
      <c r="I55" s="410"/>
      <c r="J55" s="411"/>
      <c r="K55" s="410"/>
      <c r="L55" s="411"/>
      <c r="M55" s="410"/>
      <c r="N55" s="411"/>
      <c r="O55" s="410"/>
      <c r="P55" s="411"/>
      <c r="T55" s="400">
        <v>4</v>
      </c>
      <c r="U55" s="401"/>
      <c r="V55" s="401"/>
      <c r="W55" s="400">
        <v>0</v>
      </c>
      <c r="X55" s="401"/>
      <c r="Y55" s="410"/>
      <c r="Z55" s="411"/>
      <c r="AA55" s="410"/>
      <c r="AB55" s="411"/>
      <c r="AC55" s="410"/>
      <c r="AD55" s="411"/>
      <c r="AE55" s="410"/>
      <c r="AF55" s="411"/>
      <c r="AG55" s="410"/>
      <c r="AH55" s="411"/>
    </row>
    <row r="56" spans="1:34" s="168" customFormat="1" ht="14.25" customHeight="1" x14ac:dyDescent="0.2">
      <c r="B56" s="400">
        <v>3</v>
      </c>
      <c r="C56" s="401"/>
      <c r="D56" s="401"/>
      <c r="E56" s="405">
        <v>1</v>
      </c>
      <c r="F56" s="406"/>
      <c r="G56" s="412"/>
      <c r="H56" s="413"/>
      <c r="I56" s="412"/>
      <c r="J56" s="413"/>
      <c r="K56" s="412"/>
      <c r="L56" s="413"/>
      <c r="M56" s="412"/>
      <c r="N56" s="413"/>
      <c r="O56" s="412"/>
      <c r="P56" s="413"/>
      <c r="T56" s="400">
        <v>4</v>
      </c>
      <c r="U56" s="401"/>
      <c r="V56" s="401"/>
      <c r="W56" s="405">
        <v>1</v>
      </c>
      <c r="X56" s="406"/>
      <c r="Y56" s="412"/>
      <c r="Z56" s="413"/>
      <c r="AA56" s="412"/>
      <c r="AB56" s="413"/>
      <c r="AC56" s="412"/>
      <c r="AD56" s="413"/>
      <c r="AE56" s="412"/>
      <c r="AF56" s="413"/>
      <c r="AG56" s="412"/>
      <c r="AH56" s="413"/>
    </row>
    <row r="57" spans="1:34" s="168" customFormat="1" ht="14.25" customHeight="1" x14ac:dyDescent="0.2">
      <c r="B57" s="400">
        <v>3</v>
      </c>
      <c r="C57" s="401"/>
      <c r="D57" s="401"/>
      <c r="E57" s="405">
        <v>2</v>
      </c>
      <c r="F57" s="406"/>
      <c r="G57" s="412"/>
      <c r="H57" s="413"/>
      <c r="I57" s="412"/>
      <c r="J57" s="413"/>
      <c r="K57" s="412"/>
      <c r="L57" s="413"/>
      <c r="M57" s="412"/>
      <c r="N57" s="413"/>
      <c r="O57" s="412"/>
      <c r="P57" s="413"/>
      <c r="T57" s="400">
        <v>4</v>
      </c>
      <c r="U57" s="401"/>
      <c r="V57" s="401"/>
      <c r="W57" s="405">
        <v>2</v>
      </c>
      <c r="X57" s="406"/>
      <c r="Y57" s="412"/>
      <c r="Z57" s="413"/>
      <c r="AA57" s="412"/>
      <c r="AB57" s="413"/>
      <c r="AC57" s="412"/>
      <c r="AD57" s="413"/>
      <c r="AE57" s="412"/>
      <c r="AF57" s="413"/>
      <c r="AG57" s="412"/>
      <c r="AH57" s="413"/>
    </row>
    <row r="58" spans="1:34" s="168" customFormat="1" ht="14.25" customHeight="1" x14ac:dyDescent="0.2">
      <c r="B58" s="400">
        <v>3</v>
      </c>
      <c r="C58" s="401"/>
      <c r="D58" s="401"/>
      <c r="E58" s="405">
        <v>3</v>
      </c>
      <c r="F58" s="406"/>
      <c r="G58" s="412"/>
      <c r="H58" s="413"/>
      <c r="I58" s="412"/>
      <c r="J58" s="413"/>
      <c r="K58" s="412"/>
      <c r="L58" s="413"/>
      <c r="M58" s="412"/>
      <c r="N58" s="413"/>
      <c r="O58" s="412"/>
      <c r="P58" s="413"/>
      <c r="T58" s="400">
        <v>4</v>
      </c>
      <c r="U58" s="401"/>
      <c r="V58" s="401"/>
      <c r="W58" s="405">
        <v>3</v>
      </c>
      <c r="X58" s="406"/>
      <c r="Y58" s="412"/>
      <c r="Z58" s="413"/>
      <c r="AA58" s="412"/>
      <c r="AB58" s="413"/>
      <c r="AC58" s="412"/>
      <c r="AD58" s="413"/>
      <c r="AE58" s="412"/>
      <c r="AF58" s="413"/>
      <c r="AG58" s="412"/>
      <c r="AH58" s="413"/>
    </row>
    <row r="59" spans="1:34" s="168" customFormat="1" ht="14.25" customHeight="1" x14ac:dyDescent="0.2">
      <c r="B59" s="400">
        <v>3</v>
      </c>
      <c r="C59" s="401"/>
      <c r="D59" s="401"/>
      <c r="E59" s="405">
        <v>4</v>
      </c>
      <c r="F59" s="406"/>
      <c r="G59" s="412"/>
      <c r="H59" s="413"/>
      <c r="I59" s="412"/>
      <c r="J59" s="413"/>
      <c r="K59" s="412"/>
      <c r="L59" s="413"/>
      <c r="M59" s="412"/>
      <c r="N59" s="413"/>
      <c r="O59" s="412"/>
      <c r="P59" s="413"/>
      <c r="T59" s="400">
        <v>4</v>
      </c>
      <c r="U59" s="401"/>
      <c r="V59" s="401"/>
      <c r="W59" s="405">
        <v>4</v>
      </c>
      <c r="X59" s="406"/>
      <c r="Y59" s="412"/>
      <c r="Z59" s="413"/>
      <c r="AA59" s="412"/>
      <c r="AB59" s="413"/>
      <c r="AC59" s="412"/>
      <c r="AD59" s="413"/>
      <c r="AE59" s="412"/>
      <c r="AF59" s="413"/>
      <c r="AG59" s="412"/>
      <c r="AH59" s="413"/>
    </row>
    <row r="60" spans="1:34" s="168" customFormat="1" ht="14.25" customHeight="1" x14ac:dyDescent="0.2">
      <c r="B60" s="400">
        <v>3</v>
      </c>
      <c r="C60" s="401"/>
      <c r="D60" s="401"/>
      <c r="E60" s="405">
        <v>5</v>
      </c>
      <c r="F60" s="406"/>
      <c r="G60" s="412"/>
      <c r="H60" s="413"/>
      <c r="I60" s="412"/>
      <c r="J60" s="413"/>
      <c r="K60" s="412"/>
      <c r="L60" s="413"/>
      <c r="M60" s="412"/>
      <c r="N60" s="413"/>
      <c r="O60" s="412"/>
      <c r="P60" s="413"/>
      <c r="T60" s="400">
        <v>4</v>
      </c>
      <c r="U60" s="401"/>
      <c r="V60" s="401"/>
      <c r="W60" s="405">
        <v>5</v>
      </c>
      <c r="X60" s="406"/>
      <c r="Y60" s="412"/>
      <c r="Z60" s="413"/>
      <c r="AA60" s="412"/>
      <c r="AB60" s="413"/>
      <c r="AC60" s="412"/>
      <c r="AD60" s="413"/>
      <c r="AE60" s="412"/>
      <c r="AF60" s="413"/>
      <c r="AG60" s="412"/>
      <c r="AH60" s="413"/>
    </row>
    <row r="61" spans="1:34" s="168" customFormat="1" ht="14.25" customHeight="1" x14ac:dyDescent="0.2">
      <c r="B61" s="400">
        <v>3</v>
      </c>
      <c r="C61" s="401"/>
      <c r="D61" s="401"/>
      <c r="E61" s="405">
        <v>6</v>
      </c>
      <c r="F61" s="406"/>
      <c r="G61" s="412"/>
      <c r="H61" s="413"/>
      <c r="I61" s="412"/>
      <c r="J61" s="413"/>
      <c r="K61" s="412"/>
      <c r="L61" s="413"/>
      <c r="M61" s="412"/>
      <c r="N61" s="413"/>
      <c r="O61" s="412"/>
      <c r="P61" s="413"/>
      <c r="T61" s="400">
        <v>4</v>
      </c>
      <c r="U61" s="401"/>
      <c r="V61" s="401"/>
      <c r="W61" s="405">
        <v>6</v>
      </c>
      <c r="X61" s="406"/>
      <c r="Y61" s="412"/>
      <c r="Z61" s="413"/>
      <c r="AA61" s="412"/>
      <c r="AB61" s="413"/>
      <c r="AC61" s="412"/>
      <c r="AD61" s="413"/>
      <c r="AE61" s="412"/>
      <c r="AF61" s="413"/>
      <c r="AG61" s="412"/>
      <c r="AH61" s="413"/>
    </row>
    <row r="62" spans="1:34" s="168" customFormat="1" ht="14.25" customHeight="1" x14ac:dyDescent="0.2">
      <c r="B62" s="400">
        <v>3</v>
      </c>
      <c r="C62" s="401"/>
      <c r="D62" s="401"/>
      <c r="E62" s="405">
        <v>7</v>
      </c>
      <c r="F62" s="406"/>
      <c r="G62" s="412"/>
      <c r="H62" s="413"/>
      <c r="I62" s="412"/>
      <c r="J62" s="413"/>
      <c r="K62" s="412"/>
      <c r="L62" s="413"/>
      <c r="M62" s="412"/>
      <c r="N62" s="413"/>
      <c r="O62" s="412"/>
      <c r="P62" s="413"/>
      <c r="T62" s="400">
        <v>4</v>
      </c>
      <c r="U62" s="401"/>
      <c r="V62" s="401"/>
      <c r="W62" s="405">
        <v>7</v>
      </c>
      <c r="X62" s="406"/>
      <c r="Y62" s="412"/>
      <c r="Z62" s="413"/>
      <c r="AA62" s="412"/>
      <c r="AB62" s="413"/>
      <c r="AC62" s="412"/>
      <c r="AD62" s="413"/>
      <c r="AE62" s="412"/>
      <c r="AF62" s="413"/>
      <c r="AG62" s="412"/>
      <c r="AH62" s="413"/>
    </row>
    <row r="63" spans="1:34" s="168" customFormat="1" ht="14.25" customHeight="1" x14ac:dyDescent="0.2">
      <c r="B63" s="400">
        <v>3</v>
      </c>
      <c r="C63" s="401"/>
      <c r="D63" s="401"/>
      <c r="E63" s="405">
        <v>8</v>
      </c>
      <c r="F63" s="406"/>
      <c r="G63" s="412"/>
      <c r="H63" s="413"/>
      <c r="I63" s="412"/>
      <c r="J63" s="413"/>
      <c r="K63" s="412"/>
      <c r="L63" s="413"/>
      <c r="M63" s="412"/>
      <c r="N63" s="413"/>
      <c r="O63" s="412"/>
      <c r="P63" s="413"/>
      <c r="T63" s="400">
        <v>4</v>
      </c>
      <c r="U63" s="401"/>
      <c r="V63" s="401"/>
      <c r="W63" s="405">
        <v>8</v>
      </c>
      <c r="X63" s="406"/>
      <c r="Y63" s="412"/>
      <c r="Z63" s="413"/>
      <c r="AA63" s="412"/>
      <c r="AB63" s="413"/>
      <c r="AC63" s="412"/>
      <c r="AD63" s="413"/>
      <c r="AE63" s="412"/>
      <c r="AF63" s="413"/>
      <c r="AG63" s="412"/>
      <c r="AH63" s="413"/>
    </row>
    <row r="64" spans="1:34" s="168" customFormat="1" ht="14.25" customHeight="1" x14ac:dyDescent="0.2">
      <c r="B64" s="400">
        <v>3</v>
      </c>
      <c r="C64" s="401"/>
      <c r="D64" s="401"/>
      <c r="E64" s="405">
        <v>9</v>
      </c>
      <c r="F64" s="406"/>
      <c r="G64" s="412"/>
      <c r="H64" s="413"/>
      <c r="I64" s="412"/>
      <c r="J64" s="413"/>
      <c r="K64" s="412"/>
      <c r="L64" s="413"/>
      <c r="M64" s="412"/>
      <c r="N64" s="413"/>
      <c r="O64" s="412"/>
      <c r="P64" s="413"/>
      <c r="T64" s="400">
        <v>4</v>
      </c>
      <c r="U64" s="401"/>
      <c r="V64" s="401"/>
      <c r="W64" s="405">
        <v>9</v>
      </c>
      <c r="X64" s="406"/>
      <c r="Y64" s="412"/>
      <c r="Z64" s="413"/>
      <c r="AA64" s="412"/>
      <c r="AB64" s="413"/>
      <c r="AC64" s="412"/>
      <c r="AD64" s="413"/>
      <c r="AE64" s="412"/>
      <c r="AF64" s="413"/>
      <c r="AG64" s="412"/>
      <c r="AH64" s="413"/>
    </row>
    <row r="65" spans="2:34" s="168" customFormat="1" ht="14.25" customHeight="1" x14ac:dyDescent="0.2">
      <c r="B65" s="400">
        <v>3</v>
      </c>
      <c r="C65" s="401"/>
      <c r="D65" s="401"/>
      <c r="E65" s="405">
        <v>10</v>
      </c>
      <c r="F65" s="406"/>
      <c r="G65" s="412"/>
      <c r="H65" s="413"/>
      <c r="I65" s="412"/>
      <c r="J65" s="413"/>
      <c r="K65" s="412"/>
      <c r="L65" s="413"/>
      <c r="M65" s="412"/>
      <c r="N65" s="413"/>
      <c r="O65" s="412"/>
      <c r="P65" s="413"/>
      <c r="T65" s="400">
        <v>4</v>
      </c>
      <c r="U65" s="401"/>
      <c r="V65" s="401"/>
      <c r="W65" s="405">
        <v>10</v>
      </c>
      <c r="X65" s="406"/>
      <c r="Y65" s="412"/>
      <c r="Z65" s="413"/>
      <c r="AA65" s="412"/>
      <c r="AB65" s="413"/>
      <c r="AC65" s="412"/>
      <c r="AD65" s="413"/>
      <c r="AE65" s="412"/>
      <c r="AF65" s="413"/>
      <c r="AG65" s="412"/>
      <c r="AH65" s="413"/>
    </row>
    <row r="66" spans="2:34" s="168" customFormat="1" ht="14.25" customHeight="1" x14ac:dyDescent="0.2">
      <c r="B66" s="400">
        <v>3</v>
      </c>
      <c r="C66" s="401"/>
      <c r="D66" s="401"/>
      <c r="E66" s="405">
        <v>11</v>
      </c>
      <c r="F66" s="406"/>
      <c r="G66" s="412"/>
      <c r="H66" s="413"/>
      <c r="I66" s="412"/>
      <c r="J66" s="413"/>
      <c r="K66" s="412"/>
      <c r="L66" s="413"/>
      <c r="M66" s="412"/>
      <c r="N66" s="413"/>
      <c r="O66" s="412"/>
      <c r="P66" s="413"/>
      <c r="T66" s="400">
        <v>4</v>
      </c>
      <c r="U66" s="401"/>
      <c r="V66" s="401"/>
      <c r="W66" s="405">
        <v>11</v>
      </c>
      <c r="X66" s="406"/>
      <c r="Y66" s="412"/>
      <c r="Z66" s="413"/>
      <c r="AA66" s="412"/>
      <c r="AB66" s="413"/>
      <c r="AC66" s="412"/>
      <c r="AD66" s="413"/>
      <c r="AE66" s="412"/>
      <c r="AF66" s="413"/>
      <c r="AG66" s="412"/>
      <c r="AH66" s="413"/>
    </row>
    <row r="67" spans="2:34" s="168" customFormat="1" ht="14.25" customHeight="1" x14ac:dyDescent="0.2">
      <c r="B67" s="400">
        <v>3</v>
      </c>
      <c r="C67" s="401"/>
      <c r="D67" s="401"/>
      <c r="E67" s="405">
        <v>12</v>
      </c>
      <c r="F67" s="406"/>
      <c r="G67" s="412"/>
      <c r="H67" s="413"/>
      <c r="I67" s="412"/>
      <c r="J67" s="413"/>
      <c r="K67" s="412"/>
      <c r="L67" s="413"/>
      <c r="M67" s="412"/>
      <c r="N67" s="413"/>
      <c r="O67" s="412"/>
      <c r="P67" s="413"/>
      <c r="T67" s="400">
        <v>4</v>
      </c>
      <c r="U67" s="401"/>
      <c r="V67" s="401"/>
      <c r="W67" s="405">
        <v>12</v>
      </c>
      <c r="X67" s="406"/>
      <c r="Y67" s="412"/>
      <c r="Z67" s="413"/>
      <c r="AA67" s="412"/>
      <c r="AB67" s="413"/>
      <c r="AC67" s="412"/>
      <c r="AD67" s="413"/>
      <c r="AE67" s="412"/>
      <c r="AF67" s="413"/>
      <c r="AG67" s="412"/>
      <c r="AH67" s="413"/>
    </row>
    <row r="68" spans="2:34" s="168" customFormat="1" ht="14.25" customHeight="1" x14ac:dyDescent="0.2">
      <c r="B68" s="400">
        <v>3</v>
      </c>
      <c r="C68" s="401"/>
      <c r="D68" s="401"/>
      <c r="E68" s="405">
        <v>13</v>
      </c>
      <c r="F68" s="406"/>
      <c r="G68" s="412"/>
      <c r="H68" s="413"/>
      <c r="I68" s="412"/>
      <c r="J68" s="413"/>
      <c r="K68" s="412"/>
      <c r="L68" s="413"/>
      <c r="M68" s="412"/>
      <c r="N68" s="413"/>
      <c r="O68" s="412"/>
      <c r="P68" s="413"/>
      <c r="T68" s="400">
        <v>4</v>
      </c>
      <c r="U68" s="401"/>
      <c r="V68" s="401"/>
      <c r="W68" s="405">
        <v>13</v>
      </c>
      <c r="X68" s="406"/>
      <c r="Y68" s="412"/>
      <c r="Z68" s="413"/>
      <c r="AA68" s="412"/>
      <c r="AB68" s="413"/>
      <c r="AC68" s="412"/>
      <c r="AD68" s="413"/>
      <c r="AE68" s="412"/>
      <c r="AF68" s="413"/>
      <c r="AG68" s="412"/>
      <c r="AH68" s="413"/>
    </row>
    <row r="69" spans="2:34" s="168" customFormat="1" ht="14.25" customHeight="1" x14ac:dyDescent="0.2">
      <c r="B69" s="400">
        <v>3</v>
      </c>
      <c r="C69" s="401"/>
      <c r="D69" s="401"/>
      <c r="E69" s="405">
        <v>14</v>
      </c>
      <c r="F69" s="406"/>
      <c r="G69" s="412"/>
      <c r="H69" s="413"/>
      <c r="I69" s="412"/>
      <c r="J69" s="413"/>
      <c r="K69" s="412"/>
      <c r="L69" s="413"/>
      <c r="M69" s="412"/>
      <c r="N69" s="413"/>
      <c r="O69" s="412"/>
      <c r="P69" s="413"/>
      <c r="T69" s="400">
        <v>4</v>
      </c>
      <c r="U69" s="401"/>
      <c r="V69" s="401"/>
      <c r="W69" s="405">
        <v>14</v>
      </c>
      <c r="X69" s="406"/>
      <c r="Y69" s="412"/>
      <c r="Z69" s="413"/>
      <c r="AA69" s="412"/>
      <c r="AB69" s="413"/>
      <c r="AC69" s="412"/>
      <c r="AD69" s="413"/>
      <c r="AE69" s="412"/>
      <c r="AF69" s="413"/>
      <c r="AG69" s="412"/>
      <c r="AH69" s="413"/>
    </row>
    <row r="70" spans="2:34" s="168" customFormat="1" ht="14.25" customHeight="1" x14ac:dyDescent="0.2">
      <c r="B70" s="400">
        <v>3</v>
      </c>
      <c r="C70" s="401"/>
      <c r="D70" s="401"/>
      <c r="E70" s="405">
        <v>15</v>
      </c>
      <c r="F70" s="406"/>
      <c r="G70" s="412"/>
      <c r="H70" s="413"/>
      <c r="I70" s="412"/>
      <c r="J70" s="413"/>
      <c r="K70" s="412"/>
      <c r="L70" s="413"/>
      <c r="M70" s="412"/>
      <c r="N70" s="413"/>
      <c r="O70" s="412"/>
      <c r="P70" s="413"/>
      <c r="T70" s="400">
        <v>4</v>
      </c>
      <c r="U70" s="401"/>
      <c r="V70" s="401"/>
      <c r="W70" s="405">
        <v>15</v>
      </c>
      <c r="X70" s="406"/>
      <c r="Y70" s="412"/>
      <c r="Z70" s="413"/>
      <c r="AA70" s="412"/>
      <c r="AB70" s="413"/>
      <c r="AC70" s="412"/>
      <c r="AD70" s="413"/>
      <c r="AE70" s="412"/>
      <c r="AF70" s="413"/>
      <c r="AG70" s="412"/>
      <c r="AH70" s="413"/>
    </row>
    <row r="71" spans="2:34" s="168" customFormat="1" ht="14.25" customHeight="1" x14ac:dyDescent="0.2">
      <c r="B71" s="400">
        <v>3</v>
      </c>
      <c r="C71" s="401"/>
      <c r="D71" s="401"/>
      <c r="E71" s="405">
        <v>16</v>
      </c>
      <c r="F71" s="406"/>
      <c r="G71" s="412"/>
      <c r="H71" s="413"/>
      <c r="I71" s="412"/>
      <c r="J71" s="413"/>
      <c r="K71" s="412"/>
      <c r="L71" s="413"/>
      <c r="M71" s="412"/>
      <c r="N71" s="413"/>
      <c r="O71" s="412"/>
      <c r="P71" s="413"/>
      <c r="T71" s="400">
        <v>4</v>
      </c>
      <c r="U71" s="401"/>
      <c r="V71" s="401"/>
      <c r="W71" s="405">
        <v>16</v>
      </c>
      <c r="X71" s="406"/>
      <c r="Y71" s="412"/>
      <c r="Z71" s="413"/>
      <c r="AA71" s="412"/>
      <c r="AB71" s="413"/>
      <c r="AC71" s="412"/>
      <c r="AD71" s="413"/>
      <c r="AE71" s="412"/>
      <c r="AF71" s="413"/>
      <c r="AG71" s="412"/>
      <c r="AH71" s="413"/>
    </row>
    <row r="72" spans="2:34" s="168" customFormat="1" ht="14.25" customHeight="1" x14ac:dyDescent="0.2">
      <c r="B72" s="400">
        <v>3</v>
      </c>
      <c r="C72" s="401"/>
      <c r="D72" s="401"/>
      <c r="E72" s="405">
        <v>17</v>
      </c>
      <c r="F72" s="406"/>
      <c r="G72" s="412"/>
      <c r="H72" s="413"/>
      <c r="I72" s="412"/>
      <c r="J72" s="413"/>
      <c r="K72" s="412"/>
      <c r="L72" s="413"/>
      <c r="M72" s="412"/>
      <c r="N72" s="413"/>
      <c r="O72" s="412"/>
      <c r="P72" s="413"/>
      <c r="T72" s="400">
        <v>4</v>
      </c>
      <c r="U72" s="401"/>
      <c r="V72" s="401"/>
      <c r="W72" s="405">
        <v>17</v>
      </c>
      <c r="X72" s="406"/>
      <c r="Y72" s="412"/>
      <c r="Z72" s="413"/>
      <c r="AA72" s="412"/>
      <c r="AB72" s="413"/>
      <c r="AC72" s="412"/>
      <c r="AD72" s="413"/>
      <c r="AE72" s="412"/>
      <c r="AF72" s="413"/>
      <c r="AG72" s="412"/>
      <c r="AH72" s="413"/>
    </row>
    <row r="73" spans="2:34" s="168" customFormat="1" ht="14.25" customHeight="1" x14ac:dyDescent="0.2">
      <c r="B73" s="400">
        <v>3</v>
      </c>
      <c r="C73" s="401"/>
      <c r="D73" s="401"/>
      <c r="E73" s="405">
        <v>18</v>
      </c>
      <c r="F73" s="406"/>
      <c r="G73" s="412"/>
      <c r="H73" s="413"/>
      <c r="I73" s="412"/>
      <c r="J73" s="413"/>
      <c r="K73" s="412"/>
      <c r="L73" s="413"/>
      <c r="M73" s="412"/>
      <c r="N73" s="413"/>
      <c r="O73" s="412"/>
      <c r="P73" s="413"/>
      <c r="T73" s="400">
        <v>4</v>
      </c>
      <c r="U73" s="401"/>
      <c r="V73" s="401"/>
      <c r="W73" s="405">
        <v>18</v>
      </c>
      <c r="X73" s="406"/>
      <c r="Y73" s="412"/>
      <c r="Z73" s="413"/>
      <c r="AA73" s="412"/>
      <c r="AB73" s="413"/>
      <c r="AC73" s="412"/>
      <c r="AD73" s="413"/>
      <c r="AE73" s="412"/>
      <c r="AF73" s="413"/>
      <c r="AG73" s="412"/>
      <c r="AH73" s="413"/>
    </row>
    <row r="74" spans="2:34" s="168" customFormat="1" ht="14.25" customHeight="1" x14ac:dyDescent="0.2">
      <c r="B74" s="400">
        <v>3</v>
      </c>
      <c r="C74" s="401"/>
      <c r="D74" s="401"/>
      <c r="E74" s="405">
        <v>19</v>
      </c>
      <c r="F74" s="406"/>
      <c r="G74" s="412"/>
      <c r="H74" s="413"/>
      <c r="I74" s="412"/>
      <c r="J74" s="413"/>
      <c r="K74" s="412"/>
      <c r="L74" s="413"/>
      <c r="M74" s="412"/>
      <c r="N74" s="413"/>
      <c r="O74" s="412"/>
      <c r="P74" s="413"/>
      <c r="T74" s="400">
        <v>4</v>
      </c>
      <c r="U74" s="401"/>
      <c r="V74" s="401"/>
      <c r="W74" s="405">
        <v>19</v>
      </c>
      <c r="X74" s="406"/>
      <c r="Y74" s="412"/>
      <c r="Z74" s="413"/>
      <c r="AA74" s="412"/>
      <c r="AB74" s="413"/>
      <c r="AC74" s="412"/>
      <c r="AD74" s="413"/>
      <c r="AE74" s="412"/>
      <c r="AF74" s="413"/>
      <c r="AG74" s="412"/>
      <c r="AH74" s="413"/>
    </row>
    <row r="75" spans="2:34" s="168" customFormat="1" ht="14.25" customHeight="1" x14ac:dyDescent="0.2">
      <c r="B75" s="400">
        <v>3</v>
      </c>
      <c r="C75" s="401"/>
      <c r="D75" s="401"/>
      <c r="E75" s="405">
        <v>20</v>
      </c>
      <c r="F75" s="406"/>
      <c r="G75" s="412"/>
      <c r="H75" s="413"/>
      <c r="I75" s="412"/>
      <c r="J75" s="413"/>
      <c r="K75" s="412"/>
      <c r="L75" s="413"/>
      <c r="M75" s="412"/>
      <c r="N75" s="413"/>
      <c r="O75" s="412"/>
      <c r="P75" s="413"/>
      <c r="T75" s="400">
        <v>4</v>
      </c>
      <c r="U75" s="401"/>
      <c r="V75" s="401"/>
      <c r="W75" s="405">
        <v>20</v>
      </c>
      <c r="X75" s="406"/>
      <c r="Y75" s="412"/>
      <c r="Z75" s="413"/>
      <c r="AA75" s="412"/>
      <c r="AB75" s="413"/>
      <c r="AC75" s="412"/>
      <c r="AD75" s="413"/>
      <c r="AE75" s="412"/>
      <c r="AF75" s="413"/>
      <c r="AG75" s="412"/>
      <c r="AH75" s="413"/>
    </row>
    <row r="76" spans="2:34" s="168" customFormat="1" ht="14.25" customHeight="1" x14ac:dyDescent="0.2">
      <c r="B76" s="400">
        <v>3</v>
      </c>
      <c r="C76" s="401"/>
      <c r="D76" s="401"/>
      <c r="E76" s="405">
        <v>21</v>
      </c>
      <c r="F76" s="406"/>
      <c r="G76" s="412"/>
      <c r="H76" s="413"/>
      <c r="I76" s="412"/>
      <c r="J76" s="413"/>
      <c r="K76" s="412"/>
      <c r="L76" s="413"/>
      <c r="M76" s="412"/>
      <c r="N76" s="413"/>
      <c r="O76" s="412"/>
      <c r="P76" s="413"/>
      <c r="T76" s="400">
        <v>4</v>
      </c>
      <c r="U76" s="401"/>
      <c r="V76" s="401"/>
      <c r="W76" s="405">
        <v>21</v>
      </c>
      <c r="X76" s="406"/>
      <c r="Y76" s="412"/>
      <c r="Z76" s="413"/>
      <c r="AA76" s="412"/>
      <c r="AB76" s="413"/>
      <c r="AC76" s="412"/>
      <c r="AD76" s="413"/>
      <c r="AE76" s="412"/>
      <c r="AF76" s="413"/>
      <c r="AG76" s="412"/>
      <c r="AH76" s="413"/>
    </row>
    <row r="77" spans="2:34" s="168" customFormat="1" ht="14.25" customHeight="1" x14ac:dyDescent="0.2">
      <c r="B77" s="400">
        <v>3</v>
      </c>
      <c r="C77" s="401"/>
      <c r="D77" s="401"/>
      <c r="E77" s="405">
        <v>22</v>
      </c>
      <c r="F77" s="406"/>
      <c r="G77" s="412"/>
      <c r="H77" s="413"/>
      <c r="I77" s="412"/>
      <c r="J77" s="413"/>
      <c r="K77" s="412"/>
      <c r="L77" s="413"/>
      <c r="M77" s="412"/>
      <c r="N77" s="413"/>
      <c r="O77" s="412"/>
      <c r="P77" s="413"/>
      <c r="T77" s="400">
        <v>4</v>
      </c>
      <c r="U77" s="401"/>
      <c r="V77" s="401"/>
      <c r="W77" s="405">
        <v>22</v>
      </c>
      <c r="X77" s="406"/>
      <c r="Y77" s="412"/>
      <c r="Z77" s="413"/>
      <c r="AA77" s="412"/>
      <c r="AB77" s="413"/>
      <c r="AC77" s="412"/>
      <c r="AD77" s="413"/>
      <c r="AE77" s="412"/>
      <c r="AF77" s="413"/>
      <c r="AG77" s="412"/>
      <c r="AH77" s="413"/>
    </row>
    <row r="78" spans="2:34" s="168" customFormat="1" ht="14.25" customHeight="1" x14ac:dyDescent="0.2">
      <c r="B78" s="400">
        <v>3</v>
      </c>
      <c r="C78" s="401"/>
      <c r="D78" s="401"/>
      <c r="E78" s="405">
        <v>23</v>
      </c>
      <c r="F78" s="406"/>
      <c r="G78" s="412"/>
      <c r="H78" s="413"/>
      <c r="I78" s="412"/>
      <c r="J78" s="413"/>
      <c r="K78" s="412"/>
      <c r="L78" s="413"/>
      <c r="M78" s="412"/>
      <c r="N78" s="413"/>
      <c r="O78" s="412"/>
      <c r="P78" s="413"/>
      <c r="T78" s="400">
        <v>4</v>
      </c>
      <c r="U78" s="401"/>
      <c r="V78" s="401"/>
      <c r="W78" s="405">
        <v>23</v>
      </c>
      <c r="X78" s="406"/>
      <c r="Y78" s="412"/>
      <c r="Z78" s="413"/>
      <c r="AA78" s="412"/>
      <c r="AB78" s="413"/>
      <c r="AC78" s="412"/>
      <c r="AD78" s="413"/>
      <c r="AE78" s="412"/>
      <c r="AF78" s="413"/>
      <c r="AG78" s="412"/>
      <c r="AH78" s="413"/>
    </row>
    <row r="79" spans="2:34" s="168" customFormat="1" ht="14.25" customHeight="1" x14ac:dyDescent="0.2">
      <c r="B79" s="400">
        <v>3</v>
      </c>
      <c r="C79" s="401"/>
      <c r="D79" s="401"/>
      <c r="E79" s="405">
        <v>24</v>
      </c>
      <c r="F79" s="406"/>
      <c r="G79" s="412"/>
      <c r="H79" s="413"/>
      <c r="I79" s="412"/>
      <c r="J79" s="413"/>
      <c r="K79" s="412"/>
      <c r="L79" s="413"/>
      <c r="M79" s="412"/>
      <c r="N79" s="413"/>
      <c r="O79" s="412"/>
      <c r="P79" s="413"/>
      <c r="T79" s="400">
        <v>4</v>
      </c>
      <c r="U79" s="401"/>
      <c r="V79" s="401"/>
      <c r="W79" s="405">
        <v>24</v>
      </c>
      <c r="X79" s="406"/>
      <c r="Y79" s="412"/>
      <c r="Z79" s="413"/>
      <c r="AA79" s="412"/>
      <c r="AB79" s="413"/>
      <c r="AC79" s="412"/>
      <c r="AD79" s="413"/>
      <c r="AE79" s="412"/>
      <c r="AF79" s="413"/>
      <c r="AG79" s="412"/>
      <c r="AH79" s="413"/>
    </row>
    <row r="80" spans="2:34" s="168" customFormat="1" ht="14.25" customHeight="1" x14ac:dyDescent="0.15"/>
    <row r="81" spans="1:18" ht="15" thickBot="1" x14ac:dyDescent="0.25">
      <c r="A81" s="165" t="s">
        <v>900</v>
      </c>
      <c r="K81" s="165" t="s">
        <v>901</v>
      </c>
    </row>
    <row r="82" spans="1:18" s="168" customFormat="1" ht="12" thickBot="1" x14ac:dyDescent="0.25">
      <c r="B82" s="402" t="s">
        <v>902</v>
      </c>
      <c r="C82" s="403"/>
      <c r="D82" s="404"/>
      <c r="E82" s="398" t="s">
        <v>123</v>
      </c>
      <c r="F82" s="404"/>
      <c r="G82" s="398" t="s">
        <v>903</v>
      </c>
      <c r="H82" s="404"/>
      <c r="L82" s="402" t="s">
        <v>902</v>
      </c>
      <c r="M82" s="403"/>
      <c r="N82" s="404"/>
      <c r="O82" s="398" t="s">
        <v>123</v>
      </c>
      <c r="P82" s="404"/>
      <c r="Q82" s="398" t="s">
        <v>903</v>
      </c>
      <c r="R82" s="404"/>
    </row>
    <row r="83" spans="1:18" s="168" customFormat="1" ht="11.25" x14ac:dyDescent="0.2">
      <c r="B83" s="400">
        <v>10</v>
      </c>
      <c r="C83" s="401"/>
      <c r="D83" s="401"/>
      <c r="E83" s="416"/>
      <c r="F83" s="417"/>
      <c r="G83" s="410"/>
      <c r="H83" s="411"/>
      <c r="L83" s="400">
        <v>20</v>
      </c>
      <c r="M83" s="401"/>
      <c r="N83" s="401"/>
      <c r="O83" s="410"/>
      <c r="P83" s="411"/>
      <c r="Q83" s="410"/>
      <c r="R83" s="411"/>
    </row>
    <row r="84" spans="1:18" s="168" customFormat="1" ht="11.25" x14ac:dyDescent="0.2">
      <c r="B84" s="405">
        <v>11</v>
      </c>
      <c r="C84" s="406"/>
      <c r="D84" s="406"/>
      <c r="E84" s="414"/>
      <c r="F84" s="415"/>
      <c r="G84" s="412"/>
      <c r="H84" s="413"/>
      <c r="L84" s="405">
        <v>21</v>
      </c>
      <c r="M84" s="406"/>
      <c r="N84" s="406"/>
      <c r="O84" s="412"/>
      <c r="P84" s="413"/>
      <c r="Q84" s="412"/>
      <c r="R84" s="413"/>
    </row>
    <row r="85" spans="1:18" s="168" customFormat="1" ht="11.25" x14ac:dyDescent="0.2">
      <c r="B85" s="405">
        <v>12</v>
      </c>
      <c r="C85" s="406"/>
      <c r="D85" s="406"/>
      <c r="E85" s="414"/>
      <c r="F85" s="415"/>
      <c r="G85" s="412"/>
      <c r="H85" s="413"/>
      <c r="L85" s="400">
        <v>22</v>
      </c>
      <c r="M85" s="401"/>
      <c r="N85" s="401"/>
      <c r="O85" s="412"/>
      <c r="P85" s="413"/>
      <c r="Q85" s="412"/>
      <c r="R85" s="413"/>
    </row>
    <row r="86" spans="1:18" s="168" customFormat="1" ht="11.25" x14ac:dyDescent="0.2">
      <c r="B86" s="405">
        <v>13</v>
      </c>
      <c r="C86" s="406"/>
      <c r="D86" s="406"/>
      <c r="E86" s="414"/>
      <c r="F86" s="415"/>
      <c r="G86" s="412"/>
      <c r="H86" s="413"/>
      <c r="L86" s="405">
        <v>23</v>
      </c>
      <c r="M86" s="406"/>
      <c r="N86" s="406"/>
      <c r="O86" s="412"/>
      <c r="P86" s="413"/>
      <c r="Q86" s="412"/>
      <c r="R86" s="413"/>
    </row>
    <row r="87" spans="1:18" s="168" customFormat="1" ht="11.25" x14ac:dyDescent="0.2">
      <c r="B87" s="405">
        <v>14</v>
      </c>
      <c r="C87" s="406"/>
      <c r="D87" s="406"/>
      <c r="E87" s="414"/>
      <c r="F87" s="415"/>
      <c r="G87" s="412"/>
      <c r="H87" s="413"/>
      <c r="L87" s="400">
        <v>24</v>
      </c>
      <c r="M87" s="401"/>
      <c r="N87" s="401"/>
      <c r="O87" s="412"/>
      <c r="P87" s="413"/>
      <c r="Q87" s="412"/>
      <c r="R87" s="413"/>
    </row>
    <row r="88" spans="1:18" s="168" customFormat="1" ht="11.25" x14ac:dyDescent="0.2">
      <c r="B88" s="405">
        <v>15</v>
      </c>
      <c r="C88" s="406"/>
      <c r="D88" s="406"/>
      <c r="E88" s="414"/>
      <c r="F88" s="415"/>
      <c r="G88" s="412"/>
      <c r="H88" s="413"/>
      <c r="L88" s="405">
        <v>25</v>
      </c>
      <c r="M88" s="406"/>
      <c r="N88" s="406"/>
      <c r="O88" s="412"/>
      <c r="P88" s="413"/>
      <c r="Q88" s="412"/>
      <c r="R88" s="413"/>
    </row>
    <row r="89" spans="1:18" s="168" customFormat="1" ht="11.25" x14ac:dyDescent="0.2">
      <c r="B89" s="405">
        <v>16</v>
      </c>
      <c r="C89" s="406"/>
      <c r="D89" s="406"/>
      <c r="E89" s="414"/>
      <c r="F89" s="415"/>
      <c r="G89" s="412"/>
      <c r="H89" s="413"/>
      <c r="L89" s="400">
        <v>26</v>
      </c>
      <c r="M89" s="401"/>
      <c r="N89" s="401"/>
      <c r="O89" s="412"/>
      <c r="P89" s="413"/>
      <c r="Q89" s="412"/>
      <c r="R89" s="413"/>
    </row>
    <row r="90" spans="1:18" s="168" customFormat="1" ht="11.25" x14ac:dyDescent="0.2">
      <c r="B90" s="405">
        <v>17</v>
      </c>
      <c r="C90" s="406"/>
      <c r="D90" s="406"/>
      <c r="E90" s="414"/>
      <c r="F90" s="415"/>
      <c r="G90" s="412"/>
      <c r="H90" s="413"/>
      <c r="L90" s="405">
        <v>27</v>
      </c>
      <c r="M90" s="406"/>
      <c r="N90" s="406"/>
      <c r="O90" s="412"/>
      <c r="P90" s="413"/>
      <c r="Q90" s="412"/>
      <c r="R90" s="413"/>
    </row>
    <row r="91" spans="1:18" s="168" customFormat="1" ht="11.25" x14ac:dyDescent="0.2">
      <c r="B91" s="405">
        <v>18</v>
      </c>
      <c r="C91" s="406"/>
      <c r="D91" s="406"/>
      <c r="E91" s="414"/>
      <c r="F91" s="415"/>
      <c r="G91" s="412"/>
      <c r="H91" s="413"/>
      <c r="L91" s="400">
        <v>28</v>
      </c>
      <c r="M91" s="401"/>
      <c r="N91" s="401"/>
      <c r="O91" s="412"/>
      <c r="P91" s="413"/>
      <c r="Q91" s="412"/>
      <c r="R91" s="413"/>
    </row>
    <row r="92" spans="1:18" s="168" customFormat="1" ht="11.25" x14ac:dyDescent="0.2">
      <c r="B92" s="405">
        <v>19</v>
      </c>
      <c r="C92" s="406"/>
      <c r="D92" s="406"/>
      <c r="E92" s="414"/>
      <c r="F92" s="415"/>
      <c r="G92" s="412"/>
      <c r="H92" s="413"/>
      <c r="L92" s="405">
        <v>29</v>
      </c>
      <c r="M92" s="406"/>
      <c r="N92" s="406"/>
      <c r="O92" s="412"/>
      <c r="P92" s="413"/>
      <c r="Q92" s="412"/>
      <c r="R92" s="413"/>
    </row>
    <row r="93" spans="1:18" s="168" customFormat="1" ht="11.25" x14ac:dyDescent="0.2">
      <c r="B93" s="405">
        <v>30</v>
      </c>
      <c r="C93" s="406"/>
      <c r="D93" s="406"/>
      <c r="E93" s="414"/>
      <c r="F93" s="415"/>
      <c r="G93" s="412"/>
      <c r="H93" s="413"/>
      <c r="L93" s="405">
        <v>40</v>
      </c>
      <c r="M93" s="406"/>
      <c r="N93" s="406"/>
      <c r="O93" s="412"/>
      <c r="P93" s="413"/>
      <c r="Q93" s="412"/>
      <c r="R93" s="413"/>
    </row>
    <row r="94" spans="1:18" s="168" customFormat="1" ht="11.25" x14ac:dyDescent="0.2">
      <c r="B94" s="405">
        <v>31</v>
      </c>
      <c r="C94" s="406"/>
      <c r="D94" s="406"/>
      <c r="E94" s="414"/>
      <c r="F94" s="415"/>
      <c r="G94" s="412"/>
      <c r="H94" s="413"/>
      <c r="L94" s="405">
        <v>41</v>
      </c>
      <c r="M94" s="406"/>
      <c r="N94" s="406"/>
      <c r="O94" s="412"/>
      <c r="P94" s="413"/>
      <c r="Q94" s="412"/>
      <c r="R94" s="413"/>
    </row>
    <row r="95" spans="1:18" s="168" customFormat="1" ht="11.25" x14ac:dyDescent="0.2">
      <c r="B95" s="405">
        <v>32</v>
      </c>
      <c r="C95" s="406"/>
      <c r="D95" s="406"/>
      <c r="E95" s="414"/>
      <c r="F95" s="415"/>
      <c r="G95" s="412"/>
      <c r="H95" s="413"/>
      <c r="L95" s="405">
        <v>42</v>
      </c>
      <c r="M95" s="406"/>
      <c r="N95" s="406"/>
      <c r="O95" s="412"/>
      <c r="P95" s="413"/>
      <c r="Q95" s="412"/>
      <c r="R95" s="413"/>
    </row>
    <row r="96" spans="1:18" s="168" customFormat="1" ht="11.25" x14ac:dyDescent="0.2">
      <c r="B96" s="405">
        <v>33</v>
      </c>
      <c r="C96" s="406"/>
      <c r="D96" s="406"/>
      <c r="E96" s="414"/>
      <c r="F96" s="415"/>
      <c r="G96" s="412"/>
      <c r="H96" s="413"/>
      <c r="L96" s="405">
        <v>43</v>
      </c>
      <c r="M96" s="406"/>
      <c r="N96" s="406"/>
      <c r="O96" s="412"/>
      <c r="P96" s="413"/>
      <c r="Q96" s="412"/>
      <c r="R96" s="413"/>
    </row>
    <row r="97" spans="2:18" s="168" customFormat="1" ht="11.25" x14ac:dyDescent="0.2">
      <c r="B97" s="405">
        <v>34</v>
      </c>
      <c r="C97" s="406"/>
      <c r="D97" s="406"/>
      <c r="E97" s="414"/>
      <c r="F97" s="415"/>
      <c r="G97" s="412"/>
      <c r="H97" s="413"/>
      <c r="L97" s="405">
        <v>44</v>
      </c>
      <c r="M97" s="406"/>
      <c r="N97" s="406"/>
      <c r="O97" s="412"/>
      <c r="P97" s="413"/>
      <c r="Q97" s="412"/>
      <c r="R97" s="413"/>
    </row>
    <row r="98" spans="2:18" s="168" customFormat="1" ht="11.25" x14ac:dyDescent="0.2">
      <c r="B98" s="405">
        <v>35</v>
      </c>
      <c r="C98" s="406"/>
      <c r="D98" s="406"/>
      <c r="E98" s="414"/>
      <c r="F98" s="415"/>
      <c r="G98" s="412"/>
      <c r="H98" s="413"/>
      <c r="L98" s="405">
        <v>45</v>
      </c>
      <c r="M98" s="406"/>
      <c r="N98" s="406"/>
      <c r="O98" s="412"/>
      <c r="P98" s="413"/>
      <c r="Q98" s="412"/>
      <c r="R98" s="413"/>
    </row>
    <row r="99" spans="2:18" s="168" customFormat="1" ht="11.25" x14ac:dyDescent="0.2">
      <c r="B99" s="405">
        <v>36</v>
      </c>
      <c r="C99" s="406"/>
      <c r="D99" s="406"/>
      <c r="E99" s="414"/>
      <c r="F99" s="415"/>
      <c r="G99" s="412"/>
      <c r="H99" s="413"/>
      <c r="L99" s="405">
        <v>46</v>
      </c>
      <c r="M99" s="406"/>
      <c r="N99" s="406"/>
      <c r="O99" s="412"/>
      <c r="P99" s="413"/>
      <c r="Q99" s="412"/>
      <c r="R99" s="413"/>
    </row>
    <row r="100" spans="2:18" s="168" customFormat="1" ht="11.25" x14ac:dyDescent="0.2">
      <c r="B100" s="405">
        <v>37</v>
      </c>
      <c r="C100" s="406"/>
      <c r="D100" s="406"/>
      <c r="E100" s="414"/>
      <c r="F100" s="415"/>
      <c r="G100" s="412"/>
      <c r="H100" s="413"/>
      <c r="L100" s="405">
        <v>47</v>
      </c>
      <c r="M100" s="406"/>
      <c r="N100" s="406"/>
      <c r="O100" s="412"/>
      <c r="P100" s="413"/>
      <c r="Q100" s="412"/>
      <c r="R100" s="413"/>
    </row>
    <row r="101" spans="2:18" s="168" customFormat="1" ht="11.25" x14ac:dyDescent="0.2">
      <c r="B101" s="405">
        <v>38</v>
      </c>
      <c r="C101" s="406"/>
      <c r="D101" s="406"/>
      <c r="E101" s="414"/>
      <c r="F101" s="415"/>
      <c r="G101" s="412"/>
      <c r="H101" s="413"/>
      <c r="L101" s="405">
        <v>48</v>
      </c>
      <c r="M101" s="406"/>
      <c r="N101" s="406"/>
      <c r="O101" s="412"/>
      <c r="P101" s="413"/>
      <c r="Q101" s="412"/>
      <c r="R101" s="413"/>
    </row>
    <row r="102" spans="2:18" s="168" customFormat="1" ht="11.25" x14ac:dyDescent="0.2">
      <c r="B102" s="405">
        <v>39</v>
      </c>
      <c r="C102" s="406"/>
      <c r="D102" s="406"/>
      <c r="E102" s="414"/>
      <c r="F102" s="415"/>
      <c r="G102" s="412"/>
      <c r="H102" s="413"/>
      <c r="L102" s="405">
        <v>49</v>
      </c>
      <c r="M102" s="406"/>
      <c r="N102" s="406"/>
      <c r="O102" s="412"/>
      <c r="P102" s="413"/>
      <c r="Q102" s="412"/>
      <c r="R102" s="413"/>
    </row>
    <row r="103" spans="2:18" s="168" customFormat="1" ht="10.5" x14ac:dyDescent="0.15"/>
    <row r="104" spans="2:18" s="168" customFormat="1" ht="10.5" x14ac:dyDescent="0.15"/>
    <row r="105" spans="2:18" s="168" customFormat="1" ht="10.5" x14ac:dyDescent="0.15"/>
  </sheetData>
  <mergeCells count="966">
    <mergeCell ref="U19:W19"/>
    <mergeCell ref="U20:W20"/>
    <mergeCell ref="U21:W21"/>
    <mergeCell ref="U22:W22"/>
    <mergeCell ref="U23:W23"/>
    <mergeCell ref="U8:V8"/>
    <mergeCell ref="U9:V9"/>
    <mergeCell ref="U10:V10"/>
    <mergeCell ref="U11:V11"/>
    <mergeCell ref="U12:V12"/>
    <mergeCell ref="U15:W15"/>
    <mergeCell ref="U16:W16"/>
    <mergeCell ref="U17:W17"/>
    <mergeCell ref="U18:W18"/>
    <mergeCell ref="B102:D102"/>
    <mergeCell ref="E102:F102"/>
    <mergeCell ref="G102:H102"/>
    <mergeCell ref="L102:N102"/>
    <mergeCell ref="O102:P102"/>
    <mergeCell ref="Q102:R102"/>
    <mergeCell ref="B101:D101"/>
    <mergeCell ref="E101:F101"/>
    <mergeCell ref="G101:H101"/>
    <mergeCell ref="L101:N101"/>
    <mergeCell ref="O101:P101"/>
    <mergeCell ref="Q101:R101"/>
    <mergeCell ref="B100:D100"/>
    <mergeCell ref="E100:F100"/>
    <mergeCell ref="G100:H100"/>
    <mergeCell ref="L100:N100"/>
    <mergeCell ref="O100:P100"/>
    <mergeCell ref="Q100:R100"/>
    <mergeCell ref="B99:D99"/>
    <mergeCell ref="E99:F99"/>
    <mergeCell ref="G99:H99"/>
    <mergeCell ref="L99:N99"/>
    <mergeCell ref="O99:P99"/>
    <mergeCell ref="Q99:R99"/>
    <mergeCell ref="B98:D98"/>
    <mergeCell ref="E98:F98"/>
    <mergeCell ref="G98:H98"/>
    <mergeCell ref="L98:N98"/>
    <mergeCell ref="O98:P98"/>
    <mergeCell ref="Q98:R98"/>
    <mergeCell ref="B97:D97"/>
    <mergeCell ref="E97:F97"/>
    <mergeCell ref="G97:H97"/>
    <mergeCell ref="L97:N97"/>
    <mergeCell ref="O97:P97"/>
    <mergeCell ref="Q97:R97"/>
    <mergeCell ref="B96:D96"/>
    <mergeCell ref="E96:F96"/>
    <mergeCell ref="G96:H96"/>
    <mergeCell ref="L96:N96"/>
    <mergeCell ref="O96:P96"/>
    <mergeCell ref="Q96:R96"/>
    <mergeCell ref="B95:D95"/>
    <mergeCell ref="E95:F95"/>
    <mergeCell ref="G95:H95"/>
    <mergeCell ref="L95:N95"/>
    <mergeCell ref="O95:P95"/>
    <mergeCell ref="Q95:R95"/>
    <mergeCell ref="B94:D94"/>
    <mergeCell ref="E94:F94"/>
    <mergeCell ref="G94:H94"/>
    <mergeCell ref="L94:N94"/>
    <mergeCell ref="O94:P94"/>
    <mergeCell ref="Q94:R94"/>
    <mergeCell ref="B93:D93"/>
    <mergeCell ref="E93:F93"/>
    <mergeCell ref="G93:H93"/>
    <mergeCell ref="L93:N93"/>
    <mergeCell ref="O93:P93"/>
    <mergeCell ref="Q93:R93"/>
    <mergeCell ref="B92:D92"/>
    <mergeCell ref="E92:F92"/>
    <mergeCell ref="G92:H92"/>
    <mergeCell ref="L92:N92"/>
    <mergeCell ref="O92:P92"/>
    <mergeCell ref="Q92:R92"/>
    <mergeCell ref="B91:D91"/>
    <mergeCell ref="E91:F91"/>
    <mergeCell ref="G91:H91"/>
    <mergeCell ref="L91:N91"/>
    <mergeCell ref="O91:P91"/>
    <mergeCell ref="Q91:R91"/>
    <mergeCell ref="B90:D90"/>
    <mergeCell ref="E90:F90"/>
    <mergeCell ref="G90:H90"/>
    <mergeCell ref="L90:N90"/>
    <mergeCell ref="O90:P90"/>
    <mergeCell ref="Q90:R90"/>
    <mergeCell ref="B89:D89"/>
    <mergeCell ref="E89:F89"/>
    <mergeCell ref="G89:H89"/>
    <mergeCell ref="L89:N89"/>
    <mergeCell ref="O89:P89"/>
    <mergeCell ref="Q89:R89"/>
    <mergeCell ref="B88:D88"/>
    <mergeCell ref="E88:F88"/>
    <mergeCell ref="G88:H88"/>
    <mergeCell ref="L88:N88"/>
    <mergeCell ref="O88:P88"/>
    <mergeCell ref="Q88:R88"/>
    <mergeCell ref="B87:D87"/>
    <mergeCell ref="E87:F87"/>
    <mergeCell ref="G87:H87"/>
    <mergeCell ref="L87:N87"/>
    <mergeCell ref="O87:P87"/>
    <mergeCell ref="Q87:R87"/>
    <mergeCell ref="B86:D86"/>
    <mergeCell ref="E86:F86"/>
    <mergeCell ref="G86:H86"/>
    <mergeCell ref="L86:N86"/>
    <mergeCell ref="O86:P86"/>
    <mergeCell ref="Q86:R86"/>
    <mergeCell ref="B85:D85"/>
    <mergeCell ref="E85:F85"/>
    <mergeCell ref="G85:H85"/>
    <mergeCell ref="L85:N85"/>
    <mergeCell ref="O85:P85"/>
    <mergeCell ref="Q85:R85"/>
    <mergeCell ref="B84:D84"/>
    <mergeCell ref="E84:F84"/>
    <mergeCell ref="G84:H84"/>
    <mergeCell ref="L84:N84"/>
    <mergeCell ref="O84:P84"/>
    <mergeCell ref="Q84:R84"/>
    <mergeCell ref="B83:D83"/>
    <mergeCell ref="E83:F83"/>
    <mergeCell ref="G83:H83"/>
    <mergeCell ref="L83:N83"/>
    <mergeCell ref="O83:P83"/>
    <mergeCell ref="Q83:R83"/>
    <mergeCell ref="B82:D82"/>
    <mergeCell ref="E82:F82"/>
    <mergeCell ref="G82:H82"/>
    <mergeCell ref="L82:N82"/>
    <mergeCell ref="O82:P82"/>
    <mergeCell ref="Q82:R82"/>
    <mergeCell ref="W79:X79"/>
    <mergeCell ref="Y79:Z79"/>
    <mergeCell ref="AA79:AB79"/>
    <mergeCell ref="AC79:AD79"/>
    <mergeCell ref="AE79:AF79"/>
    <mergeCell ref="AG79:AH79"/>
    <mergeCell ref="AE78:AF78"/>
    <mergeCell ref="AG78:AH78"/>
    <mergeCell ref="B79:D79"/>
    <mergeCell ref="E79:F79"/>
    <mergeCell ref="G79:H79"/>
    <mergeCell ref="I79:J79"/>
    <mergeCell ref="K79:L79"/>
    <mergeCell ref="M79:N79"/>
    <mergeCell ref="O79:P79"/>
    <mergeCell ref="T79:V79"/>
    <mergeCell ref="O78:P78"/>
    <mergeCell ref="T78:V78"/>
    <mergeCell ref="W78:X78"/>
    <mergeCell ref="Y78:Z78"/>
    <mergeCell ref="AA78:AB78"/>
    <mergeCell ref="AC78:AD78"/>
    <mergeCell ref="B78:D78"/>
    <mergeCell ref="E78:F78"/>
    <mergeCell ref="G78:H78"/>
    <mergeCell ref="I78:J78"/>
    <mergeCell ref="K78:L78"/>
    <mergeCell ref="M78:N78"/>
    <mergeCell ref="W77:X77"/>
    <mergeCell ref="Y77:Z77"/>
    <mergeCell ref="AA77:AB77"/>
    <mergeCell ref="AC77:AD77"/>
    <mergeCell ref="AE77:AF77"/>
    <mergeCell ref="AG77:AH77"/>
    <mergeCell ref="AE76:AF76"/>
    <mergeCell ref="AG76:AH76"/>
    <mergeCell ref="W76:X76"/>
    <mergeCell ref="Y76:Z76"/>
    <mergeCell ref="AA76:AB76"/>
    <mergeCell ref="AC76:AD76"/>
    <mergeCell ref="B77:D77"/>
    <mergeCell ref="E77:F77"/>
    <mergeCell ref="G77:H77"/>
    <mergeCell ref="I77:J77"/>
    <mergeCell ref="K77:L77"/>
    <mergeCell ref="M77:N77"/>
    <mergeCell ref="O77:P77"/>
    <mergeCell ref="T77:V77"/>
    <mergeCell ref="O76:P76"/>
    <mergeCell ref="T76:V76"/>
    <mergeCell ref="B76:D76"/>
    <mergeCell ref="E76:F76"/>
    <mergeCell ref="G76:H76"/>
    <mergeCell ref="I76:J76"/>
    <mergeCell ref="K76:L76"/>
    <mergeCell ref="M76:N76"/>
    <mergeCell ref="W75:X75"/>
    <mergeCell ref="Y75:Z75"/>
    <mergeCell ref="AA75:AB75"/>
    <mergeCell ref="AC75:AD75"/>
    <mergeCell ref="AE75:AF75"/>
    <mergeCell ref="AG75:AH75"/>
    <mergeCell ref="AE74:AF74"/>
    <mergeCell ref="AG74:AH74"/>
    <mergeCell ref="B75:D75"/>
    <mergeCell ref="E75:F75"/>
    <mergeCell ref="G75:H75"/>
    <mergeCell ref="I75:J75"/>
    <mergeCell ref="K75:L75"/>
    <mergeCell ref="M75:N75"/>
    <mergeCell ref="O75:P75"/>
    <mergeCell ref="T75:V75"/>
    <mergeCell ref="O74:P74"/>
    <mergeCell ref="T74:V74"/>
    <mergeCell ref="W74:X74"/>
    <mergeCell ref="Y74:Z74"/>
    <mergeCell ref="AA74:AB74"/>
    <mergeCell ref="AC74:AD74"/>
    <mergeCell ref="B74:D74"/>
    <mergeCell ref="E74:F74"/>
    <mergeCell ref="G74:H74"/>
    <mergeCell ref="I74:J74"/>
    <mergeCell ref="K74:L74"/>
    <mergeCell ref="M74:N74"/>
    <mergeCell ref="W73:X73"/>
    <mergeCell ref="Y73:Z73"/>
    <mergeCell ref="AA73:AB73"/>
    <mergeCell ref="AC73:AD73"/>
    <mergeCell ref="AE73:AF73"/>
    <mergeCell ref="AG73:AH73"/>
    <mergeCell ref="AE72:AF72"/>
    <mergeCell ref="AG72:AH72"/>
    <mergeCell ref="B73:D73"/>
    <mergeCell ref="E73:F73"/>
    <mergeCell ref="G73:H73"/>
    <mergeCell ref="I73:J73"/>
    <mergeCell ref="K73:L73"/>
    <mergeCell ref="M73:N73"/>
    <mergeCell ref="O73:P73"/>
    <mergeCell ref="T73:V73"/>
    <mergeCell ref="O72:P72"/>
    <mergeCell ref="T72:V72"/>
    <mergeCell ref="W72:X72"/>
    <mergeCell ref="Y72:Z72"/>
    <mergeCell ref="AA72:AB72"/>
    <mergeCell ref="AC72:AD72"/>
    <mergeCell ref="B72:D72"/>
    <mergeCell ref="E72:F72"/>
    <mergeCell ref="G72:H72"/>
    <mergeCell ref="I72:J72"/>
    <mergeCell ref="K72:L72"/>
    <mergeCell ref="M72:N72"/>
    <mergeCell ref="W71:X71"/>
    <mergeCell ref="Y71:Z71"/>
    <mergeCell ref="AA71:AB71"/>
    <mergeCell ref="AC71:AD71"/>
    <mergeCell ref="AE71:AF71"/>
    <mergeCell ref="AG71:AH71"/>
    <mergeCell ref="AE70:AF70"/>
    <mergeCell ref="AG70:AH70"/>
    <mergeCell ref="B71:D71"/>
    <mergeCell ref="E71:F71"/>
    <mergeCell ref="G71:H71"/>
    <mergeCell ref="I71:J71"/>
    <mergeCell ref="K71:L71"/>
    <mergeCell ref="M71:N71"/>
    <mergeCell ref="O71:P71"/>
    <mergeCell ref="T71:V71"/>
    <mergeCell ref="O70:P70"/>
    <mergeCell ref="T70:V70"/>
    <mergeCell ref="W70:X70"/>
    <mergeCell ref="Y70:Z70"/>
    <mergeCell ref="AA70:AB70"/>
    <mergeCell ref="AC70:AD70"/>
    <mergeCell ref="B70:D70"/>
    <mergeCell ref="E70:F70"/>
    <mergeCell ref="G70:H70"/>
    <mergeCell ref="I70:J70"/>
    <mergeCell ref="K70:L70"/>
    <mergeCell ref="M70:N70"/>
    <mergeCell ref="W69:X69"/>
    <mergeCell ref="Y69:Z69"/>
    <mergeCell ref="AA69:AB69"/>
    <mergeCell ref="AC69:AD69"/>
    <mergeCell ref="AE69:AF69"/>
    <mergeCell ref="AG69:AH69"/>
    <mergeCell ref="AE68:AF68"/>
    <mergeCell ref="AG68:AH68"/>
    <mergeCell ref="B69:D69"/>
    <mergeCell ref="E69:F69"/>
    <mergeCell ref="G69:H69"/>
    <mergeCell ref="I69:J69"/>
    <mergeCell ref="K69:L69"/>
    <mergeCell ref="M69:N69"/>
    <mergeCell ref="O69:P69"/>
    <mergeCell ref="T69:V69"/>
    <mergeCell ref="O68:P68"/>
    <mergeCell ref="T68:V68"/>
    <mergeCell ref="W68:X68"/>
    <mergeCell ref="Y68:Z68"/>
    <mergeCell ref="AA68:AB68"/>
    <mergeCell ref="AC68:AD68"/>
    <mergeCell ref="B68:D68"/>
    <mergeCell ref="E68:F68"/>
    <mergeCell ref="G68:H68"/>
    <mergeCell ref="I68:J68"/>
    <mergeCell ref="K68:L68"/>
    <mergeCell ref="M68:N68"/>
    <mergeCell ref="W67:X67"/>
    <mergeCell ref="Y67:Z67"/>
    <mergeCell ref="AA67:AB67"/>
    <mergeCell ref="AC67:AD67"/>
    <mergeCell ref="AE67:AF67"/>
    <mergeCell ref="AG67:AH67"/>
    <mergeCell ref="AE66:AF66"/>
    <mergeCell ref="AG66:AH66"/>
    <mergeCell ref="B67:D67"/>
    <mergeCell ref="E67:F67"/>
    <mergeCell ref="G67:H67"/>
    <mergeCell ref="I67:J67"/>
    <mergeCell ref="K67:L67"/>
    <mergeCell ref="M67:N67"/>
    <mergeCell ref="O67:P67"/>
    <mergeCell ref="T67:V67"/>
    <mergeCell ref="O66:P66"/>
    <mergeCell ref="T66:V66"/>
    <mergeCell ref="W66:X66"/>
    <mergeCell ref="Y66:Z66"/>
    <mergeCell ref="AA66:AB66"/>
    <mergeCell ref="AC66:AD66"/>
    <mergeCell ref="B66:D66"/>
    <mergeCell ref="E66:F66"/>
    <mergeCell ref="G66:H66"/>
    <mergeCell ref="I66:J66"/>
    <mergeCell ref="K66:L66"/>
    <mergeCell ref="M66:N66"/>
    <mergeCell ref="W65:X65"/>
    <mergeCell ref="Y65:Z65"/>
    <mergeCell ref="AA65:AB65"/>
    <mergeCell ref="AC65:AD65"/>
    <mergeCell ref="AE65:AF65"/>
    <mergeCell ref="AG65:AH65"/>
    <mergeCell ref="AE64:AF64"/>
    <mergeCell ref="AG64:AH64"/>
    <mergeCell ref="B65:D65"/>
    <mergeCell ref="E65:F65"/>
    <mergeCell ref="G65:H65"/>
    <mergeCell ref="I65:J65"/>
    <mergeCell ref="K65:L65"/>
    <mergeCell ref="M65:N65"/>
    <mergeCell ref="O65:P65"/>
    <mergeCell ref="T65:V65"/>
    <mergeCell ref="O64:P64"/>
    <mergeCell ref="T64:V64"/>
    <mergeCell ref="W64:X64"/>
    <mergeCell ref="Y64:Z64"/>
    <mergeCell ref="AA64:AB64"/>
    <mergeCell ref="AC64:AD64"/>
    <mergeCell ref="B64:D64"/>
    <mergeCell ref="E64:F64"/>
    <mergeCell ref="G64:H64"/>
    <mergeCell ref="I64:J64"/>
    <mergeCell ref="K64:L64"/>
    <mergeCell ref="M64:N64"/>
    <mergeCell ref="W63:X63"/>
    <mergeCell ref="Y63:Z63"/>
    <mergeCell ref="AA63:AB63"/>
    <mergeCell ref="AC63:AD63"/>
    <mergeCell ref="AE63:AF63"/>
    <mergeCell ref="AG63:AH63"/>
    <mergeCell ref="AE62:AF62"/>
    <mergeCell ref="AG62:AH62"/>
    <mergeCell ref="B63:D63"/>
    <mergeCell ref="E63:F63"/>
    <mergeCell ref="G63:H63"/>
    <mergeCell ref="I63:J63"/>
    <mergeCell ref="K63:L63"/>
    <mergeCell ref="M63:N63"/>
    <mergeCell ref="O63:P63"/>
    <mergeCell ref="T63:V63"/>
    <mergeCell ref="O62:P62"/>
    <mergeCell ref="T62:V62"/>
    <mergeCell ref="W62:X62"/>
    <mergeCell ref="Y62:Z62"/>
    <mergeCell ref="AA62:AB62"/>
    <mergeCell ref="AC62:AD62"/>
    <mergeCell ref="B62:D62"/>
    <mergeCell ref="E62:F62"/>
    <mergeCell ref="G62:H62"/>
    <mergeCell ref="I62:J62"/>
    <mergeCell ref="K62:L62"/>
    <mergeCell ref="M62:N62"/>
    <mergeCell ref="W61:X61"/>
    <mergeCell ref="Y61:Z61"/>
    <mergeCell ref="AA61:AB61"/>
    <mergeCell ref="AC61:AD61"/>
    <mergeCell ref="AE61:AF61"/>
    <mergeCell ref="AG61:AH61"/>
    <mergeCell ref="AE60:AF60"/>
    <mergeCell ref="AG60:AH60"/>
    <mergeCell ref="B61:D61"/>
    <mergeCell ref="E61:F61"/>
    <mergeCell ref="G61:H61"/>
    <mergeCell ref="I61:J61"/>
    <mergeCell ref="K61:L61"/>
    <mergeCell ref="M61:N61"/>
    <mergeCell ref="O61:P61"/>
    <mergeCell ref="T61:V61"/>
    <mergeCell ref="O60:P60"/>
    <mergeCell ref="T60:V60"/>
    <mergeCell ref="W60:X60"/>
    <mergeCell ref="Y60:Z60"/>
    <mergeCell ref="AA60:AB60"/>
    <mergeCell ref="AC60:AD60"/>
    <mergeCell ref="B60:D60"/>
    <mergeCell ref="E60:F60"/>
    <mergeCell ref="G60:H60"/>
    <mergeCell ref="I60:J60"/>
    <mergeCell ref="K60:L60"/>
    <mergeCell ref="M60:N60"/>
    <mergeCell ref="W59:X59"/>
    <mergeCell ref="Y59:Z59"/>
    <mergeCell ref="AA59:AB59"/>
    <mergeCell ref="AC59:AD59"/>
    <mergeCell ref="AE59:AF59"/>
    <mergeCell ref="AG59:AH59"/>
    <mergeCell ref="AE58:AF58"/>
    <mergeCell ref="AG58:AH58"/>
    <mergeCell ref="B59:D59"/>
    <mergeCell ref="E59:F59"/>
    <mergeCell ref="G59:H59"/>
    <mergeCell ref="I59:J59"/>
    <mergeCell ref="K59:L59"/>
    <mergeCell ref="M59:N59"/>
    <mergeCell ref="O59:P59"/>
    <mergeCell ref="T59:V59"/>
    <mergeCell ref="O58:P58"/>
    <mergeCell ref="T58:V58"/>
    <mergeCell ref="W58:X58"/>
    <mergeCell ref="Y58:Z58"/>
    <mergeCell ref="AA58:AB58"/>
    <mergeCell ref="AC58:AD58"/>
    <mergeCell ref="B58:D58"/>
    <mergeCell ref="E58:F58"/>
    <mergeCell ref="G58:H58"/>
    <mergeCell ref="I58:J58"/>
    <mergeCell ref="K58:L58"/>
    <mergeCell ref="M58:N58"/>
    <mergeCell ref="W57:X57"/>
    <mergeCell ref="Y57:Z57"/>
    <mergeCell ref="AA57:AB57"/>
    <mergeCell ref="AC57:AD57"/>
    <mergeCell ref="AE57:AF57"/>
    <mergeCell ref="AG57:AH57"/>
    <mergeCell ref="AE56:AF56"/>
    <mergeCell ref="AG56:AH56"/>
    <mergeCell ref="B57:D57"/>
    <mergeCell ref="E57:F57"/>
    <mergeCell ref="G57:H57"/>
    <mergeCell ref="I57:J57"/>
    <mergeCell ref="K57:L57"/>
    <mergeCell ref="M57:N57"/>
    <mergeCell ref="O57:P57"/>
    <mergeCell ref="T57:V57"/>
    <mergeCell ref="O56:P56"/>
    <mergeCell ref="T56:V56"/>
    <mergeCell ref="W56:X56"/>
    <mergeCell ref="Y56:Z56"/>
    <mergeCell ref="AA56:AB56"/>
    <mergeCell ref="AC56:AD56"/>
    <mergeCell ref="B56:D56"/>
    <mergeCell ref="E56:F56"/>
    <mergeCell ref="G56:H56"/>
    <mergeCell ref="I56:J56"/>
    <mergeCell ref="K56:L56"/>
    <mergeCell ref="M56:N56"/>
    <mergeCell ref="W55:X55"/>
    <mergeCell ref="Y55:Z55"/>
    <mergeCell ref="AA55:AB55"/>
    <mergeCell ref="AC55:AD55"/>
    <mergeCell ref="AE55:AF55"/>
    <mergeCell ref="AG55:AH55"/>
    <mergeCell ref="AE54:AF54"/>
    <mergeCell ref="AG54:AH54"/>
    <mergeCell ref="B55:D55"/>
    <mergeCell ref="E55:F55"/>
    <mergeCell ref="G55:H55"/>
    <mergeCell ref="I55:J55"/>
    <mergeCell ref="K55:L55"/>
    <mergeCell ref="M55:N55"/>
    <mergeCell ref="O55:P55"/>
    <mergeCell ref="T55:V55"/>
    <mergeCell ref="O54:P54"/>
    <mergeCell ref="T54:V54"/>
    <mergeCell ref="W54:X54"/>
    <mergeCell ref="Y54:Z54"/>
    <mergeCell ref="AA54:AB54"/>
    <mergeCell ref="AC54:AD54"/>
    <mergeCell ref="B54:D54"/>
    <mergeCell ref="E54:F54"/>
    <mergeCell ref="G54:H54"/>
    <mergeCell ref="I54:J54"/>
    <mergeCell ref="K54:L54"/>
    <mergeCell ref="M54:N54"/>
    <mergeCell ref="W51:X51"/>
    <mergeCell ref="Y51:Z51"/>
    <mergeCell ref="AA51:AB51"/>
    <mergeCell ref="AC51:AD51"/>
    <mergeCell ref="AE51:AF51"/>
    <mergeCell ref="AG51:AH51"/>
    <mergeCell ref="AE50:AF50"/>
    <mergeCell ref="AG50:AH50"/>
    <mergeCell ref="B51:D51"/>
    <mergeCell ref="E51:F51"/>
    <mergeCell ref="G51:H51"/>
    <mergeCell ref="I51:J51"/>
    <mergeCell ref="K51:L51"/>
    <mergeCell ref="M51:N51"/>
    <mergeCell ref="O51:P51"/>
    <mergeCell ref="T51:V51"/>
    <mergeCell ref="O50:P50"/>
    <mergeCell ref="T50:V50"/>
    <mergeCell ref="W50:X50"/>
    <mergeCell ref="Y50:Z50"/>
    <mergeCell ref="AA50:AB50"/>
    <mergeCell ref="AC50:AD50"/>
    <mergeCell ref="B50:D50"/>
    <mergeCell ref="E50:F50"/>
    <mergeCell ref="G50:H50"/>
    <mergeCell ref="I50:J50"/>
    <mergeCell ref="K50:L50"/>
    <mergeCell ref="M50:N50"/>
    <mergeCell ref="W49:X49"/>
    <mergeCell ref="Y49:Z49"/>
    <mergeCell ref="AA49:AB49"/>
    <mergeCell ref="AC49:AD49"/>
    <mergeCell ref="AE49:AF49"/>
    <mergeCell ref="AG49:AH49"/>
    <mergeCell ref="AE48:AF48"/>
    <mergeCell ref="AG48:AH48"/>
    <mergeCell ref="B49:D49"/>
    <mergeCell ref="E49:F49"/>
    <mergeCell ref="G49:H49"/>
    <mergeCell ref="I49:J49"/>
    <mergeCell ref="K49:L49"/>
    <mergeCell ref="M49:N49"/>
    <mergeCell ref="O49:P49"/>
    <mergeCell ref="T49:V49"/>
    <mergeCell ref="O48:P48"/>
    <mergeCell ref="T48:V48"/>
    <mergeCell ref="W48:X48"/>
    <mergeCell ref="Y48:Z48"/>
    <mergeCell ref="AA48:AB48"/>
    <mergeCell ref="AC48:AD48"/>
    <mergeCell ref="B48:D48"/>
    <mergeCell ref="E48:F48"/>
    <mergeCell ref="G48:H48"/>
    <mergeCell ref="I48:J48"/>
    <mergeCell ref="K48:L48"/>
    <mergeCell ref="M48:N48"/>
    <mergeCell ref="W47:X47"/>
    <mergeCell ref="Y47:Z47"/>
    <mergeCell ref="AA47:AB47"/>
    <mergeCell ref="AC47:AD47"/>
    <mergeCell ref="AE47:AF47"/>
    <mergeCell ref="AG47:AH47"/>
    <mergeCell ref="AE46:AF46"/>
    <mergeCell ref="AG46:AH46"/>
    <mergeCell ref="B47:D47"/>
    <mergeCell ref="E47:F47"/>
    <mergeCell ref="G47:H47"/>
    <mergeCell ref="I47:J47"/>
    <mergeCell ref="K47:L47"/>
    <mergeCell ref="M47:N47"/>
    <mergeCell ref="O47:P47"/>
    <mergeCell ref="T47:V47"/>
    <mergeCell ref="O46:P46"/>
    <mergeCell ref="T46:V46"/>
    <mergeCell ref="W46:X46"/>
    <mergeCell ref="Y46:Z46"/>
    <mergeCell ref="AA46:AB46"/>
    <mergeCell ref="AC46:AD46"/>
    <mergeCell ref="B46:D46"/>
    <mergeCell ref="E46:F46"/>
    <mergeCell ref="G46:H46"/>
    <mergeCell ref="I46:J46"/>
    <mergeCell ref="K46:L46"/>
    <mergeCell ref="M46:N46"/>
    <mergeCell ref="W45:X45"/>
    <mergeCell ref="Y45:Z45"/>
    <mergeCell ref="AA45:AB45"/>
    <mergeCell ref="AC45:AD45"/>
    <mergeCell ref="AE45:AF45"/>
    <mergeCell ref="AG45:AH45"/>
    <mergeCell ref="AE44:AF44"/>
    <mergeCell ref="AG44:AH44"/>
    <mergeCell ref="B45:D45"/>
    <mergeCell ref="E45:F45"/>
    <mergeCell ref="G45:H45"/>
    <mergeCell ref="I45:J45"/>
    <mergeCell ref="K45:L45"/>
    <mergeCell ref="M45:N45"/>
    <mergeCell ref="O45:P45"/>
    <mergeCell ref="T45:V45"/>
    <mergeCell ref="O44:P44"/>
    <mergeCell ref="T44:V44"/>
    <mergeCell ref="W44:X44"/>
    <mergeCell ref="Y44:Z44"/>
    <mergeCell ref="AA44:AB44"/>
    <mergeCell ref="AC44:AD44"/>
    <mergeCell ref="B44:D44"/>
    <mergeCell ref="E44:F44"/>
    <mergeCell ref="G44:H44"/>
    <mergeCell ref="I44:J44"/>
    <mergeCell ref="K44:L44"/>
    <mergeCell ref="M44:N44"/>
    <mergeCell ref="W43:X43"/>
    <mergeCell ref="Y43:Z43"/>
    <mergeCell ref="AA43:AB43"/>
    <mergeCell ref="AC43:AD43"/>
    <mergeCell ref="AE43:AF43"/>
    <mergeCell ref="AG43:AH43"/>
    <mergeCell ref="AE42:AF42"/>
    <mergeCell ref="AG42:AH42"/>
    <mergeCell ref="B43:D43"/>
    <mergeCell ref="E43:F43"/>
    <mergeCell ref="G43:H43"/>
    <mergeCell ref="I43:J43"/>
    <mergeCell ref="K43:L43"/>
    <mergeCell ref="M43:N43"/>
    <mergeCell ref="O43:P43"/>
    <mergeCell ref="T43:V43"/>
    <mergeCell ref="O42:P42"/>
    <mergeCell ref="T42:V42"/>
    <mergeCell ref="W42:X42"/>
    <mergeCell ref="Y42:Z42"/>
    <mergeCell ref="AA42:AB42"/>
    <mergeCell ref="AC42:AD42"/>
    <mergeCell ref="B42:D42"/>
    <mergeCell ref="E42:F42"/>
    <mergeCell ref="G42:H42"/>
    <mergeCell ref="I42:J42"/>
    <mergeCell ref="K42:L42"/>
    <mergeCell ref="M42:N42"/>
    <mergeCell ref="W41:X41"/>
    <mergeCell ref="Y41:Z41"/>
    <mergeCell ref="AA41:AB41"/>
    <mergeCell ref="AC41:AD41"/>
    <mergeCell ref="AE41:AF41"/>
    <mergeCell ref="AG41:AH41"/>
    <mergeCell ref="AE40:AF40"/>
    <mergeCell ref="AG40:AH40"/>
    <mergeCell ref="B41:D41"/>
    <mergeCell ref="E41:F41"/>
    <mergeCell ref="G41:H41"/>
    <mergeCell ref="I41:J41"/>
    <mergeCell ref="K41:L41"/>
    <mergeCell ref="M41:N41"/>
    <mergeCell ref="O41:P41"/>
    <mergeCell ref="T41:V41"/>
    <mergeCell ref="O40:P40"/>
    <mergeCell ref="T40:V40"/>
    <mergeCell ref="W40:X40"/>
    <mergeCell ref="Y40:Z40"/>
    <mergeCell ref="AA40:AB40"/>
    <mergeCell ref="AC40:AD40"/>
    <mergeCell ref="B40:D40"/>
    <mergeCell ref="E40:F40"/>
    <mergeCell ref="G40:H40"/>
    <mergeCell ref="I40:J40"/>
    <mergeCell ref="K40:L40"/>
    <mergeCell ref="M40:N40"/>
    <mergeCell ref="W39:X39"/>
    <mergeCell ref="Y39:Z39"/>
    <mergeCell ref="AA39:AB39"/>
    <mergeCell ref="AC39:AD39"/>
    <mergeCell ref="AE39:AF39"/>
    <mergeCell ref="AG39:AH39"/>
    <mergeCell ref="AE38:AF38"/>
    <mergeCell ref="AG38:AH38"/>
    <mergeCell ref="B39:D39"/>
    <mergeCell ref="E39:F39"/>
    <mergeCell ref="G39:H39"/>
    <mergeCell ref="I39:J39"/>
    <mergeCell ref="K39:L39"/>
    <mergeCell ref="M39:N39"/>
    <mergeCell ref="O39:P39"/>
    <mergeCell ref="T39:V39"/>
    <mergeCell ref="O38:P38"/>
    <mergeCell ref="T38:V38"/>
    <mergeCell ref="W38:X38"/>
    <mergeCell ref="Y38:Z38"/>
    <mergeCell ref="AA38:AB38"/>
    <mergeCell ref="AC38:AD38"/>
    <mergeCell ref="B38:D38"/>
    <mergeCell ref="E38:F38"/>
    <mergeCell ref="G38:H38"/>
    <mergeCell ref="I38:J38"/>
    <mergeCell ref="K38:L38"/>
    <mergeCell ref="M38:N38"/>
    <mergeCell ref="W37:X37"/>
    <mergeCell ref="Y37:Z37"/>
    <mergeCell ref="AA37:AB37"/>
    <mergeCell ref="AC37:AD37"/>
    <mergeCell ref="AE37:AF37"/>
    <mergeCell ref="AG37:AH37"/>
    <mergeCell ref="AE36:AF36"/>
    <mergeCell ref="AG36:AH36"/>
    <mergeCell ref="B37:D37"/>
    <mergeCell ref="E37:F37"/>
    <mergeCell ref="G37:H37"/>
    <mergeCell ref="I37:J37"/>
    <mergeCell ref="K37:L37"/>
    <mergeCell ref="M37:N37"/>
    <mergeCell ref="O37:P37"/>
    <mergeCell ref="T37:V37"/>
    <mergeCell ref="O36:P36"/>
    <mergeCell ref="T36:V36"/>
    <mergeCell ref="W36:X36"/>
    <mergeCell ref="Y36:Z36"/>
    <mergeCell ref="AA36:AB36"/>
    <mergeCell ref="AC36:AD36"/>
    <mergeCell ref="B36:D36"/>
    <mergeCell ref="E36:F36"/>
    <mergeCell ref="G36:H36"/>
    <mergeCell ref="I36:J36"/>
    <mergeCell ref="K36:L36"/>
    <mergeCell ref="M36:N36"/>
    <mergeCell ref="W35:X35"/>
    <mergeCell ref="Y35:Z35"/>
    <mergeCell ref="AA35:AB35"/>
    <mergeCell ref="AC35:AD35"/>
    <mergeCell ref="AE35:AF35"/>
    <mergeCell ref="AG35:AH35"/>
    <mergeCell ref="AE34:AF34"/>
    <mergeCell ref="AG34:AH34"/>
    <mergeCell ref="B35:D35"/>
    <mergeCell ref="E35:F35"/>
    <mergeCell ref="G35:H35"/>
    <mergeCell ref="I35:J35"/>
    <mergeCell ref="K35:L35"/>
    <mergeCell ref="M35:N35"/>
    <mergeCell ref="O35:P35"/>
    <mergeCell ref="T35:V35"/>
    <mergeCell ref="O34:P34"/>
    <mergeCell ref="T34:V34"/>
    <mergeCell ref="W34:X34"/>
    <mergeCell ref="Y34:Z34"/>
    <mergeCell ref="AA34:AB34"/>
    <mergeCell ref="AC34:AD34"/>
    <mergeCell ref="B34:D34"/>
    <mergeCell ref="E34:F34"/>
    <mergeCell ref="G34:H34"/>
    <mergeCell ref="I34:J34"/>
    <mergeCell ref="K34:L34"/>
    <mergeCell ref="M34:N34"/>
    <mergeCell ref="W33:X33"/>
    <mergeCell ref="Y33:Z33"/>
    <mergeCell ref="AA33:AB33"/>
    <mergeCell ref="AC33:AD33"/>
    <mergeCell ref="AE33:AF33"/>
    <mergeCell ref="AG33:AH33"/>
    <mergeCell ref="AE32:AF32"/>
    <mergeCell ref="AG32:AH32"/>
    <mergeCell ref="B33:D33"/>
    <mergeCell ref="E33:F33"/>
    <mergeCell ref="G33:H33"/>
    <mergeCell ref="I33:J33"/>
    <mergeCell ref="K33:L33"/>
    <mergeCell ref="M33:N33"/>
    <mergeCell ref="O33:P33"/>
    <mergeCell ref="T33:V33"/>
    <mergeCell ref="O32:P32"/>
    <mergeCell ref="T32:V32"/>
    <mergeCell ref="W32:X32"/>
    <mergeCell ref="Y32:Z32"/>
    <mergeCell ref="AA32:AB32"/>
    <mergeCell ref="AC32:AD32"/>
    <mergeCell ref="B32:D32"/>
    <mergeCell ref="E32:F32"/>
    <mergeCell ref="G32:H32"/>
    <mergeCell ref="I32:J32"/>
    <mergeCell ref="K32:L32"/>
    <mergeCell ref="M32:N32"/>
    <mergeCell ref="W31:X31"/>
    <mergeCell ref="Y31:Z31"/>
    <mergeCell ref="AA31:AB31"/>
    <mergeCell ref="AC31:AD31"/>
    <mergeCell ref="AE31:AF31"/>
    <mergeCell ref="AG31:AH31"/>
    <mergeCell ref="AE30:AF30"/>
    <mergeCell ref="AG30:AH30"/>
    <mergeCell ref="B31:D31"/>
    <mergeCell ref="E31:F31"/>
    <mergeCell ref="G31:H31"/>
    <mergeCell ref="I31:J31"/>
    <mergeCell ref="K31:L31"/>
    <mergeCell ref="M31:N31"/>
    <mergeCell ref="O31:P31"/>
    <mergeCell ref="T31:V31"/>
    <mergeCell ref="O30:P30"/>
    <mergeCell ref="T30:V30"/>
    <mergeCell ref="W30:X30"/>
    <mergeCell ref="Y30:Z30"/>
    <mergeCell ref="AA30:AB30"/>
    <mergeCell ref="AC30:AD30"/>
    <mergeCell ref="B30:D30"/>
    <mergeCell ref="E30:F30"/>
    <mergeCell ref="G30:H30"/>
    <mergeCell ref="I30:J30"/>
    <mergeCell ref="K30:L30"/>
    <mergeCell ref="M30:N30"/>
    <mergeCell ref="W29:X29"/>
    <mergeCell ref="Y29:Z29"/>
    <mergeCell ref="AA29:AB29"/>
    <mergeCell ref="AC29:AD29"/>
    <mergeCell ref="AE29:AF29"/>
    <mergeCell ref="AG29:AH29"/>
    <mergeCell ref="AE28:AF28"/>
    <mergeCell ref="AG28:AH28"/>
    <mergeCell ref="B29:D29"/>
    <mergeCell ref="E29:F29"/>
    <mergeCell ref="G29:H29"/>
    <mergeCell ref="I29:J29"/>
    <mergeCell ref="K29:L29"/>
    <mergeCell ref="M29:N29"/>
    <mergeCell ref="O29:P29"/>
    <mergeCell ref="T29:V29"/>
    <mergeCell ref="O28:P28"/>
    <mergeCell ref="T28:V28"/>
    <mergeCell ref="W28:X28"/>
    <mergeCell ref="Y28:Z28"/>
    <mergeCell ref="AA28:AB28"/>
    <mergeCell ref="AC28:AD28"/>
    <mergeCell ref="B28:D28"/>
    <mergeCell ref="E28:F28"/>
    <mergeCell ref="G28:H28"/>
    <mergeCell ref="I28:J28"/>
    <mergeCell ref="K28:L28"/>
    <mergeCell ref="M28:N28"/>
    <mergeCell ref="W27:X27"/>
    <mergeCell ref="Y27:Z27"/>
    <mergeCell ref="AA27:AB27"/>
    <mergeCell ref="AC27:AD27"/>
    <mergeCell ref="AE27:AF27"/>
    <mergeCell ref="AG27:AH27"/>
    <mergeCell ref="AE26:AF26"/>
    <mergeCell ref="AG26:AH26"/>
    <mergeCell ref="B27:D27"/>
    <mergeCell ref="E27:F27"/>
    <mergeCell ref="G27:H27"/>
    <mergeCell ref="I27:J27"/>
    <mergeCell ref="K27:L27"/>
    <mergeCell ref="M27:N27"/>
    <mergeCell ref="O27:P27"/>
    <mergeCell ref="T27:V27"/>
    <mergeCell ref="O26:P26"/>
    <mergeCell ref="T26:V26"/>
    <mergeCell ref="W26:X26"/>
    <mergeCell ref="Y26:Z26"/>
    <mergeCell ref="AA26:AB26"/>
    <mergeCell ref="AC26:AD26"/>
    <mergeCell ref="B26:D26"/>
    <mergeCell ref="E26:F26"/>
    <mergeCell ref="G26:H26"/>
    <mergeCell ref="I26:J26"/>
    <mergeCell ref="K26:L26"/>
    <mergeCell ref="M26:N26"/>
    <mergeCell ref="R22:T22"/>
    <mergeCell ref="B23:D23"/>
    <mergeCell ref="E23:F23"/>
    <mergeCell ref="G23:H23"/>
    <mergeCell ref="I23:K23"/>
    <mergeCell ref="L23:N23"/>
    <mergeCell ref="O23:Q23"/>
    <mergeCell ref="R23:T23"/>
    <mergeCell ref="B22:D22"/>
    <mergeCell ref="E22:F22"/>
    <mergeCell ref="G22:H22"/>
    <mergeCell ref="I22:K22"/>
    <mergeCell ref="L22:N22"/>
    <mergeCell ref="O22:Q22"/>
    <mergeCell ref="R20:T20"/>
    <mergeCell ref="B21:D21"/>
    <mergeCell ref="E21:F21"/>
    <mergeCell ref="G21:H21"/>
    <mergeCell ref="I21:K21"/>
    <mergeCell ref="L21:N21"/>
    <mergeCell ref="O21:Q21"/>
    <mergeCell ref="R21:T21"/>
    <mergeCell ref="B20:D20"/>
    <mergeCell ref="E20:F20"/>
    <mergeCell ref="G20:H20"/>
    <mergeCell ref="I20:K20"/>
    <mergeCell ref="L20:N20"/>
    <mergeCell ref="O20:Q20"/>
    <mergeCell ref="R18:T18"/>
    <mergeCell ref="B19:D19"/>
    <mergeCell ref="E19:F19"/>
    <mergeCell ref="G19:H19"/>
    <mergeCell ref="I19:K19"/>
    <mergeCell ref="L19:N19"/>
    <mergeCell ref="O19:Q19"/>
    <mergeCell ref="R19:T19"/>
    <mergeCell ref="B18:D18"/>
    <mergeCell ref="E18:F18"/>
    <mergeCell ref="G18:H18"/>
    <mergeCell ref="I18:K18"/>
    <mergeCell ref="L18:N18"/>
    <mergeCell ref="O18:Q18"/>
    <mergeCell ref="R16:T16"/>
    <mergeCell ref="B17:D17"/>
    <mergeCell ref="E17:F17"/>
    <mergeCell ref="G17:H17"/>
    <mergeCell ref="I17:K17"/>
    <mergeCell ref="L17:N17"/>
    <mergeCell ref="O17:Q17"/>
    <mergeCell ref="R17:T17"/>
    <mergeCell ref="B16:D16"/>
    <mergeCell ref="E16:F16"/>
    <mergeCell ref="G16:H16"/>
    <mergeCell ref="I16:K16"/>
    <mergeCell ref="L16:N16"/>
    <mergeCell ref="O16:Q16"/>
    <mergeCell ref="S12:T12"/>
    <mergeCell ref="B15:D15"/>
    <mergeCell ref="E15:F15"/>
    <mergeCell ref="G15:H15"/>
    <mergeCell ref="I15:K15"/>
    <mergeCell ref="L15:N15"/>
    <mergeCell ref="O15:Q15"/>
    <mergeCell ref="R15:T15"/>
    <mergeCell ref="B12:D12"/>
    <mergeCell ref="E12:F12"/>
    <mergeCell ref="J12:L12"/>
    <mergeCell ref="M12:O12"/>
    <mergeCell ref="P12:R12"/>
    <mergeCell ref="G12:I12"/>
    <mergeCell ref="S10:T10"/>
    <mergeCell ref="B11:D11"/>
    <mergeCell ref="E11:F11"/>
    <mergeCell ref="J11:L11"/>
    <mergeCell ref="M11:O11"/>
    <mergeCell ref="P11:R11"/>
    <mergeCell ref="S11:T11"/>
    <mergeCell ref="B10:D10"/>
    <mergeCell ref="E10:F10"/>
    <mergeCell ref="J10:L10"/>
    <mergeCell ref="M10:O10"/>
    <mergeCell ref="P10:R10"/>
    <mergeCell ref="G10:I10"/>
    <mergeCell ref="G11:I11"/>
    <mergeCell ref="S8:T8"/>
    <mergeCell ref="B9:D9"/>
    <mergeCell ref="E9:F9"/>
    <mergeCell ref="J9:L9"/>
    <mergeCell ref="M9:O9"/>
    <mergeCell ref="P9:R9"/>
    <mergeCell ref="S9:T9"/>
    <mergeCell ref="B8:D8"/>
    <mergeCell ref="E8:F8"/>
    <mergeCell ref="G8:I8"/>
    <mergeCell ref="J8:L8"/>
    <mergeCell ref="M8:O8"/>
    <mergeCell ref="P8:R8"/>
    <mergeCell ref="G9:I9"/>
  </mergeCells>
  <conditionalFormatting sqref="G27:P51 Y27:AH51 Y55:AH79 G55:P79 E83:H102 O83:R102">
    <cfRule type="expression" dxfId="162" priority="19">
      <formula>ISBLANK(E27)</formula>
    </cfRule>
  </conditionalFormatting>
  <conditionalFormatting sqref="G9:G12">
    <cfRule type="containsBlanks" dxfId="161" priority="18">
      <formula>LEN(TRIM(G9))=0</formula>
    </cfRule>
  </conditionalFormatting>
  <conditionalFormatting sqref="J9">
    <cfRule type="containsBlanks" dxfId="160" priority="17">
      <formula>LEN(TRIM(J9))=0</formula>
    </cfRule>
  </conditionalFormatting>
  <conditionalFormatting sqref="P10 S10 M10:M12 J10:J12 G10:G12">
    <cfRule type="containsBlanks" dxfId="159" priority="16">
      <formula>LEN(TRIM(G10))=0</formula>
    </cfRule>
  </conditionalFormatting>
  <conditionalFormatting sqref="M9 P9 S9">
    <cfRule type="containsBlanks" dxfId="158" priority="15">
      <formula>LEN(TRIM(M9))=0</formula>
    </cfRule>
  </conditionalFormatting>
  <conditionalFormatting sqref="P11 S11">
    <cfRule type="containsBlanks" dxfId="157" priority="14">
      <formula>LEN(TRIM(P11))=0</formula>
    </cfRule>
  </conditionalFormatting>
  <conditionalFormatting sqref="P12 S12">
    <cfRule type="containsBlanks" dxfId="156" priority="12">
      <formula>LEN(TRIM(P12))=0</formula>
    </cfRule>
  </conditionalFormatting>
  <conditionalFormatting sqref="I16">
    <cfRule type="containsBlanks" dxfId="155" priority="21">
      <formula>LEN(TRIM(I16))=0</formula>
    </cfRule>
  </conditionalFormatting>
  <conditionalFormatting sqref="L16 O16 R16">
    <cfRule type="containsBlanks" dxfId="154" priority="22">
      <formula>LEN(TRIM(L16))=0</formula>
    </cfRule>
  </conditionalFormatting>
  <conditionalFormatting sqref="O17:O23 R17:R23 I17:I23 L17:L23">
    <cfRule type="containsBlanks" dxfId="153" priority="9">
      <formula>LEN(TRIM(I17))=0</formula>
    </cfRule>
  </conditionalFormatting>
  <conditionalFormatting sqref="U10">
    <cfRule type="containsBlanks" dxfId="152" priority="8">
      <formula>LEN(TRIM(U10))=0</formula>
    </cfRule>
  </conditionalFormatting>
  <conditionalFormatting sqref="U9">
    <cfRule type="containsBlanks" dxfId="151" priority="7">
      <formula>LEN(TRIM(U9))=0</formula>
    </cfRule>
  </conditionalFormatting>
  <conditionalFormatting sqref="U11">
    <cfRule type="containsBlanks" dxfId="150" priority="6">
      <formula>LEN(TRIM(U11))=0</formula>
    </cfRule>
  </conditionalFormatting>
  <conditionalFormatting sqref="U12">
    <cfRule type="containsBlanks" dxfId="149" priority="5">
      <formula>LEN(TRIM(U12))=0</formula>
    </cfRule>
  </conditionalFormatting>
  <conditionalFormatting sqref="U16">
    <cfRule type="containsBlanks" dxfId="148" priority="4">
      <formula>LEN(TRIM(U16))=0</formula>
    </cfRule>
  </conditionalFormatting>
  <conditionalFormatting sqref="U17:U23">
    <cfRule type="containsBlanks" dxfId="147" priority="3">
      <formula>LEN(TRIM(U17))=0</formula>
    </cfRule>
  </conditionalFormatting>
  <conditionalFormatting sqref="G9">
    <cfRule type="containsBlanks" dxfId="146" priority="2">
      <formula>LEN(TRIM(G9))=0</formula>
    </cfRule>
  </conditionalFormatting>
  <conditionalFormatting sqref="J9">
    <cfRule type="containsBlanks" dxfId="145" priority="1">
      <formula>LEN(TRIM(J9))=0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2:AF162"/>
  <sheetViews>
    <sheetView showZeros="0" workbookViewId="0">
      <pane ySplit="4" topLeftCell="A8" activePane="bottomLeft" state="frozenSplit"/>
      <selection activeCell="N65" sqref="N65:P65"/>
      <selection pane="bottomLeft" activeCell="F53" sqref="F53:H53"/>
    </sheetView>
  </sheetViews>
  <sheetFormatPr defaultColWidth="7.140625" defaultRowHeight="10.5" x14ac:dyDescent="0.25"/>
  <cols>
    <col min="1" max="1" width="1.42578125" style="34" customWidth="1"/>
    <col min="2" max="19" width="7.140625" style="34"/>
    <col min="20" max="20" width="7.140625" style="34" customWidth="1"/>
    <col min="21" max="16384" width="7.140625" style="34"/>
  </cols>
  <sheetData>
    <row r="2" spans="1:31" ht="30.75" customHeight="1" x14ac:dyDescent="0.25">
      <c r="A2" s="2" t="s">
        <v>1</v>
      </c>
      <c r="B2"/>
      <c r="V2" s="1" t="s">
        <v>152</v>
      </c>
    </row>
    <row r="3" spans="1:31" ht="9" customHeight="1" x14ac:dyDescent="0.25"/>
    <row r="4" spans="1:31" ht="14.25" customHeight="1" x14ac:dyDescent="0.25"/>
    <row r="5" spans="1:31" s="35" customFormat="1" ht="14.25" customHeight="1" x14ac:dyDescent="0.25">
      <c r="R5" s="350" t="str">
        <f>IF('Site Info'!$C$8=Dropdowns!$R$5,"",IF('Site Info'!$C$8=Dropdowns!$R$7,"",IF('Site Info'!$C$8=Dropdowns!$R$10,"","THIS TAB IS NOT APPLICABLE FOR THIS SOLUTION, HIDE THIS TAB")))</f>
        <v>THIS TAB IS NOT APPLICABLE FOR THIS SOLUTION, HIDE THIS TAB</v>
      </c>
      <c r="S5" s="350"/>
      <c r="T5" s="350"/>
      <c r="U5" s="350"/>
      <c r="V5" s="350"/>
      <c r="W5" s="350"/>
      <c r="X5" s="350"/>
      <c r="Y5" s="350"/>
      <c r="Z5" s="350"/>
      <c r="AA5" s="350"/>
      <c r="AB5" s="350"/>
      <c r="AC5" s="350"/>
      <c r="AD5" s="350"/>
      <c r="AE5" s="350"/>
    </row>
    <row r="6" spans="1:31" s="35" customFormat="1" ht="14.25" customHeight="1" x14ac:dyDescent="0.25">
      <c r="B6" s="4" t="s">
        <v>872</v>
      </c>
      <c r="G6" s="6"/>
    </row>
    <row r="7" spans="1:31" s="35" customFormat="1" ht="6" customHeight="1" x14ac:dyDescent="0.25">
      <c r="B7" s="4"/>
      <c r="G7" s="6"/>
    </row>
    <row r="8" spans="1:31" s="35" customFormat="1" ht="14.25" customHeight="1" x14ac:dyDescent="0.25">
      <c r="B8" s="303" t="s">
        <v>876</v>
      </c>
      <c r="C8" s="303"/>
      <c r="D8" s="303"/>
      <c r="E8" s="356"/>
      <c r="F8" s="288" t="str">
        <f>CONCATENATE("https://",Inventory!Q90)</f>
        <v>https://</v>
      </c>
      <c r="G8" s="289"/>
      <c r="H8" s="289"/>
      <c r="I8" s="289"/>
      <c r="J8" s="289"/>
      <c r="K8" s="290"/>
      <c r="L8" s="310" t="s">
        <v>874</v>
      </c>
      <c r="M8" s="303"/>
      <c r="N8" s="303"/>
      <c r="O8" s="356"/>
      <c r="P8" s="288" t="s">
        <v>528</v>
      </c>
      <c r="Q8" s="289"/>
      <c r="R8" s="289"/>
      <c r="S8" s="290"/>
    </row>
    <row r="9" spans="1:31" s="35" customFormat="1" ht="14.25" customHeight="1" x14ac:dyDescent="0.25">
      <c r="G9" s="6"/>
    </row>
    <row r="10" spans="1:31" s="35" customFormat="1" ht="14.25" customHeight="1" x14ac:dyDescent="0.25">
      <c r="B10" s="4" t="s">
        <v>868</v>
      </c>
    </row>
    <row r="11" spans="1:31" s="35" customFormat="1" ht="6" customHeight="1" x14ac:dyDescent="0.25">
      <c r="B11" s="4"/>
      <c r="G11" s="6"/>
    </row>
    <row r="12" spans="1:31" s="35" customFormat="1" ht="14.25" customHeight="1" thickBot="1" x14ac:dyDescent="0.3">
      <c r="C12" s="312" t="s">
        <v>662</v>
      </c>
      <c r="D12" s="321"/>
      <c r="E12" s="321"/>
      <c r="F12" s="321"/>
      <c r="G12" s="321"/>
      <c r="H12" s="313"/>
      <c r="I12" s="312" t="s">
        <v>661</v>
      </c>
      <c r="J12" s="321"/>
      <c r="K12" s="321"/>
      <c r="L12" s="313"/>
      <c r="M12" s="312" t="s">
        <v>25</v>
      </c>
      <c r="N12" s="321"/>
      <c r="O12" s="313"/>
    </row>
    <row r="13" spans="1:31" s="35" customFormat="1" ht="14.25" customHeight="1" x14ac:dyDescent="0.25">
      <c r="C13" s="360" t="s">
        <v>962</v>
      </c>
      <c r="D13" s="361"/>
      <c r="E13" s="361"/>
      <c r="F13" s="361"/>
      <c r="G13" s="361"/>
      <c r="H13" s="362"/>
      <c r="I13" s="360" t="s">
        <v>963</v>
      </c>
      <c r="J13" s="361"/>
      <c r="K13" s="361"/>
      <c r="L13" s="362"/>
      <c r="M13" s="360" t="s">
        <v>964</v>
      </c>
      <c r="N13" s="361"/>
      <c r="O13" s="362"/>
    </row>
    <row r="14" spans="1:31" s="35" customFormat="1" ht="14.25" customHeight="1" x14ac:dyDescent="0.25">
      <c r="C14" s="360" t="s">
        <v>965</v>
      </c>
      <c r="D14" s="361"/>
      <c r="E14" s="361"/>
      <c r="F14" s="361"/>
      <c r="G14" s="361"/>
      <c r="H14" s="362"/>
      <c r="I14" s="360" t="s">
        <v>966</v>
      </c>
      <c r="J14" s="361"/>
      <c r="K14" s="361"/>
      <c r="L14" s="362"/>
      <c r="M14" s="360" t="s">
        <v>964</v>
      </c>
      <c r="N14" s="361"/>
      <c r="O14" s="362"/>
    </row>
    <row r="15" spans="1:31" s="35" customFormat="1" ht="14.25" customHeight="1" x14ac:dyDescent="0.25">
      <c r="C15" s="360"/>
      <c r="D15" s="361"/>
      <c r="E15" s="361"/>
      <c r="F15" s="361"/>
      <c r="G15" s="361"/>
      <c r="H15" s="362"/>
      <c r="I15" s="360"/>
      <c r="J15" s="361"/>
      <c r="K15" s="361"/>
      <c r="L15" s="362"/>
      <c r="M15" s="360"/>
      <c r="N15" s="361"/>
      <c r="O15" s="362"/>
    </row>
    <row r="16" spans="1:31" s="35" customFormat="1" ht="14.25" customHeight="1" x14ac:dyDescent="0.25">
      <c r="C16" s="360"/>
      <c r="D16" s="361"/>
      <c r="E16" s="361"/>
      <c r="F16" s="361"/>
      <c r="G16" s="361"/>
      <c r="H16" s="362"/>
      <c r="I16" s="360"/>
      <c r="J16" s="361"/>
      <c r="K16" s="361"/>
      <c r="L16" s="362"/>
      <c r="M16" s="360"/>
      <c r="N16" s="361"/>
      <c r="O16" s="362"/>
    </row>
    <row r="17" spans="2:25" s="35" customFormat="1" ht="14.25" customHeight="1" x14ac:dyDescent="0.25"/>
    <row r="18" spans="2:25" ht="14.25" x14ac:dyDescent="0.25">
      <c r="B18" s="278" t="s">
        <v>153</v>
      </c>
    </row>
    <row r="19" spans="2:25" ht="14.25" x14ac:dyDescent="0.25">
      <c r="B19" s="4"/>
      <c r="G19" s="6"/>
    </row>
    <row r="20" spans="2:25" ht="14.25" customHeight="1" x14ac:dyDescent="0.25">
      <c r="B20" s="303" t="s">
        <v>183</v>
      </c>
      <c r="C20" s="303"/>
      <c r="D20" s="303"/>
      <c r="E20" s="303"/>
      <c r="F20" s="288" t="str">
        <f>'Site Info'!F12</f>
        <v>Speedcast</v>
      </c>
      <c r="G20" s="289"/>
      <c r="H20" s="289"/>
      <c r="I20" s="289"/>
      <c r="J20" s="290"/>
      <c r="K20" s="303" t="s">
        <v>1315</v>
      </c>
      <c r="L20" s="303"/>
      <c r="M20" s="303"/>
      <c r="N20" s="303"/>
      <c r="O20" s="40"/>
      <c r="P20" s="418" t="s">
        <v>1316</v>
      </c>
      <c r="Q20" s="419"/>
      <c r="R20" s="419"/>
    </row>
    <row r="21" spans="2:25" ht="14.25" customHeight="1" x14ac:dyDescent="0.25">
      <c r="B21" s="303" t="s">
        <v>470</v>
      </c>
      <c r="C21" s="303"/>
      <c r="D21" s="303"/>
      <c r="E21" s="303"/>
      <c r="F21" s="288" t="str">
        <f>IF('Site Info'!$F$25&lt;&gt;0,'Site Info'!$F$25,"")</f>
        <v>speedcast.com</v>
      </c>
      <c r="G21" s="289"/>
      <c r="H21" s="289"/>
      <c r="I21" s="290"/>
    </row>
    <row r="22" spans="2:25" s="35" customFormat="1" ht="14.25" customHeight="1" x14ac:dyDescent="0.25">
      <c r="B22" s="256"/>
      <c r="C22" s="256"/>
      <c r="D22" s="256"/>
      <c r="E22" s="256"/>
      <c r="F22" s="260"/>
      <c r="G22" s="259"/>
      <c r="H22" s="259"/>
      <c r="I22" s="259"/>
    </row>
    <row r="23" spans="2:25" s="35" customFormat="1" ht="14.25" customHeight="1" x14ac:dyDescent="0.25">
      <c r="B23" s="303" t="s">
        <v>1166</v>
      </c>
      <c r="C23" s="303"/>
      <c r="D23" s="303"/>
      <c r="E23" s="356"/>
      <c r="F23" s="288"/>
      <c r="G23" s="290"/>
      <c r="H23" s="260"/>
      <c r="I23" s="260"/>
      <c r="J23" s="303" t="s">
        <v>1171</v>
      </c>
      <c r="K23" s="303"/>
      <c r="L23" s="360"/>
      <c r="M23" s="361"/>
      <c r="N23" s="362"/>
    </row>
    <row r="24" spans="2:25" s="35" customFormat="1" ht="14.25" customHeight="1" x14ac:dyDescent="0.25">
      <c r="B24" s="68"/>
      <c r="C24" s="68"/>
      <c r="D24" s="68"/>
      <c r="E24" s="68"/>
      <c r="F24" s="68"/>
      <c r="G24" s="257"/>
      <c r="H24" s="257"/>
      <c r="I24" s="257"/>
    </row>
    <row r="25" spans="2:25" ht="14.25" customHeight="1" x14ac:dyDescent="0.25">
      <c r="B25" s="303" t="s">
        <v>948</v>
      </c>
      <c r="C25" s="303"/>
      <c r="D25" s="303"/>
      <c r="E25" s="356"/>
      <c r="F25" s="288" t="s">
        <v>1372</v>
      </c>
      <c r="G25" s="289"/>
      <c r="H25" s="289"/>
      <c r="I25" s="289"/>
      <c r="J25" s="290"/>
      <c r="K25" s="426" t="s">
        <v>949</v>
      </c>
      <c r="L25" s="426"/>
      <c r="M25" s="426"/>
      <c r="N25" s="427"/>
      <c r="O25" s="288">
        <f>'c-SVM-Block'!J105</f>
        <v>0</v>
      </c>
      <c r="P25" s="289"/>
      <c r="Q25" s="289"/>
      <c r="R25" s="289"/>
      <c r="S25" s="290"/>
      <c r="U25" s="303" t="s">
        <v>1323</v>
      </c>
      <c r="V25" s="303"/>
      <c r="W25" s="303"/>
      <c r="X25" s="303"/>
      <c r="Y25" s="283">
        <f>'Site Info'!G74</f>
        <v>0</v>
      </c>
    </row>
    <row r="26" spans="2:25" ht="14.25" customHeight="1" x14ac:dyDescent="0.25">
      <c r="B26" s="303" t="s">
        <v>180</v>
      </c>
      <c r="C26" s="303"/>
      <c r="D26" s="303"/>
      <c r="E26" s="303"/>
      <c r="F26" s="288" t="s">
        <v>1374</v>
      </c>
      <c r="G26" s="289"/>
      <c r="H26" s="290"/>
      <c r="I26" s="34" t="s">
        <v>1375</v>
      </c>
      <c r="U26" s="35"/>
      <c r="V26" s="35"/>
      <c r="W26" s="35"/>
      <c r="X26" s="35"/>
    </row>
    <row r="27" spans="2:25" ht="14.25" customHeight="1" x14ac:dyDescent="0.25">
      <c r="B27" s="303" t="s">
        <v>181</v>
      </c>
      <c r="C27" s="303"/>
      <c r="D27" s="303"/>
      <c r="E27" s="303"/>
      <c r="F27" s="40"/>
      <c r="K27" s="303" t="s">
        <v>1324</v>
      </c>
      <c r="L27" s="303"/>
      <c r="M27" s="303"/>
      <c r="N27" s="303"/>
      <c r="O27" s="360"/>
      <c r="P27" s="362"/>
      <c r="U27" s="35"/>
      <c r="V27" s="35"/>
      <c r="W27" s="35"/>
      <c r="X27" s="35"/>
    </row>
    <row r="28" spans="2:25" ht="14.25" customHeight="1" x14ac:dyDescent="0.25">
      <c r="F28" s="34" t="s">
        <v>1374</v>
      </c>
      <c r="I28" s="34" t="s">
        <v>1376</v>
      </c>
      <c r="Q28" s="34" t="s">
        <v>1374</v>
      </c>
      <c r="U28" s="35"/>
      <c r="V28" s="35"/>
      <c r="W28" s="35"/>
      <c r="X28" s="35"/>
    </row>
    <row r="29" spans="2:25" s="35" customFormat="1" ht="14.25" customHeight="1" x14ac:dyDescent="0.25">
      <c r="B29" s="303" t="s">
        <v>950</v>
      </c>
      <c r="C29" s="303"/>
      <c r="D29" s="303"/>
      <c r="E29" s="356"/>
      <c r="F29" s="288">
        <f>'c-SVM-Block'!J104</f>
        <v>0</v>
      </c>
      <c r="G29" s="289"/>
      <c r="H29" s="289"/>
      <c r="I29" s="289"/>
      <c r="J29" s="290"/>
      <c r="K29" s="426" t="s">
        <v>951</v>
      </c>
      <c r="L29" s="426"/>
      <c r="M29" s="426"/>
      <c r="N29" s="427"/>
      <c r="O29" s="288">
        <f>'c-SVM-Block'!J106</f>
        <v>0</v>
      </c>
      <c r="P29" s="289"/>
      <c r="Q29" s="289"/>
      <c r="R29" s="289"/>
      <c r="S29" s="290"/>
      <c r="U29" s="303" t="s">
        <v>1323</v>
      </c>
      <c r="V29" s="303"/>
      <c r="W29" s="303"/>
      <c r="X29" s="303"/>
      <c r="Y29" s="283">
        <f>'Site Info'!G75</f>
        <v>0</v>
      </c>
    </row>
    <row r="30" spans="2:25" s="35" customFormat="1" ht="14.25" customHeight="1" x14ac:dyDescent="0.25">
      <c r="B30" s="303" t="s">
        <v>180</v>
      </c>
      <c r="C30" s="303"/>
      <c r="D30" s="303"/>
      <c r="E30" s="303"/>
      <c r="F30" s="288"/>
      <c r="G30" s="289"/>
      <c r="H30" s="290"/>
    </row>
    <row r="31" spans="2:25" s="35" customFormat="1" ht="14.25" customHeight="1" x14ac:dyDescent="0.25">
      <c r="B31" s="303" t="s">
        <v>181</v>
      </c>
      <c r="C31" s="303"/>
      <c r="D31" s="303"/>
      <c r="E31" s="303"/>
      <c r="F31" s="40"/>
      <c r="K31" s="303" t="s">
        <v>1324</v>
      </c>
      <c r="L31" s="303"/>
      <c r="M31" s="303"/>
      <c r="N31" s="303"/>
      <c r="O31" s="360"/>
      <c r="P31" s="362"/>
    </row>
    <row r="32" spans="2:25" s="35" customFormat="1" ht="14.25" customHeight="1" x14ac:dyDescent="0.25"/>
    <row r="33" spans="2:24" s="35" customFormat="1" ht="14.25" customHeight="1" x14ac:dyDescent="0.25">
      <c r="B33" s="303" t="s">
        <v>1298</v>
      </c>
      <c r="C33" s="303"/>
      <c r="D33" s="303"/>
      <c r="E33" s="356"/>
      <c r="F33" s="288" t="str">
        <f>'c-SVM-Block'!W18</f>
        <v xml:space="preserve"> </v>
      </c>
      <c r="G33" s="289"/>
      <c r="H33" s="289"/>
      <c r="I33" s="289"/>
      <c r="J33" s="290"/>
      <c r="K33" s="11" t="s">
        <v>1299</v>
      </c>
    </row>
    <row r="34" spans="2:24" s="35" customFormat="1" ht="14.25" customHeight="1" x14ac:dyDescent="0.25"/>
    <row r="35" spans="2:24" ht="14.25" customHeight="1" x14ac:dyDescent="0.25">
      <c r="B35" s="278" t="s">
        <v>154</v>
      </c>
      <c r="G35" s="34">
        <v>1852</v>
      </c>
      <c r="H35" s="34" t="s">
        <v>1377</v>
      </c>
      <c r="N35" s="34" t="s">
        <v>1378</v>
      </c>
    </row>
    <row r="36" spans="2:24" ht="14.25" x14ac:dyDescent="0.25">
      <c r="B36" s="4"/>
      <c r="G36" s="6">
        <v>1852</v>
      </c>
      <c r="H36" s="34" t="s">
        <v>1377</v>
      </c>
      <c r="N36" s="34" t="s">
        <v>1378</v>
      </c>
    </row>
    <row r="37" spans="2:24" ht="14.25" customHeight="1" x14ac:dyDescent="0.25">
      <c r="B37" s="38" t="s">
        <v>160</v>
      </c>
    </row>
    <row r="38" spans="2:24" ht="14.25" x14ac:dyDescent="0.25">
      <c r="B38" s="4"/>
      <c r="G38" s="6"/>
    </row>
    <row r="39" spans="2:24" ht="14.25" customHeight="1" x14ac:dyDescent="0.25">
      <c r="B39" s="303" t="s">
        <v>157</v>
      </c>
      <c r="C39" s="303"/>
      <c r="D39" s="303"/>
      <c r="E39" s="303"/>
      <c r="F39" s="288" t="str">
        <f>Inventory!C88</f>
        <v>-9k-a</v>
      </c>
      <c r="G39" s="289"/>
      <c r="H39" s="289"/>
      <c r="I39" s="289"/>
      <c r="J39" s="290"/>
      <c r="K39" s="303" t="s">
        <v>182</v>
      </c>
      <c r="L39" s="303"/>
      <c r="M39" s="303"/>
      <c r="N39" s="303"/>
      <c r="O39" s="109">
        <v>1852</v>
      </c>
    </row>
    <row r="40" spans="2:24" ht="14.25" customHeight="1" x14ac:dyDescent="0.25">
      <c r="B40" s="303" t="s">
        <v>158</v>
      </c>
      <c r="C40" s="303"/>
      <c r="D40" s="303"/>
      <c r="E40" s="303"/>
      <c r="F40" s="288" t="str">
        <f>Inventory!C89</f>
        <v>-9k-b</v>
      </c>
      <c r="G40" s="289"/>
      <c r="H40" s="289"/>
      <c r="I40" s="289"/>
      <c r="J40" s="290"/>
      <c r="K40" s="303"/>
      <c r="L40" s="303"/>
      <c r="M40" s="303"/>
      <c r="N40" s="303"/>
      <c r="O40" s="288">
        <f>Inventory!Q88</f>
        <v>0</v>
      </c>
      <c r="P40" s="289"/>
      <c r="Q40" s="290"/>
      <c r="R40" s="303" t="s">
        <v>155</v>
      </c>
      <c r="S40" s="303"/>
      <c r="T40" s="303"/>
      <c r="U40" s="303"/>
      <c r="V40" s="288" t="str">
        <f>Inventory!W88</f>
        <v>enter VLAN</v>
      </c>
      <c r="W40" s="289"/>
      <c r="X40" s="290"/>
    </row>
    <row r="41" spans="2:24" ht="14.25" customHeight="1" x14ac:dyDescent="0.25">
      <c r="K41" s="303" t="s">
        <v>1021</v>
      </c>
      <c r="L41" s="303"/>
      <c r="M41" s="303"/>
      <c r="N41" s="303"/>
      <c r="O41" s="288">
        <f>Inventory!Q89</f>
        <v>0</v>
      </c>
      <c r="P41" s="289"/>
      <c r="Q41" s="290"/>
      <c r="R41" s="303" t="s">
        <v>156</v>
      </c>
      <c r="S41" s="303"/>
      <c r="T41" s="303"/>
      <c r="U41" s="303"/>
      <c r="V41" s="288" t="str">
        <f>Inventory!T88</f>
        <v>enter VLAN</v>
      </c>
      <c r="W41" s="289"/>
      <c r="X41" s="290"/>
    </row>
    <row r="42" spans="2:24" ht="14.25" customHeight="1" x14ac:dyDescent="0.25">
      <c r="B42" s="303" t="s">
        <v>1034</v>
      </c>
      <c r="C42" s="303"/>
      <c r="D42" s="303"/>
      <c r="E42" s="303"/>
      <c r="F42" s="288"/>
      <c r="G42" s="289"/>
      <c r="H42" s="290"/>
      <c r="I42" s="13"/>
      <c r="J42" s="13"/>
      <c r="K42" s="32"/>
      <c r="L42" s="32"/>
      <c r="M42" s="32"/>
      <c r="N42" s="32"/>
      <c r="O42" s="13"/>
      <c r="P42" s="13"/>
      <c r="Q42" s="13"/>
      <c r="R42" s="32"/>
      <c r="S42" s="32"/>
      <c r="T42" s="32"/>
      <c r="U42" s="32"/>
      <c r="V42" s="13"/>
      <c r="W42" s="13"/>
      <c r="X42" s="13"/>
    </row>
    <row r="43" spans="2:24" ht="14.25" customHeight="1" x14ac:dyDescent="0.25">
      <c r="B43" s="32"/>
      <c r="C43" s="32"/>
      <c r="D43" s="32"/>
      <c r="E43" s="32"/>
      <c r="F43" s="13"/>
      <c r="G43" s="13"/>
      <c r="H43" s="13"/>
      <c r="I43" s="13"/>
      <c r="J43" s="13"/>
      <c r="K43" s="32"/>
      <c r="L43" s="32"/>
      <c r="M43" s="32"/>
      <c r="N43" s="32"/>
      <c r="O43" s="13"/>
      <c r="P43" s="13"/>
      <c r="Q43" s="13"/>
      <c r="R43" s="32"/>
      <c r="S43" s="32"/>
      <c r="T43" s="32"/>
      <c r="U43" s="32"/>
      <c r="V43" s="13"/>
      <c r="W43" s="13"/>
      <c r="X43" s="13"/>
    </row>
    <row r="44" spans="2:24" ht="14.25" customHeight="1" x14ac:dyDescent="0.25">
      <c r="B44" s="38" t="s">
        <v>1018</v>
      </c>
    </row>
    <row r="45" spans="2:24" ht="6" customHeight="1" x14ac:dyDescent="0.25">
      <c r="B45" s="4"/>
      <c r="G45" s="6"/>
    </row>
    <row r="46" spans="2:24" ht="14.25" customHeight="1" x14ac:dyDescent="0.25">
      <c r="B46" s="303" t="s">
        <v>159</v>
      </c>
      <c r="C46" s="303"/>
      <c r="D46" s="303"/>
      <c r="E46" s="303"/>
      <c r="F46" s="288">
        <f>Inventory!C90</f>
        <v>0</v>
      </c>
      <c r="G46" s="289"/>
      <c r="H46" s="289"/>
      <c r="I46" s="289"/>
      <c r="J46" s="290"/>
      <c r="K46" s="303" t="s">
        <v>182</v>
      </c>
      <c r="L46" s="303"/>
      <c r="M46" s="303"/>
      <c r="N46" s="303"/>
      <c r="O46" s="109">
        <f>Inventory!Y85</f>
        <v>0</v>
      </c>
    </row>
    <row r="47" spans="2:24" s="35" customFormat="1" ht="14.25" customHeight="1" x14ac:dyDescent="0.25">
      <c r="B47" s="303" t="s">
        <v>1019</v>
      </c>
      <c r="C47" s="303"/>
      <c r="D47" s="303"/>
      <c r="E47" s="303"/>
      <c r="F47" s="288" t="str">
        <f>Inventory!C91</f>
        <v>-a</v>
      </c>
      <c r="G47" s="289"/>
      <c r="H47" s="289"/>
      <c r="I47" s="289"/>
      <c r="J47" s="290"/>
      <c r="K47" s="303" t="s">
        <v>444</v>
      </c>
      <c r="L47" s="303"/>
      <c r="M47" s="303"/>
      <c r="N47" s="303"/>
      <c r="O47" s="288">
        <f>Inventory!Q90</f>
        <v>0</v>
      </c>
      <c r="P47" s="289"/>
      <c r="Q47" s="290"/>
    </row>
    <row r="48" spans="2:24" ht="14.25" customHeight="1" x14ac:dyDescent="0.25">
      <c r="B48" s="303" t="s">
        <v>1020</v>
      </c>
      <c r="C48" s="303"/>
      <c r="D48" s="303"/>
      <c r="E48" s="303"/>
      <c r="F48" s="288" t="str">
        <f>Inventory!C92</f>
        <v>-b</v>
      </c>
      <c r="G48" s="289"/>
      <c r="H48" s="289"/>
      <c r="I48" s="289"/>
      <c r="J48" s="290"/>
      <c r="K48" s="303" t="s">
        <v>1245</v>
      </c>
      <c r="L48" s="303"/>
      <c r="M48" s="303"/>
      <c r="N48" s="303"/>
      <c r="O48" s="288">
        <f>Inventory!Q91</f>
        <v>0</v>
      </c>
      <c r="P48" s="289"/>
      <c r="Q48" s="290"/>
      <c r="R48" s="303" t="s">
        <v>161</v>
      </c>
      <c r="S48" s="303"/>
      <c r="T48" s="303"/>
      <c r="U48" s="303"/>
      <c r="V48" s="288" t="str">
        <f>Inventory!W91</f>
        <v>enter VLAN</v>
      </c>
      <c r="W48" s="289"/>
      <c r="X48" s="290"/>
    </row>
    <row r="49" spans="2:24" ht="14.25" customHeight="1" x14ac:dyDescent="0.25">
      <c r="G49" s="34">
        <v>1852</v>
      </c>
      <c r="H49" s="34" t="s">
        <v>1377</v>
      </c>
      <c r="K49" s="303" t="s">
        <v>1349</v>
      </c>
      <c r="L49" s="303"/>
      <c r="M49" s="303"/>
      <c r="N49" s="303"/>
      <c r="O49" s="288">
        <f>Inventory!Q92</f>
        <v>0</v>
      </c>
      <c r="P49" s="289"/>
      <c r="Q49" s="290"/>
      <c r="R49" s="303" t="s">
        <v>162</v>
      </c>
      <c r="S49" s="303"/>
      <c r="T49" s="303"/>
      <c r="U49" s="303"/>
      <c r="V49" s="288" t="str">
        <f>Inventory!T91</f>
        <v>enter VLAN</v>
      </c>
      <c r="W49" s="289"/>
      <c r="X49" s="290"/>
    </row>
    <row r="50" spans="2:24" ht="14.25" customHeight="1" x14ac:dyDescent="0.25">
      <c r="B50" s="278" t="s">
        <v>163</v>
      </c>
    </row>
    <row r="51" spans="2:24" ht="6" customHeight="1" x14ac:dyDescent="0.25">
      <c r="B51" s="4"/>
      <c r="G51" s="6"/>
    </row>
    <row r="52" spans="2:24" ht="14.25" customHeight="1" x14ac:dyDescent="0.25">
      <c r="B52" s="38" t="s">
        <v>167</v>
      </c>
    </row>
    <row r="53" spans="2:24" ht="14.45" customHeight="1" x14ac:dyDescent="0.25">
      <c r="B53" s="303" t="s">
        <v>1196</v>
      </c>
      <c r="C53" s="303"/>
      <c r="D53" s="303"/>
      <c r="E53" s="303"/>
      <c r="F53" s="291"/>
      <c r="G53" s="291"/>
      <c r="H53" s="291"/>
      <c r="I53" s="37" t="s">
        <v>164</v>
      </c>
      <c r="J53" s="288"/>
      <c r="K53" s="289"/>
      <c r="L53" s="290"/>
      <c r="M53" s="303" t="s">
        <v>165</v>
      </c>
      <c r="N53" s="303"/>
      <c r="O53" s="303"/>
      <c r="P53" s="303"/>
      <c r="Q53" s="288" t="str">
        <f>IF(F54&lt;&gt;0,VLOOKUP(F54,'Site Info'!$G$34:$V$69,8,FALSE),"")</f>
        <v/>
      </c>
      <c r="R53" s="289"/>
      <c r="S53" s="290"/>
    </row>
    <row r="54" spans="2:24" ht="14.25" customHeight="1" x14ac:dyDescent="0.25">
      <c r="B54" s="303" t="s">
        <v>177</v>
      </c>
      <c r="C54" s="303"/>
      <c r="D54" s="303"/>
      <c r="E54" s="303"/>
      <c r="F54" s="270">
        <f>Inventory!Y85</f>
        <v>0</v>
      </c>
      <c r="G54" s="272"/>
      <c r="H54" s="272"/>
      <c r="I54" s="304" t="s">
        <v>1195</v>
      </c>
      <c r="J54" s="303"/>
      <c r="K54" s="263"/>
      <c r="L54" s="83"/>
      <c r="M54" s="303" t="s">
        <v>166</v>
      </c>
      <c r="N54" s="303"/>
      <c r="O54" s="303"/>
      <c r="P54" s="303"/>
      <c r="Q54" s="288" t="str">
        <f>IF(F54&lt;&gt;0,VLOOKUP(F54,'Site Info'!$G$34:$V$69,5,FALSE),"")</f>
        <v/>
      </c>
      <c r="R54" s="289"/>
      <c r="S54" s="290"/>
    </row>
    <row r="55" spans="2:24" ht="14.25" customHeight="1" x14ac:dyDescent="0.25">
      <c r="M55" s="303"/>
      <c r="N55" s="303"/>
      <c r="O55" s="303"/>
      <c r="P55" s="303"/>
      <c r="Q55" s="381"/>
      <c r="R55" s="381"/>
      <c r="S55" s="381"/>
    </row>
    <row r="56" spans="2:24" ht="14.25" customHeight="1" x14ac:dyDescent="0.25"/>
    <row r="57" spans="2:24" ht="14.25" customHeight="1" x14ac:dyDescent="0.25">
      <c r="B57" s="38" t="s">
        <v>168</v>
      </c>
    </row>
    <row r="58" spans="2:24" s="35" customFormat="1" ht="14.25" customHeight="1" x14ac:dyDescent="0.25">
      <c r="B58" s="38"/>
    </row>
    <row r="59" spans="2:24" s="35" customFormat="1" ht="14.25" customHeight="1" thickBot="1" x14ac:dyDescent="0.3">
      <c r="B59" s="312" t="s">
        <v>953</v>
      </c>
      <c r="C59" s="321"/>
      <c r="D59" s="321"/>
      <c r="E59" s="312" t="s">
        <v>1155</v>
      </c>
      <c r="F59" s="321"/>
      <c r="G59" s="321"/>
      <c r="H59" s="312" t="s">
        <v>1156</v>
      </c>
      <c r="I59" s="313"/>
      <c r="J59" s="83"/>
      <c r="K59" s="83"/>
      <c r="L59" s="83"/>
      <c r="M59" s="83"/>
      <c r="N59" s="182"/>
      <c r="O59" s="182"/>
    </row>
    <row r="60" spans="2:24" s="35" customFormat="1" ht="14.25" customHeight="1" x14ac:dyDescent="0.25">
      <c r="B60" s="298" t="str">
        <f>CONCATENATE("esx",$O$20,"-mgmt-a")</f>
        <v>esx-mgmt-a</v>
      </c>
      <c r="C60" s="299"/>
      <c r="D60" s="299"/>
      <c r="E60" s="298" t="str">
        <f>CONCATENATE("00:25:b5:",$O$20,":a0:01")</f>
        <v>00:25:b5::a0:01</v>
      </c>
      <c r="F60" s="299"/>
      <c r="G60" s="299"/>
      <c r="H60" s="298">
        <v>32</v>
      </c>
      <c r="I60" s="300"/>
      <c r="J60" s="83"/>
      <c r="K60" s="83"/>
      <c r="L60" s="83"/>
      <c r="M60" s="83"/>
      <c r="N60" s="182"/>
      <c r="O60" s="182"/>
    </row>
    <row r="61" spans="2:24" s="35" customFormat="1" ht="14.25" customHeight="1" x14ac:dyDescent="0.25">
      <c r="B61" s="298" t="str">
        <f>CONCATENATE("esx",$O$20,"-mgmt-b")</f>
        <v>esx-mgmt-b</v>
      </c>
      <c r="C61" s="299"/>
      <c r="D61" s="299"/>
      <c r="E61" s="298" t="str">
        <f>CONCATENATE("00:25:b5:",$O$20,":b0:01")</f>
        <v>00:25:b5::b0:01</v>
      </c>
      <c r="F61" s="299"/>
      <c r="G61" s="299"/>
      <c r="H61" s="298">
        <v>32</v>
      </c>
      <c r="I61" s="300"/>
      <c r="J61" s="83"/>
      <c r="K61" s="83"/>
      <c r="L61" s="83"/>
      <c r="M61" s="83"/>
      <c r="N61" s="182"/>
      <c r="O61" s="182"/>
    </row>
    <row r="62" spans="2:24" s="35" customFormat="1" ht="14.25" customHeight="1" x14ac:dyDescent="0.25">
      <c r="B62" s="298" t="str">
        <f>CONCATENATE("esx",$O$20,"-vMotion-a")</f>
        <v>esx-vMotion-a</v>
      </c>
      <c r="C62" s="299"/>
      <c r="D62" s="299"/>
      <c r="E62" s="298" t="str">
        <f>CONCATENATE("00:25:b5:",$O$20,":a1:01")</f>
        <v>00:25:b5::a1:01</v>
      </c>
      <c r="F62" s="299"/>
      <c r="G62" s="299"/>
      <c r="H62" s="298">
        <v>32</v>
      </c>
      <c r="I62" s="300"/>
      <c r="J62" s="83"/>
      <c r="K62" s="83"/>
      <c r="L62" s="83"/>
      <c r="M62" s="83"/>
      <c r="N62" s="182"/>
      <c r="O62" s="182"/>
    </row>
    <row r="63" spans="2:24" s="35" customFormat="1" ht="14.25" customHeight="1" x14ac:dyDescent="0.25">
      <c r="B63" s="298" t="str">
        <f>CONCATENATE("esx",$O$20,"-vMotion-b")</f>
        <v>esx-vMotion-b</v>
      </c>
      <c r="C63" s="299"/>
      <c r="D63" s="299"/>
      <c r="E63" s="298" t="str">
        <f>CONCATENATE("00:25:b5:",$O$20,":b1:01")</f>
        <v>00:25:b5::b1:01</v>
      </c>
      <c r="F63" s="299"/>
      <c r="G63" s="299"/>
      <c r="H63" s="298"/>
      <c r="I63" s="300"/>
      <c r="J63" s="83"/>
      <c r="K63" s="83"/>
      <c r="L63" s="83"/>
      <c r="M63" s="83"/>
      <c r="N63" s="182"/>
      <c r="O63" s="182"/>
    </row>
    <row r="64" spans="2:24" s="35" customFormat="1" ht="14.25" customHeight="1" x14ac:dyDescent="0.25">
      <c r="B64" s="298" t="str">
        <f>CONCATENATE("esx",$O$20,"-NFS-a")</f>
        <v>esx-NFS-a</v>
      </c>
      <c r="C64" s="299"/>
      <c r="D64" s="299"/>
      <c r="E64" s="298" t="str">
        <f>CONCATENATE("00:25:b5:",$O$20,":a2:01")</f>
        <v>00:25:b5::a2:01</v>
      </c>
      <c r="F64" s="299"/>
      <c r="G64" s="299"/>
      <c r="H64" s="298" t="s">
        <v>1377</v>
      </c>
      <c r="I64" s="300"/>
      <c r="J64" s="83"/>
      <c r="K64" s="83" t="s">
        <v>1349</v>
      </c>
      <c r="L64" s="83"/>
      <c r="M64" s="83"/>
      <c r="N64" s="182" t="s">
        <v>1378</v>
      </c>
      <c r="O64" s="182"/>
    </row>
    <row r="65" spans="2:26" s="35" customFormat="1" ht="14.25" customHeight="1" x14ac:dyDescent="0.25">
      <c r="B65" s="298" t="str">
        <f>CONCATENATE("esx",$O$20,"-NFS-b")</f>
        <v>esx-NFS-b</v>
      </c>
      <c r="C65" s="299"/>
      <c r="D65" s="299"/>
      <c r="E65" s="298" t="str">
        <f>CONCATENATE("00:25:b5:",$O$20,":b2:01")</f>
        <v>00:25:b5::b2:01</v>
      </c>
      <c r="F65" s="299"/>
      <c r="G65" s="299"/>
      <c r="H65" s="298">
        <v>32</v>
      </c>
      <c r="I65" s="300"/>
      <c r="J65" s="83"/>
      <c r="K65" s="83"/>
      <c r="L65" s="83"/>
      <c r="M65" s="83"/>
      <c r="N65" s="182"/>
      <c r="O65" s="182"/>
    </row>
    <row r="66" spans="2:26" s="35" customFormat="1" ht="14.25" customHeight="1" x14ac:dyDescent="0.25">
      <c r="B66" s="298" t="str">
        <f>CONCATENATE("esx",$O$20,"-iscsi-a")</f>
        <v>esx-iscsi-a</v>
      </c>
      <c r="C66" s="299"/>
      <c r="D66" s="299"/>
      <c r="E66" s="298" t="str">
        <f>CONCATENATE("00:25:b5:",$O$20,":a3:01")</f>
        <v>00:25:b5::a3:01</v>
      </c>
      <c r="F66" s="299"/>
      <c r="G66" s="299"/>
      <c r="H66" s="298">
        <v>32</v>
      </c>
      <c r="I66" s="300"/>
      <c r="J66" s="83"/>
      <c r="K66" s="83"/>
      <c r="L66" s="83"/>
      <c r="M66" s="83"/>
      <c r="N66" s="182"/>
      <c r="O66" s="182"/>
    </row>
    <row r="67" spans="2:26" s="35" customFormat="1" ht="14.25" customHeight="1" x14ac:dyDescent="0.25">
      <c r="B67" s="298" t="str">
        <f>CONCATENATE("esx",$O$20,"-iscsi-b")</f>
        <v>esx-iscsi-b</v>
      </c>
      <c r="C67" s="299"/>
      <c r="D67" s="299"/>
      <c r="E67" s="298" t="str">
        <f>CONCATENATE("00:25:b5:",$O$20,":b3:01")</f>
        <v>00:25:b5::b3:01</v>
      </c>
      <c r="F67" s="299"/>
      <c r="G67" s="299"/>
      <c r="H67" s="298">
        <v>32</v>
      </c>
      <c r="I67" s="300"/>
      <c r="J67" s="83"/>
      <c r="K67" s="83"/>
      <c r="L67" s="83"/>
      <c r="M67" s="83"/>
      <c r="N67" s="182"/>
      <c r="O67" s="182"/>
    </row>
    <row r="68" spans="2:26" s="35" customFormat="1" ht="14.25" customHeight="1" x14ac:dyDescent="0.25">
      <c r="B68" s="298" t="str">
        <f>CONCATENATE("esx",$O$20,"-VM-a")</f>
        <v>esx-VM-a</v>
      </c>
      <c r="C68" s="299"/>
      <c r="D68" s="299"/>
      <c r="E68" s="298" t="str">
        <f>CONCATENATE("00:25:b5:",$O$20,":a4:01")</f>
        <v>00:25:b5::a4:01</v>
      </c>
      <c r="F68" s="299"/>
      <c r="G68" s="299"/>
      <c r="H68" s="298">
        <v>32</v>
      </c>
      <c r="I68" s="300"/>
      <c r="J68" s="83"/>
      <c r="K68" s="83"/>
      <c r="L68" s="83"/>
      <c r="M68" s="83"/>
      <c r="N68" s="182"/>
      <c r="O68" s="182"/>
    </row>
    <row r="69" spans="2:26" s="35" customFormat="1" ht="14.25" customHeight="1" x14ac:dyDescent="0.25">
      <c r="B69" s="298" t="str">
        <f>CONCATENATE("esx",$O$20,,"-VM-b")</f>
        <v>esx-VM-b</v>
      </c>
      <c r="C69" s="299"/>
      <c r="D69" s="299"/>
      <c r="E69" s="298" t="str">
        <f>CONCATENATE("00:25:b5:",$O$20,":b4:01")</f>
        <v>00:25:b5::b4:01</v>
      </c>
      <c r="F69" s="299"/>
      <c r="G69" s="299"/>
      <c r="H69" s="298">
        <v>32</v>
      </c>
      <c r="I69" s="300"/>
      <c r="J69" s="83"/>
      <c r="K69" s="83"/>
      <c r="L69" s="83"/>
      <c r="M69" s="83"/>
      <c r="N69" s="182"/>
      <c r="O69" s="182"/>
    </row>
    <row r="70" spans="2:26" ht="14.25" customHeight="1" x14ac:dyDescent="0.25"/>
    <row r="71" spans="2:26" s="35" customFormat="1" ht="14.25" customHeight="1" x14ac:dyDescent="0.25">
      <c r="B71" s="38" t="s">
        <v>169</v>
      </c>
      <c r="U71" s="38" t="s">
        <v>1326</v>
      </c>
    </row>
    <row r="72" spans="2:26" s="35" customFormat="1" ht="6" customHeight="1" x14ac:dyDescent="0.25">
      <c r="B72" s="4"/>
      <c r="G72" s="6"/>
    </row>
    <row r="73" spans="2:26" s="35" customFormat="1" ht="14.25" customHeight="1" x14ac:dyDescent="0.25">
      <c r="B73" s="303" t="s">
        <v>178</v>
      </c>
      <c r="C73" s="303"/>
      <c r="D73" s="303"/>
      <c r="E73" s="303"/>
      <c r="F73" s="65">
        <v>32</v>
      </c>
      <c r="G73" s="303" t="s">
        <v>1032</v>
      </c>
      <c r="H73" s="303"/>
      <c r="I73" s="303"/>
      <c r="J73" s="303"/>
      <c r="K73" s="65">
        <v>1</v>
      </c>
      <c r="U73" s="303" t="s">
        <v>1256</v>
      </c>
      <c r="V73" s="303"/>
      <c r="W73" s="360" t="str">
        <f>CONCATENATE("esx",$O$20,"-boot")</f>
        <v>esx-boot</v>
      </c>
      <c r="X73" s="361"/>
      <c r="Y73" s="361"/>
      <c r="Z73" s="362"/>
    </row>
    <row r="74" spans="2:26" s="35" customFormat="1" ht="6.75" customHeight="1" x14ac:dyDescent="0.25">
      <c r="B74" s="64"/>
      <c r="C74" s="64"/>
      <c r="D74" s="64"/>
      <c r="E74" s="39"/>
      <c r="F74" s="66"/>
      <c r="G74" s="64"/>
      <c r="H74" s="64"/>
      <c r="I74" s="64"/>
      <c r="J74" s="64"/>
      <c r="K74" s="66"/>
    </row>
    <row r="75" spans="2:26" s="35" customFormat="1" ht="14.25" customHeight="1" thickBot="1" x14ac:dyDescent="0.3">
      <c r="B75" s="303" t="s">
        <v>1249</v>
      </c>
      <c r="C75" s="303"/>
      <c r="D75" s="303"/>
      <c r="E75" s="303"/>
      <c r="F75" s="291" t="str">
        <f>CONCATENATE("esx",$O$20,"-iqn-a")</f>
        <v>esx-iqn-a</v>
      </c>
      <c r="G75" s="291"/>
      <c r="H75" s="291"/>
      <c r="I75" s="291"/>
      <c r="J75" s="291"/>
      <c r="K75" s="303" t="s">
        <v>1252</v>
      </c>
      <c r="L75" s="303"/>
      <c r="M75" s="303"/>
      <c r="N75" s="303"/>
      <c r="O75" s="291" t="str">
        <f>CONCATENATE("esx",$O$20,"-iqn-b")</f>
        <v>esx-iqn-b</v>
      </c>
      <c r="P75" s="291"/>
      <c r="Q75" s="291"/>
      <c r="R75" s="291"/>
      <c r="S75" s="291"/>
      <c r="V75" s="311" t="s">
        <v>1327</v>
      </c>
      <c r="W75" s="311"/>
      <c r="X75" s="311"/>
      <c r="Y75" s="311"/>
    </row>
    <row r="76" spans="2:26" s="35" customFormat="1" ht="14.25" customHeight="1" x14ac:dyDescent="0.25">
      <c r="B76" s="303" t="s">
        <v>1250</v>
      </c>
      <c r="C76" s="303"/>
      <c r="D76" s="303"/>
      <c r="E76" s="303"/>
      <c r="F76" s="288" t="s">
        <v>170</v>
      </c>
      <c r="G76" s="289"/>
      <c r="H76" s="289"/>
      <c r="I76" s="289"/>
      <c r="J76" s="290"/>
      <c r="K76" s="303" t="s">
        <v>1253</v>
      </c>
      <c r="L76" s="303"/>
      <c r="M76" s="303"/>
      <c r="N76" s="303"/>
      <c r="O76" s="288" t="s">
        <v>170</v>
      </c>
      <c r="P76" s="289"/>
      <c r="Q76" s="289"/>
      <c r="R76" s="289"/>
      <c r="S76" s="290"/>
      <c r="V76" s="351" t="s">
        <v>1328</v>
      </c>
      <c r="W76" s="351"/>
      <c r="X76" s="351"/>
      <c r="Y76" s="351"/>
    </row>
    <row r="77" spans="2:26" s="35" customFormat="1" ht="14.25" customHeight="1" x14ac:dyDescent="0.25">
      <c r="B77" s="303" t="s">
        <v>1251</v>
      </c>
      <c r="C77" s="303"/>
      <c r="D77" s="303"/>
      <c r="E77" s="303"/>
      <c r="F77" s="288" t="s">
        <v>1030</v>
      </c>
      <c r="G77" s="289"/>
      <c r="H77" s="289"/>
      <c r="I77" s="289"/>
      <c r="J77" s="290"/>
      <c r="K77" s="303" t="s">
        <v>1254</v>
      </c>
      <c r="L77" s="303"/>
      <c r="M77" s="303"/>
      <c r="N77" s="303"/>
      <c r="O77" s="288" t="s">
        <v>1031</v>
      </c>
      <c r="P77" s="289"/>
      <c r="Q77" s="289"/>
      <c r="R77" s="289"/>
      <c r="S77" s="290"/>
      <c r="V77" s="352"/>
      <c r="W77" s="352"/>
      <c r="X77" s="352"/>
      <c r="Y77" s="352"/>
    </row>
    <row r="78" spans="2:26" s="35" customFormat="1" ht="14.25" customHeight="1" x14ac:dyDescent="0.25">
      <c r="B78" s="64"/>
      <c r="C78" s="64"/>
      <c r="D78" s="64"/>
      <c r="E78" s="64"/>
      <c r="F78" s="66"/>
      <c r="G78" s="66"/>
      <c r="H78" s="66"/>
      <c r="I78" s="66"/>
      <c r="J78" s="66"/>
      <c r="K78" s="64"/>
      <c r="L78" s="64"/>
      <c r="M78" s="64"/>
      <c r="N78" s="64"/>
      <c r="O78" s="66"/>
      <c r="P78" s="66"/>
      <c r="Q78" s="66"/>
      <c r="R78" s="66"/>
      <c r="S78" s="66"/>
      <c r="V78" s="352"/>
      <c r="W78" s="352"/>
      <c r="X78" s="352"/>
      <c r="Y78" s="352"/>
    </row>
    <row r="79" spans="2:26" s="35" customFormat="1" ht="14.25" customHeight="1" x14ac:dyDescent="0.25">
      <c r="B79" s="38" t="s">
        <v>371</v>
      </c>
      <c r="F79" s="303" t="s">
        <v>1172</v>
      </c>
      <c r="G79" s="303"/>
      <c r="H79" s="360" t="str">
        <f>CONCATENATE("esx",$O$20,"-iscsi-a")</f>
        <v>esx-iscsi-a</v>
      </c>
      <c r="I79" s="361"/>
      <c r="J79" s="361"/>
      <c r="K79" s="362"/>
      <c r="V79" s="352"/>
      <c r="W79" s="352"/>
      <c r="X79" s="352"/>
      <c r="Y79" s="352"/>
    </row>
    <row r="80" spans="2:26" s="35" customFormat="1" ht="6" customHeight="1" x14ac:dyDescent="0.25">
      <c r="B80" s="4"/>
      <c r="G80" s="6"/>
    </row>
    <row r="81" spans="2:19" s="35" customFormat="1" ht="14.25" customHeight="1" x14ac:dyDescent="0.25">
      <c r="B81" s="303" t="s">
        <v>1293</v>
      </c>
      <c r="C81" s="303"/>
      <c r="D81" s="303"/>
      <c r="E81" s="303"/>
      <c r="F81" s="288"/>
      <c r="G81" s="289"/>
      <c r="H81" s="290"/>
      <c r="I81" s="37" t="s">
        <v>164</v>
      </c>
      <c r="J81" s="288"/>
      <c r="K81" s="289"/>
      <c r="L81" s="290"/>
      <c r="M81" s="303" t="s">
        <v>165</v>
      </c>
      <c r="N81" s="303"/>
      <c r="O81" s="303"/>
      <c r="P81" s="303"/>
      <c r="Q81" s="288" t="str">
        <f>IF(F82&lt;&gt;0,VLOOKUP(F82,'Site Info'!$G$34:$V$69,8,FALSE),"")</f>
        <v/>
      </c>
      <c r="R81" s="289"/>
      <c r="S81" s="290"/>
    </row>
    <row r="82" spans="2:19" s="35" customFormat="1" ht="14.25" customHeight="1" x14ac:dyDescent="0.25">
      <c r="B82" s="303" t="s">
        <v>177</v>
      </c>
      <c r="C82" s="303"/>
      <c r="D82" s="303"/>
      <c r="E82" s="303"/>
      <c r="F82" s="65"/>
      <c r="J82" s="428" t="s">
        <v>1195</v>
      </c>
      <c r="K82" s="428"/>
      <c r="L82" s="271"/>
      <c r="M82" s="303" t="s">
        <v>166</v>
      </c>
      <c r="N82" s="303"/>
      <c r="O82" s="303"/>
      <c r="P82" s="303"/>
      <c r="Q82" s="288" t="str">
        <f>IF(F82&lt;&gt;0,VLOOKUP(F82,'Site Info'!$G$34:$V$69,5,FALSE),"")</f>
        <v/>
      </c>
      <c r="R82" s="289"/>
      <c r="S82" s="290"/>
    </row>
    <row r="83" spans="2:19" s="35" customFormat="1" ht="14.25" customHeight="1" x14ac:dyDescent="0.25"/>
    <row r="84" spans="2:19" s="35" customFormat="1" ht="14.25" customHeight="1" x14ac:dyDescent="0.25">
      <c r="B84" s="38" t="s">
        <v>372</v>
      </c>
      <c r="F84" s="303" t="s">
        <v>1172</v>
      </c>
      <c r="G84" s="303"/>
      <c r="H84" s="360" t="str">
        <f>CONCATENATE("esx",$O$20,"-iscsi-b")</f>
        <v>esx-iscsi-b</v>
      </c>
      <c r="I84" s="361"/>
      <c r="J84" s="361"/>
      <c r="K84" s="362"/>
    </row>
    <row r="85" spans="2:19" s="35" customFormat="1" ht="6" customHeight="1" x14ac:dyDescent="0.25">
      <c r="B85" s="4"/>
      <c r="G85" s="6"/>
    </row>
    <row r="86" spans="2:19" s="35" customFormat="1" ht="14.25" customHeight="1" x14ac:dyDescent="0.25">
      <c r="B86" s="303" t="s">
        <v>1294</v>
      </c>
      <c r="C86" s="303"/>
      <c r="D86" s="303"/>
      <c r="E86" s="303"/>
      <c r="F86" s="288"/>
      <c r="G86" s="289"/>
      <c r="H86" s="290"/>
      <c r="I86" s="37" t="s">
        <v>164</v>
      </c>
      <c r="J86" s="288"/>
      <c r="K86" s="289"/>
      <c r="L86" s="290"/>
      <c r="M86" s="303" t="s">
        <v>165</v>
      </c>
      <c r="N86" s="303"/>
      <c r="O86" s="303"/>
      <c r="P86" s="303"/>
      <c r="Q86" s="288" t="str">
        <f>IF(F87&lt;&gt;0,VLOOKUP(F87,'Site Info'!$G$34:$V$69,8,FALSE),"")</f>
        <v/>
      </c>
      <c r="R86" s="289"/>
      <c r="S86" s="290"/>
    </row>
    <row r="87" spans="2:19" s="35" customFormat="1" ht="14.25" customHeight="1" x14ac:dyDescent="0.25">
      <c r="B87" s="303" t="s">
        <v>177</v>
      </c>
      <c r="C87" s="303"/>
      <c r="D87" s="303"/>
      <c r="E87" s="303"/>
      <c r="F87" s="65"/>
      <c r="J87" s="428" t="s">
        <v>1195</v>
      </c>
      <c r="K87" s="428"/>
      <c r="L87" s="271"/>
      <c r="M87" s="303" t="s">
        <v>166</v>
      </c>
      <c r="N87" s="303"/>
      <c r="O87" s="303"/>
      <c r="P87" s="303"/>
      <c r="Q87" s="288" t="str">
        <f>IF(F87&lt;&gt;0,VLOOKUP(F87,'Site Info'!$G$34:$V$69,5,FALSE),"")</f>
        <v/>
      </c>
      <c r="R87" s="289"/>
      <c r="S87" s="290"/>
    </row>
    <row r="88" spans="2:19" ht="14.25" customHeight="1" x14ac:dyDescent="0.25">
      <c r="B88" s="32"/>
      <c r="C88" s="32"/>
      <c r="D88" s="32"/>
      <c r="E88" s="32"/>
      <c r="F88" s="13"/>
      <c r="G88" s="13"/>
      <c r="H88" s="13"/>
      <c r="I88" s="13"/>
      <c r="J88" s="13"/>
      <c r="K88" s="32"/>
      <c r="L88" s="32"/>
      <c r="M88" s="32"/>
      <c r="N88" s="32"/>
      <c r="O88" s="13"/>
      <c r="P88" s="13"/>
      <c r="Q88" s="13"/>
      <c r="R88" s="13"/>
      <c r="S88" s="13"/>
    </row>
    <row r="89" spans="2:19" ht="14.25" customHeight="1" x14ac:dyDescent="0.25">
      <c r="B89" s="38" t="s">
        <v>171</v>
      </c>
    </row>
    <row r="90" spans="2:19" ht="6" customHeight="1" x14ac:dyDescent="0.25">
      <c r="B90" s="4"/>
      <c r="G90" s="6"/>
    </row>
    <row r="91" spans="2:19" ht="14.25" customHeight="1" x14ac:dyDescent="0.25">
      <c r="B91" s="303" t="s">
        <v>179</v>
      </c>
      <c r="C91" s="303"/>
      <c r="D91" s="303"/>
      <c r="E91" s="303"/>
      <c r="F91" s="291" t="str">
        <f>CONCATENATE("esx",$O$20,"-uuid")</f>
        <v>esx-uuid</v>
      </c>
      <c r="G91" s="291"/>
      <c r="H91" s="291"/>
      <c r="I91" s="291"/>
      <c r="J91" s="291"/>
      <c r="K91" s="303" t="s">
        <v>178</v>
      </c>
      <c r="L91" s="303"/>
      <c r="M91" s="303"/>
      <c r="N91" s="303"/>
      <c r="O91" s="33">
        <v>32</v>
      </c>
    </row>
    <row r="92" spans="2:19" ht="14.25" customHeight="1" x14ac:dyDescent="0.25">
      <c r="B92" s="303" t="s">
        <v>954</v>
      </c>
      <c r="C92" s="303"/>
      <c r="D92" s="303"/>
      <c r="E92" s="303"/>
      <c r="F92" s="291" t="s">
        <v>1037</v>
      </c>
      <c r="G92" s="291"/>
      <c r="H92" s="291"/>
      <c r="I92" s="291"/>
      <c r="J92" s="291"/>
      <c r="K92" s="303" t="s">
        <v>1033</v>
      </c>
      <c r="L92" s="303"/>
      <c r="M92" s="303"/>
      <c r="N92" s="303"/>
      <c r="O92" s="291" t="str">
        <f>CONCATENATE("0000-0025b5",O20,"0001")</f>
        <v>0000-0025b50001</v>
      </c>
      <c r="P92" s="291"/>
      <c r="Q92" s="291"/>
      <c r="R92" s="291"/>
      <c r="S92" s="291"/>
    </row>
    <row r="93" spans="2:19" ht="14.25" customHeight="1" x14ac:dyDescent="0.25">
      <c r="B93" s="38" t="s">
        <v>172</v>
      </c>
    </row>
    <row r="94" spans="2:19" ht="6" customHeight="1" x14ac:dyDescent="0.25">
      <c r="B94" s="4"/>
      <c r="G94" s="6"/>
    </row>
    <row r="95" spans="2:19" ht="14.25" customHeight="1" x14ac:dyDescent="0.25">
      <c r="B95" s="303" t="s">
        <v>179</v>
      </c>
      <c r="C95" s="303"/>
      <c r="D95" s="303"/>
      <c r="E95" s="303"/>
      <c r="F95" s="291" t="str">
        <f>CONCATENATE("esx",$O$20,"-wwnn")</f>
        <v>esx-wwnn</v>
      </c>
      <c r="G95" s="291"/>
      <c r="H95" s="291"/>
      <c r="I95" s="291"/>
      <c r="J95" s="291"/>
      <c r="K95" s="303" t="s">
        <v>178</v>
      </c>
      <c r="L95" s="303"/>
      <c r="M95" s="303"/>
      <c r="N95" s="303"/>
      <c r="O95" s="33">
        <v>32</v>
      </c>
    </row>
    <row r="96" spans="2:19" ht="14.25" customHeight="1" x14ac:dyDescent="0.25">
      <c r="B96" s="303" t="s">
        <v>1246</v>
      </c>
      <c r="C96" s="303"/>
      <c r="D96" s="303"/>
      <c r="E96" s="303"/>
      <c r="F96" s="291" t="str">
        <f>CONCATENATE("20:00:00:25:b5:",$O$20,":00:01")</f>
        <v>20:00:00:25:b5::00:01</v>
      </c>
      <c r="G96" s="291"/>
      <c r="H96" s="291"/>
      <c r="I96" s="291"/>
      <c r="J96" s="291"/>
    </row>
    <row r="97" spans="2:32" ht="14.25" customHeight="1" x14ac:dyDescent="0.25"/>
    <row r="98" spans="2:32" ht="14.25" customHeight="1" x14ac:dyDescent="0.25">
      <c r="B98" s="38" t="s">
        <v>173</v>
      </c>
    </row>
    <row r="99" spans="2:32" ht="6" customHeight="1" x14ac:dyDescent="0.25">
      <c r="B99" s="4"/>
      <c r="G99" s="6"/>
    </row>
    <row r="100" spans="2:32" ht="14.25" customHeight="1" x14ac:dyDescent="0.25">
      <c r="B100" s="303" t="s">
        <v>178</v>
      </c>
      <c r="C100" s="303"/>
      <c r="D100" s="303"/>
      <c r="E100" s="303"/>
      <c r="F100" s="33">
        <v>32</v>
      </c>
      <c r="G100" s="303"/>
      <c r="H100" s="303"/>
      <c r="I100" s="303"/>
      <c r="J100" s="303"/>
      <c r="K100" s="206"/>
    </row>
    <row r="101" spans="2:32" ht="6.75" customHeight="1" x14ac:dyDescent="0.25">
      <c r="B101" s="32"/>
      <c r="C101" s="32"/>
      <c r="D101" s="32"/>
      <c r="E101" s="39"/>
      <c r="F101" s="13"/>
      <c r="G101" s="32"/>
      <c r="H101" s="32"/>
      <c r="I101" s="32"/>
      <c r="J101" s="32"/>
      <c r="K101" s="13"/>
    </row>
    <row r="102" spans="2:32" ht="14.25" customHeight="1" x14ac:dyDescent="0.25">
      <c r="B102" s="303" t="s">
        <v>1249</v>
      </c>
      <c r="C102" s="303"/>
      <c r="D102" s="303"/>
      <c r="E102" s="303"/>
      <c r="F102" s="291" t="str">
        <f>CONCATENATE("esx",$O$20,"-wwpn-a")</f>
        <v>esx-wwpn-a</v>
      </c>
      <c r="G102" s="291"/>
      <c r="H102" s="291"/>
      <c r="I102" s="291"/>
      <c r="J102" s="291"/>
      <c r="K102" s="303" t="s">
        <v>1252</v>
      </c>
      <c r="L102" s="303"/>
      <c r="M102" s="303"/>
      <c r="N102" s="303"/>
      <c r="O102" s="291" t="str">
        <f>CONCATENATE("esx",$O$20,"-wwpn-b")</f>
        <v>esx-wwpn-b</v>
      </c>
      <c r="P102" s="291"/>
      <c r="Q102" s="291"/>
      <c r="R102" s="291"/>
      <c r="S102" s="291"/>
    </row>
    <row r="103" spans="2:32" ht="14.25" customHeight="1" x14ac:dyDescent="0.25">
      <c r="B103" s="303" t="s">
        <v>1247</v>
      </c>
      <c r="C103" s="303"/>
      <c r="D103" s="303"/>
      <c r="E103" s="303"/>
      <c r="F103" s="288" t="str">
        <f>CONCATENATE("20:00:00:25:B5:",$O$20,":A0:01")</f>
        <v>20:00:00:25:B5::A0:01</v>
      </c>
      <c r="G103" s="289"/>
      <c r="H103" s="289"/>
      <c r="I103" s="289"/>
      <c r="J103" s="290"/>
      <c r="K103" s="303" t="s">
        <v>1248</v>
      </c>
      <c r="L103" s="303"/>
      <c r="M103" s="303"/>
      <c r="N103" s="303"/>
      <c r="O103" s="288" t="str">
        <f>CONCATENATE("20:00:00:25:B5:",$O$20,":B0:01")</f>
        <v>20:00:00:25:B5::B0:01</v>
      </c>
      <c r="P103" s="289"/>
      <c r="Q103" s="289"/>
      <c r="R103" s="289"/>
      <c r="S103" s="290"/>
    </row>
    <row r="104" spans="2:32" ht="14.25" customHeight="1" x14ac:dyDescent="0.25"/>
    <row r="105" spans="2:32" s="35" customFormat="1" ht="14.25" customHeight="1" x14ac:dyDescent="0.25"/>
    <row r="106" spans="2:32" s="35" customFormat="1" ht="14.25" customHeight="1" x14ac:dyDescent="0.25">
      <c r="B106" s="278" t="s">
        <v>1311</v>
      </c>
    </row>
    <row r="107" spans="2:32" ht="14.25" customHeight="1" x14ac:dyDescent="0.25"/>
    <row r="108" spans="2:32" s="35" customFormat="1" ht="14.25" customHeight="1" x14ac:dyDescent="0.25">
      <c r="B108" s="38" t="s">
        <v>1173</v>
      </c>
      <c r="U108" s="277" t="s">
        <v>1255</v>
      </c>
    </row>
    <row r="109" spans="2:32" s="35" customFormat="1" ht="6.75" customHeight="1" x14ac:dyDescent="0.25"/>
    <row r="110" spans="2:32" s="35" customFormat="1" ht="14.25" customHeight="1" thickBot="1" x14ac:dyDescent="0.3">
      <c r="B110" s="312" t="s">
        <v>1174</v>
      </c>
      <c r="C110" s="321"/>
      <c r="D110" s="321"/>
      <c r="E110" s="312" t="s">
        <v>1175</v>
      </c>
      <c r="F110" s="321"/>
      <c r="G110" s="321"/>
      <c r="H110" s="312" t="s">
        <v>1176</v>
      </c>
      <c r="I110" s="313"/>
      <c r="S110" s="303" t="s">
        <v>1256</v>
      </c>
      <c r="T110" s="303"/>
      <c r="U110" s="360" t="str">
        <f>CONCATENATE("esx",$O$20,"-BIOS")</f>
        <v>esx-BIOS</v>
      </c>
      <c r="V110" s="361"/>
      <c r="W110" s="361"/>
      <c r="X110" s="362"/>
      <c r="Z110" s="311" t="s">
        <v>1257</v>
      </c>
      <c r="AA110" s="311"/>
      <c r="AB110" s="311"/>
      <c r="AC110" s="311"/>
      <c r="AD110" s="311" t="s">
        <v>1258</v>
      </c>
      <c r="AE110" s="311"/>
      <c r="AF110" s="311"/>
    </row>
    <row r="111" spans="2:32" s="35" customFormat="1" ht="14.25" customHeight="1" x14ac:dyDescent="0.25">
      <c r="B111" s="298" t="str">
        <f>CONCATENATE("esx",$O$20,"-QoS-FC")</f>
        <v>esx-QoS-FC</v>
      </c>
      <c r="C111" s="299"/>
      <c r="D111" s="299"/>
      <c r="E111" s="298"/>
      <c r="F111" s="299"/>
      <c r="G111" s="299"/>
      <c r="H111" s="298"/>
      <c r="I111" s="300"/>
      <c r="J111" s="264" t="s">
        <v>1177</v>
      </c>
      <c r="Z111" s="351" t="s">
        <v>1259</v>
      </c>
      <c r="AA111" s="351"/>
      <c r="AB111" s="351"/>
      <c r="AC111" s="351"/>
      <c r="AD111" s="351" t="s">
        <v>1260</v>
      </c>
      <c r="AE111" s="351"/>
      <c r="AF111" s="351"/>
    </row>
    <row r="112" spans="2:32" s="35" customFormat="1" ht="14.25" customHeight="1" x14ac:dyDescent="0.25">
      <c r="B112" s="298" t="str">
        <f>CONCATENATE("esx",$O$20,"-QoS-NTAP")</f>
        <v>esx-QoS-NTAP</v>
      </c>
      <c r="C112" s="299"/>
      <c r="D112" s="299"/>
      <c r="E112" s="298"/>
      <c r="F112" s="299"/>
      <c r="G112" s="299"/>
      <c r="H112" s="298"/>
      <c r="I112" s="300"/>
      <c r="J112" s="264" t="s">
        <v>1295</v>
      </c>
      <c r="Z112" s="352"/>
      <c r="AA112" s="352"/>
      <c r="AB112" s="352"/>
      <c r="AC112" s="352"/>
      <c r="AD112" s="352"/>
      <c r="AE112" s="352"/>
      <c r="AF112" s="352"/>
    </row>
    <row r="113" spans="2:32" s="35" customFormat="1" ht="14.25" customHeight="1" x14ac:dyDescent="0.25">
      <c r="B113" s="298" t="str">
        <f>CONCATENATE("esx",$O$20,"-QoS-VM")</f>
        <v>esx-QoS-VM</v>
      </c>
      <c r="C113" s="299"/>
      <c r="D113" s="299"/>
      <c r="E113" s="298"/>
      <c r="F113" s="299"/>
      <c r="G113" s="299"/>
      <c r="H113" s="298"/>
      <c r="I113" s="300"/>
      <c r="Z113" s="352"/>
      <c r="AA113" s="352"/>
      <c r="AB113" s="352"/>
      <c r="AC113" s="352"/>
      <c r="AD113" s="352"/>
      <c r="AE113" s="352"/>
      <c r="AF113" s="352"/>
    </row>
    <row r="114" spans="2:32" s="35" customFormat="1" ht="14.25" customHeight="1" x14ac:dyDescent="0.25">
      <c r="B114" s="298" t="str">
        <f>CONCATENATE("esx",$O$20,"-QoS-mgmt")</f>
        <v>esx-QoS-mgmt</v>
      </c>
      <c r="C114" s="299"/>
      <c r="D114" s="299"/>
      <c r="E114" s="298"/>
      <c r="F114" s="299"/>
      <c r="G114" s="299"/>
      <c r="H114" s="298"/>
      <c r="I114" s="300"/>
      <c r="Z114" s="352"/>
      <c r="AA114" s="352"/>
      <c r="AB114" s="352"/>
      <c r="AC114" s="352"/>
      <c r="AD114" s="352"/>
      <c r="AE114" s="352"/>
      <c r="AF114" s="352"/>
    </row>
    <row r="115" spans="2:32" s="35" customFormat="1" ht="14.25" customHeight="1" x14ac:dyDescent="0.25">
      <c r="B115" s="298" t="str">
        <f>CONCATENATE("esx",$O$20,"-QoS-vMtion")</f>
        <v>esx-QoS-vMtion</v>
      </c>
      <c r="C115" s="299"/>
      <c r="D115" s="299"/>
      <c r="E115" s="298"/>
      <c r="F115" s="299"/>
      <c r="G115" s="299"/>
      <c r="H115" s="298"/>
      <c r="I115" s="300"/>
      <c r="Z115" s="352"/>
      <c r="AA115" s="352"/>
      <c r="AB115" s="352"/>
      <c r="AC115" s="352"/>
      <c r="AD115" s="352"/>
      <c r="AE115" s="352"/>
      <c r="AF115" s="352"/>
    </row>
    <row r="116" spans="2:32" ht="14.25" customHeight="1" x14ac:dyDescent="0.25">
      <c r="S116" s="35"/>
      <c r="T116" s="35"/>
      <c r="U116" s="35"/>
      <c r="V116" s="35"/>
      <c r="W116" s="35"/>
      <c r="X116" s="35"/>
      <c r="Y116" s="35"/>
      <c r="Z116" s="352"/>
      <c r="AA116" s="352"/>
      <c r="AB116" s="352"/>
      <c r="AC116" s="352"/>
      <c r="AD116" s="352"/>
      <c r="AE116" s="352"/>
      <c r="AF116" s="352"/>
    </row>
    <row r="117" spans="2:32" ht="14.25" customHeight="1" x14ac:dyDescent="0.25">
      <c r="S117" s="35"/>
      <c r="T117" s="35"/>
      <c r="U117" s="35"/>
      <c r="V117" s="35"/>
      <c r="W117" s="35"/>
      <c r="X117" s="35"/>
      <c r="Y117" s="35"/>
      <c r="Z117" s="352"/>
      <c r="AA117" s="352"/>
      <c r="AB117" s="352"/>
      <c r="AC117" s="352"/>
      <c r="AD117" s="352"/>
      <c r="AE117" s="352"/>
      <c r="AF117" s="352"/>
    </row>
    <row r="118" spans="2:32" ht="14.25" customHeight="1" x14ac:dyDescent="0.25">
      <c r="B118" s="277" t="s">
        <v>1308</v>
      </c>
      <c r="C118" s="35"/>
      <c r="E118" s="35"/>
      <c r="F118" s="35"/>
      <c r="G118" s="35"/>
      <c r="H118" s="35"/>
      <c r="I118" s="35"/>
      <c r="J118" s="35"/>
      <c r="K118" s="35"/>
      <c r="L118" s="35"/>
      <c r="M118" s="35"/>
      <c r="N118" s="35"/>
      <c r="O118" s="35"/>
      <c r="S118" s="35"/>
      <c r="T118" s="35"/>
      <c r="U118" s="35"/>
      <c r="V118" s="35"/>
      <c r="W118" s="35"/>
      <c r="X118" s="35"/>
      <c r="Y118" s="35"/>
      <c r="Z118" s="352"/>
      <c r="AA118" s="352"/>
      <c r="AB118" s="352"/>
      <c r="AC118" s="352"/>
      <c r="AD118" s="352"/>
      <c r="AE118" s="352"/>
      <c r="AF118" s="352"/>
    </row>
    <row r="119" spans="2:32" ht="14.25" customHeight="1" x14ac:dyDescent="0.25">
      <c r="B119" s="35"/>
      <c r="C119" s="35"/>
      <c r="D119" s="35"/>
      <c r="E119" s="35"/>
      <c r="F119" s="35"/>
      <c r="G119" s="35"/>
      <c r="H119" s="35"/>
      <c r="I119" s="35"/>
      <c r="J119" s="35"/>
      <c r="K119" s="35"/>
      <c r="L119" s="35"/>
      <c r="M119" s="35"/>
      <c r="N119" s="35"/>
      <c r="O119" s="35"/>
      <c r="S119" s="35"/>
      <c r="T119" s="35"/>
      <c r="U119" s="35"/>
      <c r="V119" s="35"/>
      <c r="W119" s="35"/>
      <c r="X119" s="35"/>
      <c r="Y119" s="35"/>
      <c r="Z119" s="352"/>
      <c r="AA119" s="352"/>
      <c r="AB119" s="352"/>
      <c r="AC119" s="352"/>
      <c r="AD119" s="352"/>
      <c r="AE119" s="352"/>
      <c r="AF119" s="352"/>
    </row>
    <row r="120" spans="2:32" ht="14.25" customHeight="1" thickBot="1" x14ac:dyDescent="0.3">
      <c r="B120" s="303" t="s">
        <v>1256</v>
      </c>
      <c r="C120" s="303"/>
      <c r="D120" s="360" t="s">
        <v>1274</v>
      </c>
      <c r="E120" s="361"/>
      <c r="F120" s="361"/>
      <c r="G120" s="362"/>
      <c r="H120" s="35"/>
      <c r="I120" s="311" t="s">
        <v>1257</v>
      </c>
      <c r="J120" s="311"/>
      <c r="K120" s="311"/>
      <c r="L120" s="311"/>
      <c r="M120" s="311" t="s">
        <v>1258</v>
      </c>
      <c r="N120" s="311"/>
      <c r="O120" s="311"/>
      <c r="S120" s="35"/>
      <c r="T120" s="35"/>
      <c r="U120" s="35"/>
      <c r="V120" s="35"/>
      <c r="W120" s="35"/>
      <c r="X120" s="35"/>
      <c r="Y120" s="35"/>
      <c r="Z120" s="352"/>
      <c r="AA120" s="352"/>
      <c r="AB120" s="352"/>
      <c r="AC120" s="352"/>
      <c r="AD120" s="352"/>
      <c r="AE120" s="352"/>
      <c r="AF120" s="352"/>
    </row>
    <row r="121" spans="2:32" ht="14.25" customHeight="1" x14ac:dyDescent="0.25">
      <c r="B121" s="35"/>
      <c r="C121" s="35"/>
      <c r="D121" s="35"/>
      <c r="E121" s="35"/>
      <c r="F121" s="35"/>
      <c r="G121" s="35"/>
      <c r="H121" s="35"/>
      <c r="I121" s="351" t="s">
        <v>1309</v>
      </c>
      <c r="J121" s="351"/>
      <c r="K121" s="351"/>
      <c r="L121" s="351"/>
      <c r="M121" s="351" t="s">
        <v>1310</v>
      </c>
      <c r="N121" s="351"/>
      <c r="O121" s="351"/>
      <c r="S121" s="35"/>
      <c r="T121" s="35"/>
      <c r="U121" s="35"/>
      <c r="V121" s="35"/>
      <c r="W121" s="35"/>
      <c r="X121" s="35"/>
      <c r="Y121" s="35"/>
      <c r="Z121" s="352"/>
      <c r="AA121" s="352"/>
      <c r="AB121" s="352"/>
      <c r="AC121" s="352"/>
      <c r="AD121" s="352"/>
      <c r="AE121" s="352"/>
      <c r="AF121" s="352"/>
    </row>
    <row r="122" spans="2:32" ht="14.25" customHeight="1" x14ac:dyDescent="0.25">
      <c r="S122" s="35"/>
      <c r="T122" s="35"/>
      <c r="U122" s="35"/>
      <c r="V122" s="35"/>
      <c r="W122" s="35"/>
      <c r="X122" s="35"/>
      <c r="Y122" s="35"/>
      <c r="Z122" s="352"/>
      <c r="AA122" s="352"/>
      <c r="AB122" s="352"/>
      <c r="AC122" s="352"/>
      <c r="AD122" s="352"/>
      <c r="AE122" s="352"/>
      <c r="AF122" s="352"/>
    </row>
    <row r="123" spans="2:32" ht="14.25" customHeight="1" x14ac:dyDescent="0.25">
      <c r="S123" s="35"/>
      <c r="T123" s="35"/>
      <c r="U123" s="35"/>
      <c r="V123" s="35"/>
      <c r="W123" s="35"/>
      <c r="X123" s="35"/>
      <c r="Y123" s="35"/>
      <c r="Z123" s="352"/>
      <c r="AA123" s="352"/>
      <c r="AB123" s="352"/>
      <c r="AC123" s="352"/>
      <c r="AD123" s="352"/>
      <c r="AE123" s="352"/>
      <c r="AF123" s="352"/>
    </row>
    <row r="124" spans="2:32" ht="14.25" customHeight="1" x14ac:dyDescent="0.25">
      <c r="B124" s="277" t="s">
        <v>1312</v>
      </c>
      <c r="C124" s="35"/>
      <c r="D124" s="35"/>
      <c r="E124" s="35"/>
      <c r="F124" s="35"/>
      <c r="G124" s="35"/>
      <c r="H124" s="35"/>
      <c r="I124" s="35"/>
      <c r="J124" s="35"/>
      <c r="K124" s="35"/>
      <c r="L124" s="35"/>
      <c r="M124" s="35"/>
      <c r="N124" s="35"/>
      <c r="O124" s="35"/>
    </row>
    <row r="125" spans="2:32" ht="14.25" customHeight="1" x14ac:dyDescent="0.25">
      <c r="B125" s="35"/>
      <c r="C125" s="35"/>
      <c r="D125" s="35"/>
      <c r="E125" s="35"/>
      <c r="F125" s="35"/>
      <c r="G125" s="35"/>
      <c r="H125" s="35"/>
      <c r="I125" s="35"/>
      <c r="J125" s="35"/>
      <c r="K125" s="35"/>
      <c r="L125" s="35"/>
      <c r="M125" s="35"/>
      <c r="N125" s="35"/>
      <c r="O125" s="35"/>
    </row>
    <row r="126" spans="2:32" ht="14.25" customHeight="1" thickBot="1" x14ac:dyDescent="0.3">
      <c r="B126" s="303" t="s">
        <v>1256</v>
      </c>
      <c r="C126" s="303"/>
      <c r="D126" s="360" t="str">
        <f>CONCATENATE("esx",$O$20,"-disk")</f>
        <v>esx-disk</v>
      </c>
      <c r="E126" s="361"/>
      <c r="F126" s="361"/>
      <c r="G126" s="362"/>
      <c r="H126" s="35"/>
      <c r="I126" s="311" t="s">
        <v>1257</v>
      </c>
      <c r="J126" s="311"/>
      <c r="K126" s="311"/>
      <c r="L126" s="311"/>
      <c r="M126" s="311" t="s">
        <v>1258</v>
      </c>
      <c r="N126" s="311"/>
      <c r="O126" s="311"/>
    </row>
    <row r="127" spans="2:32" ht="14.25" customHeight="1" x14ac:dyDescent="0.25">
      <c r="B127" s="35"/>
      <c r="C127" s="35"/>
      <c r="D127" s="35"/>
      <c r="E127" s="35"/>
      <c r="F127" s="35"/>
      <c r="G127" s="35"/>
      <c r="H127" s="35"/>
      <c r="I127" s="351"/>
      <c r="J127" s="351"/>
      <c r="K127" s="351"/>
      <c r="L127" s="351"/>
      <c r="M127" s="351"/>
      <c r="N127" s="351"/>
      <c r="O127" s="351"/>
    </row>
    <row r="128" spans="2:32" ht="14.25" customHeight="1" x14ac:dyDescent="0.25">
      <c r="I128" s="351"/>
      <c r="J128" s="351"/>
      <c r="K128" s="351"/>
      <c r="L128" s="351"/>
      <c r="M128" s="351"/>
      <c r="N128" s="351"/>
      <c r="O128" s="351"/>
    </row>
    <row r="129" spans="2:15" ht="14.25" customHeight="1" x14ac:dyDescent="0.25">
      <c r="I129" s="351"/>
      <c r="J129" s="351"/>
      <c r="K129" s="351"/>
      <c r="L129" s="351"/>
      <c r="M129" s="351"/>
      <c r="N129" s="351"/>
      <c r="O129" s="351"/>
    </row>
    <row r="130" spans="2:15" ht="14.25" customHeight="1" x14ac:dyDescent="0.25">
      <c r="I130" s="351"/>
      <c r="J130" s="351"/>
      <c r="K130" s="351"/>
      <c r="L130" s="351"/>
      <c r="M130" s="351"/>
      <c r="N130" s="351"/>
      <c r="O130" s="351"/>
    </row>
    <row r="131" spans="2:15" ht="14.25" customHeight="1" x14ac:dyDescent="0.25"/>
    <row r="132" spans="2:15" ht="14.25" customHeight="1" x14ac:dyDescent="0.25"/>
    <row r="133" spans="2:15" ht="14.25" customHeight="1" x14ac:dyDescent="0.25"/>
    <row r="134" spans="2:15" ht="14.25" customHeight="1" x14ac:dyDescent="0.25"/>
    <row r="135" spans="2:15" ht="14.25" customHeight="1" x14ac:dyDescent="0.25">
      <c r="B135" s="278" t="s">
        <v>1317</v>
      </c>
      <c r="C135" s="35"/>
      <c r="D135" s="35"/>
      <c r="E135" s="35"/>
      <c r="F135" s="35"/>
      <c r="G135" s="35"/>
      <c r="H135" s="35"/>
      <c r="I135" s="35"/>
      <c r="J135" s="35"/>
      <c r="K135" s="35"/>
      <c r="L135" s="35"/>
      <c r="M135" s="35"/>
      <c r="N135" s="35"/>
    </row>
    <row r="136" spans="2:15" ht="14.25" customHeight="1" x14ac:dyDescent="0.25">
      <c r="B136" s="35"/>
      <c r="C136" s="35"/>
      <c r="D136" s="35"/>
      <c r="E136" s="35"/>
      <c r="F136" s="35"/>
      <c r="G136" s="35"/>
      <c r="H136" s="35"/>
      <c r="I136" s="35"/>
      <c r="J136" s="35"/>
      <c r="K136" s="35"/>
      <c r="L136" s="35"/>
      <c r="M136" s="35"/>
      <c r="N136" s="35"/>
    </row>
    <row r="137" spans="2:15" ht="14.25" customHeight="1" thickBot="1" x14ac:dyDescent="0.3">
      <c r="B137" s="312" t="s">
        <v>1330</v>
      </c>
      <c r="C137" s="321"/>
      <c r="D137" s="321"/>
      <c r="E137" s="312" t="s">
        <v>71</v>
      </c>
      <c r="F137" s="321"/>
      <c r="G137" s="313"/>
      <c r="H137" s="35"/>
      <c r="I137" s="35"/>
      <c r="J137" s="35"/>
      <c r="K137" s="35"/>
      <c r="L137" s="35"/>
      <c r="M137" s="35"/>
      <c r="N137" s="35"/>
    </row>
    <row r="138" spans="2:15" ht="14.25" customHeight="1" x14ac:dyDescent="0.25">
      <c r="B138" s="298"/>
      <c r="C138" s="299"/>
      <c r="D138" s="300"/>
      <c r="E138" s="298"/>
      <c r="F138" s="299"/>
      <c r="G138" s="300"/>
      <c r="H138" s="420" t="s">
        <v>1318</v>
      </c>
      <c r="I138" s="421"/>
      <c r="J138" s="421"/>
      <c r="K138" s="421"/>
      <c r="L138" s="421"/>
      <c r="M138" s="421"/>
      <c r="N138" s="422"/>
    </row>
    <row r="139" spans="2:15" ht="14.25" customHeight="1" x14ac:dyDescent="0.25">
      <c r="B139" s="298"/>
      <c r="C139" s="299"/>
      <c r="D139" s="300"/>
      <c r="E139" s="298"/>
      <c r="F139" s="299"/>
      <c r="G139" s="300"/>
      <c r="H139" s="423" t="s">
        <v>1331</v>
      </c>
      <c r="I139" s="424"/>
      <c r="J139" s="424"/>
      <c r="K139" s="424"/>
      <c r="L139" s="424"/>
      <c r="M139" s="424"/>
      <c r="N139" s="425"/>
    </row>
    <row r="140" spans="2:15" ht="14.25" customHeight="1" x14ac:dyDescent="0.25">
      <c r="B140" s="298"/>
      <c r="C140" s="299"/>
      <c r="D140" s="300"/>
      <c r="E140" s="298"/>
      <c r="F140" s="299"/>
      <c r="G140" s="300"/>
      <c r="H140" s="35"/>
      <c r="I140" s="35"/>
      <c r="J140" s="35"/>
      <c r="K140" s="35"/>
      <c r="L140" s="35"/>
      <c r="M140" s="35"/>
      <c r="N140" s="35"/>
    </row>
    <row r="141" spans="2:15" ht="14.25" customHeight="1" x14ac:dyDescent="0.25">
      <c r="B141" s="298"/>
      <c r="C141" s="299"/>
      <c r="D141" s="300"/>
      <c r="E141" s="298"/>
      <c r="F141" s="299"/>
      <c r="G141" s="300"/>
      <c r="H141" s="35"/>
      <c r="I141" s="35"/>
      <c r="J141" s="35"/>
      <c r="K141" s="35"/>
      <c r="L141" s="35"/>
      <c r="M141" s="35"/>
      <c r="N141" s="35"/>
    </row>
    <row r="142" spans="2:15" ht="14.25" customHeight="1" x14ac:dyDescent="0.25">
      <c r="B142" s="298"/>
      <c r="C142" s="299"/>
      <c r="D142" s="300"/>
      <c r="E142" s="298"/>
      <c r="F142" s="299"/>
      <c r="G142" s="300"/>
      <c r="H142" s="35"/>
      <c r="I142" s="35"/>
      <c r="J142" s="35"/>
      <c r="K142" s="35"/>
      <c r="L142" s="35"/>
      <c r="M142" s="35"/>
      <c r="N142" s="35"/>
    </row>
    <row r="143" spans="2:15" ht="14.25" customHeight="1" x14ac:dyDescent="0.25">
      <c r="B143" s="298"/>
      <c r="C143" s="299"/>
      <c r="D143" s="300"/>
      <c r="E143" s="298"/>
      <c r="F143" s="299"/>
      <c r="G143" s="300"/>
      <c r="H143" s="35"/>
      <c r="I143" s="35"/>
      <c r="J143" s="35"/>
      <c r="K143" s="35"/>
      <c r="L143" s="35"/>
      <c r="M143" s="35"/>
      <c r="N143" s="35"/>
    </row>
    <row r="144" spans="2:15" ht="14.25" customHeight="1" x14ac:dyDescent="0.25">
      <c r="B144" s="298"/>
      <c r="C144" s="299"/>
      <c r="D144" s="300"/>
      <c r="E144" s="298"/>
      <c r="F144" s="299"/>
      <c r="G144" s="300"/>
      <c r="H144" s="35"/>
      <c r="I144" s="35"/>
      <c r="J144" s="35"/>
      <c r="K144" s="35"/>
      <c r="L144" s="35"/>
      <c r="M144" s="35"/>
      <c r="N144" s="35"/>
    </row>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sheetData>
  <mergeCells count="277">
    <mergeCell ref="I129:L129"/>
    <mergeCell ref="M129:O129"/>
    <mergeCell ref="I130:L130"/>
    <mergeCell ref="M130:O130"/>
    <mergeCell ref="I120:L120"/>
    <mergeCell ref="M120:O120"/>
    <mergeCell ref="I121:L121"/>
    <mergeCell ref="M121:O121"/>
    <mergeCell ref="Z113:AC113"/>
    <mergeCell ref="Z123:AC123"/>
    <mergeCell ref="AD113:AF113"/>
    <mergeCell ref="Z114:AC114"/>
    <mergeCell ref="AD114:AF114"/>
    <mergeCell ref="Z115:AC115"/>
    <mergeCell ref="AD115:AF115"/>
    <mergeCell ref="Z116:AC116"/>
    <mergeCell ref="AD116:AF116"/>
    <mergeCell ref="Z117:AC117"/>
    <mergeCell ref="AD117:AF117"/>
    <mergeCell ref="AD123:AF123"/>
    <mergeCell ref="Z118:AC118"/>
    <mergeCell ref="AD118:AF118"/>
    <mergeCell ref="Z119:AC119"/>
    <mergeCell ref="AD119:AF119"/>
    <mergeCell ref="Z120:AC120"/>
    <mergeCell ref="AD120:AF120"/>
    <mergeCell ref="Z121:AC121"/>
    <mergeCell ref="AD121:AF121"/>
    <mergeCell ref="Z122:AC122"/>
    <mergeCell ref="AD122:AF122"/>
    <mergeCell ref="Z110:AC110"/>
    <mergeCell ref="AD110:AF110"/>
    <mergeCell ref="Z111:AC111"/>
    <mergeCell ref="AD111:AF111"/>
    <mergeCell ref="Z112:AC112"/>
    <mergeCell ref="AD112:AF112"/>
    <mergeCell ref="B92:E92"/>
    <mergeCell ref="F92:J92"/>
    <mergeCell ref="K95:N95"/>
    <mergeCell ref="K102:N102"/>
    <mergeCell ref="O102:S102"/>
    <mergeCell ref="B103:E103"/>
    <mergeCell ref="F103:J103"/>
    <mergeCell ref="K103:N103"/>
    <mergeCell ref="O103:S103"/>
    <mergeCell ref="B96:E96"/>
    <mergeCell ref="F96:J96"/>
    <mergeCell ref="B100:E100"/>
    <mergeCell ref="G100:J100"/>
    <mergeCell ref="K92:N92"/>
    <mergeCell ref="O92:S92"/>
    <mergeCell ref="S110:T110"/>
    <mergeCell ref="P8:S8"/>
    <mergeCell ref="L8:O8"/>
    <mergeCell ref="F8:K8"/>
    <mergeCell ref="K75:N75"/>
    <mergeCell ref="F76:J76"/>
    <mergeCell ref="K76:N76"/>
    <mergeCell ref="O76:S76"/>
    <mergeCell ref="O25:S25"/>
    <mergeCell ref="Q53:S53"/>
    <mergeCell ref="O75:S75"/>
    <mergeCell ref="R41:U41"/>
    <mergeCell ref="R49:U49"/>
    <mergeCell ref="O29:S29"/>
    <mergeCell ref="K20:N20"/>
    <mergeCell ref="K47:N47"/>
    <mergeCell ref="F53:H53"/>
    <mergeCell ref="J53:L53"/>
    <mergeCell ref="M53:P53"/>
    <mergeCell ref="E62:G62"/>
    <mergeCell ref="E67:G67"/>
    <mergeCell ref="H67:I67"/>
    <mergeCell ref="E68:G68"/>
    <mergeCell ref="H68:I68"/>
    <mergeCell ref="E69:G69"/>
    <mergeCell ref="K49:N49"/>
    <mergeCell ref="B20:E20"/>
    <mergeCell ref="F20:J20"/>
    <mergeCell ref="F26:H26"/>
    <mergeCell ref="O49:Q49"/>
    <mergeCell ref="F91:J91"/>
    <mergeCell ref="F79:G79"/>
    <mergeCell ref="H79:K79"/>
    <mergeCell ref="F84:G84"/>
    <mergeCell ref="H84:K84"/>
    <mergeCell ref="K91:N91"/>
    <mergeCell ref="J82:K82"/>
    <mergeCell ref="J87:K87"/>
    <mergeCell ref="B53:E53"/>
    <mergeCell ref="B67:D67"/>
    <mergeCell ref="B68:D68"/>
    <mergeCell ref="B69:D69"/>
    <mergeCell ref="H69:I69"/>
    <mergeCell ref="F75:J75"/>
    <mergeCell ref="B91:E91"/>
    <mergeCell ref="K29:N29"/>
    <mergeCell ref="B23:E23"/>
    <mergeCell ref="F23:G23"/>
    <mergeCell ref="J23:K23"/>
    <mergeCell ref="B8:E8"/>
    <mergeCell ref="C15:H15"/>
    <mergeCell ref="I15:L15"/>
    <mergeCell ref="M15:O15"/>
    <mergeCell ref="C16:H16"/>
    <mergeCell ref="I16:L16"/>
    <mergeCell ref="M16:O16"/>
    <mergeCell ref="C12:H12"/>
    <mergeCell ref="I12:L12"/>
    <mergeCell ref="M12:O12"/>
    <mergeCell ref="C13:H13"/>
    <mergeCell ref="I13:L13"/>
    <mergeCell ref="M13:O13"/>
    <mergeCell ref="C14:H14"/>
    <mergeCell ref="I14:L14"/>
    <mergeCell ref="M14:O14"/>
    <mergeCell ref="R5:AE5"/>
    <mergeCell ref="B87:E87"/>
    <mergeCell ref="M87:P87"/>
    <mergeCell ref="Q87:S87"/>
    <mergeCell ref="B82:E82"/>
    <mergeCell ref="M82:P82"/>
    <mergeCell ref="Q82:S82"/>
    <mergeCell ref="B86:E86"/>
    <mergeCell ref="F86:H86"/>
    <mergeCell ref="J86:L86"/>
    <mergeCell ref="M86:P86"/>
    <mergeCell ref="Q86:S86"/>
    <mergeCell ref="B77:E77"/>
    <mergeCell ref="F77:J77"/>
    <mergeCell ref="K77:N77"/>
    <mergeCell ref="O77:S77"/>
    <mergeCell ref="B81:E81"/>
    <mergeCell ref="F81:H81"/>
    <mergeCell ref="J81:L81"/>
    <mergeCell ref="M81:P81"/>
    <mergeCell ref="Q81:S81"/>
    <mergeCell ref="Q55:S55"/>
    <mergeCell ref="V49:X49"/>
    <mergeCell ref="V40:X40"/>
    <mergeCell ref="R48:U48"/>
    <mergeCell ref="V48:X48"/>
    <mergeCell ref="K40:N40"/>
    <mergeCell ref="B39:E39"/>
    <mergeCell ref="B40:E40"/>
    <mergeCell ref="F39:J39"/>
    <mergeCell ref="K39:N39"/>
    <mergeCell ref="B46:E46"/>
    <mergeCell ref="F46:J46"/>
    <mergeCell ref="O41:Q41"/>
    <mergeCell ref="R40:U40"/>
    <mergeCell ref="F48:J48"/>
    <mergeCell ref="F42:H42"/>
    <mergeCell ref="B48:E48"/>
    <mergeCell ref="F40:J40"/>
    <mergeCell ref="O40:Q40"/>
    <mergeCell ref="K41:N41"/>
    <mergeCell ref="B42:E42"/>
    <mergeCell ref="K46:N46"/>
    <mergeCell ref="B47:E47"/>
    <mergeCell ref="F47:J47"/>
    <mergeCell ref="K48:N48"/>
    <mergeCell ref="O48:Q48"/>
    <mergeCell ref="F25:J25"/>
    <mergeCell ref="K25:N25"/>
    <mergeCell ref="B27:E27"/>
    <mergeCell ref="B26:E26"/>
    <mergeCell ref="V41:X41"/>
    <mergeCell ref="O47:Q47"/>
    <mergeCell ref="B21:E21"/>
    <mergeCell ref="F21:I21"/>
    <mergeCell ref="L23:N23"/>
    <mergeCell ref="B30:E30"/>
    <mergeCell ref="F30:H30"/>
    <mergeCell ref="B31:E31"/>
    <mergeCell ref="B25:E25"/>
    <mergeCell ref="B29:E29"/>
    <mergeCell ref="F29:J29"/>
    <mergeCell ref="M55:P55"/>
    <mergeCell ref="H61:I61"/>
    <mergeCell ref="B54:E54"/>
    <mergeCell ref="Q54:S54"/>
    <mergeCell ref="B59:D59"/>
    <mergeCell ref="E59:G59"/>
    <mergeCell ref="H59:I59"/>
    <mergeCell ref="M54:P54"/>
    <mergeCell ref="B60:D60"/>
    <mergeCell ref="E60:G60"/>
    <mergeCell ref="H60:I60"/>
    <mergeCell ref="B61:D61"/>
    <mergeCell ref="E61:G61"/>
    <mergeCell ref="I54:J54"/>
    <mergeCell ref="B73:E73"/>
    <mergeCell ref="G73:J73"/>
    <mergeCell ref="B75:E75"/>
    <mergeCell ref="B65:D65"/>
    <mergeCell ref="E65:G65"/>
    <mergeCell ref="H65:I65"/>
    <mergeCell ref="H64:I64"/>
    <mergeCell ref="H63:I63"/>
    <mergeCell ref="H62:I62"/>
    <mergeCell ref="B62:D62"/>
    <mergeCell ref="B66:D66"/>
    <mergeCell ref="E66:G66"/>
    <mergeCell ref="H66:I66"/>
    <mergeCell ref="P20:R20"/>
    <mergeCell ref="B137:D137"/>
    <mergeCell ref="E137:G137"/>
    <mergeCell ref="B138:D138"/>
    <mergeCell ref="E138:G138"/>
    <mergeCell ref="B139:D139"/>
    <mergeCell ref="E139:G139"/>
    <mergeCell ref="B140:D140"/>
    <mergeCell ref="E140:G140"/>
    <mergeCell ref="H138:N138"/>
    <mergeCell ref="H139:N139"/>
    <mergeCell ref="B114:D114"/>
    <mergeCell ref="E114:G114"/>
    <mergeCell ref="H114:I114"/>
    <mergeCell ref="B115:D115"/>
    <mergeCell ref="E115:G115"/>
    <mergeCell ref="H115:I115"/>
    <mergeCell ref="B110:D110"/>
    <mergeCell ref="E110:G110"/>
    <mergeCell ref="H110:I110"/>
    <mergeCell ref="B111:D111"/>
    <mergeCell ref="E111:G111"/>
    <mergeCell ref="H111:I111"/>
    <mergeCell ref="B112:D112"/>
    <mergeCell ref="B143:D143"/>
    <mergeCell ref="E143:G143"/>
    <mergeCell ref="B144:D144"/>
    <mergeCell ref="E144:G144"/>
    <mergeCell ref="U25:X25"/>
    <mergeCell ref="U29:X29"/>
    <mergeCell ref="K27:N27"/>
    <mergeCell ref="O27:P27"/>
    <mergeCell ref="K31:N31"/>
    <mergeCell ref="O31:P31"/>
    <mergeCell ref="U73:V73"/>
    <mergeCell ref="W73:Z73"/>
    <mergeCell ref="E112:G112"/>
    <mergeCell ref="H112:I112"/>
    <mergeCell ref="B63:D63"/>
    <mergeCell ref="E63:G63"/>
    <mergeCell ref="B64:D64"/>
    <mergeCell ref="E64:G64"/>
    <mergeCell ref="B33:E33"/>
    <mergeCell ref="F33:J33"/>
    <mergeCell ref="B113:D113"/>
    <mergeCell ref="E113:G113"/>
    <mergeCell ref="H113:I113"/>
    <mergeCell ref="B95:E95"/>
    <mergeCell ref="V75:Y75"/>
    <mergeCell ref="V76:Y76"/>
    <mergeCell ref="V77:Y77"/>
    <mergeCell ref="V78:Y78"/>
    <mergeCell ref="V79:Y79"/>
    <mergeCell ref="B141:D141"/>
    <mergeCell ref="E141:G141"/>
    <mergeCell ref="B142:D142"/>
    <mergeCell ref="E142:G142"/>
    <mergeCell ref="F95:J95"/>
    <mergeCell ref="B102:E102"/>
    <mergeCell ref="F102:J102"/>
    <mergeCell ref="B76:E76"/>
    <mergeCell ref="U110:X110"/>
    <mergeCell ref="B126:C126"/>
    <mergeCell ref="D126:G126"/>
    <mergeCell ref="I126:L126"/>
    <mergeCell ref="M126:O126"/>
    <mergeCell ref="I127:L127"/>
    <mergeCell ref="M127:O127"/>
    <mergeCell ref="B120:C120"/>
    <mergeCell ref="D120:G120"/>
    <mergeCell ref="I128:L128"/>
    <mergeCell ref="M128:O128"/>
  </mergeCells>
  <conditionalFormatting sqref="F39">
    <cfRule type="containsBlanks" dxfId="144" priority="102">
      <formula>LEN(TRIM(F39))=0</formula>
    </cfRule>
  </conditionalFormatting>
  <conditionalFormatting sqref="F40">
    <cfRule type="containsBlanks" dxfId="143" priority="101">
      <formula>LEN(TRIM(F40))=0</formula>
    </cfRule>
  </conditionalFormatting>
  <conditionalFormatting sqref="O40:O41">
    <cfRule type="containsBlanks" dxfId="142" priority="100">
      <formula>LEN(TRIM(O40))=0</formula>
    </cfRule>
  </conditionalFormatting>
  <conditionalFormatting sqref="E60:G69 F54 K54 L82 L87">
    <cfRule type="containsBlanks" dxfId="141" priority="87">
      <formula>LEN(TRIM(E54))=0</formula>
    </cfRule>
  </conditionalFormatting>
  <conditionalFormatting sqref="F42">
    <cfRule type="containsBlanks" dxfId="140" priority="82">
      <formula>LEN(TRIM(F42))=0</formula>
    </cfRule>
  </conditionalFormatting>
  <conditionalFormatting sqref="F20">
    <cfRule type="containsBlanks" dxfId="139" priority="80">
      <formula>LEN(TRIM(F20))=0</formula>
    </cfRule>
  </conditionalFormatting>
  <conditionalFormatting sqref="F92">
    <cfRule type="containsBlanks" dxfId="138" priority="62">
      <formula>LEN(TRIM(F92))=0</formula>
    </cfRule>
  </conditionalFormatting>
  <conditionalFormatting sqref="O91">
    <cfRule type="containsBlanks" dxfId="137" priority="61">
      <formula>LEN(TRIM(O91))=0</formula>
    </cfRule>
  </conditionalFormatting>
  <conditionalFormatting sqref="O95">
    <cfRule type="containsBlanks" dxfId="136" priority="59">
      <formula>LEN(TRIM(O95))=0</formula>
    </cfRule>
  </conditionalFormatting>
  <conditionalFormatting sqref="F96">
    <cfRule type="containsBlanks" dxfId="135" priority="58">
      <formula>LEN(TRIM(F96))=0</formula>
    </cfRule>
  </conditionalFormatting>
  <conditionalFormatting sqref="F103">
    <cfRule type="containsBlanks" dxfId="134" priority="55">
      <formula>LEN(TRIM(F103))=0</formula>
    </cfRule>
  </conditionalFormatting>
  <conditionalFormatting sqref="O103">
    <cfRule type="containsBlanks" dxfId="133" priority="53">
      <formula>LEN(TRIM(O103))=0</formula>
    </cfRule>
  </conditionalFormatting>
  <conditionalFormatting sqref="F100">
    <cfRule type="containsBlanks" dxfId="132" priority="51">
      <formula>LEN(TRIM(F100))=0</formula>
    </cfRule>
  </conditionalFormatting>
  <conditionalFormatting sqref="F27">
    <cfRule type="containsBlanks" dxfId="131" priority="45">
      <formula>LEN(TRIM(F27))=0</formula>
    </cfRule>
  </conditionalFormatting>
  <conditionalFormatting sqref="O20">
    <cfRule type="containsBlanks" dxfId="130" priority="48">
      <formula>LEN(TRIM(O20))=0</formula>
    </cfRule>
  </conditionalFormatting>
  <conditionalFormatting sqref="F25 C15:O16">
    <cfRule type="containsBlanks" dxfId="129" priority="47">
      <formula>LEN(TRIM(C15))=0</formula>
    </cfRule>
  </conditionalFormatting>
  <conditionalFormatting sqref="O25">
    <cfRule type="containsBlanks" dxfId="128" priority="46">
      <formula>LEN(TRIM(O25))=0</formula>
    </cfRule>
  </conditionalFormatting>
  <conditionalFormatting sqref="F23 F26 L23 O27 O31">
    <cfRule type="containsBlanks" dxfId="127" priority="43">
      <formula>LEN(TRIM(F23))=0</formula>
    </cfRule>
  </conditionalFormatting>
  <conditionalFormatting sqref="F75">
    <cfRule type="containsBlanks" dxfId="126" priority="40">
      <formula>LEN(TRIM(F75))=0</formula>
    </cfRule>
  </conditionalFormatting>
  <conditionalFormatting sqref="F76">
    <cfRule type="containsBlanks" dxfId="125" priority="38">
      <formula>LEN(TRIM(F76))=0</formula>
    </cfRule>
  </conditionalFormatting>
  <conditionalFormatting sqref="F77">
    <cfRule type="containsBlanks" dxfId="124" priority="37">
      <formula>LEN(TRIM(F77))=0</formula>
    </cfRule>
  </conditionalFormatting>
  <conditionalFormatting sqref="O76">
    <cfRule type="containsBlanks" dxfId="123" priority="36">
      <formula>LEN(TRIM(O76))=0</formula>
    </cfRule>
  </conditionalFormatting>
  <conditionalFormatting sqref="O77">
    <cfRule type="containsBlanks" dxfId="122" priority="35">
      <formula>LEN(TRIM(O77))=0</formula>
    </cfRule>
  </conditionalFormatting>
  <conditionalFormatting sqref="F73">
    <cfRule type="containsBlanks" dxfId="121" priority="34">
      <formula>LEN(TRIM(F73))=0</formula>
    </cfRule>
  </conditionalFormatting>
  <conditionalFormatting sqref="K73">
    <cfRule type="containsBlanks" dxfId="120" priority="33">
      <formula>LEN(TRIM(K73))=0</formula>
    </cfRule>
  </conditionalFormatting>
  <conditionalFormatting sqref="F81">
    <cfRule type="containsBlanks" dxfId="119" priority="32">
      <formula>LEN(TRIM(F81))=0</formula>
    </cfRule>
  </conditionalFormatting>
  <conditionalFormatting sqref="J81">
    <cfRule type="containsBlanks" dxfId="118" priority="31">
      <formula>LEN(TRIM(J81))=0</formula>
    </cfRule>
  </conditionalFormatting>
  <conditionalFormatting sqref="F82 H79">
    <cfRule type="containsBlanks" dxfId="117" priority="30">
      <formula>LEN(TRIM(F79))=0</formula>
    </cfRule>
  </conditionalFormatting>
  <conditionalFormatting sqref="F86">
    <cfRule type="containsBlanks" dxfId="116" priority="29">
      <formula>LEN(TRIM(F86))=0</formula>
    </cfRule>
  </conditionalFormatting>
  <conditionalFormatting sqref="J86">
    <cfRule type="containsBlanks" dxfId="115" priority="28">
      <formula>LEN(TRIM(J86))=0</formula>
    </cfRule>
  </conditionalFormatting>
  <conditionalFormatting sqref="F87">
    <cfRule type="containsBlanks" dxfId="114" priority="27">
      <formula>LEN(TRIM(F87))=0</formula>
    </cfRule>
  </conditionalFormatting>
  <conditionalFormatting sqref="O39">
    <cfRule type="containsBlanks" dxfId="113" priority="26">
      <formula>LEN(TRIM(O39))=0</formula>
    </cfRule>
  </conditionalFormatting>
  <conditionalFormatting sqref="O46">
    <cfRule type="containsBlanks" dxfId="112" priority="25">
      <formula>LEN(TRIM(O46))=0</formula>
    </cfRule>
  </conditionalFormatting>
  <conditionalFormatting sqref="F31">
    <cfRule type="containsBlanks" dxfId="111" priority="20">
      <formula>LEN(TRIM(F31))=0</formula>
    </cfRule>
  </conditionalFormatting>
  <conditionalFormatting sqref="F29">
    <cfRule type="containsBlanks" dxfId="110" priority="22">
      <formula>LEN(TRIM(F29))=0</formula>
    </cfRule>
  </conditionalFormatting>
  <conditionalFormatting sqref="O29">
    <cfRule type="containsBlanks" dxfId="109" priority="21">
      <formula>LEN(TRIM(O29))=0</formula>
    </cfRule>
  </conditionalFormatting>
  <conditionalFormatting sqref="F30">
    <cfRule type="containsBlanks" dxfId="108" priority="19">
      <formula>LEN(TRIM(F30))=0</formula>
    </cfRule>
  </conditionalFormatting>
  <conditionalFormatting sqref="F8 P8">
    <cfRule type="containsBlanks" dxfId="107" priority="103">
      <formula>LEN(TRIM(F8))=0</formula>
    </cfRule>
  </conditionalFormatting>
  <conditionalFormatting sqref="C13:O14">
    <cfRule type="containsBlanks" dxfId="106" priority="18">
      <formula>LEN(TRIM(C13))=0</formula>
    </cfRule>
  </conditionalFormatting>
  <conditionalFormatting sqref="O92">
    <cfRule type="containsBlanks" dxfId="105" priority="16">
      <formula>LEN(TRIM(O92))=0</formula>
    </cfRule>
  </conditionalFormatting>
  <conditionalFormatting sqref="O75">
    <cfRule type="containsBlanks" dxfId="104" priority="15">
      <formula>LEN(TRIM(O75))=0</formula>
    </cfRule>
  </conditionalFormatting>
  <conditionalFormatting sqref="F91">
    <cfRule type="containsBlanks" dxfId="103" priority="14">
      <formula>LEN(TRIM(F91))=0</formula>
    </cfRule>
  </conditionalFormatting>
  <conditionalFormatting sqref="F95">
    <cfRule type="containsBlanks" dxfId="102" priority="13">
      <formula>LEN(TRIM(F95))=0</formula>
    </cfRule>
  </conditionalFormatting>
  <conditionalFormatting sqref="F102">
    <cfRule type="containsBlanks" dxfId="101" priority="12">
      <formula>LEN(TRIM(F102))=0</formula>
    </cfRule>
  </conditionalFormatting>
  <conditionalFormatting sqref="O102">
    <cfRule type="containsBlanks" dxfId="100" priority="11">
      <formula>LEN(TRIM(O102))=0</formula>
    </cfRule>
  </conditionalFormatting>
  <conditionalFormatting sqref="E111:E115">
    <cfRule type="containsBlanks" dxfId="99" priority="9">
      <formula>LEN(TRIM(E111))=0</formula>
    </cfRule>
  </conditionalFormatting>
  <conditionalFormatting sqref="H84">
    <cfRule type="containsBlanks" dxfId="98" priority="10">
      <formula>LEN(TRIM(H84))=0</formula>
    </cfRule>
  </conditionalFormatting>
  <conditionalFormatting sqref="F53">
    <cfRule type="containsBlanks" dxfId="97" priority="8">
      <formula>LEN(TRIM(F53))=0</formula>
    </cfRule>
  </conditionalFormatting>
  <conditionalFormatting sqref="J53">
    <cfRule type="containsBlanks" dxfId="96" priority="7">
      <formula>LEN(TRIM(J53))=0</formula>
    </cfRule>
  </conditionalFormatting>
  <conditionalFormatting sqref="F33">
    <cfRule type="containsBlanks" dxfId="95" priority="6">
      <formula>LEN(TRIM(F33))=0</formula>
    </cfRule>
  </conditionalFormatting>
  <conditionalFormatting sqref="I127:O130">
    <cfRule type="containsBlanks" dxfId="94" priority="104">
      <formula>LEN(TRIM(I127))=0</formula>
    </cfRule>
    <cfRule type="containsBlanks" dxfId="93" priority="104">
      <formula>LEN(TRIM(I127))=0</formula>
    </cfRule>
  </conditionalFormatting>
  <conditionalFormatting sqref="E138 B138">
    <cfRule type="containsBlanks" dxfId="92" priority="4">
      <formula>LEN(TRIM(B138))=0</formula>
    </cfRule>
  </conditionalFormatting>
  <conditionalFormatting sqref="E139 B139">
    <cfRule type="containsBlanks" dxfId="91" priority="3">
      <formula>LEN(TRIM(B139))=0</formula>
    </cfRule>
  </conditionalFormatting>
  <conditionalFormatting sqref="E140 B140">
    <cfRule type="containsBlanks" dxfId="90" priority="2">
      <formula>LEN(TRIM(B140))=0</formula>
    </cfRule>
  </conditionalFormatting>
  <conditionalFormatting sqref="E141:E144 B141:B144">
    <cfRule type="containsBlanks" dxfId="89" priority="1">
      <formula>LEN(TRIM(B141))=0</formula>
    </cfRule>
  </conditionalFormatting>
  <dataValidations count="2">
    <dataValidation type="list" allowBlank="1" sqref="O39 O46" xr:uid="{00000000-0002-0000-0C00-000000000000}">
      <formula1>VLANList</formula1>
    </dataValidation>
    <dataValidation type="list" allowBlank="1" showInputMessage="1" showErrorMessage="1" sqref="F82 F87" xr:uid="{00000000-0002-0000-0C00-000001000000}">
      <formula1>VLANList</formula1>
    </dataValidation>
  </dataValidations>
  <printOptions gridLines="1"/>
  <pageMargins left="0.75" right="0.25" top="0.25" bottom="0.75" header="0.3" footer="0.3"/>
  <pageSetup paperSize="3" scale="91" fitToHeight="0" orientation="landscape" r:id="rId1"/>
  <headerFooter>
    <oddFooter>&amp;R&amp;A
&amp;P</oddFooter>
  </headerFooter>
  <drawing r:id="rId2"/>
  <legacyDrawing r:id="rId3"/>
  <extLst>
    <ext xmlns:x14="http://schemas.microsoft.com/office/spreadsheetml/2009/9/main" uri="{CCE6A557-97BC-4b89-ADB6-D9C93CAAB3DF}">
      <x14:dataValidations xmlns:xm="http://schemas.microsoft.com/office/excel/2006/main" count="4">
        <x14:dataValidation type="list" allowBlank="1" xr:uid="{00000000-0002-0000-0C00-000002000000}">
          <x14:formula1>
            <xm:f>Dropdowns!$H$3:$H$4</xm:f>
          </x14:formula1>
          <xm:sqref>F26:H26 F30:H30</xm:sqref>
        </x14:dataValidation>
        <x14:dataValidation type="list" allowBlank="1" xr:uid="{00000000-0002-0000-0C00-000003000000}">
          <x14:formula1>
            <xm:f>Dropdowns!$Q$3:$Q$5</xm:f>
          </x14:formula1>
          <xm:sqref>P8:S8</xm:sqref>
        </x14:dataValidation>
        <x14:dataValidation type="list" allowBlank="1" showInputMessage="1" showErrorMessage="1" xr:uid="{00000000-0002-0000-0C00-000004000000}">
          <x14:formula1>
            <xm:f>Dropdowns!$E$23:$E$25</xm:f>
          </x14:formula1>
          <xm:sqref>F23:G23</xm:sqref>
        </x14:dataValidation>
        <x14:dataValidation type="list" allowBlank="1" showInputMessage="1" showErrorMessage="1" xr:uid="{00000000-0002-0000-0C00-000005000000}">
          <x14:formula1>
            <xm:f>Dropdowns!$G$29:$G$36</xm:f>
          </x14:formula1>
          <xm:sqref>L23:N23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2:AE96"/>
  <sheetViews>
    <sheetView tabSelected="1" workbookViewId="0">
      <pane ySplit="4" topLeftCell="A17" activePane="bottomLeft" state="frozenSplit"/>
      <selection activeCell="N65" sqref="N65:P65"/>
      <selection pane="bottomLeft" activeCell="N65" sqref="N65:P65"/>
    </sheetView>
  </sheetViews>
  <sheetFormatPr defaultColWidth="7.140625" defaultRowHeight="10.5" x14ac:dyDescent="0.25"/>
  <cols>
    <col min="1" max="1" width="1.42578125" style="35" customWidth="1"/>
    <col min="2" max="2" width="7.42578125" style="35" customWidth="1"/>
    <col min="3" max="19" width="7.140625" style="35"/>
    <col min="20" max="20" width="7.140625" style="35" customWidth="1"/>
    <col min="21" max="16384" width="7.140625" style="35"/>
  </cols>
  <sheetData>
    <row r="2" spans="1:31" ht="30.75" customHeight="1" x14ac:dyDescent="0.25">
      <c r="A2" s="2" t="s">
        <v>1</v>
      </c>
      <c r="B2"/>
      <c r="V2" s="1" t="s">
        <v>236</v>
      </c>
    </row>
    <row r="3" spans="1:31" ht="9" customHeight="1" x14ac:dyDescent="0.25"/>
    <row r="4" spans="1:31" ht="14.25" customHeight="1" x14ac:dyDescent="0.25"/>
    <row r="5" spans="1:31" ht="14.25" customHeight="1" x14ac:dyDescent="0.25">
      <c r="R5" s="350" t="str">
        <f>IF('Site Info'!$C$8=Dropdowns!$R$5,"",IF('Site Info'!$C$8=Dropdowns!$R$6,"",IF('Site Info'!$C$8=Dropdowns!$R$7,"",IF('Site Info'!$C$8=Dropdowns!$R$8,"",IF('Site Info'!$C$8=Dropdowns!$R$10,"","THIS TAB IS NOT APPLICABLE FOR THIS SOLUTION, HIDE THIS TAB")))))</f>
        <v>THIS TAB IS NOT APPLICABLE FOR THIS SOLUTION, HIDE THIS TAB</v>
      </c>
      <c r="S5" s="350"/>
      <c r="T5" s="350"/>
      <c r="U5" s="350"/>
      <c r="V5" s="350"/>
      <c r="W5" s="350"/>
      <c r="X5" s="350"/>
      <c r="Y5" s="350"/>
      <c r="Z5" s="350"/>
      <c r="AA5" s="350"/>
      <c r="AB5" s="350"/>
      <c r="AC5" s="350"/>
      <c r="AD5" s="350"/>
      <c r="AE5" s="350"/>
    </row>
    <row r="6" spans="1:31" ht="14.25" customHeight="1" x14ac:dyDescent="0.25">
      <c r="B6" s="4" t="s">
        <v>872</v>
      </c>
      <c r="G6" s="6"/>
    </row>
    <row r="7" spans="1:31" ht="6" customHeight="1" x14ac:dyDescent="0.25">
      <c r="B7" s="4"/>
      <c r="G7" s="6"/>
    </row>
    <row r="8" spans="1:31" ht="14.25" customHeight="1" x14ac:dyDescent="0.25">
      <c r="B8" s="303" t="s">
        <v>970</v>
      </c>
      <c r="C8" s="303"/>
      <c r="D8" s="303"/>
      <c r="E8" s="356"/>
      <c r="F8" s="288" t="str">
        <f>LOWER(CONCATENATE("https://",Inventory!$C$43,"/vsphere_client"))</f>
        <v>https:///vsphere_client</v>
      </c>
      <c r="G8" s="289"/>
      <c r="H8" s="289"/>
      <c r="I8" s="289"/>
      <c r="J8" s="289"/>
      <c r="K8" s="290"/>
      <c r="L8" s="310" t="s">
        <v>874</v>
      </c>
      <c r="M8" s="303"/>
      <c r="N8" s="303"/>
      <c r="O8" s="356"/>
      <c r="P8" s="288" t="s">
        <v>528</v>
      </c>
      <c r="Q8" s="289"/>
      <c r="R8" s="289"/>
      <c r="S8" s="290"/>
    </row>
    <row r="9" spans="1:31" ht="14.25" customHeight="1" x14ac:dyDescent="0.25">
      <c r="G9" s="6"/>
    </row>
    <row r="10" spans="1:31" ht="14.25" customHeight="1" x14ac:dyDescent="0.25">
      <c r="B10" s="4" t="s">
        <v>869</v>
      </c>
    </row>
    <row r="11" spans="1:31" ht="6" customHeight="1" x14ac:dyDescent="0.25">
      <c r="B11" s="4"/>
      <c r="G11" s="6"/>
    </row>
    <row r="12" spans="1:31" ht="14.25" customHeight="1" thickBot="1" x14ac:dyDescent="0.3">
      <c r="C12" s="312" t="s">
        <v>662</v>
      </c>
      <c r="D12" s="321"/>
      <c r="E12" s="321"/>
      <c r="F12" s="321"/>
      <c r="G12" s="321"/>
      <c r="H12" s="313"/>
      <c r="I12" s="312" t="s">
        <v>661</v>
      </c>
      <c r="J12" s="321"/>
      <c r="K12" s="321"/>
      <c r="L12" s="313"/>
      <c r="M12" s="312" t="s">
        <v>25</v>
      </c>
      <c r="N12" s="321"/>
      <c r="O12" s="313"/>
    </row>
    <row r="13" spans="1:31" ht="14.25" customHeight="1" x14ac:dyDescent="0.25">
      <c r="C13" s="360" t="s">
        <v>1287</v>
      </c>
      <c r="D13" s="361"/>
      <c r="E13" s="361"/>
      <c r="F13" s="361"/>
      <c r="G13" s="361"/>
      <c r="H13" s="362"/>
      <c r="I13" s="360" t="s">
        <v>1288</v>
      </c>
      <c r="J13" s="361"/>
      <c r="K13" s="361"/>
      <c r="L13" s="362"/>
      <c r="M13" s="360" t="s">
        <v>1050</v>
      </c>
      <c r="N13" s="361"/>
      <c r="O13" s="362"/>
    </row>
    <row r="14" spans="1:31" ht="14.25" customHeight="1" x14ac:dyDescent="0.25">
      <c r="C14" s="360"/>
      <c r="D14" s="361"/>
      <c r="E14" s="361"/>
      <c r="F14" s="361"/>
      <c r="G14" s="361"/>
      <c r="H14" s="362"/>
      <c r="I14" s="360"/>
      <c r="J14" s="361"/>
      <c r="K14" s="361"/>
      <c r="L14" s="362"/>
      <c r="M14" s="360"/>
      <c r="N14" s="361"/>
      <c r="O14" s="362"/>
      <c r="V14" s="35">
        <v>77048</v>
      </c>
    </row>
    <row r="15" spans="1:31" ht="14.25" customHeight="1" x14ac:dyDescent="0.25">
      <c r="C15" s="360"/>
      <c r="D15" s="361"/>
      <c r="E15" s="361"/>
      <c r="F15" s="361"/>
      <c r="G15" s="361"/>
      <c r="H15" s="362"/>
      <c r="I15" s="360"/>
      <c r="J15" s="361"/>
      <c r="K15" s="361"/>
      <c r="L15" s="362"/>
      <c r="M15" s="360"/>
      <c r="N15" s="361"/>
      <c r="O15" s="362"/>
    </row>
    <row r="16" spans="1:31" ht="14.25" customHeight="1" x14ac:dyDescent="0.25">
      <c r="C16" s="360"/>
      <c r="D16" s="361"/>
      <c r="E16" s="361"/>
      <c r="F16" s="361"/>
      <c r="G16" s="361"/>
      <c r="H16" s="362"/>
      <c r="I16" s="360"/>
      <c r="J16" s="361"/>
      <c r="K16" s="361"/>
      <c r="L16" s="362"/>
      <c r="M16" s="360"/>
      <c r="N16" s="361"/>
      <c r="O16" s="362"/>
    </row>
    <row r="17" spans="2:27" ht="14.25" customHeight="1" x14ac:dyDescent="0.25"/>
    <row r="18" spans="2:27" ht="14.25" customHeight="1" x14ac:dyDescent="0.25">
      <c r="B18" s="4" t="s">
        <v>218</v>
      </c>
      <c r="F18" s="35" t="s">
        <v>1371</v>
      </c>
      <c r="Q18" s="35" t="s">
        <v>1370</v>
      </c>
    </row>
    <row r="19" spans="2:27" ht="6" customHeight="1" x14ac:dyDescent="0.25">
      <c r="B19" s="4"/>
      <c r="F19" s="35" t="s">
        <v>1372</v>
      </c>
      <c r="G19" s="6"/>
      <c r="Q19" s="35" t="s">
        <v>1373</v>
      </c>
    </row>
    <row r="20" spans="2:27" ht="14.25" customHeight="1" x14ac:dyDescent="0.25">
      <c r="B20" s="303" t="s">
        <v>219</v>
      </c>
      <c r="C20" s="303"/>
      <c r="D20" s="303"/>
      <c r="E20" s="303"/>
      <c r="F20" s="288"/>
      <c r="G20" s="289"/>
      <c r="H20" s="289"/>
      <c r="I20" s="290"/>
      <c r="J20" s="303" t="s">
        <v>221</v>
      </c>
      <c r="K20" s="303"/>
      <c r="L20" s="303"/>
      <c r="M20" s="303"/>
      <c r="N20" s="288" t="str">
        <f>IF('Site Info'!F26&lt;&gt;0,'Site Info'!F26,"")</f>
        <v>10.126.131.11</v>
      </c>
      <c r="O20" s="289"/>
      <c r="P20" s="290"/>
      <c r="Q20" s="288" t="str">
        <f>IF('Site Info'!I26&lt;&gt;0,'Site Info'!I26,"")</f>
        <v>175.176.252.8</v>
      </c>
      <c r="R20" s="289"/>
      <c r="S20" s="290"/>
      <c r="AA20" s="41"/>
    </row>
    <row r="21" spans="2:27" ht="14.25" customHeight="1" x14ac:dyDescent="0.25">
      <c r="B21" s="303" t="s">
        <v>220</v>
      </c>
      <c r="C21" s="303"/>
      <c r="D21" s="303"/>
      <c r="E21" s="303"/>
      <c r="F21" s="288"/>
      <c r="G21" s="289"/>
      <c r="H21" s="290"/>
      <c r="J21" s="303" t="s">
        <v>222</v>
      </c>
      <c r="K21" s="303"/>
      <c r="L21" s="303"/>
      <c r="M21" s="303"/>
      <c r="N21" s="288" t="str">
        <f>IF('Site Info'!F25&lt;&gt;0,'Site Info'!F25,"")</f>
        <v>speedcast.com</v>
      </c>
      <c r="O21" s="289"/>
      <c r="P21" s="289"/>
      <c r="Q21" s="289"/>
      <c r="R21" s="290"/>
    </row>
    <row r="22" spans="2:27" ht="14.25" customHeight="1" x14ac:dyDescent="0.25"/>
    <row r="23" spans="2:27" ht="14.25" customHeight="1" x14ac:dyDescent="0.25">
      <c r="B23" s="4" t="s">
        <v>1186</v>
      </c>
    </row>
    <row r="24" spans="2:27" ht="6" customHeight="1" x14ac:dyDescent="0.25">
      <c r="B24" s="4"/>
      <c r="G24" s="6"/>
    </row>
    <row r="25" spans="2:27" ht="14.25" customHeight="1" x14ac:dyDescent="0.25">
      <c r="B25" s="303" t="s">
        <v>1340</v>
      </c>
      <c r="C25" s="303"/>
      <c r="D25" s="303"/>
      <c r="E25" s="303"/>
      <c r="F25" s="288" t="s">
        <v>1372</v>
      </c>
      <c r="G25" s="289"/>
      <c r="H25" s="289"/>
      <c r="I25" s="289"/>
      <c r="J25" s="290"/>
      <c r="K25" s="288">
        <f>Inventory!$T$47</f>
        <v>0</v>
      </c>
      <c r="L25" s="289"/>
      <c r="M25" s="290"/>
      <c r="O25" s="303"/>
      <c r="P25" s="303"/>
      <c r="Q25" s="303"/>
      <c r="R25" s="303"/>
      <c r="S25" s="432"/>
      <c r="T25" s="432"/>
      <c r="U25" s="432"/>
      <c r="V25" s="432"/>
      <c r="W25" s="432"/>
    </row>
    <row r="26" spans="2:27" ht="14.25" hidden="1" customHeight="1" x14ac:dyDescent="0.25">
      <c r="B26" s="303" t="s">
        <v>1039</v>
      </c>
      <c r="C26" s="303"/>
      <c r="D26" s="303"/>
      <c r="E26" s="303"/>
      <c r="F26" s="288" t="s">
        <v>1374</v>
      </c>
      <c r="G26" s="289"/>
      <c r="H26" s="289"/>
      <c r="I26" s="289"/>
      <c r="J26" s="290"/>
      <c r="K26" s="288" t="e">
        <f>Inventory!#REF!</f>
        <v>#REF!</v>
      </c>
      <c r="L26" s="289"/>
      <c r="M26" s="290"/>
    </row>
    <row r="27" spans="2:27" ht="14.25" customHeight="1" x14ac:dyDescent="0.25">
      <c r="B27" s="303" t="s">
        <v>1341</v>
      </c>
      <c r="C27" s="303"/>
      <c r="D27" s="303"/>
      <c r="E27" s="303"/>
      <c r="F27" s="288" t="str">
        <f>LOWER(CONCATENATE(Inventory!$C$48,".",'Site Info'!$F$25))</f>
        <v>.speedcast.com</v>
      </c>
      <c r="G27" s="289"/>
      <c r="H27" s="289"/>
      <c r="I27" s="289"/>
      <c r="J27" s="290"/>
      <c r="K27" s="288">
        <f>Inventory!$T$48</f>
        <v>0</v>
      </c>
      <c r="L27" s="289"/>
      <c r="M27" s="290"/>
      <c r="O27" s="303" t="s">
        <v>223</v>
      </c>
      <c r="P27" s="303"/>
      <c r="Q27" s="303"/>
      <c r="R27" s="303"/>
      <c r="S27" s="288"/>
      <c r="T27" s="289"/>
      <c r="U27" s="289"/>
      <c r="V27" s="289"/>
      <c r="W27" s="290"/>
      <c r="X27" s="35" t="s">
        <v>1040</v>
      </c>
    </row>
    <row r="28" spans="2:27" ht="14.25" customHeight="1" x14ac:dyDescent="0.25">
      <c r="B28" s="303" t="s">
        <v>1158</v>
      </c>
      <c r="C28" s="303"/>
      <c r="D28" s="303"/>
      <c r="E28" s="303"/>
      <c r="F28" s="288" t="s">
        <v>1374</v>
      </c>
      <c r="G28" s="289"/>
      <c r="H28" s="289"/>
      <c r="I28" s="289"/>
      <c r="J28" s="290"/>
      <c r="K28" s="252"/>
      <c r="L28" s="252"/>
      <c r="M28" s="252"/>
      <c r="O28" s="303" t="s">
        <v>1159</v>
      </c>
      <c r="P28" s="303"/>
      <c r="Q28" s="303"/>
      <c r="R28" s="303"/>
      <c r="S28" s="288"/>
      <c r="T28" s="289"/>
      <c r="U28" s="289"/>
      <c r="V28" s="289"/>
      <c r="W28" s="290"/>
    </row>
    <row r="29" spans="2:27" ht="14.25" customHeight="1" x14ac:dyDescent="0.25"/>
    <row r="30" spans="2:27" ht="14.25" customHeight="1" x14ac:dyDescent="0.25">
      <c r="B30" s="303" t="s">
        <v>1263</v>
      </c>
      <c r="C30" s="303"/>
      <c r="D30" s="303"/>
      <c r="E30" s="303"/>
      <c r="F30" s="288" t="str">
        <f>LOWER(CONCATENATE(Inventory!$C$47,".",'Site Info'!$F$25))</f>
        <v>vcops analytics (no host name).speedcast.com</v>
      </c>
      <c r="G30" s="289"/>
      <c r="H30" s="289"/>
      <c r="I30" s="289"/>
      <c r="J30" s="290"/>
      <c r="K30" s="288">
        <f>Inventory!$T$49</f>
        <v>0</v>
      </c>
      <c r="L30" s="289"/>
      <c r="M30" s="290"/>
    </row>
    <row r="31" spans="2:27" ht="14.25" customHeight="1" x14ac:dyDescent="0.25">
      <c r="B31" s="303" t="s">
        <v>1264</v>
      </c>
      <c r="C31" s="303"/>
      <c r="D31" s="303"/>
      <c r="E31" s="303"/>
      <c r="F31" s="288" t="s">
        <v>1265</v>
      </c>
      <c r="G31" s="289"/>
      <c r="H31" s="289"/>
      <c r="I31" s="289"/>
      <c r="J31" s="290"/>
      <c r="K31" s="288">
        <f>Inventory!$T$50</f>
        <v>0</v>
      </c>
      <c r="L31" s="289"/>
      <c r="M31" s="290"/>
    </row>
    <row r="32" spans="2:27" ht="14.25" customHeight="1" x14ac:dyDescent="0.25">
      <c r="B32" s="303" t="s">
        <v>1266</v>
      </c>
      <c r="C32" s="303"/>
      <c r="D32" s="303"/>
      <c r="E32" s="303"/>
      <c r="F32" s="288" t="str">
        <f>LOWER(CONCATENATE(Inventory!$C$48,".",'Site Info'!$F$25))</f>
        <v>.speedcast.com</v>
      </c>
      <c r="G32" s="289"/>
      <c r="H32" s="289"/>
      <c r="I32" s="289"/>
      <c r="J32" s="290"/>
      <c r="K32" s="288">
        <f>Inventory!$T$51</f>
        <v>0</v>
      </c>
      <c r="L32" s="289"/>
      <c r="M32" s="290"/>
    </row>
    <row r="33" spans="2:28" ht="14.25" customHeight="1" x14ac:dyDescent="0.25"/>
    <row r="34" spans="2:28" ht="14.25" customHeight="1" x14ac:dyDescent="0.25">
      <c r="B34" s="4" t="s">
        <v>224</v>
      </c>
    </row>
    <row r="35" spans="2:28" ht="12" customHeight="1" x14ac:dyDescent="0.25">
      <c r="B35" s="4"/>
      <c r="G35" s="6">
        <v>1852</v>
      </c>
      <c r="H35" s="35" t="s">
        <v>1377</v>
      </c>
      <c r="N35" s="35" t="s">
        <v>1378</v>
      </c>
    </row>
    <row r="36" spans="2:28" ht="14.25" customHeight="1" x14ac:dyDescent="0.25">
      <c r="B36" s="303" t="s">
        <v>225</v>
      </c>
      <c r="C36" s="303"/>
      <c r="D36" s="303"/>
      <c r="E36" s="303"/>
      <c r="F36" s="109"/>
      <c r="G36" s="288">
        <v>1852</v>
      </c>
      <c r="H36" s="289"/>
      <c r="I36" s="290"/>
      <c r="K36" s="303" t="s">
        <v>228</v>
      </c>
      <c r="L36" s="303"/>
      <c r="M36" s="303"/>
      <c r="N36" s="303"/>
      <c r="O36" s="109"/>
      <c r="P36" s="288" t="str">
        <f>IF(O36&lt;&gt;0,VLOOKUP(O36,'Site Info'!$G$34:$V$69,2,FALSE),"")</f>
        <v/>
      </c>
      <c r="Q36" s="289"/>
      <c r="R36" s="290"/>
      <c r="T36" s="303" t="s">
        <v>1023</v>
      </c>
      <c r="U36" s="303"/>
      <c r="V36" s="303"/>
      <c r="W36" s="303"/>
      <c r="X36" s="109"/>
      <c r="Y36" s="288" t="str">
        <f>IF(X36&lt;&gt;0,VLOOKUP(X36,'Site Info'!$G$34:$V$69,2,FALSE),"")</f>
        <v/>
      </c>
      <c r="Z36" s="289"/>
      <c r="AA36" s="290"/>
    </row>
    <row r="37" spans="2:28" ht="14.25" customHeight="1" x14ac:dyDescent="0.25">
      <c r="B37" s="303" t="s">
        <v>226</v>
      </c>
      <c r="C37" s="303"/>
      <c r="D37" s="303"/>
      <c r="E37" s="303"/>
      <c r="F37" s="288" t="str">
        <f>IF(F36&lt;&gt;0,VLOOKUP(F36,'Site Info'!$G$34:$V$69,5,FALSE),"")</f>
        <v/>
      </c>
      <c r="G37" s="289"/>
      <c r="H37" s="290"/>
      <c r="I37" s="6"/>
      <c r="K37" s="303"/>
      <c r="L37" s="303"/>
      <c r="M37" s="303"/>
      <c r="N37" s="303"/>
      <c r="O37" s="288" t="str">
        <f>IF(O36&lt;&gt;0,VLOOKUP(O36,'Site Info'!$G$34:$V$69,5,FALSE),"")</f>
        <v/>
      </c>
      <c r="P37" s="289"/>
      <c r="Q37" s="290"/>
      <c r="R37" s="6"/>
      <c r="T37" s="303" t="s">
        <v>1022</v>
      </c>
      <c r="U37" s="303"/>
      <c r="V37" s="303"/>
      <c r="W37" s="303"/>
      <c r="X37" s="288" t="str">
        <f>IF(X36&lt;&gt;0,VLOOKUP(X36,'Site Info'!$G$34:$V$69,5,FALSE),"")</f>
        <v/>
      </c>
      <c r="Y37" s="289"/>
      <c r="Z37" s="290"/>
      <c r="AA37" s="6"/>
    </row>
    <row r="38" spans="2:28" ht="14.25" customHeight="1" x14ac:dyDescent="0.25">
      <c r="K38" s="303"/>
      <c r="L38" s="303"/>
      <c r="M38" s="303"/>
      <c r="N38" s="303"/>
      <c r="O38" s="288" t="str">
        <f>IF(O36&lt;&gt;0,VLOOKUP(O36,'Site Info'!$G$34:$V$69,8,FALSE),"")</f>
        <v/>
      </c>
      <c r="P38" s="289"/>
      <c r="Q38" s="290"/>
      <c r="R38" s="6"/>
      <c r="X38" s="6"/>
      <c r="Y38" s="6"/>
      <c r="Z38" s="6"/>
      <c r="AA38" s="6"/>
    </row>
    <row r="39" spans="2:28" ht="14.25" customHeight="1" x14ac:dyDescent="0.25">
      <c r="B39" s="303" t="s">
        <v>227</v>
      </c>
      <c r="C39" s="303"/>
      <c r="D39" s="303"/>
      <c r="E39" s="303"/>
      <c r="F39" s="109"/>
      <c r="G39" s="288">
        <v>1852</v>
      </c>
      <c r="H39" s="289"/>
      <c r="I39" s="290"/>
      <c r="N39" s="35" t="s">
        <v>1378</v>
      </c>
      <c r="T39" s="303" t="s">
        <v>1024</v>
      </c>
      <c r="U39" s="303"/>
      <c r="V39" s="303"/>
      <c r="W39" s="303"/>
      <c r="X39" s="109"/>
      <c r="Y39" s="288" t="str">
        <f>IF(X39&lt;&gt;0,VLOOKUP(X39,'Site Info'!$G$34:$V$69,2,FALSE),"")</f>
        <v/>
      </c>
      <c r="Z39" s="289"/>
      <c r="AA39" s="290"/>
    </row>
    <row r="40" spans="2:28" ht="14.25" customHeight="1" x14ac:dyDescent="0.25">
      <c r="B40" s="303" t="s">
        <v>140</v>
      </c>
      <c r="C40" s="303"/>
      <c r="D40" s="303"/>
      <c r="E40" s="303"/>
      <c r="F40" s="288" t="str">
        <f>IF(F39&lt;&gt;0,VLOOKUP(F39,'Site Info'!$G$34:$V$69,5,FALSE),"")</f>
        <v/>
      </c>
      <c r="G40" s="289"/>
      <c r="H40" s="290"/>
      <c r="I40" s="6"/>
      <c r="K40" s="429"/>
      <c r="L40" s="429"/>
      <c r="M40" s="429"/>
      <c r="N40" s="429"/>
      <c r="O40" s="429"/>
      <c r="P40" s="429"/>
      <c r="Q40" s="429"/>
      <c r="R40" s="429"/>
      <c r="S40" s="429"/>
      <c r="T40" s="303" t="s">
        <v>1025</v>
      </c>
      <c r="U40" s="303"/>
      <c r="V40" s="303"/>
      <c r="W40" s="303"/>
      <c r="X40" s="288" t="str">
        <f>IF(X39&lt;&gt;0,VLOOKUP(X39,'Site Info'!$G$34:$V$69,5,FALSE),"")</f>
        <v/>
      </c>
      <c r="Y40" s="289"/>
      <c r="Z40" s="290"/>
      <c r="AA40" s="6"/>
    </row>
    <row r="41" spans="2:28" ht="14.25" customHeight="1" x14ac:dyDescent="0.15">
      <c r="K41" s="430" t="str">
        <f>P36</f>
        <v/>
      </c>
      <c r="L41" s="430"/>
      <c r="M41" s="430"/>
      <c r="N41" s="430">
        <f>G36</f>
        <v>1852</v>
      </c>
      <c r="O41" s="430"/>
      <c r="P41" s="430"/>
      <c r="Q41" s="430">
        <f>G39</f>
        <v>1852</v>
      </c>
      <c r="R41" s="430"/>
      <c r="S41" s="430"/>
      <c r="T41" s="430" t="str">
        <f>Y36</f>
        <v/>
      </c>
      <c r="U41" s="430"/>
      <c r="V41" s="430"/>
      <c r="W41" s="430" t="str">
        <f>Y39</f>
        <v/>
      </c>
      <c r="X41" s="430"/>
      <c r="Y41" s="430"/>
      <c r="Z41" s="431"/>
      <c r="AA41" s="431"/>
      <c r="AB41" s="431"/>
    </row>
    <row r="42" spans="2:28" ht="14.25" customHeight="1" thickBot="1" x14ac:dyDescent="0.3">
      <c r="C42" s="311" t="s">
        <v>229</v>
      </c>
      <c r="D42" s="311"/>
      <c r="E42" s="311"/>
      <c r="F42" s="311"/>
      <c r="G42" s="311"/>
      <c r="H42" s="43" t="s">
        <v>230</v>
      </c>
      <c r="I42" s="43" t="s">
        <v>231</v>
      </c>
      <c r="J42" s="43" t="s">
        <v>232</v>
      </c>
      <c r="K42" s="311" t="s">
        <v>233</v>
      </c>
      <c r="L42" s="311"/>
      <c r="M42" s="311"/>
      <c r="N42" s="311" t="s">
        <v>234</v>
      </c>
      <c r="O42" s="311"/>
      <c r="P42" s="311"/>
      <c r="Q42" s="311" t="s">
        <v>235</v>
      </c>
      <c r="R42" s="311"/>
      <c r="S42" s="311"/>
      <c r="T42" s="311" t="s">
        <v>1026</v>
      </c>
      <c r="U42" s="311"/>
      <c r="V42" s="311"/>
      <c r="W42" s="311" t="s">
        <v>1027</v>
      </c>
      <c r="X42" s="311"/>
      <c r="Y42" s="311"/>
      <c r="Z42" s="83"/>
      <c r="AA42" s="83"/>
      <c r="AB42" s="83"/>
    </row>
    <row r="43" spans="2:28" ht="14.25" customHeight="1" x14ac:dyDescent="0.25">
      <c r="C43" s="298"/>
      <c r="D43" s="299"/>
      <c r="E43" s="299"/>
      <c r="F43" s="299"/>
      <c r="G43" s="300"/>
      <c r="H43" s="42"/>
      <c r="I43" s="42"/>
      <c r="J43" s="47"/>
      <c r="K43" s="298"/>
      <c r="L43" s="299"/>
      <c r="M43" s="300"/>
      <c r="N43" s="298"/>
      <c r="O43" s="299"/>
      <c r="P43" s="300"/>
      <c r="Q43" s="298"/>
      <c r="R43" s="299"/>
      <c r="S43" s="300"/>
      <c r="T43" s="298"/>
      <c r="U43" s="299"/>
      <c r="V43" s="300"/>
      <c r="W43" s="298"/>
      <c r="X43" s="299"/>
      <c r="Y43" s="300"/>
    </row>
    <row r="44" spans="2:28" ht="14.25" customHeight="1" x14ac:dyDescent="0.25">
      <c r="C44" s="298"/>
      <c r="D44" s="299"/>
      <c r="E44" s="299"/>
      <c r="F44" s="299"/>
      <c r="G44" s="300"/>
      <c r="H44" s="42"/>
      <c r="I44" s="42"/>
      <c r="J44" s="47"/>
      <c r="K44" s="298"/>
      <c r="L44" s="299"/>
      <c r="M44" s="300"/>
      <c r="N44" s="298"/>
      <c r="O44" s="299"/>
      <c r="P44" s="300"/>
      <c r="Q44" s="298"/>
      <c r="R44" s="299"/>
      <c r="S44" s="300"/>
      <c r="T44" s="298"/>
      <c r="U44" s="299"/>
      <c r="V44" s="300"/>
      <c r="W44" s="298"/>
      <c r="X44" s="299"/>
      <c r="Y44" s="300"/>
    </row>
    <row r="45" spans="2:28" ht="14.25" customHeight="1" x14ac:dyDescent="0.25">
      <c r="C45" s="298"/>
      <c r="D45" s="299"/>
      <c r="E45" s="299"/>
      <c r="F45" s="299"/>
      <c r="G45" s="300"/>
      <c r="H45" s="42"/>
      <c r="I45" s="42"/>
      <c r="J45" s="47"/>
      <c r="K45" s="298"/>
      <c r="L45" s="299"/>
      <c r="M45" s="300"/>
      <c r="N45" s="298"/>
      <c r="O45" s="299"/>
      <c r="P45" s="300"/>
      <c r="Q45" s="298"/>
      <c r="R45" s="299"/>
      <c r="S45" s="300"/>
      <c r="T45" s="298"/>
      <c r="U45" s="299"/>
      <c r="V45" s="300"/>
      <c r="W45" s="298"/>
      <c r="X45" s="299"/>
      <c r="Y45" s="300"/>
    </row>
    <row r="46" spans="2:28" ht="14.25" customHeight="1" x14ac:dyDescent="0.25">
      <c r="C46" s="298"/>
      <c r="D46" s="299"/>
      <c r="E46" s="299"/>
      <c r="F46" s="299"/>
      <c r="G46" s="300"/>
      <c r="H46" s="42"/>
      <c r="I46" s="42"/>
      <c r="J46" s="47"/>
      <c r="K46" s="298"/>
      <c r="L46" s="299"/>
      <c r="M46" s="300"/>
      <c r="N46" s="298"/>
      <c r="O46" s="299"/>
      <c r="P46" s="300"/>
      <c r="Q46" s="298"/>
      <c r="R46" s="299"/>
      <c r="S46" s="300"/>
      <c r="T46" s="298"/>
      <c r="U46" s="299"/>
      <c r="V46" s="300"/>
      <c r="W46" s="298"/>
      <c r="X46" s="299"/>
      <c r="Y46" s="300"/>
    </row>
    <row r="47" spans="2:28" ht="14.25" customHeight="1" x14ac:dyDescent="0.25">
      <c r="C47" s="298"/>
      <c r="D47" s="299"/>
      <c r="E47" s="299"/>
      <c r="F47" s="299"/>
      <c r="G47" s="300"/>
      <c r="H47" s="42"/>
      <c r="I47" s="42"/>
      <c r="J47" s="47"/>
      <c r="K47" s="298"/>
      <c r="L47" s="299"/>
      <c r="M47" s="300"/>
      <c r="N47" s="298"/>
      <c r="O47" s="299"/>
      <c r="P47" s="300"/>
      <c r="Q47" s="298"/>
      <c r="R47" s="299"/>
      <c r="S47" s="300"/>
      <c r="T47" s="298"/>
      <c r="U47" s="299"/>
      <c r="V47" s="300"/>
      <c r="W47" s="298"/>
      <c r="X47" s="299"/>
      <c r="Y47" s="300"/>
    </row>
    <row r="48" spans="2:28" ht="14.25" customHeight="1" x14ac:dyDescent="0.25">
      <c r="C48" s="298"/>
      <c r="D48" s="299"/>
      <c r="E48" s="299"/>
      <c r="F48" s="299"/>
      <c r="G48" s="300"/>
      <c r="H48" s="42"/>
      <c r="I48" s="42"/>
      <c r="J48" s="47"/>
      <c r="K48" s="298"/>
      <c r="L48" s="299"/>
      <c r="M48" s="300"/>
      <c r="N48" s="298"/>
      <c r="O48" s="299"/>
      <c r="P48" s="300"/>
      <c r="Q48" s="298"/>
      <c r="R48" s="299"/>
      <c r="S48" s="300"/>
      <c r="T48" s="298"/>
      <c r="U48" s="299"/>
      <c r="V48" s="300"/>
      <c r="W48" s="298"/>
      <c r="X48" s="299"/>
      <c r="Y48" s="300"/>
    </row>
    <row r="49" spans="2:25" ht="14.25" customHeight="1" x14ac:dyDescent="0.25">
      <c r="C49" s="298"/>
      <c r="D49" s="299"/>
      <c r="E49" s="299"/>
      <c r="F49" s="299"/>
      <c r="G49" s="300"/>
      <c r="H49" s="42" t="s">
        <v>1377</v>
      </c>
      <c r="I49" s="42"/>
      <c r="J49" s="47"/>
      <c r="K49" s="298" t="s">
        <v>1349</v>
      </c>
      <c r="L49" s="299"/>
      <c r="M49" s="300"/>
      <c r="N49" s="298" t="s">
        <v>1378</v>
      </c>
      <c r="O49" s="299"/>
      <c r="P49" s="300"/>
      <c r="Q49" s="298"/>
      <c r="R49" s="299"/>
      <c r="S49" s="300"/>
      <c r="T49" s="298"/>
      <c r="U49" s="299"/>
      <c r="V49" s="300"/>
      <c r="W49" s="298"/>
      <c r="X49" s="299"/>
      <c r="Y49" s="300"/>
    </row>
    <row r="50" spans="2:25" ht="14.25" customHeight="1" x14ac:dyDescent="0.25">
      <c r="C50" s="298"/>
      <c r="D50" s="299"/>
      <c r="E50" s="299"/>
      <c r="F50" s="299"/>
      <c r="G50" s="300"/>
      <c r="H50" s="42"/>
      <c r="I50" s="42"/>
      <c r="J50" s="47"/>
      <c r="K50" s="298"/>
      <c r="L50" s="299"/>
      <c r="M50" s="300"/>
      <c r="N50" s="298"/>
      <c r="O50" s="299"/>
      <c r="P50" s="300"/>
      <c r="Q50" s="298"/>
      <c r="R50" s="299"/>
      <c r="S50" s="300"/>
      <c r="T50" s="298"/>
      <c r="U50" s="299"/>
      <c r="V50" s="300"/>
      <c r="W50" s="298"/>
      <c r="X50" s="299"/>
      <c r="Y50" s="300"/>
    </row>
    <row r="51" spans="2:25" ht="14.25" customHeight="1" x14ac:dyDescent="0.25"/>
    <row r="52" spans="2:25" ht="14.25" customHeight="1" x14ac:dyDescent="0.25">
      <c r="B52" s="207" t="s">
        <v>1041</v>
      </c>
    </row>
    <row r="53" spans="2:25" ht="14.25" customHeight="1" thickBot="1" x14ac:dyDescent="0.3">
      <c r="B53" s="312" t="s">
        <v>662</v>
      </c>
      <c r="C53" s="321"/>
      <c r="D53" s="321"/>
      <c r="E53" s="321"/>
      <c r="F53" s="321"/>
      <c r="G53" s="313"/>
      <c r="H53" s="312" t="s">
        <v>1379</v>
      </c>
      <c r="I53" s="321"/>
      <c r="J53" s="321"/>
      <c r="K53" s="313"/>
      <c r="L53" s="312" t="s">
        <v>25</v>
      </c>
      <c r="M53" s="321"/>
      <c r="N53" s="313"/>
    </row>
    <row r="54" spans="2:25" ht="14.25" customHeight="1" x14ac:dyDescent="0.25">
      <c r="B54" s="360" t="s">
        <v>1042</v>
      </c>
      <c r="C54" s="361"/>
      <c r="D54" s="361"/>
      <c r="E54" s="361"/>
      <c r="F54" s="361"/>
      <c r="G54" s="362"/>
      <c r="H54" s="360" t="s">
        <v>1043</v>
      </c>
      <c r="I54" s="361"/>
      <c r="J54" s="361"/>
      <c r="K54" s="362"/>
      <c r="L54" s="360" t="s">
        <v>1044</v>
      </c>
      <c r="M54" s="361"/>
      <c r="N54" s="362"/>
    </row>
    <row r="55" spans="2:25" ht="14.25" customHeight="1" x14ac:dyDescent="0.25">
      <c r="B55" s="360" t="s">
        <v>1045</v>
      </c>
      <c r="C55" s="361"/>
      <c r="D55" s="361"/>
      <c r="E55" s="361"/>
      <c r="F55" s="361"/>
      <c r="G55" s="362"/>
      <c r="H55" s="360" t="s">
        <v>1046</v>
      </c>
      <c r="I55" s="361"/>
      <c r="J55" s="361"/>
      <c r="K55" s="362"/>
      <c r="L55" s="360" t="s">
        <v>1044</v>
      </c>
      <c r="M55" s="361"/>
      <c r="N55" s="362"/>
    </row>
    <row r="56" spans="2:25" ht="14.25" customHeight="1" x14ac:dyDescent="0.25">
      <c r="B56" s="360" t="s">
        <v>1047</v>
      </c>
      <c r="C56" s="361"/>
      <c r="D56" s="361"/>
      <c r="E56" s="361"/>
      <c r="F56" s="361"/>
      <c r="G56" s="362"/>
      <c r="H56" s="360" t="s">
        <v>1048</v>
      </c>
      <c r="I56" s="361"/>
      <c r="J56" s="361"/>
      <c r="K56" s="362"/>
      <c r="L56" s="360" t="s">
        <v>1044</v>
      </c>
      <c r="M56" s="361"/>
      <c r="N56" s="362"/>
    </row>
    <row r="57" spans="2:25" ht="14.25" customHeight="1" x14ac:dyDescent="0.25">
      <c r="B57" s="360" t="s">
        <v>1049</v>
      </c>
      <c r="C57" s="361"/>
      <c r="D57" s="361"/>
      <c r="E57" s="361"/>
      <c r="F57" s="361"/>
      <c r="G57" s="362"/>
      <c r="H57" s="360" t="s">
        <v>1110</v>
      </c>
      <c r="I57" s="361"/>
      <c r="J57" s="361"/>
      <c r="K57" s="362"/>
      <c r="L57" s="360" t="s">
        <v>1050</v>
      </c>
      <c r="M57" s="361"/>
      <c r="N57" s="362"/>
    </row>
    <row r="58" spans="2:25" ht="14.25" customHeight="1" x14ac:dyDescent="0.25"/>
    <row r="59" spans="2:25" ht="14.25" customHeight="1" x14ac:dyDescent="0.25"/>
    <row r="60" spans="2:25" ht="14.25" customHeight="1" x14ac:dyDescent="0.25"/>
    <row r="61" spans="2:25" ht="14.25" customHeight="1" x14ac:dyDescent="0.25"/>
    <row r="62" spans="2:25" ht="14.25" customHeight="1" x14ac:dyDescent="0.25"/>
    <row r="63" spans="2:25" ht="14.25" customHeight="1" x14ac:dyDescent="0.25"/>
    <row r="64" spans="2:25" ht="14.25" customHeight="1" x14ac:dyDescent="0.25">
      <c r="G64" s="35">
        <v>1852</v>
      </c>
      <c r="H64" s="35" t="s">
        <v>1377</v>
      </c>
      <c r="K64" s="35" t="s">
        <v>1349</v>
      </c>
      <c r="N64" s="35" t="s">
        <v>1378</v>
      </c>
    </row>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sheetData>
  <mergeCells count="153">
    <mergeCell ref="B56:G56"/>
    <mergeCell ref="H56:K56"/>
    <mergeCell ref="L56:N56"/>
    <mergeCell ref="B57:G57"/>
    <mergeCell ref="H57:K57"/>
    <mergeCell ref="L57:N57"/>
    <mergeCell ref="B53:G53"/>
    <mergeCell ref="H53:K53"/>
    <mergeCell ref="L53:N53"/>
    <mergeCell ref="B54:G54"/>
    <mergeCell ref="H54:K54"/>
    <mergeCell ref="L54:N54"/>
    <mergeCell ref="B55:G55"/>
    <mergeCell ref="H55:K55"/>
    <mergeCell ref="L55:N55"/>
    <mergeCell ref="C15:H15"/>
    <mergeCell ref="I15:L15"/>
    <mergeCell ref="M15:O15"/>
    <mergeCell ref="C16:H16"/>
    <mergeCell ref="I16:L16"/>
    <mergeCell ref="M16:O16"/>
    <mergeCell ref="B8:E8"/>
    <mergeCell ref="F8:K8"/>
    <mergeCell ref="L8:O8"/>
    <mergeCell ref="C12:H12"/>
    <mergeCell ref="I12:L12"/>
    <mergeCell ref="M12:O12"/>
    <mergeCell ref="C13:H13"/>
    <mergeCell ref="I13:L13"/>
    <mergeCell ref="M13:O13"/>
    <mergeCell ref="C14:H14"/>
    <mergeCell ref="I14:L14"/>
    <mergeCell ref="M14:O14"/>
    <mergeCell ref="R5:AE5"/>
    <mergeCell ref="P8:S8"/>
    <mergeCell ref="N42:P42"/>
    <mergeCell ref="Q42:S42"/>
    <mergeCell ref="T42:V42"/>
    <mergeCell ref="W42:Y42"/>
    <mergeCell ref="T40:W40"/>
    <mergeCell ref="X40:Z40"/>
    <mergeCell ref="K38:N38"/>
    <mergeCell ref="O38:Q38"/>
    <mergeCell ref="K40:S40"/>
    <mergeCell ref="K41:M41"/>
    <mergeCell ref="N41:P41"/>
    <mergeCell ref="Q41:S41"/>
    <mergeCell ref="Z41:AB41"/>
    <mergeCell ref="S25:W25"/>
    <mergeCell ref="T36:W36"/>
    <mergeCell ref="Y36:AA36"/>
    <mergeCell ref="T37:W37"/>
    <mergeCell ref="X37:Z37"/>
    <mergeCell ref="T39:W39"/>
    <mergeCell ref="Y39:AA39"/>
    <mergeCell ref="T41:V41"/>
    <mergeCell ref="W41:Y41"/>
    <mergeCell ref="W46:Y46"/>
    <mergeCell ref="C45:G45"/>
    <mergeCell ref="K45:M45"/>
    <mergeCell ref="N45:P45"/>
    <mergeCell ref="W45:Y45"/>
    <mergeCell ref="K42:M42"/>
    <mergeCell ref="C42:G42"/>
    <mergeCell ref="K43:M43"/>
    <mergeCell ref="Q43:S43"/>
    <mergeCell ref="T43:V43"/>
    <mergeCell ref="W43:Y43"/>
    <mergeCell ref="C43:G43"/>
    <mergeCell ref="Q45:S45"/>
    <mergeCell ref="T45:V45"/>
    <mergeCell ref="W44:Y44"/>
    <mergeCell ref="T44:V44"/>
    <mergeCell ref="N43:P43"/>
    <mergeCell ref="N44:P44"/>
    <mergeCell ref="Q44:S44"/>
    <mergeCell ref="C44:G44"/>
    <mergeCell ref="K44:M44"/>
    <mergeCell ref="B25:E25"/>
    <mergeCell ref="F25:J25"/>
    <mergeCell ref="B20:E20"/>
    <mergeCell ref="F20:I20"/>
    <mergeCell ref="B21:E21"/>
    <mergeCell ref="F21:H21"/>
    <mergeCell ref="J20:M20"/>
    <mergeCell ref="N20:P20"/>
    <mergeCell ref="K25:M25"/>
    <mergeCell ref="O25:R25"/>
    <mergeCell ref="Q20:S20"/>
    <mergeCell ref="J21:M21"/>
    <mergeCell ref="N21:R21"/>
    <mergeCell ref="B26:E26"/>
    <mergeCell ref="F26:J26"/>
    <mergeCell ref="B27:E27"/>
    <mergeCell ref="F27:J27"/>
    <mergeCell ref="O27:R27"/>
    <mergeCell ref="S27:W27"/>
    <mergeCell ref="K26:M26"/>
    <mergeCell ref="K27:M27"/>
    <mergeCell ref="F40:H40"/>
    <mergeCell ref="K36:N36"/>
    <mergeCell ref="B28:E28"/>
    <mergeCell ref="F28:J28"/>
    <mergeCell ref="O28:R28"/>
    <mergeCell ref="S28:W28"/>
    <mergeCell ref="B30:E30"/>
    <mergeCell ref="F30:J30"/>
    <mergeCell ref="K30:M30"/>
    <mergeCell ref="B31:E31"/>
    <mergeCell ref="F31:J31"/>
    <mergeCell ref="K31:M31"/>
    <mergeCell ref="B32:E32"/>
    <mergeCell ref="F32:J32"/>
    <mergeCell ref="K32:M32"/>
    <mergeCell ref="T47:V47"/>
    <mergeCell ref="P36:R36"/>
    <mergeCell ref="K37:N37"/>
    <mergeCell ref="O37:Q37"/>
    <mergeCell ref="B36:E36"/>
    <mergeCell ref="G36:I36"/>
    <mergeCell ref="F37:H37"/>
    <mergeCell ref="B37:E37"/>
    <mergeCell ref="B39:E39"/>
    <mergeCell ref="G39:I39"/>
    <mergeCell ref="C46:G46"/>
    <mergeCell ref="K46:M46"/>
    <mergeCell ref="N46:P46"/>
    <mergeCell ref="Q46:S46"/>
    <mergeCell ref="T46:V46"/>
    <mergeCell ref="W47:Y47"/>
    <mergeCell ref="B40:E40"/>
    <mergeCell ref="C50:G50"/>
    <mergeCell ref="K50:M50"/>
    <mergeCell ref="N50:P50"/>
    <mergeCell ref="Q50:S50"/>
    <mergeCell ref="T50:V50"/>
    <mergeCell ref="W50:Y50"/>
    <mergeCell ref="C49:G49"/>
    <mergeCell ref="K49:M49"/>
    <mergeCell ref="N49:P49"/>
    <mergeCell ref="Q49:S49"/>
    <mergeCell ref="T49:V49"/>
    <mergeCell ref="W49:Y49"/>
    <mergeCell ref="C48:G48"/>
    <mergeCell ref="K48:M48"/>
    <mergeCell ref="N48:P48"/>
    <mergeCell ref="Q48:S48"/>
    <mergeCell ref="T48:V48"/>
    <mergeCell ref="W48:Y48"/>
    <mergeCell ref="C47:G47"/>
    <mergeCell ref="K47:M47"/>
    <mergeCell ref="N47:P47"/>
    <mergeCell ref="Q47:S47"/>
  </mergeCells>
  <conditionalFormatting sqref="F20">
    <cfRule type="containsBlanks" dxfId="88" priority="144">
      <formula>LEN(TRIM(F20))=0</formula>
    </cfRule>
  </conditionalFormatting>
  <conditionalFormatting sqref="F21">
    <cfRule type="containsBlanks" dxfId="87" priority="143">
      <formula>LEN(TRIM(F21))=0</formula>
    </cfRule>
  </conditionalFormatting>
  <conditionalFormatting sqref="F25:F28">
    <cfRule type="containsBlanks" dxfId="86" priority="139">
      <formula>LEN(TRIM(F25))=0</formula>
    </cfRule>
  </conditionalFormatting>
  <conditionalFormatting sqref="S25">
    <cfRule type="containsBlanks" dxfId="85" priority="135">
      <formula>LEN(TRIM(S25))=0</formula>
    </cfRule>
  </conditionalFormatting>
  <conditionalFormatting sqref="S27:S28">
    <cfRule type="containsBlanks" dxfId="84" priority="134">
      <formula>LEN(TRIM(S27))=0</formula>
    </cfRule>
  </conditionalFormatting>
  <conditionalFormatting sqref="H43">
    <cfRule type="containsBlanks" dxfId="83" priority="113">
      <formula>LEN(TRIM(H43))=0</formula>
    </cfRule>
  </conditionalFormatting>
  <conditionalFormatting sqref="J43">
    <cfRule type="containsBlanks" dxfId="82" priority="111">
      <formula>LEN(TRIM(J43))=0</formula>
    </cfRule>
  </conditionalFormatting>
  <conditionalFormatting sqref="K43">
    <cfRule type="containsBlanks" dxfId="81" priority="110">
      <formula>LEN(TRIM(K43))=0</formula>
    </cfRule>
  </conditionalFormatting>
  <conditionalFormatting sqref="W43">
    <cfRule type="containsBlanks" dxfId="80" priority="106">
      <formula>LEN(TRIM(W43))=0</formula>
    </cfRule>
  </conditionalFormatting>
  <conditionalFormatting sqref="Q43">
    <cfRule type="containsBlanks" dxfId="79" priority="108">
      <formula>LEN(TRIM(Q43))=0</formula>
    </cfRule>
  </conditionalFormatting>
  <conditionalFormatting sqref="H44">
    <cfRule type="containsBlanks" dxfId="78" priority="104">
      <formula>LEN(TRIM(H44))=0</formula>
    </cfRule>
  </conditionalFormatting>
  <conditionalFormatting sqref="C43:C50">
    <cfRule type="containsBlanks" dxfId="77" priority="114">
      <formula>LEN(TRIM(C43))=0</formula>
    </cfRule>
  </conditionalFormatting>
  <conditionalFormatting sqref="I43">
    <cfRule type="containsBlanks" dxfId="76" priority="112">
      <formula>LEN(TRIM(I43))=0</formula>
    </cfRule>
  </conditionalFormatting>
  <conditionalFormatting sqref="N43">
    <cfRule type="containsBlanks" dxfId="75" priority="109">
      <formula>LEN(TRIM(N43))=0</formula>
    </cfRule>
  </conditionalFormatting>
  <conditionalFormatting sqref="T43">
    <cfRule type="containsBlanks" dxfId="74" priority="107">
      <formula>LEN(TRIM(T43))=0</formula>
    </cfRule>
  </conditionalFormatting>
  <conditionalFormatting sqref="I44">
    <cfRule type="containsBlanks" dxfId="73" priority="103">
      <formula>LEN(TRIM(I44))=0</formula>
    </cfRule>
  </conditionalFormatting>
  <conditionalFormatting sqref="J44">
    <cfRule type="containsBlanks" dxfId="72" priority="102">
      <formula>LEN(TRIM(J44))=0</formula>
    </cfRule>
  </conditionalFormatting>
  <conditionalFormatting sqref="K44">
    <cfRule type="containsBlanks" dxfId="71" priority="101">
      <formula>LEN(TRIM(K44))=0</formula>
    </cfRule>
  </conditionalFormatting>
  <conditionalFormatting sqref="N44">
    <cfRule type="containsBlanks" dxfId="70" priority="100">
      <formula>LEN(TRIM(N44))=0</formula>
    </cfRule>
  </conditionalFormatting>
  <conditionalFormatting sqref="Q44">
    <cfRule type="containsBlanks" dxfId="69" priority="99">
      <formula>LEN(TRIM(Q44))=0</formula>
    </cfRule>
  </conditionalFormatting>
  <conditionalFormatting sqref="T44">
    <cfRule type="containsBlanks" dxfId="68" priority="98">
      <formula>LEN(TRIM(T44))=0</formula>
    </cfRule>
  </conditionalFormatting>
  <conditionalFormatting sqref="W44">
    <cfRule type="containsBlanks" dxfId="67" priority="97">
      <formula>LEN(TRIM(W44))=0</formula>
    </cfRule>
  </conditionalFormatting>
  <conditionalFormatting sqref="H45">
    <cfRule type="containsBlanks" dxfId="66" priority="95">
      <formula>LEN(TRIM(H45))=0</formula>
    </cfRule>
  </conditionalFormatting>
  <conditionalFormatting sqref="I45">
    <cfRule type="containsBlanks" dxfId="65" priority="94">
      <formula>LEN(TRIM(I45))=0</formula>
    </cfRule>
  </conditionalFormatting>
  <conditionalFormatting sqref="J45">
    <cfRule type="containsBlanks" dxfId="64" priority="93">
      <formula>LEN(TRIM(J45))=0</formula>
    </cfRule>
  </conditionalFormatting>
  <conditionalFormatting sqref="K45">
    <cfRule type="containsBlanks" dxfId="63" priority="92">
      <formula>LEN(TRIM(K45))=0</formula>
    </cfRule>
  </conditionalFormatting>
  <conditionalFormatting sqref="N45">
    <cfRule type="containsBlanks" dxfId="62" priority="91">
      <formula>LEN(TRIM(N45))=0</formula>
    </cfRule>
  </conditionalFormatting>
  <conditionalFormatting sqref="Q45">
    <cfRule type="containsBlanks" dxfId="61" priority="90">
      <formula>LEN(TRIM(Q45))=0</formula>
    </cfRule>
  </conditionalFormatting>
  <conditionalFormatting sqref="T45">
    <cfRule type="containsBlanks" dxfId="60" priority="89">
      <formula>LEN(TRIM(T45))=0</formula>
    </cfRule>
  </conditionalFormatting>
  <conditionalFormatting sqref="W45">
    <cfRule type="containsBlanks" dxfId="59" priority="88">
      <formula>LEN(TRIM(W45))=0</formula>
    </cfRule>
  </conditionalFormatting>
  <conditionalFormatting sqref="H46">
    <cfRule type="containsBlanks" dxfId="58" priority="86">
      <formula>LEN(TRIM(H46))=0</formula>
    </cfRule>
  </conditionalFormatting>
  <conditionalFormatting sqref="I46">
    <cfRule type="containsBlanks" dxfId="57" priority="85">
      <formula>LEN(TRIM(I46))=0</formula>
    </cfRule>
  </conditionalFormatting>
  <conditionalFormatting sqref="J46">
    <cfRule type="containsBlanks" dxfId="56" priority="84">
      <formula>LEN(TRIM(J46))=0</formula>
    </cfRule>
  </conditionalFormatting>
  <conditionalFormatting sqref="K46">
    <cfRule type="containsBlanks" dxfId="55" priority="83">
      <formula>LEN(TRIM(K46))=0</formula>
    </cfRule>
  </conditionalFormatting>
  <conditionalFormatting sqref="N46">
    <cfRule type="containsBlanks" dxfId="54" priority="82">
      <formula>LEN(TRIM(N46))=0</formula>
    </cfRule>
  </conditionalFormatting>
  <conditionalFormatting sqref="Q46">
    <cfRule type="containsBlanks" dxfId="53" priority="81">
      <formula>LEN(TRIM(Q46))=0</formula>
    </cfRule>
  </conditionalFormatting>
  <conditionalFormatting sqref="T46">
    <cfRule type="containsBlanks" dxfId="52" priority="80">
      <formula>LEN(TRIM(T46))=0</formula>
    </cfRule>
  </conditionalFormatting>
  <conditionalFormatting sqref="W46">
    <cfRule type="containsBlanks" dxfId="51" priority="79">
      <formula>LEN(TRIM(W46))=0</formula>
    </cfRule>
  </conditionalFormatting>
  <conditionalFormatting sqref="H47">
    <cfRule type="containsBlanks" dxfId="50" priority="77">
      <formula>LEN(TRIM(H47))=0</formula>
    </cfRule>
  </conditionalFormatting>
  <conditionalFormatting sqref="I47">
    <cfRule type="containsBlanks" dxfId="49" priority="76">
      <formula>LEN(TRIM(I47))=0</formula>
    </cfRule>
  </conditionalFormatting>
  <conditionalFormatting sqref="J47">
    <cfRule type="containsBlanks" dxfId="48" priority="75">
      <formula>LEN(TRIM(J47))=0</formula>
    </cfRule>
  </conditionalFormatting>
  <conditionalFormatting sqref="K47">
    <cfRule type="containsBlanks" dxfId="47" priority="74">
      <formula>LEN(TRIM(K47))=0</formula>
    </cfRule>
  </conditionalFormatting>
  <conditionalFormatting sqref="N47">
    <cfRule type="containsBlanks" dxfId="46" priority="73">
      <formula>LEN(TRIM(N47))=0</formula>
    </cfRule>
  </conditionalFormatting>
  <conditionalFormatting sqref="Q47">
    <cfRule type="containsBlanks" dxfId="45" priority="72">
      <formula>LEN(TRIM(Q47))=0</formula>
    </cfRule>
  </conditionalFormatting>
  <conditionalFormatting sqref="T47">
    <cfRule type="containsBlanks" dxfId="44" priority="71">
      <formula>LEN(TRIM(T47))=0</formula>
    </cfRule>
  </conditionalFormatting>
  <conditionalFormatting sqref="W47">
    <cfRule type="containsBlanks" dxfId="43" priority="70">
      <formula>LEN(TRIM(W47))=0</formula>
    </cfRule>
  </conditionalFormatting>
  <conditionalFormatting sqref="H48">
    <cfRule type="containsBlanks" dxfId="42" priority="68">
      <formula>LEN(TRIM(H48))=0</formula>
    </cfRule>
  </conditionalFormatting>
  <conditionalFormatting sqref="I48">
    <cfRule type="containsBlanks" dxfId="41" priority="67">
      <formula>LEN(TRIM(I48))=0</formula>
    </cfRule>
  </conditionalFormatting>
  <conditionalFormatting sqref="J48">
    <cfRule type="containsBlanks" dxfId="40" priority="66">
      <formula>LEN(TRIM(J48))=0</formula>
    </cfRule>
  </conditionalFormatting>
  <conditionalFormatting sqref="K48">
    <cfRule type="containsBlanks" dxfId="39" priority="65">
      <formula>LEN(TRIM(K48))=0</formula>
    </cfRule>
  </conditionalFormatting>
  <conditionalFormatting sqref="N48">
    <cfRule type="containsBlanks" dxfId="38" priority="64">
      <formula>LEN(TRIM(N48))=0</formula>
    </cfRule>
  </conditionalFormatting>
  <conditionalFormatting sqref="Q48">
    <cfRule type="containsBlanks" dxfId="37" priority="63">
      <formula>LEN(TRIM(Q48))=0</formula>
    </cfRule>
  </conditionalFormatting>
  <conditionalFormatting sqref="T48">
    <cfRule type="containsBlanks" dxfId="36" priority="62">
      <formula>LEN(TRIM(T48))=0</formula>
    </cfRule>
  </conditionalFormatting>
  <conditionalFormatting sqref="W48">
    <cfRule type="containsBlanks" dxfId="35" priority="61">
      <formula>LEN(TRIM(W48))=0</formula>
    </cfRule>
  </conditionalFormatting>
  <conditionalFormatting sqref="H49">
    <cfRule type="containsBlanks" dxfId="34" priority="59">
      <formula>LEN(TRIM(H49))=0</formula>
    </cfRule>
  </conditionalFormatting>
  <conditionalFormatting sqref="I49">
    <cfRule type="containsBlanks" dxfId="33" priority="58">
      <formula>LEN(TRIM(I49))=0</formula>
    </cfRule>
  </conditionalFormatting>
  <conditionalFormatting sqref="J49">
    <cfRule type="containsBlanks" dxfId="32" priority="57">
      <formula>LEN(TRIM(J49))=0</formula>
    </cfRule>
  </conditionalFormatting>
  <conditionalFormatting sqref="K49">
    <cfRule type="containsBlanks" dxfId="31" priority="56">
      <formula>LEN(TRIM(K49))=0</formula>
    </cfRule>
  </conditionalFormatting>
  <conditionalFormatting sqref="N49">
    <cfRule type="containsBlanks" dxfId="30" priority="55">
      <formula>LEN(TRIM(N49))=0</formula>
    </cfRule>
  </conditionalFormatting>
  <conditionalFormatting sqref="Q49">
    <cfRule type="containsBlanks" dxfId="29" priority="54">
      <formula>LEN(TRIM(Q49))=0</formula>
    </cfRule>
  </conditionalFormatting>
  <conditionalFormatting sqref="T49">
    <cfRule type="containsBlanks" dxfId="28" priority="53">
      <formula>LEN(TRIM(T49))=0</formula>
    </cfRule>
  </conditionalFormatting>
  <conditionalFormatting sqref="W49">
    <cfRule type="containsBlanks" dxfId="27" priority="52">
      <formula>LEN(TRIM(W49))=0</formula>
    </cfRule>
  </conditionalFormatting>
  <conditionalFormatting sqref="H50">
    <cfRule type="containsBlanks" dxfId="26" priority="50">
      <formula>LEN(TRIM(H50))=0</formula>
    </cfRule>
  </conditionalFormatting>
  <conditionalFormatting sqref="I50">
    <cfRule type="containsBlanks" dxfId="25" priority="49">
      <formula>LEN(TRIM(I50))=0</formula>
    </cfRule>
  </conditionalFormatting>
  <conditionalFormatting sqref="J50">
    <cfRule type="containsBlanks" dxfId="24" priority="48">
      <formula>LEN(TRIM(J50))=0</formula>
    </cfRule>
  </conditionalFormatting>
  <conditionalFormatting sqref="K50">
    <cfRule type="containsBlanks" dxfId="23" priority="47">
      <formula>LEN(TRIM(K50))=0</formula>
    </cfRule>
  </conditionalFormatting>
  <conditionalFormatting sqref="N50">
    <cfRule type="containsBlanks" dxfId="22" priority="46">
      <formula>LEN(TRIM(N50))=0</formula>
    </cfRule>
  </conditionalFormatting>
  <conditionalFormatting sqref="Q50">
    <cfRule type="containsBlanks" dxfId="21" priority="45">
      <formula>LEN(TRIM(Q50))=0</formula>
    </cfRule>
  </conditionalFormatting>
  <conditionalFormatting sqref="T50">
    <cfRule type="containsBlanks" dxfId="20" priority="44">
      <formula>LEN(TRIM(T50))=0</formula>
    </cfRule>
  </conditionalFormatting>
  <conditionalFormatting sqref="W50">
    <cfRule type="containsBlanks" dxfId="19" priority="43">
      <formula>LEN(TRIM(W50))=0</formula>
    </cfRule>
  </conditionalFormatting>
  <conditionalFormatting sqref="K25:K27">
    <cfRule type="containsBlanks" dxfId="18" priority="26">
      <formula>LEN(TRIM(K25))=0</formula>
    </cfRule>
  </conditionalFormatting>
  <conditionalFormatting sqref="F36">
    <cfRule type="containsBlanks" dxfId="17" priority="15">
      <formula>LEN(TRIM(F36))=0</formula>
    </cfRule>
  </conditionalFormatting>
  <conditionalFormatting sqref="F39">
    <cfRule type="containsBlanks" dxfId="16" priority="14">
      <formula>LEN(TRIM(F39))=0</formula>
    </cfRule>
  </conditionalFormatting>
  <conditionalFormatting sqref="O36">
    <cfRule type="containsBlanks" dxfId="15" priority="13">
      <formula>LEN(TRIM(O36))=0</formula>
    </cfRule>
  </conditionalFormatting>
  <conditionalFormatting sqref="X36">
    <cfRule type="containsBlanks" dxfId="14" priority="12">
      <formula>LEN(TRIM(X36))=0</formula>
    </cfRule>
  </conditionalFormatting>
  <conditionalFormatting sqref="X39">
    <cfRule type="containsBlanks" dxfId="13" priority="11">
      <formula>LEN(TRIM(X39))=0</formula>
    </cfRule>
  </conditionalFormatting>
  <conditionalFormatting sqref="C13:O13">
    <cfRule type="containsBlanks" dxfId="12" priority="9">
      <formula>LEN(TRIM(C13))=0</formula>
    </cfRule>
  </conditionalFormatting>
  <conditionalFormatting sqref="B54:N57">
    <cfRule type="containsBlanks" dxfId="11" priority="7">
      <formula>LEN(TRIM(B54))=0</formula>
    </cfRule>
  </conditionalFormatting>
  <conditionalFormatting sqref="K30">
    <cfRule type="containsBlanks" dxfId="10" priority="5">
      <formula>LEN(TRIM(K30))=0</formula>
    </cfRule>
  </conditionalFormatting>
  <conditionalFormatting sqref="F30">
    <cfRule type="containsBlanks" dxfId="9" priority="6">
      <formula>LEN(TRIM(F30))=0</formula>
    </cfRule>
  </conditionalFormatting>
  <conditionalFormatting sqref="K31">
    <cfRule type="containsBlanks" dxfId="8" priority="3">
      <formula>LEN(TRIM(K31))=0</formula>
    </cfRule>
  </conditionalFormatting>
  <conditionalFormatting sqref="F31">
    <cfRule type="containsBlanks" dxfId="7" priority="4">
      <formula>LEN(TRIM(F31))=0</formula>
    </cfRule>
  </conditionalFormatting>
  <conditionalFormatting sqref="K32">
    <cfRule type="containsBlanks" dxfId="6" priority="1">
      <formula>LEN(TRIM(K32))=0</formula>
    </cfRule>
  </conditionalFormatting>
  <conditionalFormatting sqref="F32">
    <cfRule type="containsBlanks" dxfId="5" priority="2">
      <formula>LEN(TRIM(F32))=0</formula>
    </cfRule>
  </conditionalFormatting>
  <conditionalFormatting sqref="C14:O16 F8 P8">
    <cfRule type="containsBlanks" dxfId="4" priority="145">
      <formula>LEN(TRIM(C8))=0</formula>
    </cfRule>
  </conditionalFormatting>
  <dataValidations count="1">
    <dataValidation type="list" allowBlank="1" sqref="F36 F39 O36 X36 X39" xr:uid="{00000000-0002-0000-0D00-000000000000}">
      <formula1>VLANList</formula1>
    </dataValidation>
  </dataValidations>
  <printOptions gridLines="1"/>
  <pageMargins left="0.75" right="0.25" top="0.25" bottom="0.75" header="0.3" footer="0.3"/>
  <pageSetup paperSize="3" scale="94" fitToHeight="0" orientation="landscape" r:id="rId1"/>
  <headerFooter>
    <oddFooter>&amp;R&amp;A
&amp;P</oddFooter>
  </headerFooter>
  <drawing r:id="rId2"/>
  <extLst>
    <ext xmlns:x14="http://schemas.microsoft.com/office/spreadsheetml/2009/9/main" uri="{CCE6A557-97BC-4b89-ADB6-D9C93CAAB3DF}">
      <x14:dataValidations xmlns:xm="http://schemas.microsoft.com/office/excel/2006/main" count="2">
        <x14:dataValidation type="list" allowBlank="1" xr:uid="{00000000-0002-0000-0D00-000001000000}">
          <x14:formula1>
            <xm:f>Dropdowns!$B$3:$B$4</xm:f>
          </x14:formula1>
          <xm:sqref>H43:I50</xm:sqref>
        </x14:dataValidation>
        <x14:dataValidation type="list" allowBlank="1" xr:uid="{00000000-0002-0000-0D00-000002000000}">
          <x14:formula1>
            <xm:f>Dropdowns!$Q$3:$Q$5</xm:f>
          </x14:formula1>
          <xm:sqref>P8:S8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8000"/>
    <pageSetUpPr fitToPage="1"/>
  </sheetPr>
  <dimension ref="A2:V64"/>
  <sheetViews>
    <sheetView workbookViewId="0">
      <pane ySplit="4" topLeftCell="A5" activePane="bottomLeft" state="frozenSplit"/>
      <selection activeCell="N65" sqref="N65:P65"/>
      <selection pane="bottomLeft" activeCell="N65" sqref="N65:P65"/>
    </sheetView>
  </sheetViews>
  <sheetFormatPr defaultColWidth="7.140625" defaultRowHeight="10.5" x14ac:dyDescent="0.25"/>
  <cols>
    <col min="1" max="1" width="1.42578125" style="35" customWidth="1"/>
    <col min="2" max="19" width="7.140625" style="35"/>
    <col min="20" max="20" width="7.140625" style="35" customWidth="1"/>
    <col min="21" max="16384" width="7.140625" style="35"/>
  </cols>
  <sheetData>
    <row r="2" spans="1:22" ht="30.75" customHeight="1" x14ac:dyDescent="0.25">
      <c r="A2" s="2" t="s">
        <v>1</v>
      </c>
      <c r="B2"/>
      <c r="U2" s="177" t="s">
        <v>920</v>
      </c>
      <c r="V2" s="1"/>
    </row>
    <row r="3" spans="1:22" ht="9" customHeight="1" x14ac:dyDescent="0.25"/>
    <row r="4" spans="1:22" ht="14.25" customHeight="1" x14ac:dyDescent="0.25"/>
    <row r="5" spans="1:22" ht="14.25" customHeight="1" x14ac:dyDescent="0.25"/>
    <row r="6" spans="1:22" ht="14.25" customHeight="1" x14ac:dyDescent="0.25">
      <c r="C6" s="381"/>
      <c r="D6" s="381"/>
      <c r="E6" s="381"/>
      <c r="F6" s="381"/>
      <c r="G6" s="381"/>
      <c r="H6" s="381"/>
      <c r="I6" s="381"/>
      <c r="J6" s="381"/>
      <c r="K6" s="381"/>
      <c r="L6" s="381"/>
      <c r="M6" s="381"/>
      <c r="N6" s="381"/>
      <c r="O6" s="381"/>
      <c r="P6" s="381"/>
      <c r="Q6" s="381"/>
    </row>
    <row r="7" spans="1:22" ht="14.25" customHeight="1" x14ac:dyDescent="0.25"/>
    <row r="8" spans="1:22" ht="14.25" customHeight="1" x14ac:dyDescent="0.25"/>
    <row r="9" spans="1:22" ht="14.25" customHeight="1" x14ac:dyDescent="0.25"/>
    <row r="10" spans="1:22" ht="14.25" customHeight="1" thickBot="1" x14ac:dyDescent="0.3">
      <c r="C10" s="292" t="s">
        <v>921</v>
      </c>
      <c r="D10" s="293"/>
      <c r="E10" s="293"/>
      <c r="F10" s="293"/>
      <c r="G10" s="293"/>
      <c r="H10" s="178"/>
      <c r="I10" s="292" t="s">
        <v>922</v>
      </c>
      <c r="J10" s="294"/>
      <c r="K10" s="301" t="s">
        <v>923</v>
      </c>
      <c r="L10" s="301"/>
      <c r="M10" s="301"/>
      <c r="N10" s="301"/>
      <c r="O10" s="301"/>
      <c r="P10" s="301"/>
    </row>
    <row r="11" spans="1:22" ht="14.25" customHeight="1" x14ac:dyDescent="0.25">
      <c r="C11" s="433" t="s">
        <v>924</v>
      </c>
      <c r="D11" s="434"/>
      <c r="E11" s="434"/>
      <c r="F11" s="434"/>
      <c r="G11" s="434"/>
      <c r="H11" s="435"/>
      <c r="I11" s="444"/>
      <c r="J11" s="445"/>
      <c r="K11" s="351"/>
      <c r="L11" s="351"/>
      <c r="M11" s="351"/>
      <c r="N11" s="351"/>
      <c r="O11" s="351"/>
      <c r="P11" s="351"/>
    </row>
    <row r="12" spans="1:22" ht="14.25" customHeight="1" x14ac:dyDescent="0.25">
      <c r="C12" s="436" t="s">
        <v>925</v>
      </c>
      <c r="D12" s="437"/>
      <c r="E12" s="437"/>
      <c r="F12" s="437"/>
      <c r="G12" s="437"/>
      <c r="H12" s="438"/>
      <c r="I12" s="442"/>
      <c r="J12" s="443"/>
      <c r="K12" s="352"/>
      <c r="L12" s="352"/>
      <c r="M12" s="352"/>
      <c r="N12" s="352"/>
      <c r="O12" s="352"/>
      <c r="P12" s="352"/>
    </row>
    <row r="13" spans="1:22" ht="14.25" customHeight="1" x14ac:dyDescent="0.25">
      <c r="C13" s="436" t="s">
        <v>926</v>
      </c>
      <c r="D13" s="437"/>
      <c r="E13" s="437"/>
      <c r="F13" s="437"/>
      <c r="G13" s="437"/>
      <c r="H13" s="438"/>
      <c r="I13" s="442"/>
      <c r="J13" s="443"/>
      <c r="K13" s="352"/>
      <c r="L13" s="352"/>
      <c r="M13" s="352"/>
      <c r="N13" s="352"/>
      <c r="O13" s="352"/>
      <c r="P13" s="352"/>
    </row>
    <row r="14" spans="1:22" ht="14.25" customHeight="1" x14ac:dyDescent="0.25">
      <c r="C14" s="436" t="s">
        <v>927</v>
      </c>
      <c r="D14" s="437"/>
      <c r="E14" s="437"/>
      <c r="F14" s="437"/>
      <c r="G14" s="437"/>
      <c r="H14" s="438"/>
      <c r="I14" s="442"/>
      <c r="J14" s="443"/>
      <c r="K14" s="352"/>
      <c r="L14" s="352"/>
      <c r="M14" s="352"/>
      <c r="N14" s="352"/>
      <c r="O14" s="352"/>
      <c r="P14" s="352"/>
      <c r="V14" s="35">
        <v>77048</v>
      </c>
    </row>
    <row r="15" spans="1:22" ht="14.25" customHeight="1" x14ac:dyDescent="0.25">
      <c r="C15" s="439" t="s">
        <v>928</v>
      </c>
      <c r="D15" s="440"/>
      <c r="E15" s="440"/>
      <c r="F15" s="440"/>
      <c r="G15" s="440"/>
      <c r="H15" s="441"/>
      <c r="I15" s="442"/>
      <c r="J15" s="443"/>
      <c r="K15" s="352"/>
      <c r="L15" s="352"/>
      <c r="M15" s="352"/>
      <c r="N15" s="352"/>
      <c r="O15" s="352"/>
      <c r="P15" s="352"/>
    </row>
    <row r="16" spans="1:22" ht="14.25" customHeight="1" x14ac:dyDescent="0.25">
      <c r="C16" s="439" t="s">
        <v>929</v>
      </c>
      <c r="D16" s="440"/>
      <c r="E16" s="440"/>
      <c r="F16" s="440"/>
      <c r="G16" s="440"/>
      <c r="H16" s="441"/>
      <c r="I16" s="442"/>
      <c r="J16" s="443"/>
      <c r="K16" s="352"/>
      <c r="L16" s="352"/>
      <c r="M16" s="352"/>
      <c r="N16" s="352"/>
      <c r="O16" s="352"/>
      <c r="P16" s="352"/>
    </row>
    <row r="17" spans="3:17" ht="14.25" customHeight="1" x14ac:dyDescent="0.25">
      <c r="C17" s="439" t="s">
        <v>955</v>
      </c>
      <c r="D17" s="440"/>
      <c r="E17" s="440"/>
      <c r="F17" s="440"/>
      <c r="G17" s="440"/>
      <c r="H17" s="441"/>
      <c r="I17" s="442"/>
      <c r="J17" s="443"/>
      <c r="K17" s="352"/>
      <c r="L17" s="352"/>
      <c r="M17" s="352"/>
      <c r="N17" s="352"/>
      <c r="O17" s="352"/>
      <c r="P17" s="352"/>
    </row>
    <row r="18" spans="3:17" ht="14.25" customHeight="1" x14ac:dyDescent="0.25">
      <c r="F18" s="35" t="s">
        <v>1371</v>
      </c>
      <c r="Q18" s="35" t="s">
        <v>1370</v>
      </c>
    </row>
    <row r="19" spans="3:17" ht="14.25" customHeight="1" x14ac:dyDescent="0.25">
      <c r="F19" s="35" t="s">
        <v>1372</v>
      </c>
      <c r="Q19" s="35" t="s">
        <v>1373</v>
      </c>
    </row>
    <row r="20" spans="3:17" ht="14.25" customHeight="1" x14ac:dyDescent="0.25"/>
    <row r="25" spans="3:17" x14ac:dyDescent="0.25">
      <c r="F25" s="35" t="s">
        <v>1372</v>
      </c>
    </row>
    <row r="26" spans="3:17" x14ac:dyDescent="0.25">
      <c r="F26" s="35" t="s">
        <v>1374</v>
      </c>
      <c r="I26" s="35" t="s">
        <v>1375</v>
      </c>
    </row>
    <row r="28" spans="3:17" x14ac:dyDescent="0.25">
      <c r="F28" s="35" t="s">
        <v>1374</v>
      </c>
      <c r="I28" s="35" t="s">
        <v>1376</v>
      </c>
      <c r="Q28" s="35" t="s">
        <v>1374</v>
      </c>
    </row>
    <row r="35" spans="7:14" x14ac:dyDescent="0.25">
      <c r="G35" s="35">
        <v>1852</v>
      </c>
      <c r="H35" s="35" t="s">
        <v>1377</v>
      </c>
      <c r="N35" s="35" t="s">
        <v>1378</v>
      </c>
    </row>
    <row r="36" spans="7:14" x14ac:dyDescent="0.25">
      <c r="G36" s="35">
        <v>1852</v>
      </c>
      <c r="H36" s="35" t="s">
        <v>1377</v>
      </c>
      <c r="N36" s="35" t="s">
        <v>1378</v>
      </c>
    </row>
    <row r="39" spans="7:14" x14ac:dyDescent="0.25">
      <c r="G39" s="35">
        <v>1852</v>
      </c>
      <c r="H39" s="35" t="s">
        <v>1377</v>
      </c>
      <c r="N39" s="35" t="s">
        <v>1378</v>
      </c>
    </row>
    <row r="49" spans="7:14" x14ac:dyDescent="0.25">
      <c r="G49" s="35">
        <v>1852</v>
      </c>
      <c r="H49" s="35" t="s">
        <v>1377</v>
      </c>
      <c r="K49" s="35" t="s">
        <v>1349</v>
      </c>
      <c r="N49" s="35" t="s">
        <v>1378</v>
      </c>
    </row>
    <row r="53" spans="7:14" x14ac:dyDescent="0.25">
      <c r="G53" s="35">
        <v>11</v>
      </c>
      <c r="H53" s="35" t="s">
        <v>1379</v>
      </c>
      <c r="K53" s="35" t="s">
        <v>1349</v>
      </c>
      <c r="N53" s="35" t="s">
        <v>1380</v>
      </c>
    </row>
    <row r="64" spans="7:14" x14ac:dyDescent="0.25">
      <c r="G64" s="35">
        <v>1852</v>
      </c>
      <c r="H64" s="35" t="s">
        <v>1377</v>
      </c>
      <c r="K64" s="35" t="s">
        <v>1349</v>
      </c>
      <c r="N64" s="35" t="s">
        <v>1378</v>
      </c>
    </row>
  </sheetData>
  <mergeCells count="27">
    <mergeCell ref="I16:J16"/>
    <mergeCell ref="K16:P16"/>
    <mergeCell ref="I17:J17"/>
    <mergeCell ref="K17:P17"/>
    <mergeCell ref="C16:H16"/>
    <mergeCell ref="C17:H17"/>
    <mergeCell ref="C6:E6"/>
    <mergeCell ref="F6:H6"/>
    <mergeCell ref="I6:Q6"/>
    <mergeCell ref="C10:G10"/>
    <mergeCell ref="I10:J10"/>
    <mergeCell ref="K10:P10"/>
    <mergeCell ref="I15:J15"/>
    <mergeCell ref="K15:P15"/>
    <mergeCell ref="I11:J11"/>
    <mergeCell ref="K11:P11"/>
    <mergeCell ref="I14:J14"/>
    <mergeCell ref="K14:P14"/>
    <mergeCell ref="I12:J12"/>
    <mergeCell ref="K12:P12"/>
    <mergeCell ref="I13:J13"/>
    <mergeCell ref="K13:P13"/>
    <mergeCell ref="C11:H11"/>
    <mergeCell ref="C12:H12"/>
    <mergeCell ref="C13:H13"/>
    <mergeCell ref="C14:H14"/>
    <mergeCell ref="C15:H15"/>
  </mergeCells>
  <printOptions gridLines="1"/>
  <pageMargins left="0.75" right="0.25" top="0.25" bottom="0.75" header="0.3" footer="0.3"/>
  <pageSetup paperSize="3" fitToHeight="0" orientation="landscape" r:id="rId1"/>
  <headerFooter>
    <oddFooter>&amp;R&amp;A
&amp;P</oddFooter>
  </headerFooter>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7030A0"/>
    <pageSetUpPr fitToPage="1"/>
  </sheetPr>
  <dimension ref="A2:V751"/>
  <sheetViews>
    <sheetView workbookViewId="0">
      <pane ySplit="4" topLeftCell="A5" activePane="bottomLeft" state="frozenSplit"/>
      <selection activeCell="N65" sqref="N65:P65"/>
      <selection pane="bottomLeft" activeCell="C487" sqref="C487:M586"/>
    </sheetView>
  </sheetViews>
  <sheetFormatPr defaultColWidth="7.140625" defaultRowHeight="10.5" x14ac:dyDescent="0.25"/>
  <cols>
    <col min="1" max="1" width="1.42578125" style="34" customWidth="1"/>
    <col min="2" max="17" width="7.140625" style="34"/>
    <col min="18" max="18" width="7.140625" style="56"/>
    <col min="19" max="19" width="7.140625" style="34"/>
    <col min="20" max="20" width="7.140625" style="34" customWidth="1"/>
    <col min="21" max="16384" width="7.140625" style="34"/>
  </cols>
  <sheetData>
    <row r="2" spans="1:22" ht="30.75" customHeight="1" x14ac:dyDescent="0.25">
      <c r="A2" s="2" t="s">
        <v>1</v>
      </c>
      <c r="B2"/>
      <c r="V2" s="1" t="s">
        <v>214</v>
      </c>
    </row>
    <row r="3" spans="1:22" ht="9" customHeight="1" x14ac:dyDescent="0.25"/>
    <row r="4" spans="1:22" s="35" customFormat="1" ht="15" x14ac:dyDescent="0.25">
      <c r="A4" s="5"/>
      <c r="R4" s="56"/>
    </row>
    <row r="5" spans="1:22" s="35" customFormat="1" ht="14.25" customHeight="1" x14ac:dyDescent="0.25">
      <c r="B5" s="112" t="s">
        <v>523</v>
      </c>
      <c r="C5" s="83"/>
      <c r="D5" s="83"/>
      <c r="E5" s="83"/>
      <c r="F5" s="83"/>
      <c r="G5" s="83"/>
      <c r="H5" s="83"/>
      <c r="I5" s="83"/>
      <c r="J5" s="83"/>
      <c r="K5" s="83"/>
      <c r="L5" s="83"/>
      <c r="M5" s="83"/>
      <c r="N5" s="83"/>
      <c r="O5" s="83"/>
      <c r="P5" s="83"/>
      <c r="Q5" s="83"/>
      <c r="R5" s="59"/>
    </row>
    <row r="6" spans="1:22" s="35" customFormat="1" ht="6" customHeight="1" x14ac:dyDescent="0.25">
      <c r="B6" s="111"/>
      <c r="C6" s="83"/>
      <c r="D6" s="83"/>
      <c r="E6" s="83"/>
      <c r="F6" s="83"/>
      <c r="G6" s="110"/>
      <c r="H6" s="83"/>
      <c r="I6" s="83"/>
      <c r="J6" s="83"/>
      <c r="K6" s="83"/>
      <c r="L6" s="83"/>
      <c r="M6" s="83"/>
      <c r="N6" s="83"/>
      <c r="O6" s="83"/>
      <c r="P6" s="83"/>
      <c r="Q6" s="83"/>
      <c r="R6" s="59"/>
    </row>
    <row r="7" spans="1:22" s="35" customFormat="1" ht="14.25" customHeight="1" x14ac:dyDescent="0.25">
      <c r="C7" s="451" t="str">
        <f>'Cabling Info'!B11</f>
        <v>NetApp Controller Cabling</v>
      </c>
      <c r="D7" s="451"/>
      <c r="E7" s="451"/>
      <c r="F7" s="451"/>
      <c r="G7" s="451"/>
      <c r="H7" s="451"/>
      <c r="I7" s="451"/>
      <c r="J7" s="451"/>
      <c r="K7" s="451" t="str">
        <f>'Cabling Info'!B275</f>
        <v>Nexus 5k Switch Cabling (FlexPod / UCS Only)</v>
      </c>
      <c r="L7" s="451"/>
      <c r="M7" s="451"/>
      <c r="N7" s="451"/>
      <c r="O7" s="451"/>
      <c r="P7" s="451"/>
      <c r="Q7" s="451"/>
      <c r="R7" s="451"/>
    </row>
    <row r="8" spans="1:22" s="35" customFormat="1" ht="14.25" customHeight="1" x14ac:dyDescent="0.25">
      <c r="C8" s="451" t="str">
        <f>'Cabling Info'!B191</f>
        <v>NetApp Management Switch Cabling (cDOT Only)</v>
      </c>
      <c r="D8" s="451"/>
      <c r="E8" s="451"/>
      <c r="F8" s="451"/>
      <c r="G8" s="451"/>
      <c r="H8" s="451"/>
      <c r="I8" s="451"/>
      <c r="J8" s="451"/>
      <c r="K8" s="451" t="str">
        <f>'Cabling Info'!B382</f>
        <v>Cisco Fabric Interconnect Switch Cabling (FlexPod / UCS Only)</v>
      </c>
      <c r="L8" s="451"/>
      <c r="M8" s="451"/>
      <c r="N8" s="451"/>
      <c r="O8" s="451"/>
      <c r="P8" s="451"/>
      <c r="Q8" s="451"/>
      <c r="R8" s="451"/>
    </row>
    <row r="9" spans="1:22" s="35" customFormat="1" ht="14.25" customHeight="1" x14ac:dyDescent="0.25">
      <c r="C9" s="451" t="str">
        <f>'Cabling Info'!B232</f>
        <v>NetApp Cluster Interconnect Switch Cabling (cDOT Only)</v>
      </c>
      <c r="D9" s="451"/>
      <c r="E9" s="451"/>
      <c r="F9" s="451"/>
      <c r="G9" s="451"/>
      <c r="H9" s="451"/>
      <c r="I9" s="451"/>
      <c r="J9" s="451"/>
      <c r="K9" s="451" t="str">
        <f>'Cabling Info'!B589</f>
        <v>Nexus 3048 Switch Cabling (ExpressPod Only)</v>
      </c>
      <c r="L9" s="451"/>
      <c r="M9" s="451"/>
      <c r="N9" s="451"/>
      <c r="O9" s="451"/>
      <c r="P9" s="451"/>
      <c r="Q9" s="451"/>
      <c r="R9" s="451"/>
    </row>
    <row r="10" spans="1:22" s="35" customFormat="1" ht="14.25" customHeight="1" x14ac:dyDescent="0.25">
      <c r="B10" s="83"/>
      <c r="C10" s="83"/>
      <c r="D10" s="83"/>
      <c r="E10" s="83"/>
      <c r="F10" s="83"/>
      <c r="G10" s="83"/>
      <c r="H10" s="83"/>
      <c r="I10" s="83"/>
      <c r="J10" s="83"/>
      <c r="K10" s="83"/>
      <c r="L10" s="83"/>
      <c r="M10" s="83"/>
      <c r="N10" s="83"/>
      <c r="O10" s="83"/>
      <c r="P10" s="83"/>
      <c r="Q10" s="83"/>
      <c r="R10" s="59"/>
    </row>
    <row r="11" spans="1:22" s="35" customFormat="1" ht="14.25" x14ac:dyDescent="0.25">
      <c r="B11" s="4" t="s">
        <v>492</v>
      </c>
      <c r="R11" s="56"/>
    </row>
    <row r="12" spans="1:22" s="35" customFormat="1" ht="14.25" x14ac:dyDescent="0.25">
      <c r="B12" s="4"/>
      <c r="G12" s="6"/>
      <c r="R12" s="56"/>
    </row>
    <row r="13" spans="1:22" s="35" customFormat="1" ht="14.25" customHeight="1" x14ac:dyDescent="0.25">
      <c r="B13" s="4"/>
      <c r="C13" s="4" t="str">
        <f>Inventory!$C$15</f>
        <v>shpsan-01</v>
      </c>
      <c r="G13" s="6"/>
    </row>
    <row r="14" spans="1:22" s="35" customFormat="1" ht="14.25" customHeight="1" thickBot="1" x14ac:dyDescent="0.3">
      <c r="C14" s="311" t="s">
        <v>186</v>
      </c>
      <c r="D14" s="450"/>
      <c r="E14" s="313" t="s">
        <v>187</v>
      </c>
      <c r="F14" s="311"/>
      <c r="G14" s="311" t="s">
        <v>188</v>
      </c>
      <c r="H14" s="311"/>
      <c r="I14" s="311"/>
      <c r="J14" s="311"/>
      <c r="K14" s="311"/>
      <c r="L14" s="311" t="s">
        <v>189</v>
      </c>
      <c r="M14" s="311"/>
    </row>
    <row r="15" spans="1:22" s="35" customFormat="1" ht="14.25" customHeight="1" x14ac:dyDescent="0.25">
      <c r="C15" s="302" t="s">
        <v>31</v>
      </c>
      <c r="D15" s="447"/>
      <c r="E15" s="456" t="s">
        <v>190</v>
      </c>
      <c r="F15" s="457"/>
      <c r="G15" s="300" t="s">
        <v>1411</v>
      </c>
      <c r="H15" s="302"/>
      <c r="I15" s="302"/>
      <c r="J15" s="302"/>
      <c r="K15" s="302"/>
      <c r="L15" s="446" t="s">
        <v>1410</v>
      </c>
      <c r="M15" s="446"/>
    </row>
    <row r="16" spans="1:22" s="35" customFormat="1" ht="14.25" customHeight="1" x14ac:dyDescent="0.25">
      <c r="C16" s="302" t="s">
        <v>485</v>
      </c>
      <c r="D16" s="447"/>
      <c r="E16" s="448"/>
      <c r="F16" s="449"/>
      <c r="G16" s="300"/>
      <c r="H16" s="302"/>
      <c r="I16" s="302"/>
      <c r="J16" s="302"/>
      <c r="K16" s="302"/>
      <c r="L16" s="446"/>
      <c r="M16" s="446"/>
    </row>
    <row r="17" spans="3:13" s="35" customFormat="1" ht="14.25" customHeight="1" x14ac:dyDescent="0.25">
      <c r="C17" s="302" t="s">
        <v>486</v>
      </c>
      <c r="D17" s="447"/>
      <c r="E17" s="448"/>
      <c r="F17" s="449"/>
      <c r="G17" s="300"/>
      <c r="H17" s="302"/>
      <c r="I17" s="302"/>
      <c r="J17" s="302"/>
      <c r="K17" s="302"/>
      <c r="L17" s="446"/>
      <c r="M17" s="446"/>
    </row>
    <row r="18" spans="3:13" s="35" customFormat="1" ht="14.25" customHeight="1" x14ac:dyDescent="0.25">
      <c r="C18" s="288" t="s">
        <v>610</v>
      </c>
      <c r="D18" s="449"/>
      <c r="E18" s="448"/>
      <c r="F18" s="449"/>
      <c r="G18" s="300" t="s">
        <v>1410</v>
      </c>
      <c r="H18" s="302"/>
      <c r="I18" s="302"/>
      <c r="J18" s="302"/>
      <c r="K18" s="302"/>
      <c r="L18" s="446" t="s">
        <v>1410</v>
      </c>
      <c r="M18" s="446"/>
    </row>
    <row r="19" spans="3:13" s="35" customFormat="1" ht="14.25" customHeight="1" x14ac:dyDescent="0.25">
      <c r="C19" s="288" t="s">
        <v>637</v>
      </c>
      <c r="D19" s="449"/>
      <c r="E19" s="448"/>
      <c r="F19" s="449"/>
      <c r="G19" s="300" t="s">
        <v>1410</v>
      </c>
      <c r="H19" s="302"/>
      <c r="I19" s="302"/>
      <c r="J19" s="302"/>
      <c r="K19" s="302"/>
      <c r="L19" s="446" t="s">
        <v>1410</v>
      </c>
      <c r="M19" s="446"/>
    </row>
    <row r="20" spans="3:13" s="35" customFormat="1" ht="14.25" customHeight="1" x14ac:dyDescent="0.25">
      <c r="C20" s="288" t="s">
        <v>1187</v>
      </c>
      <c r="D20" s="449"/>
      <c r="E20" s="448"/>
      <c r="F20" s="449"/>
      <c r="G20" s="300" t="s">
        <v>1410</v>
      </c>
      <c r="H20" s="302"/>
      <c r="I20" s="302"/>
      <c r="J20" s="302"/>
      <c r="K20" s="302"/>
      <c r="L20" s="446" t="s">
        <v>1410</v>
      </c>
      <c r="M20" s="446"/>
    </row>
    <row r="21" spans="3:13" s="35" customFormat="1" ht="14.25" customHeight="1" x14ac:dyDescent="0.25">
      <c r="C21" s="288" t="s">
        <v>1188</v>
      </c>
      <c r="D21" s="449"/>
      <c r="E21" s="448"/>
      <c r="F21" s="449"/>
      <c r="G21" s="300" t="s">
        <v>1410</v>
      </c>
      <c r="H21" s="302"/>
      <c r="I21" s="302"/>
      <c r="J21" s="302"/>
      <c r="K21" s="302"/>
      <c r="L21" s="446" t="s">
        <v>1410</v>
      </c>
      <c r="M21" s="446"/>
    </row>
    <row r="22" spans="3:13" s="35" customFormat="1" ht="14.25" customHeight="1" x14ac:dyDescent="0.25">
      <c r="C22" s="288" t="s">
        <v>1189</v>
      </c>
      <c r="D22" s="449"/>
      <c r="E22" s="448"/>
      <c r="F22" s="449"/>
      <c r="G22" s="300" t="s">
        <v>1410</v>
      </c>
      <c r="H22" s="302"/>
      <c r="I22" s="302"/>
      <c r="J22" s="302"/>
      <c r="K22" s="302"/>
      <c r="L22" s="446" t="s">
        <v>1410</v>
      </c>
      <c r="M22" s="446"/>
    </row>
    <row r="23" spans="3:13" s="35" customFormat="1" ht="14.25" customHeight="1" x14ac:dyDescent="0.25">
      <c r="C23" s="288" t="s">
        <v>1190</v>
      </c>
      <c r="D23" s="449"/>
      <c r="E23" s="448"/>
      <c r="F23" s="449"/>
      <c r="G23" s="300" t="s">
        <v>1410</v>
      </c>
      <c r="H23" s="302"/>
      <c r="I23" s="302"/>
      <c r="J23" s="302"/>
      <c r="K23" s="302"/>
      <c r="L23" s="446" t="s">
        <v>1410</v>
      </c>
      <c r="M23" s="446"/>
    </row>
    <row r="24" spans="3:13" s="35" customFormat="1" ht="14.25" hidden="1" customHeight="1" x14ac:dyDescent="0.25">
      <c r="C24" s="288" t="s">
        <v>1151</v>
      </c>
      <c r="D24" s="449"/>
      <c r="E24" s="448"/>
      <c r="F24" s="449"/>
      <c r="G24" s="300"/>
      <c r="H24" s="302"/>
      <c r="I24" s="302"/>
      <c r="J24" s="302"/>
      <c r="K24" s="302"/>
      <c r="L24" s="446"/>
      <c r="M24" s="446"/>
    </row>
    <row r="25" spans="3:13" s="35" customFormat="1" ht="14.25" hidden="1" customHeight="1" x14ac:dyDescent="0.25">
      <c r="C25" s="288" t="s">
        <v>1191</v>
      </c>
      <c r="D25" s="449"/>
      <c r="E25" s="448"/>
      <c r="F25" s="449"/>
      <c r="G25" s="300"/>
      <c r="H25" s="302"/>
      <c r="I25" s="302"/>
      <c r="J25" s="302"/>
      <c r="K25" s="302"/>
      <c r="L25" s="446"/>
      <c r="M25" s="446"/>
    </row>
    <row r="26" spans="3:13" s="35" customFormat="1" ht="14.25" hidden="1" customHeight="1" x14ac:dyDescent="0.25">
      <c r="C26" s="288" t="s">
        <v>1192</v>
      </c>
      <c r="D26" s="449"/>
      <c r="E26" s="448"/>
      <c r="F26" s="449"/>
      <c r="G26" s="300"/>
      <c r="H26" s="302"/>
      <c r="I26" s="302"/>
      <c r="J26" s="302"/>
      <c r="K26" s="302"/>
      <c r="L26" s="446"/>
      <c r="M26" s="446"/>
    </row>
    <row r="27" spans="3:13" s="35" customFormat="1" ht="14.25" hidden="1" customHeight="1" x14ac:dyDescent="0.25">
      <c r="C27" s="288" t="s">
        <v>1193</v>
      </c>
      <c r="D27" s="449"/>
      <c r="E27" s="448"/>
      <c r="F27" s="449"/>
      <c r="G27" s="300"/>
      <c r="H27" s="302"/>
      <c r="I27" s="302"/>
      <c r="J27" s="302"/>
      <c r="K27" s="302"/>
      <c r="L27" s="446"/>
      <c r="M27" s="446"/>
    </row>
    <row r="28" spans="3:13" s="35" customFormat="1" ht="14.25" hidden="1" customHeight="1" x14ac:dyDescent="0.25">
      <c r="C28" s="302" t="s">
        <v>201</v>
      </c>
      <c r="D28" s="447"/>
      <c r="E28" s="448"/>
      <c r="F28" s="449"/>
      <c r="G28" s="300"/>
      <c r="H28" s="302"/>
      <c r="I28" s="302"/>
      <c r="J28" s="302"/>
      <c r="K28" s="302"/>
      <c r="L28" s="446"/>
      <c r="M28" s="446"/>
    </row>
    <row r="29" spans="3:13" s="35" customFormat="1" ht="14.25" hidden="1" customHeight="1" x14ac:dyDescent="0.25">
      <c r="C29" s="302" t="s">
        <v>203</v>
      </c>
      <c r="D29" s="447"/>
      <c r="E29" s="448"/>
      <c r="F29" s="449"/>
      <c r="G29" s="300"/>
      <c r="H29" s="302"/>
      <c r="I29" s="302"/>
      <c r="J29" s="302"/>
      <c r="K29" s="302"/>
      <c r="L29" s="446"/>
      <c r="M29" s="446"/>
    </row>
    <row r="30" spans="3:13" s="35" customFormat="1" ht="14.25" hidden="1" customHeight="1" x14ac:dyDescent="0.25">
      <c r="C30" s="302" t="s">
        <v>972</v>
      </c>
      <c r="D30" s="447"/>
      <c r="E30" s="448"/>
      <c r="F30" s="449"/>
      <c r="G30" s="300"/>
      <c r="H30" s="302"/>
      <c r="I30" s="302"/>
      <c r="J30" s="302"/>
      <c r="K30" s="302"/>
      <c r="L30" s="446"/>
      <c r="M30" s="446"/>
    </row>
    <row r="31" spans="3:13" s="35" customFormat="1" ht="14.25" hidden="1" customHeight="1" x14ac:dyDescent="0.25">
      <c r="C31" s="302" t="s">
        <v>973</v>
      </c>
      <c r="D31" s="447"/>
      <c r="E31" s="448"/>
      <c r="F31" s="449"/>
      <c r="G31" s="300"/>
      <c r="H31" s="302"/>
      <c r="I31" s="302"/>
      <c r="J31" s="302"/>
      <c r="K31" s="302"/>
      <c r="L31" s="446"/>
      <c r="M31" s="446"/>
    </row>
    <row r="32" spans="3:13" s="35" customFormat="1" ht="14.25" customHeight="1" x14ac:dyDescent="0.25"/>
    <row r="33" spans="2:13" s="35" customFormat="1" ht="14.25" customHeight="1" x14ac:dyDescent="0.25">
      <c r="B33" s="4"/>
      <c r="C33" s="4" t="str">
        <f>Inventory!$C$16</f>
        <v>shpsan-02</v>
      </c>
      <c r="G33" s="6"/>
    </row>
    <row r="34" spans="2:13" s="35" customFormat="1" ht="14.25" customHeight="1" thickBot="1" x14ac:dyDescent="0.3">
      <c r="C34" s="311" t="s">
        <v>186</v>
      </c>
      <c r="D34" s="450"/>
      <c r="E34" s="313" t="s">
        <v>187</v>
      </c>
      <c r="F34" s="311"/>
      <c r="G34" s="311" t="s">
        <v>188</v>
      </c>
      <c r="H34" s="311"/>
      <c r="I34" s="311"/>
      <c r="J34" s="311"/>
      <c r="K34" s="311"/>
      <c r="L34" s="311" t="s">
        <v>189</v>
      </c>
      <c r="M34" s="311"/>
    </row>
    <row r="35" spans="2:13" s="35" customFormat="1" ht="14.25" customHeight="1" x14ac:dyDescent="0.25">
      <c r="C35" s="295" t="str">
        <f>IF(C15&lt;&gt;0,C15,"")</f>
        <v>e0M</v>
      </c>
      <c r="D35" s="457"/>
      <c r="E35" s="448" t="str">
        <f>IF(E15&lt;&gt;0,E15,"")</f>
        <v>100MbE</v>
      </c>
      <c r="F35" s="449"/>
      <c r="G35" s="302" t="s">
        <v>1410</v>
      </c>
      <c r="H35" s="302"/>
      <c r="I35" s="302"/>
      <c r="J35" s="302"/>
      <c r="K35" s="302"/>
      <c r="L35" s="446" t="s">
        <v>1410</v>
      </c>
      <c r="M35" s="446"/>
    </row>
    <row r="36" spans="2:13" s="35" customFormat="1" ht="14.25" customHeight="1" x14ac:dyDescent="0.25">
      <c r="C36" s="302" t="str">
        <f>IF(C16&lt;&gt;0,C16,"")</f>
        <v>e0a</v>
      </c>
      <c r="D36" s="447"/>
      <c r="E36" s="448" t="str">
        <f>IF(E16&lt;&gt;0,E16,"")</f>
        <v/>
      </c>
      <c r="F36" s="449"/>
      <c r="G36" s="302"/>
      <c r="H36" s="302"/>
      <c r="I36" s="302"/>
      <c r="J36" s="302"/>
      <c r="K36" s="302"/>
      <c r="L36" s="446"/>
      <c r="M36" s="446"/>
    </row>
    <row r="37" spans="2:13" s="35" customFormat="1" ht="14.25" customHeight="1" x14ac:dyDescent="0.25">
      <c r="C37" s="302" t="str">
        <f>IF(C17&lt;&gt;0,C17,"")</f>
        <v>e0b</v>
      </c>
      <c r="D37" s="447"/>
      <c r="E37" s="448" t="str">
        <f>IF(E17&lt;&gt;0,E17,"")</f>
        <v/>
      </c>
      <c r="F37" s="449"/>
      <c r="G37" s="302"/>
      <c r="H37" s="302"/>
      <c r="I37" s="302"/>
      <c r="J37" s="302"/>
      <c r="K37" s="302"/>
      <c r="L37" s="446"/>
      <c r="M37" s="446"/>
    </row>
    <row r="38" spans="2:13" s="35" customFormat="1" ht="14.25" customHeight="1" x14ac:dyDescent="0.25">
      <c r="C38" s="302" t="str">
        <f t="shared" ref="C38:C47" si="0">IF(C18&lt;&gt;0,C18,"")</f>
        <v>e0c</v>
      </c>
      <c r="D38" s="447"/>
      <c r="E38" s="448" t="str">
        <f t="shared" ref="E38:E47" si="1">IF(E18&lt;&gt;0,E18,"")</f>
        <v/>
      </c>
      <c r="F38" s="449"/>
      <c r="G38" s="300" t="s">
        <v>1410</v>
      </c>
      <c r="H38" s="302"/>
      <c r="I38" s="302"/>
      <c r="J38" s="302"/>
      <c r="K38" s="302"/>
      <c r="L38" s="332" t="s">
        <v>1410</v>
      </c>
      <c r="M38" s="334"/>
    </row>
    <row r="39" spans="2:13" s="35" customFormat="1" ht="14.25" customHeight="1" x14ac:dyDescent="0.25">
      <c r="C39" s="302" t="str">
        <f t="shared" si="0"/>
        <v>e0d</v>
      </c>
      <c r="D39" s="447"/>
      <c r="E39" s="448" t="str">
        <f t="shared" si="1"/>
        <v/>
      </c>
      <c r="F39" s="449"/>
      <c r="G39" s="300" t="s">
        <v>1410</v>
      </c>
      <c r="H39" s="302"/>
      <c r="I39" s="302"/>
      <c r="J39" s="302"/>
      <c r="K39" s="302"/>
      <c r="L39" s="332" t="s">
        <v>1410</v>
      </c>
      <c r="M39" s="334"/>
    </row>
    <row r="40" spans="2:13" s="35" customFormat="1" ht="14.25" customHeight="1" x14ac:dyDescent="0.25">
      <c r="C40" s="302" t="str">
        <f t="shared" si="0"/>
        <v>e0e</v>
      </c>
      <c r="D40" s="447"/>
      <c r="E40" s="448" t="str">
        <f t="shared" si="1"/>
        <v/>
      </c>
      <c r="F40" s="449"/>
      <c r="G40" s="300" t="s">
        <v>1410</v>
      </c>
      <c r="H40" s="302"/>
      <c r="I40" s="302"/>
      <c r="J40" s="302"/>
      <c r="K40" s="302"/>
      <c r="L40" s="332" t="s">
        <v>1410</v>
      </c>
      <c r="M40" s="334"/>
    </row>
    <row r="41" spans="2:13" s="35" customFormat="1" ht="14.25" customHeight="1" x14ac:dyDescent="0.25">
      <c r="C41" s="302" t="str">
        <f t="shared" si="0"/>
        <v>e0f</v>
      </c>
      <c r="D41" s="447"/>
      <c r="E41" s="448" t="str">
        <f t="shared" si="1"/>
        <v/>
      </c>
      <c r="F41" s="449"/>
      <c r="G41" s="300" t="s">
        <v>1410</v>
      </c>
      <c r="H41" s="302"/>
      <c r="I41" s="302"/>
      <c r="J41" s="302"/>
      <c r="K41" s="302"/>
      <c r="L41" s="332" t="s">
        <v>1410</v>
      </c>
      <c r="M41" s="334"/>
    </row>
    <row r="42" spans="2:13" s="35" customFormat="1" ht="14.25" customHeight="1" x14ac:dyDescent="0.25">
      <c r="C42" s="302" t="str">
        <f t="shared" si="0"/>
        <v>e0g</v>
      </c>
      <c r="D42" s="447"/>
      <c r="E42" s="448" t="str">
        <f t="shared" si="1"/>
        <v/>
      </c>
      <c r="F42" s="449"/>
      <c r="G42" s="300" t="s">
        <v>1410</v>
      </c>
      <c r="H42" s="302"/>
      <c r="I42" s="302"/>
      <c r="J42" s="302"/>
      <c r="K42" s="302"/>
      <c r="L42" s="332" t="s">
        <v>1410</v>
      </c>
      <c r="M42" s="334"/>
    </row>
    <row r="43" spans="2:13" s="35" customFormat="1" ht="14.25" customHeight="1" x14ac:dyDescent="0.25">
      <c r="C43" s="302" t="str">
        <f t="shared" si="0"/>
        <v>e0h</v>
      </c>
      <c r="D43" s="447"/>
      <c r="E43" s="448" t="str">
        <f t="shared" si="1"/>
        <v/>
      </c>
      <c r="F43" s="449"/>
      <c r="G43" s="300" t="s">
        <v>1410</v>
      </c>
      <c r="H43" s="302"/>
      <c r="I43" s="302"/>
      <c r="J43" s="302"/>
      <c r="K43" s="302"/>
      <c r="L43" s="332" t="s">
        <v>1410</v>
      </c>
      <c r="M43" s="334"/>
    </row>
    <row r="44" spans="2:13" s="35" customFormat="1" ht="14.25" hidden="1" customHeight="1" x14ac:dyDescent="0.25">
      <c r="C44" s="302" t="str">
        <f t="shared" si="0"/>
        <v>e0i</v>
      </c>
      <c r="D44" s="447"/>
      <c r="E44" s="448" t="str">
        <f t="shared" si="1"/>
        <v/>
      </c>
      <c r="F44" s="449"/>
      <c r="G44" s="302"/>
      <c r="H44" s="302"/>
      <c r="I44" s="302"/>
      <c r="J44" s="302"/>
      <c r="K44" s="302"/>
      <c r="L44" s="446"/>
      <c r="M44" s="446"/>
    </row>
    <row r="45" spans="2:13" s="35" customFormat="1" ht="14.25" hidden="1" customHeight="1" x14ac:dyDescent="0.25">
      <c r="C45" s="302" t="str">
        <f t="shared" si="0"/>
        <v>e0j</v>
      </c>
      <c r="D45" s="447"/>
      <c r="E45" s="448" t="str">
        <f t="shared" si="1"/>
        <v/>
      </c>
      <c r="F45" s="449"/>
      <c r="G45" s="302"/>
      <c r="H45" s="302"/>
      <c r="I45" s="302"/>
      <c r="J45" s="302"/>
      <c r="K45" s="302"/>
      <c r="L45" s="446"/>
      <c r="M45" s="446"/>
    </row>
    <row r="46" spans="2:13" s="35" customFormat="1" ht="14.25" hidden="1" customHeight="1" x14ac:dyDescent="0.25">
      <c r="C46" s="302" t="str">
        <f t="shared" si="0"/>
        <v>e0k</v>
      </c>
      <c r="D46" s="447"/>
      <c r="E46" s="448" t="str">
        <f t="shared" si="1"/>
        <v/>
      </c>
      <c r="F46" s="449"/>
      <c r="G46" s="302"/>
      <c r="H46" s="302"/>
      <c r="I46" s="302"/>
      <c r="J46" s="302"/>
      <c r="K46" s="302"/>
      <c r="L46" s="446"/>
      <c r="M46" s="446"/>
    </row>
    <row r="47" spans="2:13" s="35" customFormat="1" ht="14.25" hidden="1" customHeight="1" x14ac:dyDescent="0.25">
      <c r="C47" s="302" t="str">
        <f t="shared" si="0"/>
        <v>e0l</v>
      </c>
      <c r="D47" s="447"/>
      <c r="E47" s="448" t="str">
        <f t="shared" si="1"/>
        <v/>
      </c>
      <c r="F47" s="449"/>
      <c r="G47" s="302"/>
      <c r="H47" s="302"/>
      <c r="I47" s="302"/>
      <c r="J47" s="302"/>
      <c r="K47" s="302"/>
      <c r="L47" s="446"/>
      <c r="M47" s="446"/>
    </row>
    <row r="48" spans="2:13" s="35" customFormat="1" ht="14.25" hidden="1" customHeight="1" x14ac:dyDescent="0.25">
      <c r="C48" s="302" t="str">
        <f>IF(C28&lt;&gt;0,C28,"")</f>
        <v>e1a</v>
      </c>
      <c r="D48" s="447"/>
      <c r="E48" s="448" t="str">
        <f>IF(E28&lt;&gt;0,E28,"")</f>
        <v/>
      </c>
      <c r="F48" s="449"/>
      <c r="G48" s="302"/>
      <c r="H48" s="302"/>
      <c r="I48" s="302"/>
      <c r="J48" s="302"/>
      <c r="K48" s="302"/>
      <c r="L48" s="446"/>
      <c r="M48" s="446"/>
    </row>
    <row r="49" spans="2:14" s="35" customFormat="1" ht="14.25" hidden="1" customHeight="1" x14ac:dyDescent="0.25">
      <c r="C49" s="302" t="str">
        <f>IF(C29&lt;&gt;0,C29,"")</f>
        <v>e2a</v>
      </c>
      <c r="D49" s="447"/>
      <c r="E49" s="448" t="str">
        <f>IF(E29&lt;&gt;0,E29,"")</f>
        <v/>
      </c>
      <c r="F49" s="449"/>
      <c r="G49" s="302"/>
      <c r="H49" s="302"/>
      <c r="I49" s="302"/>
      <c r="J49" s="302"/>
      <c r="K49" s="302"/>
      <c r="L49" s="446"/>
      <c r="M49" s="446"/>
    </row>
    <row r="50" spans="2:14" s="35" customFormat="1" ht="14.25" hidden="1" customHeight="1" x14ac:dyDescent="0.25">
      <c r="C50" s="302" t="str">
        <f>IF(C30&lt;&gt;0,C30,"")</f>
        <v>e3a</v>
      </c>
      <c r="D50" s="447"/>
      <c r="E50" s="448" t="str">
        <f>IF(E30&lt;&gt;0,E30,"")</f>
        <v/>
      </c>
      <c r="F50" s="449"/>
      <c r="G50" s="302"/>
      <c r="H50" s="302"/>
      <c r="I50" s="302"/>
      <c r="J50" s="302"/>
      <c r="K50" s="302"/>
      <c r="L50" s="446"/>
      <c r="M50" s="446"/>
    </row>
    <row r="51" spans="2:14" s="35" customFormat="1" ht="14.25" hidden="1" customHeight="1" x14ac:dyDescent="0.25">
      <c r="C51" s="302" t="str">
        <f t="shared" ref="C51" si="2">IF(C31&lt;&gt;0,C31,"")</f>
        <v>e4a</v>
      </c>
      <c r="D51" s="447"/>
      <c r="E51" s="448" t="str">
        <f>IF(E31&lt;&gt;0,E31,"")</f>
        <v/>
      </c>
      <c r="F51" s="449"/>
      <c r="G51" s="302"/>
      <c r="H51" s="302"/>
      <c r="I51" s="302"/>
      <c r="J51" s="302"/>
      <c r="K51" s="302"/>
      <c r="L51" s="446"/>
      <c r="M51" s="446"/>
    </row>
    <row r="52" spans="2:14" s="35" customFormat="1" ht="14.25" customHeight="1" x14ac:dyDescent="0.25"/>
    <row r="53" spans="2:14" s="35" customFormat="1" ht="14.25" hidden="1" customHeight="1" x14ac:dyDescent="0.25">
      <c r="B53" s="4"/>
      <c r="C53" s="4" t="str">
        <f>IF(Inventory!$C$17&lt;&gt;"only 2 controllers for 7-Mode",Inventory!$C$17,"")</f>
        <v/>
      </c>
      <c r="G53" s="6"/>
    </row>
    <row r="54" spans="2:14" s="35" customFormat="1" ht="14.25" hidden="1" customHeight="1" thickBot="1" x14ac:dyDescent="0.3">
      <c r="C54" s="311" t="s">
        <v>186</v>
      </c>
      <c r="D54" s="450"/>
      <c r="E54" s="313" t="s">
        <v>187</v>
      </c>
      <c r="F54" s="311"/>
      <c r="G54" s="311" t="s">
        <v>188</v>
      </c>
      <c r="H54" s="311"/>
      <c r="I54" s="311"/>
      <c r="J54" s="311"/>
      <c r="K54" s="311"/>
      <c r="L54" s="311" t="s">
        <v>189</v>
      </c>
      <c r="M54" s="311"/>
    </row>
    <row r="55" spans="2:14" s="35" customFormat="1" ht="14.25" hidden="1" customHeight="1" x14ac:dyDescent="0.25">
      <c r="C55" s="302" t="str">
        <f>IF(C35&lt;&gt;0,C35,"")</f>
        <v>e0M</v>
      </c>
      <c r="D55" s="447"/>
      <c r="E55" s="448" t="str">
        <f>IF(E35&lt;&gt;0,E35,"")</f>
        <v>100MbE</v>
      </c>
      <c r="F55" s="449"/>
      <c r="G55" s="302"/>
      <c r="H55" s="302"/>
      <c r="I55" s="302"/>
      <c r="J55" s="302"/>
      <c r="K55" s="302"/>
      <c r="L55" s="446"/>
      <c r="M55" s="446"/>
    </row>
    <row r="56" spans="2:14" s="35" customFormat="1" ht="14.25" hidden="1" customHeight="1" x14ac:dyDescent="0.25">
      <c r="C56" s="302" t="str">
        <f>IF(C36&lt;&gt;0,C36,"")</f>
        <v>e0a</v>
      </c>
      <c r="D56" s="447"/>
      <c r="E56" s="448" t="str">
        <f>IF(E36&lt;&gt;0,E36,"")</f>
        <v/>
      </c>
      <c r="F56" s="449"/>
      <c r="G56" s="302"/>
      <c r="H56" s="302"/>
      <c r="I56" s="302"/>
      <c r="J56" s="302"/>
      <c r="K56" s="302"/>
      <c r="L56" s="446"/>
      <c r="M56" s="446"/>
    </row>
    <row r="57" spans="2:14" s="35" customFormat="1" ht="14.25" hidden="1" customHeight="1" x14ac:dyDescent="0.25">
      <c r="C57" s="302" t="str">
        <f>IF(C37&lt;&gt;0,C37,"")</f>
        <v>e0b</v>
      </c>
      <c r="D57" s="447"/>
      <c r="E57" s="448" t="str">
        <f>IF(E37&lt;&gt;0,E37,"")</f>
        <v/>
      </c>
      <c r="F57" s="449"/>
      <c r="G57" s="302"/>
      <c r="H57" s="302"/>
      <c r="I57" s="302"/>
      <c r="J57" s="302"/>
      <c r="K57" s="302"/>
      <c r="L57" s="446"/>
      <c r="M57" s="446"/>
    </row>
    <row r="58" spans="2:14" s="35" customFormat="1" ht="14.25" hidden="1" customHeight="1" x14ac:dyDescent="0.25">
      <c r="C58" s="302" t="str">
        <f t="shared" ref="C58:C67" si="3">IF(C38&lt;&gt;0,C38,"")</f>
        <v>e0c</v>
      </c>
      <c r="D58" s="447"/>
      <c r="E58" s="448" t="str">
        <f t="shared" ref="E58:E67" si="4">IF(E38&lt;&gt;0,E38,"")</f>
        <v/>
      </c>
      <c r="F58" s="449"/>
      <c r="G58" s="302"/>
      <c r="H58" s="302"/>
      <c r="I58" s="302"/>
      <c r="J58" s="302"/>
      <c r="K58" s="302"/>
      <c r="L58" s="446"/>
      <c r="M58" s="446"/>
    </row>
    <row r="59" spans="2:14" s="35" customFormat="1" ht="14.25" hidden="1" customHeight="1" x14ac:dyDescent="0.25">
      <c r="C59" s="302" t="str">
        <f t="shared" si="3"/>
        <v>e0d</v>
      </c>
      <c r="D59" s="447"/>
      <c r="E59" s="448" t="str">
        <f t="shared" si="4"/>
        <v/>
      </c>
      <c r="F59" s="449"/>
      <c r="G59" s="302"/>
      <c r="H59" s="302"/>
      <c r="I59" s="302"/>
      <c r="J59" s="302"/>
      <c r="K59" s="302"/>
      <c r="L59" s="446"/>
      <c r="M59" s="446"/>
    </row>
    <row r="60" spans="2:14" s="35" customFormat="1" ht="14.25" hidden="1" customHeight="1" x14ac:dyDescent="0.25">
      <c r="C60" s="302" t="str">
        <f t="shared" si="3"/>
        <v>e0e</v>
      </c>
      <c r="D60" s="447"/>
      <c r="E60" s="448" t="str">
        <f t="shared" si="4"/>
        <v/>
      </c>
      <c r="F60" s="449"/>
      <c r="G60" s="302"/>
      <c r="H60" s="302"/>
      <c r="I60" s="302"/>
      <c r="J60" s="302"/>
      <c r="K60" s="302"/>
      <c r="L60" s="446"/>
      <c r="M60" s="446"/>
    </row>
    <row r="61" spans="2:14" s="35" customFormat="1" ht="14.25" hidden="1" customHeight="1" x14ac:dyDescent="0.25">
      <c r="C61" s="302" t="str">
        <f t="shared" si="3"/>
        <v>e0f</v>
      </c>
      <c r="D61" s="447"/>
      <c r="E61" s="448" t="str">
        <f t="shared" si="4"/>
        <v/>
      </c>
      <c r="F61" s="449"/>
      <c r="G61" s="302"/>
      <c r="H61" s="302"/>
      <c r="I61" s="302"/>
      <c r="J61" s="302"/>
      <c r="K61" s="302"/>
      <c r="L61" s="446"/>
      <c r="M61" s="446"/>
    </row>
    <row r="62" spans="2:14" s="35" customFormat="1" ht="14.25" hidden="1" customHeight="1" x14ac:dyDescent="0.25">
      <c r="C62" s="302" t="str">
        <f t="shared" si="3"/>
        <v>e0g</v>
      </c>
      <c r="D62" s="447"/>
      <c r="E62" s="448" t="str">
        <f t="shared" si="4"/>
        <v/>
      </c>
      <c r="F62" s="449"/>
      <c r="G62" s="302"/>
      <c r="H62" s="302"/>
      <c r="I62" s="302"/>
      <c r="J62" s="302"/>
      <c r="K62" s="302"/>
      <c r="L62" s="446"/>
      <c r="M62" s="446"/>
    </row>
    <row r="63" spans="2:14" s="35" customFormat="1" ht="14.25" hidden="1" customHeight="1" x14ac:dyDescent="0.25">
      <c r="C63" s="302" t="str">
        <f t="shared" si="3"/>
        <v>e0h</v>
      </c>
      <c r="D63" s="447"/>
      <c r="E63" s="448" t="str">
        <f t="shared" si="4"/>
        <v/>
      </c>
      <c r="F63" s="449"/>
      <c r="G63" s="302"/>
      <c r="H63" s="302"/>
      <c r="I63" s="302"/>
      <c r="J63" s="302"/>
      <c r="K63" s="302"/>
      <c r="L63" s="446"/>
      <c r="M63" s="446"/>
    </row>
    <row r="64" spans="2:14" s="35" customFormat="1" ht="14.25" hidden="1" customHeight="1" x14ac:dyDescent="0.25">
      <c r="C64" s="302" t="str">
        <f t="shared" si="3"/>
        <v>e0i</v>
      </c>
      <c r="D64" s="447"/>
      <c r="E64" s="448" t="str">
        <f t="shared" si="4"/>
        <v/>
      </c>
      <c r="F64" s="449"/>
      <c r="G64" s="302">
        <v>1852</v>
      </c>
      <c r="H64" s="302"/>
      <c r="I64" s="302"/>
      <c r="J64" s="302"/>
      <c r="K64" s="302"/>
      <c r="L64" s="446"/>
      <c r="M64" s="446"/>
      <c r="N64" s="35" t="s">
        <v>1378</v>
      </c>
    </row>
    <row r="65" spans="2:13" s="35" customFormat="1" ht="14.25" hidden="1" customHeight="1" x14ac:dyDescent="0.25">
      <c r="C65" s="302" t="str">
        <f t="shared" si="3"/>
        <v>e0j</v>
      </c>
      <c r="D65" s="447"/>
      <c r="E65" s="448" t="str">
        <f t="shared" si="4"/>
        <v/>
      </c>
      <c r="F65" s="449"/>
      <c r="G65" s="302"/>
      <c r="H65" s="302"/>
      <c r="I65" s="302"/>
      <c r="J65" s="302"/>
      <c r="K65" s="302"/>
      <c r="L65" s="446"/>
      <c r="M65" s="446"/>
    </row>
    <row r="66" spans="2:13" s="35" customFormat="1" ht="14.25" hidden="1" customHeight="1" x14ac:dyDescent="0.25">
      <c r="C66" s="302" t="str">
        <f t="shared" si="3"/>
        <v>e0k</v>
      </c>
      <c r="D66" s="447"/>
      <c r="E66" s="448" t="str">
        <f t="shared" si="4"/>
        <v/>
      </c>
      <c r="F66" s="449"/>
      <c r="G66" s="302"/>
      <c r="H66" s="302"/>
      <c r="I66" s="302"/>
      <c r="J66" s="302"/>
      <c r="K66" s="302"/>
      <c r="L66" s="446"/>
      <c r="M66" s="446"/>
    </row>
    <row r="67" spans="2:13" s="35" customFormat="1" ht="14.25" hidden="1" customHeight="1" x14ac:dyDescent="0.25">
      <c r="C67" s="302" t="str">
        <f t="shared" si="3"/>
        <v>e0l</v>
      </c>
      <c r="D67" s="447"/>
      <c r="E67" s="448" t="str">
        <f t="shared" si="4"/>
        <v/>
      </c>
      <c r="F67" s="449"/>
      <c r="G67" s="302"/>
      <c r="H67" s="302"/>
      <c r="I67" s="302"/>
      <c r="J67" s="302"/>
      <c r="K67" s="302"/>
      <c r="L67" s="446"/>
      <c r="M67" s="446"/>
    </row>
    <row r="68" spans="2:13" s="35" customFormat="1" ht="14.25" hidden="1" customHeight="1" x14ac:dyDescent="0.25">
      <c r="C68" s="302" t="str">
        <f>IF(C48&lt;&gt;0,C48,"")</f>
        <v>e1a</v>
      </c>
      <c r="D68" s="447"/>
      <c r="E68" s="448" t="str">
        <f>IF(E48&lt;&gt;0,E48,"")</f>
        <v/>
      </c>
      <c r="F68" s="449"/>
      <c r="G68" s="302"/>
      <c r="H68" s="302"/>
      <c r="I68" s="302"/>
      <c r="J68" s="302"/>
      <c r="K68" s="302"/>
      <c r="L68" s="446"/>
      <c r="M68" s="446"/>
    </row>
    <row r="69" spans="2:13" s="35" customFormat="1" ht="14.25" hidden="1" customHeight="1" x14ac:dyDescent="0.25">
      <c r="C69" s="302" t="str">
        <f>IF(C49&lt;&gt;0,C49,"")</f>
        <v>e2a</v>
      </c>
      <c r="D69" s="447"/>
      <c r="E69" s="448" t="str">
        <f>IF(E49&lt;&gt;0,E49,"")</f>
        <v/>
      </c>
      <c r="F69" s="449"/>
      <c r="G69" s="302"/>
      <c r="H69" s="302"/>
      <c r="I69" s="302"/>
      <c r="J69" s="302"/>
      <c r="K69" s="302"/>
      <c r="L69" s="446"/>
      <c r="M69" s="446"/>
    </row>
    <row r="70" spans="2:13" s="35" customFormat="1" ht="14.25" hidden="1" customHeight="1" x14ac:dyDescent="0.25">
      <c r="C70" s="302" t="str">
        <f>IF(C50&lt;&gt;0,C50,"")</f>
        <v>e3a</v>
      </c>
      <c r="D70" s="447"/>
      <c r="E70" s="448" t="str">
        <f>IF(E50&lt;&gt;0,E50,"")</f>
        <v/>
      </c>
      <c r="F70" s="449"/>
      <c r="G70" s="302"/>
      <c r="H70" s="302"/>
      <c r="I70" s="302"/>
      <c r="J70" s="302"/>
      <c r="K70" s="302"/>
      <c r="L70" s="446"/>
      <c r="M70" s="446"/>
    </row>
    <row r="71" spans="2:13" s="35" customFormat="1" ht="14.25" hidden="1" customHeight="1" x14ac:dyDescent="0.25">
      <c r="C71" s="302" t="str">
        <f>IF(C51&lt;&gt;0,C51,"")</f>
        <v>e4a</v>
      </c>
      <c r="D71" s="447"/>
      <c r="E71" s="448" t="str">
        <f>IF(E51&lt;&gt;0,E51,"")</f>
        <v/>
      </c>
      <c r="F71" s="449"/>
      <c r="G71" s="302"/>
      <c r="H71" s="302"/>
      <c r="I71" s="302"/>
      <c r="J71" s="302"/>
      <c r="K71" s="302"/>
      <c r="L71" s="446"/>
      <c r="M71" s="446"/>
    </row>
    <row r="72" spans="2:13" s="35" customFormat="1" ht="14.25" hidden="1" customHeight="1" x14ac:dyDescent="0.25">
      <c r="M72" s="36" t="s">
        <v>491</v>
      </c>
    </row>
    <row r="73" spans="2:13" s="35" customFormat="1" ht="14.25" hidden="1" customHeight="1" x14ac:dyDescent="0.25">
      <c r="B73" s="4"/>
      <c r="C73" s="4" t="str">
        <f>IF(Inventory!$C$18&lt;&gt;"only 2 controllers for 7-Mode",Inventory!$C$18,"")</f>
        <v/>
      </c>
      <c r="G73" s="6"/>
    </row>
    <row r="74" spans="2:13" s="35" customFormat="1" ht="14.25" hidden="1" customHeight="1" thickBot="1" x14ac:dyDescent="0.3">
      <c r="C74" s="311" t="s">
        <v>186</v>
      </c>
      <c r="D74" s="450"/>
      <c r="E74" s="313" t="s">
        <v>187</v>
      </c>
      <c r="F74" s="311"/>
      <c r="G74" s="311" t="s">
        <v>188</v>
      </c>
      <c r="H74" s="311"/>
      <c r="I74" s="311"/>
      <c r="J74" s="311"/>
      <c r="K74" s="311"/>
      <c r="L74" s="311" t="s">
        <v>189</v>
      </c>
      <c r="M74" s="311"/>
    </row>
    <row r="75" spans="2:13" s="35" customFormat="1" ht="14.25" hidden="1" customHeight="1" x14ac:dyDescent="0.25">
      <c r="C75" s="302" t="str">
        <f>IF(C55&lt;&gt;0,C55,"")</f>
        <v>e0M</v>
      </c>
      <c r="D75" s="447"/>
      <c r="E75" s="448" t="str">
        <f>IF(E55&lt;&gt;0,E55,"")</f>
        <v>100MbE</v>
      </c>
      <c r="F75" s="449"/>
      <c r="G75" s="302"/>
      <c r="H75" s="302"/>
      <c r="I75" s="302"/>
      <c r="J75" s="302"/>
      <c r="K75" s="302"/>
      <c r="L75" s="446"/>
      <c r="M75" s="446"/>
    </row>
    <row r="76" spans="2:13" s="35" customFormat="1" ht="14.25" hidden="1" customHeight="1" x14ac:dyDescent="0.25">
      <c r="C76" s="302" t="str">
        <f>IF(C56&lt;&gt;0,C56,"")</f>
        <v>e0a</v>
      </c>
      <c r="D76" s="447"/>
      <c r="E76" s="448" t="str">
        <f>IF(E56&lt;&gt;0,E56,"")</f>
        <v/>
      </c>
      <c r="F76" s="449"/>
      <c r="G76" s="302"/>
      <c r="H76" s="302"/>
      <c r="I76" s="302"/>
      <c r="J76" s="302"/>
      <c r="K76" s="302"/>
      <c r="L76" s="446"/>
      <c r="M76" s="446"/>
    </row>
    <row r="77" spans="2:13" s="35" customFormat="1" ht="14.25" hidden="1" customHeight="1" x14ac:dyDescent="0.25">
      <c r="C77" s="302" t="str">
        <f>IF(C57&lt;&gt;0,C57,"")</f>
        <v>e0b</v>
      </c>
      <c r="D77" s="447"/>
      <c r="E77" s="448" t="str">
        <f>IF(E57&lt;&gt;0,E57,"")</f>
        <v/>
      </c>
      <c r="F77" s="449"/>
      <c r="G77" s="302"/>
      <c r="H77" s="302"/>
      <c r="I77" s="302"/>
      <c r="J77" s="302"/>
      <c r="K77" s="302"/>
      <c r="L77" s="446"/>
      <c r="M77" s="446"/>
    </row>
    <row r="78" spans="2:13" s="35" customFormat="1" ht="14.25" hidden="1" customHeight="1" x14ac:dyDescent="0.25">
      <c r="C78" s="302" t="str">
        <f t="shared" ref="C78:C87" si="5">IF(C58&lt;&gt;0,C58,"")</f>
        <v>e0c</v>
      </c>
      <c r="D78" s="447"/>
      <c r="E78" s="448" t="str">
        <f t="shared" ref="E78:E87" si="6">IF(E58&lt;&gt;0,E58,"")</f>
        <v/>
      </c>
      <c r="F78" s="449"/>
      <c r="G78" s="302"/>
      <c r="H78" s="302"/>
      <c r="I78" s="302"/>
      <c r="J78" s="302"/>
      <c r="K78" s="302"/>
      <c r="L78" s="446"/>
      <c r="M78" s="446"/>
    </row>
    <row r="79" spans="2:13" s="35" customFormat="1" ht="14.25" hidden="1" customHeight="1" x14ac:dyDescent="0.25">
      <c r="C79" s="302" t="str">
        <f t="shared" si="5"/>
        <v>e0d</v>
      </c>
      <c r="D79" s="447"/>
      <c r="E79" s="448" t="str">
        <f t="shared" si="6"/>
        <v/>
      </c>
      <c r="F79" s="449"/>
      <c r="G79" s="302"/>
      <c r="H79" s="302"/>
      <c r="I79" s="302"/>
      <c r="J79" s="302"/>
      <c r="K79" s="302"/>
      <c r="L79" s="446"/>
      <c r="M79" s="446"/>
    </row>
    <row r="80" spans="2:13" s="35" customFormat="1" ht="14.25" hidden="1" customHeight="1" x14ac:dyDescent="0.25">
      <c r="C80" s="302" t="str">
        <f t="shared" si="5"/>
        <v>e0e</v>
      </c>
      <c r="D80" s="447"/>
      <c r="E80" s="448" t="str">
        <f t="shared" si="6"/>
        <v/>
      </c>
      <c r="F80" s="449"/>
      <c r="G80" s="302"/>
      <c r="H80" s="302"/>
      <c r="I80" s="302"/>
      <c r="J80" s="302"/>
      <c r="K80" s="302"/>
      <c r="L80" s="446"/>
      <c r="M80" s="446"/>
    </row>
    <row r="81" spans="2:13" s="35" customFormat="1" ht="14.25" hidden="1" customHeight="1" x14ac:dyDescent="0.25">
      <c r="C81" s="302" t="str">
        <f t="shared" si="5"/>
        <v>e0f</v>
      </c>
      <c r="D81" s="447"/>
      <c r="E81" s="448" t="str">
        <f t="shared" si="6"/>
        <v/>
      </c>
      <c r="F81" s="449"/>
      <c r="G81" s="302"/>
      <c r="H81" s="302"/>
      <c r="I81" s="302"/>
      <c r="J81" s="302"/>
      <c r="K81" s="302"/>
      <c r="L81" s="446"/>
      <c r="M81" s="446"/>
    </row>
    <row r="82" spans="2:13" s="35" customFormat="1" ht="14.25" hidden="1" customHeight="1" x14ac:dyDescent="0.25">
      <c r="C82" s="302" t="str">
        <f t="shared" si="5"/>
        <v>e0g</v>
      </c>
      <c r="D82" s="447"/>
      <c r="E82" s="448" t="str">
        <f t="shared" si="6"/>
        <v/>
      </c>
      <c r="F82" s="449"/>
      <c r="G82" s="302"/>
      <c r="H82" s="302"/>
      <c r="I82" s="302"/>
      <c r="J82" s="302"/>
      <c r="K82" s="302"/>
      <c r="L82" s="446"/>
      <c r="M82" s="446"/>
    </row>
    <row r="83" spans="2:13" s="35" customFormat="1" ht="14.25" hidden="1" customHeight="1" x14ac:dyDescent="0.25">
      <c r="C83" s="302" t="str">
        <f t="shared" si="5"/>
        <v>e0h</v>
      </c>
      <c r="D83" s="447"/>
      <c r="E83" s="448" t="str">
        <f t="shared" si="6"/>
        <v/>
      </c>
      <c r="F83" s="449"/>
      <c r="G83" s="302"/>
      <c r="H83" s="302"/>
      <c r="I83" s="302"/>
      <c r="J83" s="302"/>
      <c r="K83" s="302"/>
      <c r="L83" s="446"/>
      <c r="M83" s="446"/>
    </row>
    <row r="84" spans="2:13" s="35" customFormat="1" ht="14.25" hidden="1" customHeight="1" x14ac:dyDescent="0.25">
      <c r="C84" s="302" t="str">
        <f t="shared" si="5"/>
        <v>e0i</v>
      </c>
      <c r="D84" s="447"/>
      <c r="E84" s="448" t="str">
        <f t="shared" si="6"/>
        <v/>
      </c>
      <c r="F84" s="449"/>
      <c r="G84" s="302"/>
      <c r="H84" s="302"/>
      <c r="I84" s="302"/>
      <c r="J84" s="302"/>
      <c r="K84" s="302"/>
      <c r="L84" s="446"/>
      <c r="M84" s="446"/>
    </row>
    <row r="85" spans="2:13" s="35" customFormat="1" ht="14.25" hidden="1" customHeight="1" x14ac:dyDescent="0.25">
      <c r="C85" s="302" t="str">
        <f t="shared" si="5"/>
        <v>e0j</v>
      </c>
      <c r="D85" s="447"/>
      <c r="E85" s="448" t="str">
        <f t="shared" si="6"/>
        <v/>
      </c>
      <c r="F85" s="449"/>
      <c r="G85" s="302"/>
      <c r="H85" s="302"/>
      <c r="I85" s="302"/>
      <c r="J85" s="302"/>
      <c r="K85" s="302"/>
      <c r="L85" s="446"/>
      <c r="M85" s="446"/>
    </row>
    <row r="86" spans="2:13" s="35" customFormat="1" ht="14.25" hidden="1" customHeight="1" x14ac:dyDescent="0.25">
      <c r="C86" s="302" t="str">
        <f t="shared" si="5"/>
        <v>e0k</v>
      </c>
      <c r="D86" s="447"/>
      <c r="E86" s="448" t="str">
        <f t="shared" si="6"/>
        <v/>
      </c>
      <c r="F86" s="449"/>
      <c r="G86" s="302"/>
      <c r="H86" s="302"/>
      <c r="I86" s="302"/>
      <c r="J86" s="302"/>
      <c r="K86" s="302"/>
      <c r="L86" s="446"/>
      <c r="M86" s="446"/>
    </row>
    <row r="87" spans="2:13" s="35" customFormat="1" ht="14.25" hidden="1" customHeight="1" x14ac:dyDescent="0.25">
      <c r="C87" s="302" t="str">
        <f t="shared" si="5"/>
        <v>e0l</v>
      </c>
      <c r="D87" s="447"/>
      <c r="E87" s="448" t="str">
        <f t="shared" si="6"/>
        <v/>
      </c>
      <c r="F87" s="449"/>
      <c r="G87" s="302"/>
      <c r="H87" s="302"/>
      <c r="I87" s="302"/>
      <c r="J87" s="302"/>
      <c r="K87" s="302"/>
      <c r="L87" s="446"/>
      <c r="M87" s="446"/>
    </row>
    <row r="88" spans="2:13" s="35" customFormat="1" ht="14.25" hidden="1" customHeight="1" x14ac:dyDescent="0.25">
      <c r="C88" s="302" t="str">
        <f>IF(C68&lt;&gt;0,C68,"")</f>
        <v>e1a</v>
      </c>
      <c r="D88" s="447"/>
      <c r="E88" s="448" t="str">
        <f>IF(E68&lt;&gt;0,E68,"")</f>
        <v/>
      </c>
      <c r="F88" s="449"/>
      <c r="G88" s="302"/>
      <c r="H88" s="302"/>
      <c r="I88" s="302"/>
      <c r="J88" s="302"/>
      <c r="K88" s="302"/>
      <c r="L88" s="446"/>
      <c r="M88" s="446"/>
    </row>
    <row r="89" spans="2:13" s="35" customFormat="1" ht="14.25" hidden="1" customHeight="1" x14ac:dyDescent="0.25">
      <c r="C89" s="302" t="str">
        <f>IF(C69&lt;&gt;0,C69,"")</f>
        <v>e2a</v>
      </c>
      <c r="D89" s="447"/>
      <c r="E89" s="448" t="str">
        <f>IF(E69&lt;&gt;0,E69,"")</f>
        <v/>
      </c>
      <c r="F89" s="449"/>
      <c r="G89" s="302"/>
      <c r="H89" s="302"/>
      <c r="I89" s="302"/>
      <c r="J89" s="302"/>
      <c r="K89" s="302"/>
      <c r="L89" s="446"/>
      <c r="M89" s="446"/>
    </row>
    <row r="90" spans="2:13" s="35" customFormat="1" ht="14.25" hidden="1" customHeight="1" x14ac:dyDescent="0.25">
      <c r="C90" s="302" t="str">
        <f>IF(C70&lt;&gt;0,C70,"")</f>
        <v>e3a</v>
      </c>
      <c r="D90" s="447"/>
      <c r="E90" s="448" t="str">
        <f>IF(E70&lt;&gt;0,E70,"")</f>
        <v/>
      </c>
      <c r="F90" s="449"/>
      <c r="G90" s="302"/>
      <c r="H90" s="302"/>
      <c r="I90" s="302"/>
      <c r="J90" s="302"/>
      <c r="K90" s="302"/>
      <c r="L90" s="446"/>
      <c r="M90" s="446"/>
    </row>
    <row r="91" spans="2:13" s="35" customFormat="1" ht="14.25" hidden="1" customHeight="1" x14ac:dyDescent="0.25">
      <c r="C91" s="302" t="str">
        <f>IF(C71&lt;&gt;0,C71,"")</f>
        <v>e4a</v>
      </c>
      <c r="D91" s="447"/>
      <c r="E91" s="448" t="str">
        <f>IF(E71&lt;&gt;0,E71,"")</f>
        <v/>
      </c>
      <c r="F91" s="449"/>
      <c r="G91" s="302"/>
      <c r="H91" s="302"/>
      <c r="I91" s="302"/>
      <c r="J91" s="302"/>
      <c r="K91" s="302"/>
      <c r="L91" s="446"/>
      <c r="M91" s="446"/>
    </row>
    <row r="92" spans="2:13" s="35" customFormat="1" ht="14.25" hidden="1" customHeight="1" x14ac:dyDescent="0.25">
      <c r="M92" s="36" t="s">
        <v>491</v>
      </c>
    </row>
    <row r="93" spans="2:13" s="35" customFormat="1" ht="14.25" hidden="1" customHeight="1" x14ac:dyDescent="0.25">
      <c r="B93" s="4"/>
      <c r="C93" s="4" t="str">
        <f>IF(Inventory!$C$19&lt;&gt;"only 2 controllers for 7-Mode",Inventory!$C$19,"")</f>
        <v/>
      </c>
      <c r="G93" s="6"/>
    </row>
    <row r="94" spans="2:13" s="35" customFormat="1" ht="14.25" hidden="1" customHeight="1" thickBot="1" x14ac:dyDescent="0.3">
      <c r="C94" s="311" t="s">
        <v>186</v>
      </c>
      <c r="D94" s="450"/>
      <c r="E94" s="313" t="s">
        <v>187</v>
      </c>
      <c r="F94" s="311"/>
      <c r="G94" s="311" t="s">
        <v>188</v>
      </c>
      <c r="H94" s="311"/>
      <c r="I94" s="311"/>
      <c r="J94" s="311"/>
      <c r="K94" s="311"/>
      <c r="L94" s="311" t="s">
        <v>189</v>
      </c>
      <c r="M94" s="311"/>
    </row>
    <row r="95" spans="2:13" s="35" customFormat="1" ht="14.25" hidden="1" customHeight="1" x14ac:dyDescent="0.25">
      <c r="C95" s="302" t="str">
        <f>IF(C75&lt;&gt;0,C75,"")</f>
        <v>e0M</v>
      </c>
      <c r="D95" s="447"/>
      <c r="E95" s="448" t="str">
        <f>IF(E75&lt;&gt;0,E75,"")</f>
        <v>100MbE</v>
      </c>
      <c r="F95" s="449"/>
      <c r="G95" s="302"/>
      <c r="H95" s="302"/>
      <c r="I95" s="302"/>
      <c r="J95" s="302"/>
      <c r="K95" s="302"/>
      <c r="L95" s="446"/>
      <c r="M95" s="446"/>
    </row>
    <row r="96" spans="2:13" s="35" customFormat="1" ht="14.25" hidden="1" customHeight="1" x14ac:dyDescent="0.25">
      <c r="C96" s="302" t="str">
        <f>IF(C76&lt;&gt;0,C76,"")</f>
        <v>e0a</v>
      </c>
      <c r="D96" s="447"/>
      <c r="E96" s="448" t="str">
        <f>IF(E76&lt;&gt;0,E76,"")</f>
        <v/>
      </c>
      <c r="F96" s="449"/>
      <c r="G96" s="302"/>
      <c r="H96" s="302"/>
      <c r="I96" s="302"/>
      <c r="J96" s="302"/>
      <c r="K96" s="302"/>
      <c r="L96" s="446"/>
      <c r="M96" s="446"/>
    </row>
    <row r="97" spans="3:13" s="35" customFormat="1" ht="14.25" hidden="1" customHeight="1" x14ac:dyDescent="0.25">
      <c r="C97" s="302" t="str">
        <f>IF(C77&lt;&gt;0,C77,"")</f>
        <v>e0b</v>
      </c>
      <c r="D97" s="447"/>
      <c r="E97" s="448" t="str">
        <f>IF(E77&lt;&gt;0,E77,"")</f>
        <v/>
      </c>
      <c r="F97" s="449"/>
      <c r="G97" s="302"/>
      <c r="H97" s="302"/>
      <c r="I97" s="302"/>
      <c r="J97" s="302"/>
      <c r="K97" s="302"/>
      <c r="L97" s="446"/>
      <c r="M97" s="446"/>
    </row>
    <row r="98" spans="3:13" s="35" customFormat="1" ht="14.25" hidden="1" customHeight="1" x14ac:dyDescent="0.25">
      <c r="C98" s="302" t="str">
        <f t="shared" ref="C98:C107" si="7">IF(C78&lt;&gt;0,C78,"")</f>
        <v>e0c</v>
      </c>
      <c r="D98" s="447"/>
      <c r="E98" s="448" t="str">
        <f t="shared" ref="E98:E107" si="8">IF(E78&lt;&gt;0,E78,"")</f>
        <v/>
      </c>
      <c r="F98" s="449"/>
      <c r="G98" s="302"/>
      <c r="H98" s="302"/>
      <c r="I98" s="302"/>
      <c r="J98" s="302"/>
      <c r="K98" s="302"/>
      <c r="L98" s="446"/>
      <c r="M98" s="446"/>
    </row>
    <row r="99" spans="3:13" s="35" customFormat="1" ht="14.25" hidden="1" customHeight="1" x14ac:dyDescent="0.25">
      <c r="C99" s="302" t="str">
        <f t="shared" si="7"/>
        <v>e0d</v>
      </c>
      <c r="D99" s="447"/>
      <c r="E99" s="448" t="str">
        <f t="shared" si="8"/>
        <v/>
      </c>
      <c r="F99" s="449"/>
      <c r="G99" s="302"/>
      <c r="H99" s="302"/>
      <c r="I99" s="302"/>
      <c r="J99" s="302"/>
      <c r="K99" s="302"/>
      <c r="L99" s="446"/>
      <c r="M99" s="446"/>
    </row>
    <row r="100" spans="3:13" s="35" customFormat="1" ht="14.25" hidden="1" customHeight="1" x14ac:dyDescent="0.25">
      <c r="C100" s="302" t="str">
        <f t="shared" si="7"/>
        <v>e0e</v>
      </c>
      <c r="D100" s="447"/>
      <c r="E100" s="448" t="str">
        <f t="shared" si="8"/>
        <v/>
      </c>
      <c r="F100" s="449"/>
      <c r="G100" s="302"/>
      <c r="H100" s="302"/>
      <c r="I100" s="302"/>
      <c r="J100" s="302"/>
      <c r="K100" s="302"/>
      <c r="L100" s="446"/>
      <c r="M100" s="446"/>
    </row>
    <row r="101" spans="3:13" s="35" customFormat="1" ht="14.25" hidden="1" customHeight="1" x14ac:dyDescent="0.25">
      <c r="C101" s="302" t="str">
        <f t="shared" si="7"/>
        <v>e0f</v>
      </c>
      <c r="D101" s="447"/>
      <c r="E101" s="448" t="str">
        <f t="shared" si="8"/>
        <v/>
      </c>
      <c r="F101" s="449"/>
      <c r="G101" s="302"/>
      <c r="H101" s="302"/>
      <c r="I101" s="302"/>
      <c r="J101" s="302"/>
      <c r="K101" s="302"/>
      <c r="L101" s="446"/>
      <c r="M101" s="446"/>
    </row>
    <row r="102" spans="3:13" s="35" customFormat="1" ht="14.25" hidden="1" customHeight="1" x14ac:dyDescent="0.25">
      <c r="C102" s="302" t="str">
        <f t="shared" si="7"/>
        <v>e0g</v>
      </c>
      <c r="D102" s="447"/>
      <c r="E102" s="448" t="str">
        <f t="shared" si="8"/>
        <v/>
      </c>
      <c r="F102" s="449"/>
      <c r="G102" s="302"/>
      <c r="H102" s="302"/>
      <c r="I102" s="302"/>
      <c r="J102" s="302"/>
      <c r="K102" s="302"/>
      <c r="L102" s="446"/>
      <c r="M102" s="446"/>
    </row>
    <row r="103" spans="3:13" s="35" customFormat="1" ht="14.25" hidden="1" customHeight="1" x14ac:dyDescent="0.25">
      <c r="C103" s="302" t="str">
        <f t="shared" si="7"/>
        <v>e0h</v>
      </c>
      <c r="D103" s="447"/>
      <c r="E103" s="448" t="str">
        <f t="shared" si="8"/>
        <v/>
      </c>
      <c r="F103" s="449"/>
      <c r="G103" s="302"/>
      <c r="H103" s="302"/>
      <c r="I103" s="302"/>
      <c r="J103" s="302"/>
      <c r="K103" s="302"/>
      <c r="L103" s="446"/>
      <c r="M103" s="446"/>
    </row>
    <row r="104" spans="3:13" s="35" customFormat="1" ht="14.25" hidden="1" customHeight="1" x14ac:dyDescent="0.25">
      <c r="C104" s="302" t="str">
        <f t="shared" si="7"/>
        <v>e0i</v>
      </c>
      <c r="D104" s="447"/>
      <c r="E104" s="448" t="str">
        <f t="shared" si="8"/>
        <v/>
      </c>
      <c r="F104" s="449"/>
      <c r="G104" s="302"/>
      <c r="H104" s="302"/>
      <c r="I104" s="302"/>
      <c r="J104" s="302"/>
      <c r="K104" s="302"/>
      <c r="L104" s="446"/>
      <c r="M104" s="446"/>
    </row>
    <row r="105" spans="3:13" s="35" customFormat="1" ht="14.25" hidden="1" customHeight="1" x14ac:dyDescent="0.25">
      <c r="C105" s="302" t="str">
        <f t="shared" si="7"/>
        <v>e0j</v>
      </c>
      <c r="D105" s="447"/>
      <c r="E105" s="448" t="str">
        <f t="shared" si="8"/>
        <v/>
      </c>
      <c r="F105" s="449"/>
      <c r="G105" s="302"/>
      <c r="H105" s="302"/>
      <c r="I105" s="302"/>
      <c r="J105" s="302"/>
      <c r="K105" s="302"/>
      <c r="L105" s="446"/>
      <c r="M105" s="446"/>
    </row>
    <row r="106" spans="3:13" s="35" customFormat="1" ht="14.25" hidden="1" customHeight="1" x14ac:dyDescent="0.25">
      <c r="C106" s="302" t="str">
        <f t="shared" si="7"/>
        <v>e0k</v>
      </c>
      <c r="D106" s="447"/>
      <c r="E106" s="448" t="str">
        <f t="shared" si="8"/>
        <v/>
      </c>
      <c r="F106" s="449"/>
      <c r="G106" s="302"/>
      <c r="H106" s="302"/>
      <c r="I106" s="302"/>
      <c r="J106" s="302"/>
      <c r="K106" s="302"/>
      <c r="L106" s="446"/>
      <c r="M106" s="446"/>
    </row>
    <row r="107" spans="3:13" s="35" customFormat="1" ht="14.25" hidden="1" customHeight="1" x14ac:dyDescent="0.25">
      <c r="C107" s="302" t="str">
        <f t="shared" si="7"/>
        <v>e0l</v>
      </c>
      <c r="D107" s="447"/>
      <c r="E107" s="448" t="str">
        <f t="shared" si="8"/>
        <v/>
      </c>
      <c r="F107" s="449"/>
      <c r="G107" s="302"/>
      <c r="H107" s="302"/>
      <c r="I107" s="302"/>
      <c r="J107" s="302"/>
      <c r="K107" s="302"/>
      <c r="L107" s="446"/>
      <c r="M107" s="446"/>
    </row>
    <row r="108" spans="3:13" s="35" customFormat="1" ht="14.25" hidden="1" customHeight="1" x14ac:dyDescent="0.25">
      <c r="C108" s="302" t="str">
        <f>IF(C88&lt;&gt;0,C88,"")</f>
        <v>e1a</v>
      </c>
      <c r="D108" s="447"/>
      <c r="E108" s="448" t="str">
        <f>IF(E88&lt;&gt;0,E88,"")</f>
        <v/>
      </c>
      <c r="F108" s="449"/>
      <c r="G108" s="302"/>
      <c r="H108" s="302"/>
      <c r="I108" s="302"/>
      <c r="J108" s="302"/>
      <c r="K108" s="302"/>
      <c r="L108" s="446"/>
      <c r="M108" s="446"/>
    </row>
    <row r="109" spans="3:13" s="35" customFormat="1" ht="14.25" hidden="1" customHeight="1" x14ac:dyDescent="0.25">
      <c r="C109" s="302" t="str">
        <f>IF(C89&lt;&gt;0,C89,"")</f>
        <v>e2a</v>
      </c>
      <c r="D109" s="447"/>
      <c r="E109" s="448" t="str">
        <f>IF(E89&lt;&gt;0,E89,"")</f>
        <v/>
      </c>
      <c r="F109" s="449"/>
      <c r="G109" s="302"/>
      <c r="H109" s="302"/>
      <c r="I109" s="302"/>
      <c r="J109" s="302"/>
      <c r="K109" s="302"/>
      <c r="L109" s="446"/>
      <c r="M109" s="446"/>
    </row>
    <row r="110" spans="3:13" s="35" customFormat="1" ht="14.25" hidden="1" customHeight="1" x14ac:dyDescent="0.25">
      <c r="C110" s="302" t="str">
        <f>IF(C90&lt;&gt;0,C90,"")</f>
        <v>e3a</v>
      </c>
      <c r="D110" s="447"/>
      <c r="E110" s="448" t="str">
        <f>IF(E90&lt;&gt;0,E90,"")</f>
        <v/>
      </c>
      <c r="F110" s="449"/>
      <c r="G110" s="302"/>
      <c r="H110" s="302"/>
      <c r="I110" s="302"/>
      <c r="J110" s="302"/>
      <c r="K110" s="302"/>
      <c r="L110" s="446"/>
      <c r="M110" s="446"/>
    </row>
    <row r="111" spans="3:13" s="35" customFormat="1" ht="14.25" hidden="1" customHeight="1" x14ac:dyDescent="0.25">
      <c r="C111" s="302" t="str">
        <f>IF(C91&lt;&gt;0,C91,"")</f>
        <v>e4a</v>
      </c>
      <c r="D111" s="447"/>
      <c r="E111" s="448" t="str">
        <f>IF(E91&lt;&gt;0,E91,"")</f>
        <v/>
      </c>
      <c r="F111" s="449"/>
      <c r="G111" s="302"/>
      <c r="H111" s="302"/>
      <c r="I111" s="302"/>
      <c r="J111" s="302"/>
      <c r="K111" s="302"/>
      <c r="L111" s="446"/>
      <c r="M111" s="446"/>
    </row>
    <row r="112" spans="3:13" s="35" customFormat="1" ht="14.25" hidden="1" customHeight="1" x14ac:dyDescent="0.25">
      <c r="M112" s="36" t="s">
        <v>491</v>
      </c>
    </row>
    <row r="113" spans="2:13" s="35" customFormat="1" ht="14.25" hidden="1" customHeight="1" x14ac:dyDescent="0.25">
      <c r="B113" s="4"/>
      <c r="C113" s="4" t="str">
        <f>IF(Inventory!$C$20&lt;&gt;"only 2 controllers for 7-Mode",Inventory!$C$20,"")</f>
        <v/>
      </c>
      <c r="G113" s="6"/>
    </row>
    <row r="114" spans="2:13" s="35" customFormat="1" ht="14.25" hidden="1" customHeight="1" thickBot="1" x14ac:dyDescent="0.3">
      <c r="C114" s="311" t="s">
        <v>186</v>
      </c>
      <c r="D114" s="450"/>
      <c r="E114" s="313" t="s">
        <v>187</v>
      </c>
      <c r="F114" s="311"/>
      <c r="G114" s="311" t="s">
        <v>188</v>
      </c>
      <c r="H114" s="311"/>
      <c r="I114" s="311"/>
      <c r="J114" s="311"/>
      <c r="K114" s="311"/>
      <c r="L114" s="311" t="s">
        <v>189</v>
      </c>
      <c r="M114" s="311"/>
    </row>
    <row r="115" spans="2:13" s="35" customFormat="1" ht="14.25" hidden="1" customHeight="1" x14ac:dyDescent="0.25">
      <c r="C115" s="302" t="str">
        <f>IF(C95&lt;&gt;0,C95,"")</f>
        <v>e0M</v>
      </c>
      <c r="D115" s="447"/>
      <c r="E115" s="448" t="str">
        <f>IF(E95&lt;&gt;0,E95,"")</f>
        <v>100MbE</v>
      </c>
      <c r="F115" s="449"/>
      <c r="G115" s="302"/>
      <c r="H115" s="302"/>
      <c r="I115" s="302"/>
      <c r="J115" s="302"/>
      <c r="K115" s="302"/>
      <c r="L115" s="446"/>
      <c r="M115" s="446"/>
    </row>
    <row r="116" spans="2:13" s="35" customFormat="1" ht="14.25" hidden="1" customHeight="1" x14ac:dyDescent="0.25">
      <c r="C116" s="302" t="str">
        <f>IF(C96&lt;&gt;0,C96,"")</f>
        <v>e0a</v>
      </c>
      <c r="D116" s="447"/>
      <c r="E116" s="448" t="str">
        <f>IF(E96&lt;&gt;0,E96,"")</f>
        <v/>
      </c>
      <c r="F116" s="449"/>
      <c r="G116" s="302"/>
      <c r="H116" s="302"/>
      <c r="I116" s="302"/>
      <c r="J116" s="302"/>
      <c r="K116" s="302"/>
      <c r="L116" s="446"/>
      <c r="M116" s="446"/>
    </row>
    <row r="117" spans="2:13" s="35" customFormat="1" ht="14.25" hidden="1" customHeight="1" x14ac:dyDescent="0.25">
      <c r="C117" s="302" t="str">
        <f>IF(C97&lt;&gt;0,C97,"")</f>
        <v>e0b</v>
      </c>
      <c r="D117" s="447"/>
      <c r="E117" s="448" t="str">
        <f>IF(E97&lt;&gt;0,E97,"")</f>
        <v/>
      </c>
      <c r="F117" s="449"/>
      <c r="G117" s="302"/>
      <c r="H117" s="302"/>
      <c r="I117" s="302"/>
      <c r="J117" s="302"/>
      <c r="K117" s="302"/>
      <c r="L117" s="446"/>
      <c r="M117" s="446"/>
    </row>
    <row r="118" spans="2:13" s="35" customFormat="1" ht="14.25" hidden="1" customHeight="1" x14ac:dyDescent="0.25">
      <c r="C118" s="302" t="str">
        <f t="shared" ref="C118:C131" si="9">IF(C98&lt;&gt;0,C98,"")</f>
        <v>e0c</v>
      </c>
      <c r="D118" s="447"/>
      <c r="E118" s="448" t="str">
        <f t="shared" ref="E118:E131" si="10">IF(E98&lt;&gt;0,E98,"")</f>
        <v/>
      </c>
      <c r="F118" s="449"/>
      <c r="G118" s="302"/>
      <c r="H118" s="302"/>
      <c r="I118" s="302"/>
      <c r="J118" s="302"/>
      <c r="K118" s="302"/>
      <c r="L118" s="446"/>
      <c r="M118" s="446"/>
    </row>
    <row r="119" spans="2:13" s="35" customFormat="1" ht="14.25" hidden="1" customHeight="1" x14ac:dyDescent="0.25">
      <c r="C119" s="302" t="str">
        <f t="shared" si="9"/>
        <v>e0d</v>
      </c>
      <c r="D119" s="447"/>
      <c r="E119" s="448" t="str">
        <f t="shared" si="10"/>
        <v/>
      </c>
      <c r="F119" s="449"/>
      <c r="G119" s="302"/>
      <c r="H119" s="302"/>
      <c r="I119" s="302"/>
      <c r="J119" s="302"/>
      <c r="K119" s="302"/>
      <c r="L119" s="446"/>
      <c r="M119" s="446"/>
    </row>
    <row r="120" spans="2:13" s="35" customFormat="1" ht="14.25" hidden="1" customHeight="1" x14ac:dyDescent="0.25">
      <c r="C120" s="302" t="str">
        <f t="shared" si="9"/>
        <v>e0e</v>
      </c>
      <c r="D120" s="447"/>
      <c r="E120" s="448" t="str">
        <f t="shared" si="10"/>
        <v/>
      </c>
      <c r="F120" s="449"/>
      <c r="G120" s="302"/>
      <c r="H120" s="302"/>
      <c r="I120" s="302"/>
      <c r="J120" s="302"/>
      <c r="K120" s="302"/>
      <c r="L120" s="446"/>
      <c r="M120" s="446"/>
    </row>
    <row r="121" spans="2:13" s="35" customFormat="1" ht="14.25" hidden="1" customHeight="1" x14ac:dyDescent="0.25">
      <c r="C121" s="302" t="str">
        <f t="shared" si="9"/>
        <v>e0f</v>
      </c>
      <c r="D121" s="447"/>
      <c r="E121" s="448" t="str">
        <f t="shared" si="10"/>
        <v/>
      </c>
      <c r="F121" s="449"/>
      <c r="G121" s="302"/>
      <c r="H121" s="302"/>
      <c r="I121" s="302"/>
      <c r="J121" s="302"/>
      <c r="K121" s="302"/>
      <c r="L121" s="446"/>
      <c r="M121" s="446"/>
    </row>
    <row r="122" spans="2:13" s="35" customFormat="1" ht="14.25" hidden="1" customHeight="1" x14ac:dyDescent="0.25">
      <c r="C122" s="302" t="str">
        <f t="shared" si="9"/>
        <v>e0g</v>
      </c>
      <c r="D122" s="447"/>
      <c r="E122" s="448" t="str">
        <f t="shared" si="10"/>
        <v/>
      </c>
      <c r="F122" s="449"/>
      <c r="G122" s="302"/>
      <c r="H122" s="302"/>
      <c r="I122" s="302"/>
      <c r="J122" s="302"/>
      <c r="K122" s="302"/>
      <c r="L122" s="446"/>
      <c r="M122" s="446"/>
    </row>
    <row r="123" spans="2:13" s="35" customFormat="1" ht="14.25" hidden="1" customHeight="1" x14ac:dyDescent="0.25">
      <c r="C123" s="302" t="str">
        <f t="shared" si="9"/>
        <v>e0h</v>
      </c>
      <c r="D123" s="447"/>
      <c r="E123" s="448" t="str">
        <f t="shared" si="10"/>
        <v/>
      </c>
      <c r="F123" s="449"/>
      <c r="G123" s="302"/>
      <c r="H123" s="302"/>
      <c r="I123" s="302"/>
      <c r="J123" s="302"/>
      <c r="K123" s="302"/>
      <c r="L123" s="446"/>
      <c r="M123" s="446"/>
    </row>
    <row r="124" spans="2:13" s="35" customFormat="1" ht="14.25" hidden="1" customHeight="1" x14ac:dyDescent="0.25">
      <c r="C124" s="302" t="str">
        <f t="shared" si="9"/>
        <v>e0i</v>
      </c>
      <c r="D124" s="447"/>
      <c r="E124" s="448" t="str">
        <f t="shared" si="10"/>
        <v/>
      </c>
      <c r="F124" s="449"/>
      <c r="G124" s="302"/>
      <c r="H124" s="302"/>
      <c r="I124" s="302"/>
      <c r="J124" s="302"/>
      <c r="K124" s="302"/>
      <c r="L124" s="446"/>
      <c r="M124" s="446"/>
    </row>
    <row r="125" spans="2:13" s="35" customFormat="1" ht="14.25" hidden="1" customHeight="1" x14ac:dyDescent="0.25">
      <c r="C125" s="302" t="str">
        <f t="shared" si="9"/>
        <v>e0j</v>
      </c>
      <c r="D125" s="447"/>
      <c r="E125" s="448" t="str">
        <f t="shared" si="10"/>
        <v/>
      </c>
      <c r="F125" s="449"/>
      <c r="G125" s="302"/>
      <c r="H125" s="302"/>
      <c r="I125" s="302"/>
      <c r="J125" s="302"/>
      <c r="K125" s="302"/>
      <c r="L125" s="446"/>
      <c r="M125" s="446"/>
    </row>
    <row r="126" spans="2:13" s="35" customFormat="1" ht="14.25" hidden="1" customHeight="1" x14ac:dyDescent="0.25">
      <c r="C126" s="302" t="str">
        <f t="shared" si="9"/>
        <v>e0k</v>
      </c>
      <c r="D126" s="447"/>
      <c r="E126" s="448" t="str">
        <f t="shared" si="10"/>
        <v/>
      </c>
      <c r="F126" s="449"/>
      <c r="G126" s="302"/>
      <c r="H126" s="302"/>
      <c r="I126" s="302"/>
      <c r="J126" s="302"/>
      <c r="K126" s="302"/>
      <c r="L126" s="446"/>
      <c r="M126" s="446"/>
    </row>
    <row r="127" spans="2:13" s="35" customFormat="1" ht="14.25" hidden="1" customHeight="1" x14ac:dyDescent="0.25">
      <c r="C127" s="302" t="str">
        <f t="shared" si="9"/>
        <v>e0l</v>
      </c>
      <c r="D127" s="447"/>
      <c r="E127" s="448" t="str">
        <f t="shared" si="10"/>
        <v/>
      </c>
      <c r="F127" s="449"/>
      <c r="G127" s="302"/>
      <c r="H127" s="302"/>
      <c r="I127" s="302"/>
      <c r="J127" s="302"/>
      <c r="K127" s="302"/>
      <c r="L127" s="446"/>
      <c r="M127" s="446"/>
    </row>
    <row r="128" spans="2:13" s="35" customFormat="1" ht="14.25" hidden="1" customHeight="1" x14ac:dyDescent="0.25">
      <c r="C128" s="302" t="str">
        <f t="shared" si="9"/>
        <v>e1a</v>
      </c>
      <c r="D128" s="447"/>
      <c r="E128" s="448" t="str">
        <f t="shared" si="10"/>
        <v/>
      </c>
      <c r="F128" s="449"/>
      <c r="G128" s="302"/>
      <c r="H128" s="302"/>
      <c r="I128" s="302"/>
      <c r="J128" s="302"/>
      <c r="K128" s="302"/>
      <c r="L128" s="446"/>
      <c r="M128" s="446"/>
    </row>
    <row r="129" spans="2:13" s="35" customFormat="1" ht="14.25" hidden="1" customHeight="1" x14ac:dyDescent="0.25">
      <c r="C129" s="302" t="str">
        <f t="shared" si="9"/>
        <v>e2a</v>
      </c>
      <c r="D129" s="447"/>
      <c r="E129" s="448" t="str">
        <f t="shared" si="10"/>
        <v/>
      </c>
      <c r="F129" s="449"/>
      <c r="G129" s="302"/>
      <c r="H129" s="302"/>
      <c r="I129" s="302"/>
      <c r="J129" s="302"/>
      <c r="K129" s="302"/>
      <c r="L129" s="446"/>
      <c r="M129" s="446"/>
    </row>
    <row r="130" spans="2:13" s="35" customFormat="1" ht="14.25" hidden="1" customHeight="1" x14ac:dyDescent="0.25">
      <c r="C130" s="302" t="str">
        <f t="shared" si="9"/>
        <v>e3a</v>
      </c>
      <c r="D130" s="447"/>
      <c r="E130" s="448" t="str">
        <f t="shared" si="10"/>
        <v/>
      </c>
      <c r="F130" s="449"/>
      <c r="G130" s="302"/>
      <c r="H130" s="302"/>
      <c r="I130" s="302"/>
      <c r="J130" s="302"/>
      <c r="K130" s="302"/>
      <c r="L130" s="446"/>
      <c r="M130" s="446"/>
    </row>
    <row r="131" spans="2:13" s="35" customFormat="1" ht="14.25" hidden="1" customHeight="1" x14ac:dyDescent="0.25">
      <c r="C131" s="302" t="str">
        <f t="shared" si="9"/>
        <v>e4a</v>
      </c>
      <c r="D131" s="447"/>
      <c r="E131" s="448" t="str">
        <f t="shared" si="10"/>
        <v/>
      </c>
      <c r="F131" s="449"/>
      <c r="G131" s="302"/>
      <c r="H131" s="302"/>
      <c r="I131" s="302"/>
      <c r="J131" s="302"/>
      <c r="K131" s="302"/>
      <c r="L131" s="446"/>
      <c r="M131" s="446"/>
    </row>
    <row r="132" spans="2:13" s="35" customFormat="1" ht="14.25" hidden="1" customHeight="1" x14ac:dyDescent="0.25">
      <c r="M132" s="36" t="s">
        <v>491</v>
      </c>
    </row>
    <row r="133" spans="2:13" s="35" customFormat="1" ht="14.25" hidden="1" customHeight="1" x14ac:dyDescent="0.25">
      <c r="B133" s="4"/>
      <c r="C133" s="4" t="str">
        <f>IF(Inventory!$C$21&lt;&gt;"only 2 controllers for 7-Mode",Inventory!$C$21,"")</f>
        <v/>
      </c>
      <c r="G133" s="6"/>
    </row>
    <row r="134" spans="2:13" s="35" customFormat="1" ht="14.25" hidden="1" customHeight="1" thickBot="1" x14ac:dyDescent="0.3">
      <c r="C134" s="311" t="s">
        <v>186</v>
      </c>
      <c r="D134" s="450"/>
      <c r="E134" s="313" t="s">
        <v>187</v>
      </c>
      <c r="F134" s="311"/>
      <c r="G134" s="311" t="s">
        <v>188</v>
      </c>
      <c r="H134" s="311"/>
      <c r="I134" s="311"/>
      <c r="J134" s="311"/>
      <c r="K134" s="311"/>
      <c r="L134" s="311" t="s">
        <v>189</v>
      </c>
      <c r="M134" s="311"/>
    </row>
    <row r="135" spans="2:13" s="35" customFormat="1" ht="14.25" hidden="1" customHeight="1" x14ac:dyDescent="0.25">
      <c r="C135" s="302" t="str">
        <f>IF(C115&lt;&gt;0,C115,"")</f>
        <v>e0M</v>
      </c>
      <c r="D135" s="447"/>
      <c r="E135" s="448" t="str">
        <f>IF(E115&lt;&gt;0,E115,"")</f>
        <v>100MbE</v>
      </c>
      <c r="F135" s="449"/>
      <c r="G135" s="302"/>
      <c r="H135" s="302"/>
      <c r="I135" s="302"/>
      <c r="J135" s="302"/>
      <c r="K135" s="302"/>
      <c r="L135" s="446"/>
      <c r="M135" s="446"/>
    </row>
    <row r="136" spans="2:13" s="35" customFormat="1" ht="14.25" hidden="1" customHeight="1" x14ac:dyDescent="0.25">
      <c r="C136" s="302" t="str">
        <f>IF(C116&lt;&gt;0,C116,"")</f>
        <v>e0a</v>
      </c>
      <c r="D136" s="447"/>
      <c r="E136" s="448" t="str">
        <f>IF(E116&lt;&gt;0,E116,"")</f>
        <v/>
      </c>
      <c r="F136" s="449"/>
      <c r="G136" s="302"/>
      <c r="H136" s="302"/>
      <c r="I136" s="302"/>
      <c r="J136" s="302"/>
      <c r="K136" s="302"/>
      <c r="L136" s="446"/>
      <c r="M136" s="446"/>
    </row>
    <row r="137" spans="2:13" s="35" customFormat="1" ht="14.25" hidden="1" customHeight="1" x14ac:dyDescent="0.25">
      <c r="C137" s="302" t="str">
        <f>IF(C117&lt;&gt;0,C117,"")</f>
        <v>e0b</v>
      </c>
      <c r="D137" s="447"/>
      <c r="E137" s="448" t="str">
        <f>IF(E117&lt;&gt;0,E117,"")</f>
        <v/>
      </c>
      <c r="F137" s="449"/>
      <c r="G137" s="302"/>
      <c r="H137" s="302"/>
      <c r="I137" s="302"/>
      <c r="J137" s="302"/>
      <c r="K137" s="302"/>
      <c r="L137" s="446"/>
      <c r="M137" s="446"/>
    </row>
    <row r="138" spans="2:13" s="35" customFormat="1" ht="14.25" hidden="1" customHeight="1" x14ac:dyDescent="0.25">
      <c r="C138" s="302" t="str">
        <f t="shared" ref="C138:C151" si="11">IF(C118&lt;&gt;0,C118,"")</f>
        <v>e0c</v>
      </c>
      <c r="D138" s="447"/>
      <c r="E138" s="448" t="str">
        <f t="shared" ref="E138:E151" si="12">IF(E118&lt;&gt;0,E118,"")</f>
        <v/>
      </c>
      <c r="F138" s="449"/>
      <c r="G138" s="302"/>
      <c r="H138" s="302"/>
      <c r="I138" s="302"/>
      <c r="J138" s="302"/>
      <c r="K138" s="302"/>
      <c r="L138" s="446"/>
      <c r="M138" s="446"/>
    </row>
    <row r="139" spans="2:13" s="35" customFormat="1" ht="14.25" hidden="1" customHeight="1" x14ac:dyDescent="0.25">
      <c r="C139" s="302" t="str">
        <f t="shared" si="11"/>
        <v>e0d</v>
      </c>
      <c r="D139" s="447"/>
      <c r="E139" s="448" t="str">
        <f t="shared" si="12"/>
        <v/>
      </c>
      <c r="F139" s="449"/>
      <c r="G139" s="302"/>
      <c r="H139" s="302"/>
      <c r="I139" s="302"/>
      <c r="J139" s="302"/>
      <c r="K139" s="302"/>
      <c r="L139" s="446"/>
      <c r="M139" s="446"/>
    </row>
    <row r="140" spans="2:13" s="35" customFormat="1" ht="14.25" hidden="1" customHeight="1" x14ac:dyDescent="0.25">
      <c r="C140" s="302" t="str">
        <f t="shared" si="11"/>
        <v>e0e</v>
      </c>
      <c r="D140" s="447"/>
      <c r="E140" s="448" t="str">
        <f t="shared" si="12"/>
        <v/>
      </c>
      <c r="F140" s="449"/>
      <c r="G140" s="302"/>
      <c r="H140" s="302"/>
      <c r="I140" s="302"/>
      <c r="J140" s="302"/>
      <c r="K140" s="302"/>
      <c r="L140" s="446"/>
      <c r="M140" s="446"/>
    </row>
    <row r="141" spans="2:13" s="35" customFormat="1" ht="14.25" hidden="1" customHeight="1" x14ac:dyDescent="0.25">
      <c r="C141" s="302" t="str">
        <f t="shared" si="11"/>
        <v>e0f</v>
      </c>
      <c r="D141" s="447"/>
      <c r="E141" s="448" t="str">
        <f t="shared" si="12"/>
        <v/>
      </c>
      <c r="F141" s="449"/>
      <c r="G141" s="302"/>
      <c r="H141" s="302"/>
      <c r="I141" s="302"/>
      <c r="J141" s="302"/>
      <c r="K141" s="302"/>
      <c r="L141" s="446"/>
      <c r="M141" s="446"/>
    </row>
    <row r="142" spans="2:13" s="35" customFormat="1" ht="14.25" hidden="1" customHeight="1" x14ac:dyDescent="0.25">
      <c r="C142" s="302" t="str">
        <f t="shared" si="11"/>
        <v>e0g</v>
      </c>
      <c r="D142" s="447"/>
      <c r="E142" s="448" t="str">
        <f t="shared" si="12"/>
        <v/>
      </c>
      <c r="F142" s="449"/>
      <c r="G142" s="302"/>
      <c r="H142" s="302"/>
      <c r="I142" s="302"/>
      <c r="J142" s="302"/>
      <c r="K142" s="302"/>
      <c r="L142" s="446"/>
      <c r="M142" s="446"/>
    </row>
    <row r="143" spans="2:13" s="35" customFormat="1" ht="14.25" hidden="1" customHeight="1" x14ac:dyDescent="0.25">
      <c r="C143" s="302" t="str">
        <f t="shared" si="11"/>
        <v>e0h</v>
      </c>
      <c r="D143" s="447"/>
      <c r="E143" s="448" t="str">
        <f t="shared" si="12"/>
        <v/>
      </c>
      <c r="F143" s="449"/>
      <c r="G143" s="302"/>
      <c r="H143" s="302"/>
      <c r="I143" s="302"/>
      <c r="J143" s="302"/>
      <c r="K143" s="302"/>
      <c r="L143" s="446"/>
      <c r="M143" s="446"/>
    </row>
    <row r="144" spans="2:13" s="35" customFormat="1" ht="14.25" hidden="1" customHeight="1" x14ac:dyDescent="0.25">
      <c r="C144" s="302" t="str">
        <f t="shared" si="11"/>
        <v>e0i</v>
      </c>
      <c r="D144" s="447"/>
      <c r="E144" s="448" t="str">
        <f t="shared" si="12"/>
        <v/>
      </c>
      <c r="F144" s="449"/>
      <c r="G144" s="302"/>
      <c r="H144" s="302"/>
      <c r="I144" s="302"/>
      <c r="J144" s="302"/>
      <c r="K144" s="302"/>
      <c r="L144" s="446"/>
      <c r="M144" s="446"/>
    </row>
    <row r="145" spans="2:13" s="35" customFormat="1" ht="14.25" hidden="1" customHeight="1" x14ac:dyDescent="0.25">
      <c r="C145" s="302" t="str">
        <f t="shared" si="11"/>
        <v>e0j</v>
      </c>
      <c r="D145" s="447"/>
      <c r="E145" s="448" t="str">
        <f t="shared" si="12"/>
        <v/>
      </c>
      <c r="F145" s="449"/>
      <c r="G145" s="302"/>
      <c r="H145" s="302"/>
      <c r="I145" s="302"/>
      <c r="J145" s="302"/>
      <c r="K145" s="302"/>
      <c r="L145" s="446"/>
      <c r="M145" s="446"/>
    </row>
    <row r="146" spans="2:13" s="35" customFormat="1" ht="14.25" hidden="1" customHeight="1" x14ac:dyDescent="0.25">
      <c r="C146" s="302" t="str">
        <f t="shared" si="11"/>
        <v>e0k</v>
      </c>
      <c r="D146" s="447"/>
      <c r="E146" s="448" t="str">
        <f t="shared" si="12"/>
        <v/>
      </c>
      <c r="F146" s="449"/>
      <c r="G146" s="302"/>
      <c r="H146" s="302"/>
      <c r="I146" s="302"/>
      <c r="J146" s="302"/>
      <c r="K146" s="302"/>
      <c r="L146" s="446"/>
      <c r="M146" s="446"/>
    </row>
    <row r="147" spans="2:13" s="35" customFormat="1" ht="14.25" hidden="1" customHeight="1" x14ac:dyDescent="0.25">
      <c r="C147" s="302" t="str">
        <f t="shared" si="11"/>
        <v>e0l</v>
      </c>
      <c r="D147" s="447"/>
      <c r="E147" s="448" t="str">
        <f t="shared" si="12"/>
        <v/>
      </c>
      <c r="F147" s="449"/>
      <c r="G147" s="302"/>
      <c r="H147" s="302"/>
      <c r="I147" s="302"/>
      <c r="J147" s="302"/>
      <c r="K147" s="302"/>
      <c r="L147" s="446"/>
      <c r="M147" s="446"/>
    </row>
    <row r="148" spans="2:13" s="35" customFormat="1" ht="14.25" hidden="1" customHeight="1" x14ac:dyDescent="0.25">
      <c r="C148" s="302" t="str">
        <f t="shared" si="11"/>
        <v>e1a</v>
      </c>
      <c r="D148" s="447"/>
      <c r="E148" s="448" t="str">
        <f t="shared" si="12"/>
        <v/>
      </c>
      <c r="F148" s="449"/>
      <c r="G148" s="302"/>
      <c r="H148" s="302"/>
      <c r="I148" s="302"/>
      <c r="J148" s="302"/>
      <c r="K148" s="302"/>
      <c r="L148" s="446"/>
      <c r="M148" s="446"/>
    </row>
    <row r="149" spans="2:13" s="35" customFormat="1" ht="14.25" hidden="1" customHeight="1" x14ac:dyDescent="0.25">
      <c r="C149" s="302" t="str">
        <f t="shared" si="11"/>
        <v>e2a</v>
      </c>
      <c r="D149" s="447"/>
      <c r="E149" s="448" t="str">
        <f t="shared" si="12"/>
        <v/>
      </c>
      <c r="F149" s="449"/>
      <c r="G149" s="302"/>
      <c r="H149" s="302"/>
      <c r="I149" s="302"/>
      <c r="J149" s="302"/>
      <c r="K149" s="302"/>
      <c r="L149" s="446"/>
      <c r="M149" s="446"/>
    </row>
    <row r="150" spans="2:13" s="35" customFormat="1" ht="14.25" hidden="1" customHeight="1" x14ac:dyDescent="0.25">
      <c r="C150" s="302" t="str">
        <f t="shared" si="11"/>
        <v>e3a</v>
      </c>
      <c r="D150" s="447"/>
      <c r="E150" s="448" t="str">
        <f t="shared" si="12"/>
        <v/>
      </c>
      <c r="F150" s="449"/>
      <c r="G150" s="302"/>
      <c r="H150" s="302"/>
      <c r="I150" s="302"/>
      <c r="J150" s="302"/>
      <c r="K150" s="302"/>
      <c r="L150" s="446"/>
      <c r="M150" s="446"/>
    </row>
    <row r="151" spans="2:13" s="35" customFormat="1" ht="14.25" hidden="1" customHeight="1" x14ac:dyDescent="0.25">
      <c r="C151" s="302" t="str">
        <f t="shared" si="11"/>
        <v>e4a</v>
      </c>
      <c r="D151" s="447"/>
      <c r="E151" s="448" t="str">
        <f t="shared" si="12"/>
        <v/>
      </c>
      <c r="F151" s="449"/>
      <c r="G151" s="302"/>
      <c r="H151" s="302"/>
      <c r="I151" s="302"/>
      <c r="J151" s="302"/>
      <c r="K151" s="302"/>
      <c r="L151" s="446"/>
      <c r="M151" s="446"/>
    </row>
    <row r="152" spans="2:13" s="35" customFormat="1" ht="14.25" hidden="1" customHeight="1" x14ac:dyDescent="0.25">
      <c r="M152" s="36" t="s">
        <v>491</v>
      </c>
    </row>
    <row r="153" spans="2:13" s="35" customFormat="1" ht="14.25" hidden="1" customHeight="1" x14ac:dyDescent="0.25">
      <c r="B153" s="4"/>
      <c r="C153" s="4" t="str">
        <f>IF(Inventory!$C$22&lt;&gt;"only 2 controllers for 7-Mode",Inventory!$C$22,"")</f>
        <v/>
      </c>
      <c r="G153" s="6"/>
    </row>
    <row r="154" spans="2:13" s="35" customFormat="1" ht="14.25" hidden="1" customHeight="1" thickBot="1" x14ac:dyDescent="0.3">
      <c r="C154" s="311" t="s">
        <v>186</v>
      </c>
      <c r="D154" s="450"/>
      <c r="E154" s="313" t="s">
        <v>187</v>
      </c>
      <c r="F154" s="311"/>
      <c r="G154" s="311" t="s">
        <v>188</v>
      </c>
      <c r="H154" s="311"/>
      <c r="I154" s="311"/>
      <c r="J154" s="311"/>
      <c r="K154" s="311"/>
      <c r="L154" s="311" t="s">
        <v>189</v>
      </c>
      <c r="M154" s="311"/>
    </row>
    <row r="155" spans="2:13" s="35" customFormat="1" ht="14.25" hidden="1" customHeight="1" x14ac:dyDescent="0.25">
      <c r="C155" s="302" t="str">
        <f>IF(C135&lt;&gt;0,C135,"")</f>
        <v>e0M</v>
      </c>
      <c r="D155" s="447"/>
      <c r="E155" s="448" t="str">
        <f>IF(E135&lt;&gt;0,E135,"")</f>
        <v>100MbE</v>
      </c>
      <c r="F155" s="449"/>
      <c r="G155" s="302"/>
      <c r="H155" s="302"/>
      <c r="I155" s="302"/>
      <c r="J155" s="302"/>
      <c r="K155" s="302"/>
      <c r="L155" s="446"/>
      <c r="M155" s="446"/>
    </row>
    <row r="156" spans="2:13" s="35" customFormat="1" ht="14.25" hidden="1" customHeight="1" x14ac:dyDescent="0.25">
      <c r="C156" s="302" t="str">
        <f>IF(C136&lt;&gt;0,C136,"")</f>
        <v>e0a</v>
      </c>
      <c r="D156" s="447"/>
      <c r="E156" s="448" t="str">
        <f>IF(E136&lt;&gt;0,E136,"")</f>
        <v/>
      </c>
      <c r="F156" s="449"/>
      <c r="G156" s="302"/>
      <c r="H156" s="302"/>
      <c r="I156" s="302"/>
      <c r="J156" s="302"/>
      <c r="K156" s="302"/>
      <c r="L156" s="446"/>
      <c r="M156" s="446"/>
    </row>
    <row r="157" spans="2:13" s="35" customFormat="1" ht="14.25" hidden="1" customHeight="1" x14ac:dyDescent="0.25">
      <c r="C157" s="302" t="str">
        <f>IF(C137&lt;&gt;0,C137,"")</f>
        <v>e0b</v>
      </c>
      <c r="D157" s="447"/>
      <c r="E157" s="448" t="str">
        <f>IF(E137&lt;&gt;0,E137,"")</f>
        <v/>
      </c>
      <c r="F157" s="449"/>
      <c r="G157" s="302"/>
      <c r="H157" s="302"/>
      <c r="I157" s="302"/>
      <c r="J157" s="302"/>
      <c r="K157" s="302"/>
      <c r="L157" s="446"/>
      <c r="M157" s="446"/>
    </row>
    <row r="158" spans="2:13" s="35" customFormat="1" ht="14.25" hidden="1" customHeight="1" x14ac:dyDescent="0.25">
      <c r="C158" s="302" t="str">
        <f t="shared" ref="C158:C167" si="13">IF(C138&lt;&gt;0,C138,"")</f>
        <v>e0c</v>
      </c>
      <c r="D158" s="447"/>
      <c r="E158" s="448" t="str">
        <f t="shared" ref="E158:E167" si="14">IF(E138&lt;&gt;0,E138,"")</f>
        <v/>
      </c>
      <c r="F158" s="449"/>
      <c r="G158" s="302"/>
      <c r="H158" s="302"/>
      <c r="I158" s="302"/>
      <c r="J158" s="302"/>
      <c r="K158" s="302"/>
      <c r="L158" s="446"/>
      <c r="M158" s="446"/>
    </row>
    <row r="159" spans="2:13" s="35" customFormat="1" ht="14.25" hidden="1" customHeight="1" x14ac:dyDescent="0.25">
      <c r="C159" s="302" t="str">
        <f t="shared" si="13"/>
        <v>e0d</v>
      </c>
      <c r="D159" s="447"/>
      <c r="E159" s="448" t="str">
        <f t="shared" si="14"/>
        <v/>
      </c>
      <c r="F159" s="449"/>
      <c r="G159" s="302"/>
      <c r="H159" s="302"/>
      <c r="I159" s="302"/>
      <c r="J159" s="302"/>
      <c r="K159" s="302"/>
      <c r="L159" s="446"/>
      <c r="M159" s="446"/>
    </row>
    <row r="160" spans="2:13" s="35" customFormat="1" ht="14.25" hidden="1" customHeight="1" x14ac:dyDescent="0.25">
      <c r="C160" s="302" t="str">
        <f t="shared" si="13"/>
        <v>e0e</v>
      </c>
      <c r="D160" s="447"/>
      <c r="E160" s="448" t="str">
        <f t="shared" si="14"/>
        <v/>
      </c>
      <c r="F160" s="449"/>
      <c r="G160" s="302"/>
      <c r="H160" s="302"/>
      <c r="I160" s="302"/>
      <c r="J160" s="302"/>
      <c r="K160" s="302"/>
      <c r="L160" s="446"/>
      <c r="M160" s="446"/>
    </row>
    <row r="161" spans="2:18" s="35" customFormat="1" ht="14.25" hidden="1" customHeight="1" x14ac:dyDescent="0.25">
      <c r="C161" s="302" t="str">
        <f t="shared" si="13"/>
        <v>e0f</v>
      </c>
      <c r="D161" s="447"/>
      <c r="E161" s="448" t="str">
        <f t="shared" si="14"/>
        <v/>
      </c>
      <c r="F161" s="449"/>
      <c r="G161" s="302"/>
      <c r="H161" s="302"/>
      <c r="I161" s="302"/>
      <c r="J161" s="302"/>
      <c r="K161" s="302"/>
      <c r="L161" s="446"/>
      <c r="M161" s="446"/>
    </row>
    <row r="162" spans="2:18" s="35" customFormat="1" ht="14.25" hidden="1" customHeight="1" x14ac:dyDescent="0.25">
      <c r="C162" s="302" t="str">
        <f t="shared" si="13"/>
        <v>e0g</v>
      </c>
      <c r="D162" s="447"/>
      <c r="E162" s="448" t="str">
        <f t="shared" si="14"/>
        <v/>
      </c>
      <c r="F162" s="449"/>
      <c r="G162" s="302"/>
      <c r="H162" s="302"/>
      <c r="I162" s="302"/>
      <c r="J162" s="302"/>
      <c r="K162" s="302"/>
      <c r="L162" s="446"/>
      <c r="M162" s="446"/>
    </row>
    <row r="163" spans="2:18" s="35" customFormat="1" ht="14.25" hidden="1" customHeight="1" x14ac:dyDescent="0.25">
      <c r="C163" s="302" t="str">
        <f t="shared" si="13"/>
        <v>e0h</v>
      </c>
      <c r="D163" s="447"/>
      <c r="E163" s="448" t="str">
        <f t="shared" si="14"/>
        <v/>
      </c>
      <c r="F163" s="449"/>
      <c r="G163" s="302"/>
      <c r="H163" s="302"/>
      <c r="I163" s="302"/>
      <c r="J163" s="302"/>
      <c r="K163" s="302"/>
      <c r="L163" s="446"/>
      <c r="M163" s="446"/>
    </row>
    <row r="164" spans="2:18" s="35" customFormat="1" ht="14.25" hidden="1" customHeight="1" x14ac:dyDescent="0.25">
      <c r="C164" s="302" t="str">
        <f t="shared" si="13"/>
        <v>e0i</v>
      </c>
      <c r="D164" s="447"/>
      <c r="E164" s="448" t="str">
        <f t="shared" si="14"/>
        <v/>
      </c>
      <c r="F164" s="449"/>
      <c r="G164" s="302"/>
      <c r="H164" s="302"/>
      <c r="I164" s="302"/>
      <c r="J164" s="302"/>
      <c r="K164" s="302"/>
      <c r="L164" s="446"/>
      <c r="M164" s="446"/>
    </row>
    <row r="165" spans="2:18" s="35" customFormat="1" ht="14.25" hidden="1" customHeight="1" x14ac:dyDescent="0.25">
      <c r="C165" s="302" t="str">
        <f t="shared" si="13"/>
        <v>e0j</v>
      </c>
      <c r="D165" s="447"/>
      <c r="E165" s="448" t="str">
        <f t="shared" si="14"/>
        <v/>
      </c>
      <c r="F165" s="449"/>
      <c r="G165" s="302"/>
      <c r="H165" s="302"/>
      <c r="I165" s="302"/>
      <c r="J165" s="302"/>
      <c r="K165" s="302"/>
      <c r="L165" s="446"/>
      <c r="M165" s="446"/>
    </row>
    <row r="166" spans="2:18" s="35" customFormat="1" ht="14.25" hidden="1" customHeight="1" x14ac:dyDescent="0.25">
      <c r="C166" s="302" t="str">
        <f t="shared" si="13"/>
        <v>e0k</v>
      </c>
      <c r="D166" s="447"/>
      <c r="E166" s="448" t="str">
        <f t="shared" si="14"/>
        <v/>
      </c>
      <c r="F166" s="449"/>
      <c r="G166" s="302"/>
      <c r="H166" s="302"/>
      <c r="I166" s="302"/>
      <c r="J166" s="302"/>
      <c r="K166" s="302"/>
      <c r="L166" s="446"/>
      <c r="M166" s="446"/>
    </row>
    <row r="167" spans="2:18" s="35" customFormat="1" ht="14.25" hidden="1" customHeight="1" x14ac:dyDescent="0.25">
      <c r="C167" s="302" t="str">
        <f t="shared" si="13"/>
        <v>e0l</v>
      </c>
      <c r="D167" s="447"/>
      <c r="E167" s="448" t="str">
        <f t="shared" si="14"/>
        <v/>
      </c>
      <c r="F167" s="449"/>
      <c r="G167" s="302"/>
      <c r="H167" s="302"/>
      <c r="I167" s="302"/>
      <c r="J167" s="302"/>
      <c r="K167" s="302"/>
      <c r="L167" s="446"/>
      <c r="M167" s="446"/>
    </row>
    <row r="168" spans="2:18" s="35" customFormat="1" ht="14.25" hidden="1" customHeight="1" x14ac:dyDescent="0.25">
      <c r="C168" s="302" t="str">
        <f>IF(C148&lt;&gt;0,C148,"")</f>
        <v>e1a</v>
      </c>
      <c r="D168" s="447"/>
      <c r="E168" s="448" t="str">
        <f>IF(E148&lt;&gt;0,E148,"")</f>
        <v/>
      </c>
      <c r="F168" s="449"/>
      <c r="G168" s="302"/>
      <c r="H168" s="302"/>
      <c r="I168" s="302"/>
      <c r="J168" s="302"/>
      <c r="K168" s="302"/>
      <c r="L168" s="446"/>
      <c r="M168" s="446"/>
    </row>
    <row r="169" spans="2:18" s="35" customFormat="1" ht="14.25" hidden="1" customHeight="1" x14ac:dyDescent="0.25">
      <c r="C169" s="302" t="str">
        <f>IF(C149&lt;&gt;0,C149,"")</f>
        <v>e2a</v>
      </c>
      <c r="D169" s="447"/>
      <c r="E169" s="448" t="str">
        <f>IF(E149&lt;&gt;0,E149,"")</f>
        <v/>
      </c>
      <c r="F169" s="449"/>
      <c r="G169" s="302"/>
      <c r="H169" s="302"/>
      <c r="I169" s="302"/>
      <c r="J169" s="302"/>
      <c r="K169" s="302"/>
      <c r="L169" s="446"/>
      <c r="M169" s="446"/>
    </row>
    <row r="170" spans="2:18" s="35" customFormat="1" ht="14.25" hidden="1" customHeight="1" x14ac:dyDescent="0.25">
      <c r="C170" s="302" t="str">
        <f>IF(C150&lt;&gt;0,C150,"")</f>
        <v>e3a</v>
      </c>
      <c r="D170" s="447"/>
      <c r="E170" s="448" t="str">
        <f>IF(E150&lt;&gt;0,E150,"")</f>
        <v/>
      </c>
      <c r="F170" s="449"/>
      <c r="G170" s="302"/>
      <c r="H170" s="302"/>
      <c r="I170" s="302"/>
      <c r="J170" s="302"/>
      <c r="K170" s="302"/>
      <c r="L170" s="446"/>
      <c r="M170" s="446"/>
    </row>
    <row r="171" spans="2:18" s="35" customFormat="1" ht="14.25" hidden="1" customHeight="1" x14ac:dyDescent="0.25">
      <c r="C171" s="302" t="str">
        <f>IF(C151&lt;&gt;0,C151,"")</f>
        <v>e4a</v>
      </c>
      <c r="D171" s="447"/>
      <c r="E171" s="448" t="str">
        <f>IF(E151&lt;&gt;0,E151,"")</f>
        <v/>
      </c>
      <c r="F171" s="449"/>
      <c r="G171" s="302"/>
      <c r="H171" s="302"/>
      <c r="I171" s="302"/>
      <c r="J171" s="302"/>
      <c r="K171" s="302"/>
      <c r="L171" s="446"/>
      <c r="M171" s="446"/>
    </row>
    <row r="172" spans="2:18" s="35" customFormat="1" ht="14.25" hidden="1" customHeight="1" x14ac:dyDescent="0.25">
      <c r="M172" s="36" t="s">
        <v>491</v>
      </c>
    </row>
    <row r="173" spans="2:18" s="35" customFormat="1" ht="14.25" hidden="1" customHeight="1" x14ac:dyDescent="0.25">
      <c r="M173" s="36"/>
    </row>
    <row r="174" spans="2:18" s="35" customFormat="1" ht="14.25" hidden="1" customHeight="1" x14ac:dyDescent="0.25">
      <c r="B174" s="216" t="s">
        <v>1081</v>
      </c>
      <c r="R174" s="56"/>
    </row>
    <row r="175" spans="2:18" s="35" customFormat="1" ht="6" hidden="1" customHeight="1" x14ac:dyDescent="0.25">
      <c r="B175" s="216"/>
      <c r="G175" s="6"/>
      <c r="R175" s="56"/>
    </row>
    <row r="176" spans="2:18" s="35" customFormat="1" ht="14.25" hidden="1" customHeight="1" x14ac:dyDescent="0.25">
      <c r="B176" s="216"/>
      <c r="C176" s="216">
        <f>Inventory!$C$27</f>
        <v>0</v>
      </c>
      <c r="G176" s="6"/>
    </row>
    <row r="177" spans="2:13" s="35" customFormat="1" ht="14.25" hidden="1" customHeight="1" thickBot="1" x14ac:dyDescent="0.3">
      <c r="C177" s="311" t="s">
        <v>186</v>
      </c>
      <c r="D177" s="450"/>
      <c r="E177" s="313" t="s">
        <v>187</v>
      </c>
      <c r="F177" s="311"/>
      <c r="G177" s="311" t="s">
        <v>188</v>
      </c>
      <c r="H177" s="311"/>
      <c r="I177" s="311"/>
      <c r="J177" s="311"/>
      <c r="K177" s="311"/>
      <c r="L177" s="311" t="s">
        <v>189</v>
      </c>
      <c r="M177" s="311"/>
    </row>
    <row r="178" spans="2:13" s="35" customFormat="1" ht="14.25" hidden="1" customHeight="1" x14ac:dyDescent="0.25">
      <c r="C178" s="302" t="s">
        <v>1097</v>
      </c>
      <c r="D178" s="447"/>
      <c r="E178" s="452" t="s">
        <v>192</v>
      </c>
      <c r="F178" s="453"/>
      <c r="G178" s="300"/>
      <c r="H178" s="302"/>
      <c r="I178" s="302"/>
      <c r="J178" s="302"/>
      <c r="K178" s="302"/>
      <c r="L178" s="446"/>
      <c r="M178" s="446"/>
    </row>
    <row r="179" spans="2:13" s="35" customFormat="1" ht="14.25" hidden="1" customHeight="1" x14ac:dyDescent="0.25">
      <c r="C179" s="302" t="s">
        <v>1098</v>
      </c>
      <c r="D179" s="298"/>
      <c r="E179" s="448" t="s">
        <v>192</v>
      </c>
      <c r="F179" s="449"/>
      <c r="G179" s="300" t="s">
        <v>1099</v>
      </c>
      <c r="H179" s="302"/>
      <c r="I179" s="302"/>
      <c r="J179" s="302"/>
      <c r="K179" s="302"/>
      <c r="L179" s="446" t="s">
        <v>961</v>
      </c>
      <c r="M179" s="446"/>
    </row>
    <row r="180" spans="2:13" s="35" customFormat="1" ht="14.25" hidden="1" customHeight="1" x14ac:dyDescent="0.25">
      <c r="C180" s="302" t="s">
        <v>1100</v>
      </c>
      <c r="D180" s="447"/>
      <c r="E180" s="454" t="s">
        <v>192</v>
      </c>
      <c r="F180" s="455"/>
      <c r="G180" s="300"/>
      <c r="H180" s="302"/>
      <c r="I180" s="302"/>
      <c r="J180" s="302"/>
      <c r="K180" s="302"/>
      <c r="L180" s="446"/>
      <c r="M180" s="446"/>
    </row>
    <row r="181" spans="2:13" s="35" customFormat="1" ht="14.25" hidden="1" customHeight="1" x14ac:dyDescent="0.25">
      <c r="C181" s="302" t="s">
        <v>1101</v>
      </c>
      <c r="D181" s="447"/>
      <c r="E181" s="448" t="s">
        <v>192</v>
      </c>
      <c r="F181" s="449"/>
      <c r="G181" s="300" t="s">
        <v>1099</v>
      </c>
      <c r="H181" s="302"/>
      <c r="I181" s="302"/>
      <c r="J181" s="302"/>
      <c r="K181" s="302"/>
      <c r="L181" s="446" t="s">
        <v>961</v>
      </c>
      <c r="M181" s="446"/>
    </row>
    <row r="182" spans="2:13" s="35" customFormat="1" ht="14.25" hidden="1" customHeight="1" x14ac:dyDescent="0.25">
      <c r="C182" s="302" t="s">
        <v>1137</v>
      </c>
      <c r="D182" s="447"/>
      <c r="E182" s="448"/>
      <c r="F182" s="449"/>
      <c r="G182" s="300"/>
      <c r="H182" s="302"/>
      <c r="I182" s="302"/>
      <c r="J182" s="302"/>
      <c r="K182" s="302"/>
      <c r="L182" s="446"/>
      <c r="M182" s="446"/>
    </row>
    <row r="183" spans="2:13" s="35" customFormat="1" ht="14.25" hidden="1" customHeight="1" x14ac:dyDescent="0.25">
      <c r="C183" s="302" t="s">
        <v>1138</v>
      </c>
      <c r="D183" s="447"/>
      <c r="E183" s="448"/>
      <c r="F183" s="449"/>
      <c r="G183" s="300"/>
      <c r="H183" s="302"/>
      <c r="I183" s="302"/>
      <c r="J183" s="302"/>
      <c r="K183" s="302"/>
      <c r="L183" s="446"/>
      <c r="M183" s="446"/>
    </row>
    <row r="184" spans="2:13" s="35" customFormat="1" ht="14.25" hidden="1" customHeight="1" x14ac:dyDescent="0.25">
      <c r="C184" s="302" t="s">
        <v>1139</v>
      </c>
      <c r="D184" s="447"/>
      <c r="E184" s="448"/>
      <c r="F184" s="449"/>
      <c r="G184" s="300"/>
      <c r="H184" s="302"/>
      <c r="I184" s="302"/>
      <c r="J184" s="302"/>
      <c r="K184" s="302"/>
      <c r="L184" s="446"/>
      <c r="M184" s="446"/>
    </row>
    <row r="185" spans="2:13" s="35" customFormat="1" ht="14.25" hidden="1" customHeight="1" x14ac:dyDescent="0.25">
      <c r="C185" s="302" t="s">
        <v>1140</v>
      </c>
      <c r="D185" s="447"/>
      <c r="E185" s="448"/>
      <c r="F185" s="449"/>
      <c r="G185" s="300"/>
      <c r="H185" s="302"/>
      <c r="I185" s="302"/>
      <c r="J185" s="302"/>
      <c r="K185" s="302"/>
      <c r="L185" s="446"/>
      <c r="M185" s="446"/>
    </row>
    <row r="186" spans="2:13" s="35" customFormat="1" ht="14.25" hidden="1" customHeight="1" x14ac:dyDescent="0.25">
      <c r="C186" s="302" t="s">
        <v>1141</v>
      </c>
      <c r="D186" s="447"/>
      <c r="E186" s="448"/>
      <c r="F186" s="449"/>
      <c r="G186" s="300"/>
      <c r="H186" s="302"/>
      <c r="I186" s="302"/>
      <c r="J186" s="302"/>
      <c r="K186" s="302"/>
      <c r="L186" s="446"/>
      <c r="M186" s="446"/>
    </row>
    <row r="187" spans="2:13" s="35" customFormat="1" ht="14.25" hidden="1" customHeight="1" x14ac:dyDescent="0.25">
      <c r="C187" s="302" t="s">
        <v>1142</v>
      </c>
      <c r="D187" s="447"/>
      <c r="E187" s="448"/>
      <c r="F187" s="449"/>
      <c r="G187" s="300"/>
      <c r="H187" s="302"/>
      <c r="I187" s="302"/>
      <c r="J187" s="302"/>
      <c r="K187" s="302"/>
      <c r="L187" s="446"/>
      <c r="M187" s="446"/>
    </row>
    <row r="188" spans="2:13" s="35" customFormat="1" ht="14.25" hidden="1" customHeight="1" x14ac:dyDescent="0.25">
      <c r="C188" s="302" t="s">
        <v>1143</v>
      </c>
      <c r="D188" s="447"/>
      <c r="E188" s="448"/>
      <c r="F188" s="449"/>
      <c r="G188" s="300"/>
      <c r="H188" s="302"/>
      <c r="I188" s="302"/>
      <c r="J188" s="302"/>
      <c r="K188" s="302"/>
      <c r="L188" s="446"/>
      <c r="M188" s="446"/>
    </row>
    <row r="189" spans="2:13" s="35" customFormat="1" ht="14.25" hidden="1" customHeight="1" x14ac:dyDescent="0.25">
      <c r="C189" s="302" t="s">
        <v>1144</v>
      </c>
      <c r="D189" s="447"/>
      <c r="E189" s="448"/>
      <c r="F189" s="449"/>
      <c r="G189" s="300"/>
      <c r="H189" s="302"/>
      <c r="I189" s="302"/>
      <c r="J189" s="302"/>
      <c r="K189" s="302"/>
      <c r="L189" s="446"/>
      <c r="M189" s="446"/>
    </row>
    <row r="190" spans="2:13" s="35" customFormat="1" ht="14.25" customHeight="1" x14ac:dyDescent="0.25">
      <c r="M190" s="36"/>
    </row>
    <row r="191" spans="2:13" s="35" customFormat="1" ht="14.25" hidden="1" customHeight="1" x14ac:dyDescent="0.25">
      <c r="B191" s="4" t="s">
        <v>493</v>
      </c>
      <c r="M191" s="95" t="str">
        <f>IF(C193&lt;&gt;"","","**Hide this section, no management switches exist**")</f>
        <v/>
      </c>
    </row>
    <row r="192" spans="2:13" s="35" customFormat="1" ht="6" hidden="1" customHeight="1" x14ac:dyDescent="0.25">
      <c r="B192" s="4"/>
      <c r="G192" s="6"/>
    </row>
    <row r="193" spans="3:13" s="35" customFormat="1" ht="14.25" hidden="1" customHeight="1" x14ac:dyDescent="0.25">
      <c r="C193" s="4" t="str">
        <f>IF(Inventory!C82&lt;&gt;0,Inventory!C82,"")</f>
        <v>shpsan-sw-mgt-01</v>
      </c>
    </row>
    <row r="194" spans="3:13" s="35" customFormat="1" ht="14.25" hidden="1" customHeight="1" thickBot="1" x14ac:dyDescent="0.3">
      <c r="C194" s="311" t="s">
        <v>186</v>
      </c>
      <c r="D194" s="450"/>
      <c r="E194" s="313" t="s">
        <v>187</v>
      </c>
      <c r="F194" s="311"/>
      <c r="G194" s="311" t="s">
        <v>188</v>
      </c>
      <c r="H194" s="311"/>
      <c r="I194" s="311"/>
      <c r="J194" s="311"/>
      <c r="K194" s="311"/>
      <c r="L194" s="311" t="s">
        <v>189</v>
      </c>
      <c r="M194" s="311"/>
    </row>
    <row r="195" spans="3:13" s="35" customFormat="1" ht="14.25" hidden="1" customHeight="1" x14ac:dyDescent="0.25">
      <c r="C195" s="302" t="s">
        <v>494</v>
      </c>
      <c r="D195" s="447"/>
      <c r="E195" s="448" t="s">
        <v>192</v>
      </c>
      <c r="F195" s="449"/>
      <c r="G195" s="302" t="str">
        <f>Inventory!C15</f>
        <v>shpsan-01</v>
      </c>
      <c r="H195" s="302"/>
      <c r="I195" s="302"/>
      <c r="J195" s="302"/>
      <c r="K195" s="302"/>
      <c r="L195" s="302" t="s">
        <v>31</v>
      </c>
      <c r="M195" s="302"/>
    </row>
    <row r="196" spans="3:13" s="35" customFormat="1" ht="14.25" hidden="1" customHeight="1" x14ac:dyDescent="0.25">
      <c r="C196" s="302" t="s">
        <v>495</v>
      </c>
      <c r="D196" s="447"/>
      <c r="E196" s="448" t="s">
        <v>192</v>
      </c>
      <c r="F196" s="449"/>
      <c r="G196" s="302" t="str">
        <f>Inventory!C16</f>
        <v>shpsan-02</v>
      </c>
      <c r="H196" s="302"/>
      <c r="I196" s="302"/>
      <c r="J196" s="302"/>
      <c r="K196" s="302"/>
      <c r="L196" s="302" t="s">
        <v>485</v>
      </c>
      <c r="M196" s="302"/>
    </row>
    <row r="197" spans="3:13" s="35" customFormat="1" ht="14.25" hidden="1" customHeight="1" x14ac:dyDescent="0.25">
      <c r="C197" s="302" t="s">
        <v>496</v>
      </c>
      <c r="D197" s="447"/>
      <c r="E197" s="448" t="s">
        <v>192</v>
      </c>
      <c r="F197" s="449"/>
      <c r="G197" s="302" t="str">
        <f>Inventory!C17</f>
        <v/>
      </c>
      <c r="H197" s="302"/>
      <c r="I197" s="302"/>
      <c r="J197" s="302"/>
      <c r="K197" s="302"/>
      <c r="L197" s="302" t="s">
        <v>31</v>
      </c>
      <c r="M197" s="302"/>
    </row>
    <row r="198" spans="3:13" s="35" customFormat="1" ht="14.25" hidden="1" customHeight="1" x14ac:dyDescent="0.25">
      <c r="C198" s="302" t="s">
        <v>497</v>
      </c>
      <c r="D198" s="447"/>
      <c r="E198" s="448" t="s">
        <v>192</v>
      </c>
      <c r="F198" s="449"/>
      <c r="G198" s="302" t="str">
        <f>Inventory!C18</f>
        <v/>
      </c>
      <c r="H198" s="302"/>
      <c r="I198" s="302"/>
      <c r="J198" s="302"/>
      <c r="K198" s="302"/>
      <c r="L198" s="302" t="s">
        <v>485</v>
      </c>
      <c r="M198" s="302"/>
    </row>
    <row r="199" spans="3:13" s="35" customFormat="1" ht="14.25" hidden="1" customHeight="1" x14ac:dyDescent="0.25">
      <c r="C199" s="302" t="s">
        <v>498</v>
      </c>
      <c r="D199" s="447"/>
      <c r="E199" s="448" t="s">
        <v>192</v>
      </c>
      <c r="F199" s="449"/>
      <c r="G199" s="302" t="str">
        <f>Inventory!C19</f>
        <v/>
      </c>
      <c r="H199" s="302"/>
      <c r="I199" s="302"/>
      <c r="J199" s="302"/>
      <c r="K199" s="302"/>
      <c r="L199" s="302" t="s">
        <v>31</v>
      </c>
      <c r="M199" s="302"/>
    </row>
    <row r="200" spans="3:13" s="35" customFormat="1" ht="14.25" hidden="1" customHeight="1" x14ac:dyDescent="0.25">
      <c r="C200" s="302" t="s">
        <v>499</v>
      </c>
      <c r="D200" s="447"/>
      <c r="E200" s="448" t="s">
        <v>192</v>
      </c>
      <c r="F200" s="449"/>
      <c r="G200" s="302" t="str">
        <f>Inventory!C20</f>
        <v/>
      </c>
      <c r="H200" s="302"/>
      <c r="I200" s="302"/>
      <c r="J200" s="302"/>
      <c r="K200" s="302"/>
      <c r="L200" s="302" t="s">
        <v>485</v>
      </c>
      <c r="M200" s="302"/>
    </row>
    <row r="201" spans="3:13" s="35" customFormat="1" ht="14.25" hidden="1" customHeight="1" x14ac:dyDescent="0.25">
      <c r="C201" s="302" t="s">
        <v>500</v>
      </c>
      <c r="D201" s="447"/>
      <c r="E201" s="448" t="s">
        <v>192</v>
      </c>
      <c r="F201" s="449"/>
      <c r="G201" s="302" t="str">
        <f>Inventory!C21</f>
        <v/>
      </c>
      <c r="H201" s="302"/>
      <c r="I201" s="302"/>
      <c r="J201" s="302"/>
      <c r="K201" s="302"/>
      <c r="L201" s="302" t="s">
        <v>31</v>
      </c>
      <c r="M201" s="302"/>
    </row>
    <row r="202" spans="3:13" s="35" customFormat="1" ht="14.25" hidden="1" customHeight="1" x14ac:dyDescent="0.25">
      <c r="C202" s="302" t="s">
        <v>501</v>
      </c>
      <c r="D202" s="447"/>
      <c r="E202" s="448" t="s">
        <v>192</v>
      </c>
      <c r="F202" s="449"/>
      <c r="G202" s="302" t="str">
        <f>Inventory!C22</f>
        <v/>
      </c>
      <c r="H202" s="302"/>
      <c r="I202" s="302"/>
      <c r="J202" s="302"/>
      <c r="K202" s="302"/>
      <c r="L202" s="302" t="s">
        <v>485</v>
      </c>
      <c r="M202" s="302"/>
    </row>
    <row r="203" spans="3:13" s="35" customFormat="1" ht="14.25" hidden="1" customHeight="1" x14ac:dyDescent="0.25">
      <c r="C203" s="302" t="s">
        <v>502</v>
      </c>
      <c r="D203" s="447"/>
      <c r="E203" s="448" t="s">
        <v>192</v>
      </c>
      <c r="F203" s="449"/>
      <c r="G203" s="302"/>
      <c r="H203" s="302"/>
      <c r="I203" s="302"/>
      <c r="J203" s="302"/>
      <c r="K203" s="302"/>
      <c r="L203" s="446"/>
      <c r="M203" s="446"/>
    </row>
    <row r="204" spans="3:13" s="35" customFormat="1" ht="14.25" hidden="1" customHeight="1" x14ac:dyDescent="0.25">
      <c r="C204" s="302" t="s">
        <v>503</v>
      </c>
      <c r="D204" s="447"/>
      <c r="E204" s="448" t="s">
        <v>192</v>
      </c>
      <c r="F204" s="449"/>
      <c r="G204" s="302"/>
      <c r="H204" s="302"/>
      <c r="I204" s="302"/>
      <c r="J204" s="302"/>
      <c r="K204" s="302"/>
      <c r="L204" s="446"/>
      <c r="M204" s="446"/>
    </row>
    <row r="205" spans="3:13" s="35" customFormat="1" ht="14.25" hidden="1" customHeight="1" x14ac:dyDescent="0.25">
      <c r="C205" s="302" t="s">
        <v>504</v>
      </c>
      <c r="D205" s="447"/>
      <c r="E205" s="448" t="s">
        <v>192</v>
      </c>
      <c r="F205" s="449"/>
      <c r="G205" s="302"/>
      <c r="H205" s="302"/>
      <c r="I205" s="302"/>
      <c r="J205" s="302"/>
      <c r="K205" s="302"/>
      <c r="L205" s="446"/>
      <c r="M205" s="446"/>
    </row>
    <row r="206" spans="3:13" s="35" customFormat="1" ht="14.25" hidden="1" customHeight="1" x14ac:dyDescent="0.25">
      <c r="C206" s="302" t="s">
        <v>505</v>
      </c>
      <c r="D206" s="447"/>
      <c r="E206" s="448" t="s">
        <v>192</v>
      </c>
      <c r="F206" s="449"/>
      <c r="G206" s="302"/>
      <c r="H206" s="302"/>
      <c r="I206" s="302"/>
      <c r="J206" s="302"/>
      <c r="K206" s="302"/>
      <c r="L206" s="446"/>
      <c r="M206" s="446"/>
    </row>
    <row r="207" spans="3:13" s="35" customFormat="1" ht="14.25" hidden="1" customHeight="1" x14ac:dyDescent="0.25">
      <c r="C207" s="302" t="s">
        <v>506</v>
      </c>
      <c r="D207" s="447"/>
      <c r="E207" s="448" t="s">
        <v>192</v>
      </c>
      <c r="F207" s="449"/>
      <c r="G207" s="302" t="str">
        <f>Inventory!$C$80</f>
        <v>shpsan-sw-ci-01</v>
      </c>
      <c r="H207" s="302"/>
      <c r="I207" s="302"/>
      <c r="J207" s="302"/>
      <c r="K207" s="302"/>
      <c r="L207" s="302" t="s">
        <v>510</v>
      </c>
      <c r="M207" s="302"/>
    </row>
    <row r="208" spans="3:13" s="35" customFormat="1" ht="14.25" hidden="1" customHeight="1" x14ac:dyDescent="0.25">
      <c r="C208" s="302" t="s">
        <v>507</v>
      </c>
      <c r="D208" s="447"/>
      <c r="E208" s="448" t="s">
        <v>192</v>
      </c>
      <c r="F208" s="449"/>
      <c r="G208" s="302" t="s">
        <v>512</v>
      </c>
      <c r="H208" s="302"/>
      <c r="I208" s="302"/>
      <c r="J208" s="302"/>
      <c r="K208" s="302"/>
      <c r="L208" s="302"/>
      <c r="M208" s="302"/>
    </row>
    <row r="209" spans="3:13" s="35" customFormat="1" ht="14.25" hidden="1" customHeight="1" x14ac:dyDescent="0.25">
      <c r="C209" s="302" t="s">
        <v>508</v>
      </c>
      <c r="D209" s="447"/>
      <c r="E209" s="448" t="s">
        <v>192</v>
      </c>
      <c r="F209" s="449"/>
      <c r="G209" s="302" t="str">
        <f>C212</f>
        <v>shpsan-sw-mgt-02</v>
      </c>
      <c r="H209" s="302"/>
      <c r="I209" s="302"/>
      <c r="J209" s="302"/>
      <c r="K209" s="302"/>
      <c r="L209" s="302" t="s">
        <v>508</v>
      </c>
      <c r="M209" s="302"/>
    </row>
    <row r="210" spans="3:13" s="35" customFormat="1" ht="14.25" hidden="1" customHeight="1" x14ac:dyDescent="0.25">
      <c r="C210" s="302" t="s">
        <v>509</v>
      </c>
      <c r="D210" s="447"/>
      <c r="E210" s="448" t="s">
        <v>192</v>
      </c>
      <c r="F210" s="449"/>
      <c r="G210" s="302" t="str">
        <f>C212</f>
        <v>shpsan-sw-mgt-02</v>
      </c>
      <c r="H210" s="302"/>
      <c r="I210" s="302"/>
      <c r="J210" s="302"/>
      <c r="K210" s="302"/>
      <c r="L210" s="302" t="s">
        <v>509</v>
      </c>
      <c r="M210" s="302"/>
    </row>
    <row r="211" spans="3:13" s="35" customFormat="1" ht="14.25" hidden="1" customHeight="1" x14ac:dyDescent="0.25">
      <c r="M211" s="36" t="s">
        <v>511</v>
      </c>
    </row>
    <row r="212" spans="3:13" s="35" customFormat="1" ht="14.25" hidden="1" customHeight="1" x14ac:dyDescent="0.25">
      <c r="C212" s="4" t="str">
        <f>IF(Inventory!C83&lt;&gt;0,Inventory!C83,"")</f>
        <v>shpsan-sw-mgt-02</v>
      </c>
    </row>
    <row r="213" spans="3:13" s="35" customFormat="1" ht="14.25" hidden="1" customHeight="1" thickBot="1" x14ac:dyDescent="0.3">
      <c r="C213" s="311" t="s">
        <v>186</v>
      </c>
      <c r="D213" s="450"/>
      <c r="E213" s="313" t="s">
        <v>187</v>
      </c>
      <c r="F213" s="311"/>
      <c r="G213" s="311" t="s">
        <v>188</v>
      </c>
      <c r="H213" s="311"/>
      <c r="I213" s="311"/>
      <c r="J213" s="311"/>
      <c r="K213" s="311"/>
      <c r="L213" s="311" t="s">
        <v>189</v>
      </c>
      <c r="M213" s="311"/>
    </row>
    <row r="214" spans="3:13" s="35" customFormat="1" ht="14.25" hidden="1" customHeight="1" x14ac:dyDescent="0.25">
      <c r="C214" s="302" t="s">
        <v>494</v>
      </c>
      <c r="D214" s="447"/>
      <c r="E214" s="448" t="s">
        <v>192</v>
      </c>
      <c r="F214" s="449"/>
      <c r="G214" s="302" t="str">
        <f>Inventory!C15</f>
        <v>shpsan-01</v>
      </c>
      <c r="H214" s="302"/>
      <c r="I214" s="302"/>
      <c r="J214" s="302"/>
      <c r="K214" s="302"/>
      <c r="L214" s="295" t="s">
        <v>485</v>
      </c>
      <c r="M214" s="297"/>
    </row>
    <row r="215" spans="3:13" s="35" customFormat="1" ht="14.25" hidden="1" customHeight="1" x14ac:dyDescent="0.25">
      <c r="C215" s="302" t="s">
        <v>495</v>
      </c>
      <c r="D215" s="447"/>
      <c r="E215" s="448" t="s">
        <v>192</v>
      </c>
      <c r="F215" s="449"/>
      <c r="G215" s="302" t="str">
        <f>Inventory!C16</f>
        <v>shpsan-02</v>
      </c>
      <c r="H215" s="302"/>
      <c r="I215" s="302"/>
      <c r="J215" s="302"/>
      <c r="K215" s="302"/>
      <c r="L215" s="288" t="s">
        <v>31</v>
      </c>
      <c r="M215" s="290"/>
    </row>
    <row r="216" spans="3:13" s="35" customFormat="1" ht="14.25" hidden="1" customHeight="1" x14ac:dyDescent="0.25">
      <c r="C216" s="302" t="s">
        <v>496</v>
      </c>
      <c r="D216" s="447"/>
      <c r="E216" s="448" t="s">
        <v>192</v>
      </c>
      <c r="F216" s="449"/>
      <c r="G216" s="302" t="str">
        <f>Inventory!C17</f>
        <v/>
      </c>
      <c r="H216" s="302"/>
      <c r="I216" s="302"/>
      <c r="J216" s="302"/>
      <c r="K216" s="302"/>
      <c r="L216" s="288" t="s">
        <v>485</v>
      </c>
      <c r="M216" s="290"/>
    </row>
    <row r="217" spans="3:13" s="35" customFormat="1" ht="14.25" hidden="1" customHeight="1" x14ac:dyDescent="0.25">
      <c r="C217" s="302" t="s">
        <v>497</v>
      </c>
      <c r="D217" s="447"/>
      <c r="E217" s="448" t="s">
        <v>192</v>
      </c>
      <c r="F217" s="449"/>
      <c r="G217" s="302" t="str">
        <f>Inventory!C18</f>
        <v/>
      </c>
      <c r="H217" s="302"/>
      <c r="I217" s="302"/>
      <c r="J217" s="302"/>
      <c r="K217" s="302"/>
      <c r="L217" s="288" t="s">
        <v>31</v>
      </c>
      <c r="M217" s="290"/>
    </row>
    <row r="218" spans="3:13" s="35" customFormat="1" ht="14.25" hidden="1" customHeight="1" x14ac:dyDescent="0.25">
      <c r="C218" s="302" t="s">
        <v>498</v>
      </c>
      <c r="D218" s="447"/>
      <c r="E218" s="448" t="s">
        <v>192</v>
      </c>
      <c r="F218" s="449"/>
      <c r="G218" s="302" t="str">
        <f>Inventory!C19</f>
        <v/>
      </c>
      <c r="H218" s="302"/>
      <c r="I218" s="302"/>
      <c r="J218" s="302"/>
      <c r="K218" s="302"/>
      <c r="L218" s="288" t="s">
        <v>485</v>
      </c>
      <c r="M218" s="290"/>
    </row>
    <row r="219" spans="3:13" s="35" customFormat="1" ht="14.25" hidden="1" customHeight="1" x14ac:dyDescent="0.25">
      <c r="C219" s="302" t="s">
        <v>499</v>
      </c>
      <c r="D219" s="447"/>
      <c r="E219" s="448" t="s">
        <v>192</v>
      </c>
      <c r="F219" s="449"/>
      <c r="G219" s="302" t="str">
        <f>Inventory!C20</f>
        <v/>
      </c>
      <c r="H219" s="302"/>
      <c r="I219" s="302"/>
      <c r="J219" s="302"/>
      <c r="K219" s="302"/>
      <c r="L219" s="288" t="s">
        <v>31</v>
      </c>
      <c r="M219" s="290"/>
    </row>
    <row r="220" spans="3:13" s="35" customFormat="1" ht="14.25" hidden="1" customHeight="1" x14ac:dyDescent="0.25">
      <c r="C220" s="302" t="s">
        <v>500</v>
      </c>
      <c r="D220" s="447"/>
      <c r="E220" s="448" t="s">
        <v>192</v>
      </c>
      <c r="F220" s="449"/>
      <c r="G220" s="302" t="str">
        <f>Inventory!C21</f>
        <v/>
      </c>
      <c r="H220" s="302"/>
      <c r="I220" s="302"/>
      <c r="J220" s="302"/>
      <c r="K220" s="302"/>
      <c r="L220" s="288" t="s">
        <v>485</v>
      </c>
      <c r="M220" s="290"/>
    </row>
    <row r="221" spans="3:13" s="35" customFormat="1" ht="14.25" hidden="1" customHeight="1" x14ac:dyDescent="0.25">
      <c r="C221" s="302" t="s">
        <v>501</v>
      </c>
      <c r="D221" s="447"/>
      <c r="E221" s="448" t="s">
        <v>192</v>
      </c>
      <c r="F221" s="449"/>
      <c r="G221" s="302" t="str">
        <f>Inventory!C22</f>
        <v/>
      </c>
      <c r="H221" s="302"/>
      <c r="I221" s="302"/>
      <c r="J221" s="302"/>
      <c r="K221" s="302"/>
      <c r="L221" s="302" t="s">
        <v>31</v>
      </c>
      <c r="M221" s="302"/>
    </row>
    <row r="222" spans="3:13" s="35" customFormat="1" ht="14.25" hidden="1" customHeight="1" x14ac:dyDescent="0.25">
      <c r="C222" s="302" t="s">
        <v>502</v>
      </c>
      <c r="D222" s="447"/>
      <c r="E222" s="448" t="s">
        <v>192</v>
      </c>
      <c r="F222" s="449"/>
      <c r="G222" s="302"/>
      <c r="H222" s="302"/>
      <c r="I222" s="302"/>
      <c r="J222" s="302"/>
      <c r="K222" s="302"/>
      <c r="L222" s="302"/>
      <c r="M222" s="302"/>
    </row>
    <row r="223" spans="3:13" s="35" customFormat="1" ht="14.25" hidden="1" customHeight="1" x14ac:dyDescent="0.25">
      <c r="C223" s="302" t="s">
        <v>503</v>
      </c>
      <c r="D223" s="447"/>
      <c r="E223" s="448" t="s">
        <v>192</v>
      </c>
      <c r="F223" s="449"/>
      <c r="G223" s="302"/>
      <c r="H223" s="302"/>
      <c r="I223" s="302"/>
      <c r="J223" s="302"/>
      <c r="K223" s="302"/>
      <c r="L223" s="302"/>
      <c r="M223" s="302"/>
    </row>
    <row r="224" spans="3:13" s="35" customFormat="1" ht="14.25" hidden="1" customHeight="1" x14ac:dyDescent="0.25">
      <c r="C224" s="302" t="s">
        <v>504</v>
      </c>
      <c r="D224" s="447"/>
      <c r="E224" s="448" t="s">
        <v>192</v>
      </c>
      <c r="F224" s="449"/>
      <c r="G224" s="302"/>
      <c r="H224" s="302"/>
      <c r="I224" s="302"/>
      <c r="J224" s="302"/>
      <c r="K224" s="302"/>
      <c r="L224" s="302"/>
      <c r="M224" s="302"/>
    </row>
    <row r="225" spans="2:13" s="35" customFormat="1" ht="14.25" hidden="1" customHeight="1" x14ac:dyDescent="0.25">
      <c r="C225" s="302" t="s">
        <v>505</v>
      </c>
      <c r="D225" s="447"/>
      <c r="E225" s="448" t="s">
        <v>192</v>
      </c>
      <c r="F225" s="449"/>
      <c r="G225" s="302"/>
      <c r="H225" s="302"/>
      <c r="I225" s="302"/>
      <c r="J225" s="302"/>
      <c r="K225" s="302"/>
      <c r="L225" s="302"/>
      <c r="M225" s="302"/>
    </row>
    <row r="226" spans="2:13" s="35" customFormat="1" ht="14.25" hidden="1" customHeight="1" x14ac:dyDescent="0.25">
      <c r="C226" s="302" t="s">
        <v>506</v>
      </c>
      <c r="D226" s="447"/>
      <c r="E226" s="448" t="s">
        <v>192</v>
      </c>
      <c r="F226" s="449"/>
      <c r="G226" s="302" t="str">
        <f>Inventory!$C$81</f>
        <v>shpsan-sw-ci-02</v>
      </c>
      <c r="H226" s="302"/>
      <c r="I226" s="302"/>
      <c r="J226" s="302"/>
      <c r="K226" s="302"/>
      <c r="L226" s="302" t="s">
        <v>510</v>
      </c>
      <c r="M226" s="302"/>
    </row>
    <row r="227" spans="2:13" s="35" customFormat="1" ht="14.25" hidden="1" customHeight="1" x14ac:dyDescent="0.25">
      <c r="C227" s="302" t="s">
        <v>507</v>
      </c>
      <c r="D227" s="447"/>
      <c r="E227" s="448" t="s">
        <v>192</v>
      </c>
      <c r="F227" s="449"/>
      <c r="G227" s="302" t="s">
        <v>512</v>
      </c>
      <c r="H227" s="302"/>
      <c r="I227" s="302"/>
      <c r="J227" s="302"/>
      <c r="K227" s="302"/>
      <c r="L227" s="302"/>
      <c r="M227" s="302"/>
    </row>
    <row r="228" spans="2:13" s="35" customFormat="1" ht="14.25" hidden="1" customHeight="1" x14ac:dyDescent="0.25">
      <c r="C228" s="302" t="s">
        <v>508</v>
      </c>
      <c r="D228" s="447"/>
      <c r="E228" s="448" t="s">
        <v>192</v>
      </c>
      <c r="F228" s="449"/>
      <c r="G228" s="302" t="str">
        <f>C193</f>
        <v>shpsan-sw-mgt-01</v>
      </c>
      <c r="H228" s="302"/>
      <c r="I228" s="302"/>
      <c r="J228" s="302"/>
      <c r="K228" s="302"/>
      <c r="L228" s="302" t="s">
        <v>508</v>
      </c>
      <c r="M228" s="302"/>
    </row>
    <row r="229" spans="2:13" s="35" customFormat="1" ht="14.25" hidden="1" customHeight="1" x14ac:dyDescent="0.25">
      <c r="C229" s="302" t="s">
        <v>509</v>
      </c>
      <c r="D229" s="447"/>
      <c r="E229" s="448" t="s">
        <v>192</v>
      </c>
      <c r="F229" s="449"/>
      <c r="G229" s="302" t="str">
        <f>C193</f>
        <v>shpsan-sw-mgt-01</v>
      </c>
      <c r="H229" s="302"/>
      <c r="I229" s="302"/>
      <c r="J229" s="302"/>
      <c r="K229" s="302"/>
      <c r="L229" s="302" t="s">
        <v>509</v>
      </c>
      <c r="M229" s="302"/>
    </row>
    <row r="230" spans="2:13" s="35" customFormat="1" ht="14.25" hidden="1" customHeight="1" x14ac:dyDescent="0.25">
      <c r="M230" s="36" t="s">
        <v>511</v>
      </c>
    </row>
    <row r="231" spans="2:13" s="35" customFormat="1" ht="14.25" hidden="1" customHeight="1" x14ac:dyDescent="0.25">
      <c r="M231" s="36"/>
    </row>
    <row r="232" spans="2:13" s="35" customFormat="1" ht="14.25" hidden="1" customHeight="1" x14ac:dyDescent="0.25">
      <c r="B232" s="4" t="s">
        <v>513</v>
      </c>
      <c r="M232" s="95" t="str">
        <f>IF(C234&lt;&gt;"","","**Hide this section, no interconnect switches exist**")</f>
        <v/>
      </c>
    </row>
    <row r="233" spans="2:13" s="35" customFormat="1" ht="6" hidden="1" customHeight="1" x14ac:dyDescent="0.25">
      <c r="B233" s="4"/>
      <c r="G233" s="6"/>
    </row>
    <row r="234" spans="2:13" s="35" customFormat="1" ht="14.25" hidden="1" customHeight="1" x14ac:dyDescent="0.25">
      <c r="C234" s="4" t="str">
        <f>IF(Inventory!C80&lt;&gt;0,Inventory!C80,"")</f>
        <v>shpsan-sw-ci-01</v>
      </c>
    </row>
    <row r="235" spans="2:13" s="35" customFormat="1" ht="14.25" hidden="1" customHeight="1" thickBot="1" x14ac:dyDescent="0.3">
      <c r="C235" s="311" t="s">
        <v>186</v>
      </c>
      <c r="D235" s="450"/>
      <c r="E235" s="313" t="s">
        <v>187</v>
      </c>
      <c r="F235" s="311"/>
      <c r="G235" s="311" t="s">
        <v>188</v>
      </c>
      <c r="H235" s="311"/>
      <c r="I235" s="311"/>
      <c r="J235" s="311"/>
      <c r="K235" s="311"/>
      <c r="L235" s="311" t="s">
        <v>189</v>
      </c>
      <c r="M235" s="311"/>
    </row>
    <row r="236" spans="2:13" s="35" customFormat="1" ht="14.25" hidden="1" customHeight="1" x14ac:dyDescent="0.25">
      <c r="C236" s="302" t="s">
        <v>510</v>
      </c>
      <c r="D236" s="447"/>
      <c r="E236" s="448" t="s">
        <v>192</v>
      </c>
      <c r="F236" s="449"/>
      <c r="G236" s="302" t="str">
        <f>C193</f>
        <v>shpsan-sw-mgt-01</v>
      </c>
      <c r="H236" s="302"/>
      <c r="I236" s="302"/>
      <c r="J236" s="302"/>
      <c r="K236" s="302"/>
      <c r="L236" s="302" t="str">
        <f>C207</f>
        <v>0/13</v>
      </c>
      <c r="M236" s="302"/>
    </row>
    <row r="237" spans="2:13" s="35" customFormat="1" ht="14.25" hidden="1" customHeight="1" x14ac:dyDescent="0.25">
      <c r="C237" s="302" t="s">
        <v>494</v>
      </c>
      <c r="D237" s="447"/>
      <c r="E237" s="448" t="s">
        <v>191</v>
      </c>
      <c r="F237" s="449"/>
      <c r="G237" s="302" t="str">
        <f>$C$13</f>
        <v>shpsan-01</v>
      </c>
      <c r="H237" s="302"/>
      <c r="I237" s="302"/>
      <c r="J237" s="302"/>
      <c r="K237" s="302"/>
      <c r="L237" s="302" t="s">
        <v>201</v>
      </c>
      <c r="M237" s="302"/>
    </row>
    <row r="238" spans="2:13" s="35" customFormat="1" ht="14.25" hidden="1" customHeight="1" x14ac:dyDescent="0.25">
      <c r="C238" s="302" t="s">
        <v>495</v>
      </c>
      <c r="D238" s="447"/>
      <c r="E238" s="448" t="s">
        <v>191</v>
      </c>
      <c r="F238" s="449"/>
      <c r="G238" s="302" t="str">
        <f>$C$33</f>
        <v>shpsan-02</v>
      </c>
      <c r="H238" s="302"/>
      <c r="I238" s="302"/>
      <c r="J238" s="302"/>
      <c r="K238" s="302"/>
      <c r="L238" s="302" t="s">
        <v>201</v>
      </c>
      <c r="M238" s="302"/>
    </row>
    <row r="239" spans="2:13" s="35" customFormat="1" ht="14.25" hidden="1" customHeight="1" x14ac:dyDescent="0.25">
      <c r="C239" s="302" t="s">
        <v>496</v>
      </c>
      <c r="D239" s="447"/>
      <c r="E239" s="448" t="s">
        <v>191</v>
      </c>
      <c r="F239" s="449"/>
      <c r="G239" s="302" t="str">
        <f>$C$53</f>
        <v/>
      </c>
      <c r="H239" s="302"/>
      <c r="I239" s="302"/>
      <c r="J239" s="302"/>
      <c r="K239" s="302"/>
      <c r="L239" s="302" t="s">
        <v>201</v>
      </c>
      <c r="M239" s="302"/>
    </row>
    <row r="240" spans="2:13" s="35" customFormat="1" ht="14.25" hidden="1" customHeight="1" x14ac:dyDescent="0.25">
      <c r="C240" s="302" t="s">
        <v>497</v>
      </c>
      <c r="D240" s="447"/>
      <c r="E240" s="448" t="s">
        <v>191</v>
      </c>
      <c r="F240" s="449"/>
      <c r="G240" s="302" t="str">
        <f>$C$73</f>
        <v/>
      </c>
      <c r="H240" s="302"/>
      <c r="I240" s="302"/>
      <c r="J240" s="302"/>
      <c r="K240" s="302"/>
      <c r="L240" s="302" t="s">
        <v>201</v>
      </c>
      <c r="M240" s="302"/>
    </row>
    <row r="241" spans="3:13" s="35" customFormat="1" ht="14.25" hidden="1" customHeight="1" x14ac:dyDescent="0.25">
      <c r="C241" s="302" t="s">
        <v>498</v>
      </c>
      <c r="D241" s="447"/>
      <c r="E241" s="448" t="s">
        <v>191</v>
      </c>
      <c r="F241" s="449"/>
      <c r="G241" s="302" t="str">
        <f>$C$93</f>
        <v/>
      </c>
      <c r="H241" s="302"/>
      <c r="I241" s="302"/>
      <c r="J241" s="302"/>
      <c r="K241" s="302"/>
      <c r="L241" s="302" t="s">
        <v>201</v>
      </c>
      <c r="M241" s="302"/>
    </row>
    <row r="242" spans="3:13" s="35" customFormat="1" ht="14.25" hidden="1" customHeight="1" x14ac:dyDescent="0.25">
      <c r="C242" s="302" t="s">
        <v>499</v>
      </c>
      <c r="D242" s="447"/>
      <c r="E242" s="448" t="s">
        <v>191</v>
      </c>
      <c r="F242" s="449"/>
      <c r="G242" s="302" t="str">
        <f>$C$113</f>
        <v/>
      </c>
      <c r="H242" s="302"/>
      <c r="I242" s="302"/>
      <c r="J242" s="302"/>
      <c r="K242" s="302"/>
      <c r="L242" s="302" t="s">
        <v>201</v>
      </c>
      <c r="M242" s="302"/>
    </row>
    <row r="243" spans="3:13" s="35" customFormat="1" ht="14.25" hidden="1" customHeight="1" x14ac:dyDescent="0.25">
      <c r="C243" s="302" t="s">
        <v>500</v>
      </c>
      <c r="D243" s="447"/>
      <c r="E243" s="448" t="s">
        <v>191</v>
      </c>
      <c r="F243" s="449"/>
      <c r="G243" s="302" t="str">
        <f>$C$133</f>
        <v/>
      </c>
      <c r="H243" s="302"/>
      <c r="I243" s="302"/>
      <c r="J243" s="302"/>
      <c r="K243" s="302"/>
      <c r="L243" s="302" t="s">
        <v>201</v>
      </c>
      <c r="M243" s="302"/>
    </row>
    <row r="244" spans="3:13" s="35" customFormat="1" ht="14.25" hidden="1" customHeight="1" x14ac:dyDescent="0.25">
      <c r="C244" s="302" t="s">
        <v>501</v>
      </c>
      <c r="D244" s="447"/>
      <c r="E244" s="448" t="s">
        <v>191</v>
      </c>
      <c r="F244" s="449"/>
      <c r="G244" s="302" t="str">
        <f>$C$153</f>
        <v/>
      </c>
      <c r="H244" s="302"/>
      <c r="I244" s="302"/>
      <c r="J244" s="302"/>
      <c r="K244" s="302"/>
      <c r="L244" s="302" t="s">
        <v>201</v>
      </c>
      <c r="M244" s="302"/>
    </row>
    <row r="245" spans="3:13" s="35" customFormat="1" ht="14.25" hidden="1" customHeight="1" x14ac:dyDescent="0.25">
      <c r="C245" s="302" t="s">
        <v>502</v>
      </c>
      <c r="D245" s="447"/>
      <c r="E245" s="448" t="s">
        <v>191</v>
      </c>
      <c r="F245" s="449"/>
      <c r="G245" s="302"/>
      <c r="H245" s="302"/>
      <c r="I245" s="302"/>
      <c r="J245" s="302"/>
      <c r="K245" s="302"/>
      <c r="L245" s="302"/>
      <c r="M245" s="302"/>
    </row>
    <row r="246" spans="3:13" s="35" customFormat="1" ht="14.25" hidden="1" customHeight="1" x14ac:dyDescent="0.25">
      <c r="C246" s="302" t="s">
        <v>503</v>
      </c>
      <c r="D246" s="447"/>
      <c r="E246" s="448" t="s">
        <v>191</v>
      </c>
      <c r="F246" s="449"/>
      <c r="G246" s="302"/>
      <c r="H246" s="302"/>
      <c r="I246" s="302"/>
      <c r="J246" s="302"/>
      <c r="K246" s="302"/>
      <c r="L246" s="302"/>
      <c r="M246" s="302"/>
    </row>
    <row r="247" spans="3:13" s="35" customFormat="1" ht="14.25" hidden="1" customHeight="1" x14ac:dyDescent="0.25">
      <c r="C247" s="302" t="s">
        <v>504</v>
      </c>
      <c r="D247" s="447"/>
      <c r="E247" s="448" t="s">
        <v>191</v>
      </c>
      <c r="F247" s="449"/>
      <c r="G247" s="302"/>
      <c r="H247" s="302"/>
      <c r="I247" s="302"/>
      <c r="J247" s="302"/>
      <c r="K247" s="302"/>
      <c r="L247" s="302"/>
      <c r="M247" s="302"/>
    </row>
    <row r="248" spans="3:13" s="35" customFormat="1" ht="14.25" hidden="1" customHeight="1" x14ac:dyDescent="0.25">
      <c r="C248" s="302" t="s">
        <v>505</v>
      </c>
      <c r="D248" s="447"/>
      <c r="E248" s="448" t="s">
        <v>191</v>
      </c>
      <c r="F248" s="449"/>
      <c r="G248" s="302"/>
      <c r="H248" s="302"/>
      <c r="I248" s="302"/>
      <c r="J248" s="302"/>
      <c r="K248" s="302"/>
      <c r="L248" s="302"/>
      <c r="M248" s="302"/>
    </row>
    <row r="249" spans="3:13" s="35" customFormat="1" ht="14.25" hidden="1" customHeight="1" x14ac:dyDescent="0.25">
      <c r="C249" s="302" t="s">
        <v>506</v>
      </c>
      <c r="D249" s="447"/>
      <c r="E249" s="448" t="s">
        <v>191</v>
      </c>
      <c r="F249" s="449"/>
      <c r="G249" s="302" t="str">
        <f>$C$254</f>
        <v>shpsan-sw-ci-02</v>
      </c>
      <c r="H249" s="302"/>
      <c r="I249" s="302"/>
      <c r="J249" s="302"/>
      <c r="K249" s="302"/>
      <c r="L249" s="302" t="str">
        <f>C249</f>
        <v>0/13</v>
      </c>
      <c r="M249" s="302"/>
    </row>
    <row r="250" spans="3:13" s="35" customFormat="1" ht="14.25" hidden="1" customHeight="1" x14ac:dyDescent="0.25">
      <c r="C250" s="302" t="s">
        <v>507</v>
      </c>
      <c r="D250" s="447"/>
      <c r="E250" s="448" t="s">
        <v>191</v>
      </c>
      <c r="F250" s="449"/>
      <c r="G250" s="302" t="str">
        <f t="shared" ref="G250:G252" si="15">$C$254</f>
        <v>shpsan-sw-ci-02</v>
      </c>
      <c r="H250" s="302"/>
      <c r="I250" s="302"/>
      <c r="J250" s="302"/>
      <c r="K250" s="302"/>
      <c r="L250" s="302" t="str">
        <f t="shared" ref="L250:L252" si="16">C250</f>
        <v>0/14</v>
      </c>
      <c r="M250" s="302"/>
    </row>
    <row r="251" spans="3:13" s="35" customFormat="1" ht="14.25" hidden="1" customHeight="1" x14ac:dyDescent="0.25">
      <c r="C251" s="302" t="s">
        <v>508</v>
      </c>
      <c r="D251" s="447"/>
      <c r="E251" s="448" t="s">
        <v>191</v>
      </c>
      <c r="F251" s="449"/>
      <c r="G251" s="302" t="str">
        <f t="shared" si="15"/>
        <v>shpsan-sw-ci-02</v>
      </c>
      <c r="H251" s="302"/>
      <c r="I251" s="302"/>
      <c r="J251" s="302"/>
      <c r="K251" s="302"/>
      <c r="L251" s="302" t="str">
        <f t="shared" si="16"/>
        <v>0/15</v>
      </c>
      <c r="M251" s="302"/>
    </row>
    <row r="252" spans="3:13" s="35" customFormat="1" ht="14.25" hidden="1" customHeight="1" x14ac:dyDescent="0.25">
      <c r="C252" s="302" t="s">
        <v>509</v>
      </c>
      <c r="D252" s="447"/>
      <c r="E252" s="448" t="s">
        <v>191</v>
      </c>
      <c r="F252" s="449"/>
      <c r="G252" s="302" t="str">
        <f t="shared" si="15"/>
        <v>shpsan-sw-ci-02</v>
      </c>
      <c r="H252" s="302"/>
      <c r="I252" s="302"/>
      <c r="J252" s="302"/>
      <c r="K252" s="302"/>
      <c r="L252" s="302" t="str">
        <f t="shared" si="16"/>
        <v>0/16</v>
      </c>
      <c r="M252" s="302"/>
    </row>
    <row r="253" spans="3:13" s="35" customFormat="1" ht="14.25" hidden="1" customHeight="1" x14ac:dyDescent="0.25">
      <c r="M253" s="36" t="s">
        <v>511</v>
      </c>
    </row>
    <row r="254" spans="3:13" s="35" customFormat="1" ht="14.25" hidden="1" customHeight="1" x14ac:dyDescent="0.25">
      <c r="C254" s="4" t="str">
        <f>IF(Inventory!C81&lt;&gt;0,Inventory!C81,"")</f>
        <v>shpsan-sw-ci-02</v>
      </c>
    </row>
    <row r="255" spans="3:13" s="35" customFormat="1" ht="14.25" hidden="1" customHeight="1" thickBot="1" x14ac:dyDescent="0.3">
      <c r="C255" s="311" t="s">
        <v>186</v>
      </c>
      <c r="D255" s="450"/>
      <c r="E255" s="313" t="s">
        <v>187</v>
      </c>
      <c r="F255" s="311"/>
      <c r="G255" s="311" t="s">
        <v>188</v>
      </c>
      <c r="H255" s="311"/>
      <c r="I255" s="311"/>
      <c r="J255" s="311"/>
      <c r="K255" s="311"/>
      <c r="L255" s="311" t="s">
        <v>189</v>
      </c>
      <c r="M255" s="311"/>
    </row>
    <row r="256" spans="3:13" s="35" customFormat="1" ht="14.25" hidden="1" customHeight="1" x14ac:dyDescent="0.25">
      <c r="C256" s="302" t="s">
        <v>510</v>
      </c>
      <c r="D256" s="447"/>
      <c r="E256" s="448" t="s">
        <v>192</v>
      </c>
      <c r="F256" s="449"/>
      <c r="G256" s="302" t="str">
        <f>C212</f>
        <v>shpsan-sw-mgt-02</v>
      </c>
      <c r="H256" s="302"/>
      <c r="I256" s="302"/>
      <c r="J256" s="302"/>
      <c r="K256" s="302"/>
      <c r="L256" s="302" t="str">
        <f>C226</f>
        <v>0/13</v>
      </c>
      <c r="M256" s="302"/>
    </row>
    <row r="257" spans="3:13" s="35" customFormat="1" ht="14.25" hidden="1" customHeight="1" x14ac:dyDescent="0.25">
      <c r="C257" s="302" t="s">
        <v>494</v>
      </c>
      <c r="D257" s="447"/>
      <c r="E257" s="448" t="s">
        <v>191</v>
      </c>
      <c r="F257" s="449"/>
      <c r="G257" s="302" t="str">
        <f>$C$13</f>
        <v>shpsan-01</v>
      </c>
      <c r="H257" s="302"/>
      <c r="I257" s="302"/>
      <c r="J257" s="302"/>
      <c r="K257" s="302"/>
      <c r="L257" s="302" t="s">
        <v>203</v>
      </c>
      <c r="M257" s="302"/>
    </row>
    <row r="258" spans="3:13" s="35" customFormat="1" ht="14.25" hidden="1" customHeight="1" x14ac:dyDescent="0.25">
      <c r="C258" s="302" t="s">
        <v>495</v>
      </c>
      <c r="D258" s="447"/>
      <c r="E258" s="448" t="s">
        <v>191</v>
      </c>
      <c r="F258" s="449"/>
      <c r="G258" s="302" t="str">
        <f>$C$33</f>
        <v>shpsan-02</v>
      </c>
      <c r="H258" s="302"/>
      <c r="I258" s="302"/>
      <c r="J258" s="302"/>
      <c r="K258" s="302"/>
      <c r="L258" s="302" t="s">
        <v>203</v>
      </c>
      <c r="M258" s="302"/>
    </row>
    <row r="259" spans="3:13" s="35" customFormat="1" ht="14.25" hidden="1" customHeight="1" x14ac:dyDescent="0.25">
      <c r="C259" s="302" t="s">
        <v>496</v>
      </c>
      <c r="D259" s="447"/>
      <c r="E259" s="448" t="s">
        <v>191</v>
      </c>
      <c r="F259" s="449"/>
      <c r="G259" s="302" t="str">
        <f>$C$53</f>
        <v/>
      </c>
      <c r="H259" s="302"/>
      <c r="I259" s="302"/>
      <c r="J259" s="302"/>
      <c r="K259" s="302"/>
      <c r="L259" s="302" t="s">
        <v>203</v>
      </c>
      <c r="M259" s="302"/>
    </row>
    <row r="260" spans="3:13" s="35" customFormat="1" ht="14.25" hidden="1" customHeight="1" x14ac:dyDescent="0.25">
      <c r="C260" s="302" t="s">
        <v>497</v>
      </c>
      <c r="D260" s="447"/>
      <c r="E260" s="448" t="s">
        <v>191</v>
      </c>
      <c r="F260" s="449"/>
      <c r="G260" s="302" t="str">
        <f>$C$73</f>
        <v/>
      </c>
      <c r="H260" s="302"/>
      <c r="I260" s="302"/>
      <c r="J260" s="302"/>
      <c r="K260" s="302"/>
      <c r="L260" s="302" t="s">
        <v>203</v>
      </c>
      <c r="M260" s="302"/>
    </row>
    <row r="261" spans="3:13" s="35" customFormat="1" ht="14.25" hidden="1" customHeight="1" x14ac:dyDescent="0.25">
      <c r="C261" s="302" t="s">
        <v>498</v>
      </c>
      <c r="D261" s="447"/>
      <c r="E261" s="448" t="s">
        <v>191</v>
      </c>
      <c r="F261" s="449"/>
      <c r="G261" s="302" t="str">
        <f>$C$93</f>
        <v/>
      </c>
      <c r="H261" s="302"/>
      <c r="I261" s="302"/>
      <c r="J261" s="302"/>
      <c r="K261" s="302"/>
      <c r="L261" s="302" t="s">
        <v>203</v>
      </c>
      <c r="M261" s="302"/>
    </row>
    <row r="262" spans="3:13" s="35" customFormat="1" ht="14.25" hidden="1" customHeight="1" x14ac:dyDescent="0.25">
      <c r="C262" s="302" t="s">
        <v>499</v>
      </c>
      <c r="D262" s="447"/>
      <c r="E262" s="448" t="s">
        <v>191</v>
      </c>
      <c r="F262" s="449"/>
      <c r="G262" s="302" t="str">
        <f>$C$113</f>
        <v/>
      </c>
      <c r="H262" s="302"/>
      <c r="I262" s="302"/>
      <c r="J262" s="302"/>
      <c r="K262" s="302"/>
      <c r="L262" s="302" t="s">
        <v>203</v>
      </c>
      <c r="M262" s="302"/>
    </row>
    <row r="263" spans="3:13" s="35" customFormat="1" ht="14.25" hidden="1" customHeight="1" x14ac:dyDescent="0.25">
      <c r="C263" s="302" t="s">
        <v>500</v>
      </c>
      <c r="D263" s="447"/>
      <c r="E263" s="448" t="s">
        <v>191</v>
      </c>
      <c r="F263" s="449"/>
      <c r="G263" s="302" t="str">
        <f>$C$133</f>
        <v/>
      </c>
      <c r="H263" s="302"/>
      <c r="I263" s="302"/>
      <c r="J263" s="302"/>
      <c r="K263" s="302"/>
      <c r="L263" s="302" t="s">
        <v>203</v>
      </c>
      <c r="M263" s="302"/>
    </row>
    <row r="264" spans="3:13" s="35" customFormat="1" ht="14.25" hidden="1" customHeight="1" x14ac:dyDescent="0.25">
      <c r="C264" s="302" t="s">
        <v>501</v>
      </c>
      <c r="D264" s="447"/>
      <c r="E264" s="448" t="s">
        <v>191</v>
      </c>
      <c r="F264" s="449"/>
      <c r="G264" s="302" t="str">
        <f>$C$153</f>
        <v/>
      </c>
      <c r="H264" s="302"/>
      <c r="I264" s="302"/>
      <c r="J264" s="302"/>
      <c r="K264" s="302"/>
      <c r="L264" s="302" t="s">
        <v>203</v>
      </c>
      <c r="M264" s="302"/>
    </row>
    <row r="265" spans="3:13" s="35" customFormat="1" ht="14.25" hidden="1" customHeight="1" x14ac:dyDescent="0.25">
      <c r="C265" s="302" t="s">
        <v>502</v>
      </c>
      <c r="D265" s="447"/>
      <c r="E265" s="448" t="s">
        <v>191</v>
      </c>
      <c r="F265" s="449"/>
      <c r="G265" s="302"/>
      <c r="H265" s="302"/>
      <c r="I265" s="302"/>
      <c r="J265" s="302"/>
      <c r="K265" s="302"/>
      <c r="L265" s="302"/>
      <c r="M265" s="302"/>
    </row>
    <row r="266" spans="3:13" s="35" customFormat="1" ht="14.25" hidden="1" customHeight="1" x14ac:dyDescent="0.25">
      <c r="C266" s="302" t="s">
        <v>503</v>
      </c>
      <c r="D266" s="447"/>
      <c r="E266" s="448" t="s">
        <v>191</v>
      </c>
      <c r="F266" s="449"/>
      <c r="G266" s="302"/>
      <c r="H266" s="302"/>
      <c r="I266" s="302"/>
      <c r="J266" s="302"/>
      <c r="K266" s="302"/>
      <c r="L266" s="302"/>
      <c r="M266" s="302"/>
    </row>
    <row r="267" spans="3:13" s="35" customFormat="1" ht="14.25" hidden="1" customHeight="1" x14ac:dyDescent="0.25">
      <c r="C267" s="302" t="s">
        <v>504</v>
      </c>
      <c r="D267" s="447"/>
      <c r="E267" s="448" t="s">
        <v>191</v>
      </c>
      <c r="F267" s="449"/>
      <c r="G267" s="302"/>
      <c r="H267" s="302"/>
      <c r="I267" s="302"/>
      <c r="J267" s="302"/>
      <c r="K267" s="302"/>
      <c r="L267" s="302"/>
      <c r="M267" s="302"/>
    </row>
    <row r="268" spans="3:13" s="35" customFormat="1" ht="14.25" hidden="1" customHeight="1" x14ac:dyDescent="0.25">
      <c r="C268" s="302" t="s">
        <v>505</v>
      </c>
      <c r="D268" s="447"/>
      <c r="E268" s="448" t="s">
        <v>191</v>
      </c>
      <c r="F268" s="449"/>
      <c r="G268" s="302"/>
      <c r="H268" s="302"/>
      <c r="I268" s="302"/>
      <c r="J268" s="302"/>
      <c r="K268" s="302"/>
      <c r="L268" s="302"/>
      <c r="M268" s="302"/>
    </row>
    <row r="269" spans="3:13" s="35" customFormat="1" ht="14.25" hidden="1" customHeight="1" x14ac:dyDescent="0.25">
      <c r="C269" s="302" t="s">
        <v>506</v>
      </c>
      <c r="D269" s="447"/>
      <c r="E269" s="448" t="s">
        <v>191</v>
      </c>
      <c r="F269" s="449"/>
      <c r="G269" s="302" t="str">
        <f>$C$234</f>
        <v>shpsan-sw-ci-01</v>
      </c>
      <c r="H269" s="302"/>
      <c r="I269" s="302"/>
      <c r="J269" s="302"/>
      <c r="K269" s="302"/>
      <c r="L269" s="302" t="str">
        <f>C269</f>
        <v>0/13</v>
      </c>
      <c r="M269" s="302"/>
    </row>
    <row r="270" spans="3:13" s="35" customFormat="1" ht="14.25" hidden="1" customHeight="1" x14ac:dyDescent="0.25">
      <c r="C270" s="302" t="s">
        <v>507</v>
      </c>
      <c r="D270" s="447"/>
      <c r="E270" s="448" t="s">
        <v>191</v>
      </c>
      <c r="F270" s="449"/>
      <c r="G270" s="302" t="str">
        <f>$C$234</f>
        <v>shpsan-sw-ci-01</v>
      </c>
      <c r="H270" s="302"/>
      <c r="I270" s="302"/>
      <c r="J270" s="302"/>
      <c r="K270" s="302"/>
      <c r="L270" s="302" t="str">
        <f t="shared" ref="L270:L272" si="17">C270</f>
        <v>0/14</v>
      </c>
      <c r="M270" s="302"/>
    </row>
    <row r="271" spans="3:13" s="35" customFormat="1" ht="14.25" hidden="1" customHeight="1" x14ac:dyDescent="0.25">
      <c r="C271" s="302" t="s">
        <v>508</v>
      </c>
      <c r="D271" s="447"/>
      <c r="E271" s="448" t="s">
        <v>191</v>
      </c>
      <c r="F271" s="449"/>
      <c r="G271" s="302" t="str">
        <f>$C$234</f>
        <v>shpsan-sw-ci-01</v>
      </c>
      <c r="H271" s="302"/>
      <c r="I271" s="302"/>
      <c r="J271" s="302"/>
      <c r="K271" s="302"/>
      <c r="L271" s="302" t="str">
        <f t="shared" si="17"/>
        <v>0/15</v>
      </c>
      <c r="M271" s="302"/>
    </row>
    <row r="272" spans="3:13" s="35" customFormat="1" ht="14.25" hidden="1" customHeight="1" x14ac:dyDescent="0.25">
      <c r="C272" s="302" t="s">
        <v>509</v>
      </c>
      <c r="D272" s="447"/>
      <c r="E272" s="448" t="s">
        <v>191</v>
      </c>
      <c r="F272" s="449"/>
      <c r="G272" s="302" t="str">
        <f>$C$234</f>
        <v>shpsan-sw-ci-01</v>
      </c>
      <c r="H272" s="302"/>
      <c r="I272" s="302"/>
      <c r="J272" s="302"/>
      <c r="K272" s="302"/>
      <c r="L272" s="302" t="str">
        <f t="shared" si="17"/>
        <v>0/16</v>
      </c>
      <c r="M272" s="302"/>
    </row>
    <row r="273" spans="2:13" s="25" customFormat="1" ht="14.25" hidden="1" customHeight="1" x14ac:dyDescent="0.25">
      <c r="M273" s="36" t="s">
        <v>511</v>
      </c>
    </row>
    <row r="274" spans="2:13" s="25" customFormat="1" ht="14.25" customHeight="1" x14ac:dyDescent="0.25"/>
    <row r="275" spans="2:13" s="35" customFormat="1" ht="14.25" customHeight="1" x14ac:dyDescent="0.25">
      <c r="B275" s="4" t="s">
        <v>604</v>
      </c>
      <c r="M275" s="95" t="str">
        <f>IF(C277&lt;&gt;"","","**Hide this section, no Nexus switches exist**")</f>
        <v/>
      </c>
    </row>
    <row r="276" spans="2:13" s="35" customFormat="1" ht="6" customHeight="1" x14ac:dyDescent="0.25">
      <c r="B276" s="4"/>
      <c r="G276" s="6"/>
    </row>
    <row r="277" spans="2:13" s="35" customFormat="1" ht="14.25" customHeight="1" x14ac:dyDescent="0.25">
      <c r="C277" s="4" t="str">
        <f>IF(Inventory!C88&lt;&gt;0,Inventory!C88,"")</f>
        <v>-9k-a</v>
      </c>
    </row>
    <row r="278" spans="2:13" s="35" customFormat="1" ht="14.25" customHeight="1" thickBot="1" x14ac:dyDescent="0.3">
      <c r="C278" s="311" t="s">
        <v>186</v>
      </c>
      <c r="D278" s="450"/>
      <c r="E278" s="313" t="s">
        <v>187</v>
      </c>
      <c r="F278" s="311"/>
      <c r="G278" s="311" t="s">
        <v>188</v>
      </c>
      <c r="H278" s="311"/>
      <c r="I278" s="311"/>
      <c r="J278" s="311"/>
      <c r="K278" s="311"/>
      <c r="L278" s="311" t="s">
        <v>189</v>
      </c>
      <c r="M278" s="311"/>
    </row>
    <row r="279" spans="2:13" s="35" customFormat="1" ht="14.25" customHeight="1" x14ac:dyDescent="0.25">
      <c r="C279" s="302" t="s">
        <v>510</v>
      </c>
      <c r="D279" s="447"/>
      <c r="E279" s="448" t="s">
        <v>192</v>
      </c>
      <c r="F279" s="449"/>
      <c r="G279" s="302" t="s">
        <v>512</v>
      </c>
      <c r="H279" s="302"/>
      <c r="I279" s="302"/>
      <c r="J279" s="302"/>
      <c r="K279" s="302"/>
      <c r="L279" s="302"/>
      <c r="M279" s="302"/>
    </row>
    <row r="280" spans="2:13" s="35" customFormat="1" ht="14.25" customHeight="1" x14ac:dyDescent="0.25">
      <c r="C280" s="302" t="s">
        <v>193</v>
      </c>
      <c r="D280" s="447"/>
      <c r="E280" s="448" t="s">
        <v>191</v>
      </c>
      <c r="F280" s="449"/>
      <c r="G280" s="302" t="str">
        <f>Inventory!$C$89</f>
        <v>-9k-b</v>
      </c>
      <c r="H280" s="302"/>
      <c r="I280" s="302"/>
      <c r="J280" s="302"/>
      <c r="K280" s="302"/>
      <c r="L280" s="302" t="s">
        <v>193</v>
      </c>
      <c r="M280" s="302"/>
    </row>
    <row r="281" spans="2:13" s="35" customFormat="1" ht="14.25" customHeight="1" x14ac:dyDescent="0.25">
      <c r="C281" s="302" t="s">
        <v>194</v>
      </c>
      <c r="D281" s="447"/>
      <c r="E281" s="448" t="s">
        <v>191</v>
      </c>
      <c r="F281" s="449"/>
      <c r="G281" s="302" t="str">
        <f>Inventory!$C$89</f>
        <v>-9k-b</v>
      </c>
      <c r="H281" s="302"/>
      <c r="I281" s="302"/>
      <c r="J281" s="302"/>
      <c r="K281" s="302"/>
      <c r="L281" s="302" t="s">
        <v>194</v>
      </c>
      <c r="M281" s="302"/>
    </row>
    <row r="282" spans="2:13" s="35" customFormat="1" ht="14.25" customHeight="1" x14ac:dyDescent="0.25">
      <c r="C282" s="302" t="s">
        <v>206</v>
      </c>
      <c r="D282" s="447"/>
      <c r="E282" s="448" t="s">
        <v>191</v>
      </c>
      <c r="F282" s="449"/>
      <c r="G282" s="302"/>
      <c r="H282" s="302"/>
      <c r="I282" s="302"/>
      <c r="J282" s="302"/>
      <c r="K282" s="302"/>
      <c r="L282" s="446"/>
      <c r="M282" s="446"/>
    </row>
    <row r="283" spans="2:13" s="35" customFormat="1" ht="14.25" customHeight="1" x14ac:dyDescent="0.25">
      <c r="C283" s="302" t="s">
        <v>207</v>
      </c>
      <c r="D283" s="447"/>
      <c r="E283" s="448" t="s">
        <v>191</v>
      </c>
      <c r="F283" s="449"/>
      <c r="G283" s="302"/>
      <c r="H283" s="302"/>
      <c r="I283" s="302"/>
      <c r="J283" s="302"/>
      <c r="K283" s="302"/>
      <c r="L283" s="446"/>
      <c r="M283" s="446"/>
    </row>
    <row r="284" spans="2:13" s="35" customFormat="1" ht="14.25" customHeight="1" x14ac:dyDescent="0.25">
      <c r="C284" s="302" t="s">
        <v>514</v>
      </c>
      <c r="D284" s="447"/>
      <c r="E284" s="448" t="s">
        <v>191</v>
      </c>
      <c r="F284" s="449"/>
      <c r="G284" s="302"/>
      <c r="H284" s="302"/>
      <c r="I284" s="302"/>
      <c r="J284" s="302"/>
      <c r="K284" s="302"/>
      <c r="L284" s="446"/>
      <c r="M284" s="446"/>
    </row>
    <row r="285" spans="2:13" s="35" customFormat="1" ht="14.25" customHeight="1" x14ac:dyDescent="0.25">
      <c r="C285" s="302" t="s">
        <v>515</v>
      </c>
      <c r="D285" s="447"/>
      <c r="E285" s="448" t="s">
        <v>191</v>
      </c>
      <c r="F285" s="449"/>
      <c r="G285" s="302"/>
      <c r="H285" s="302"/>
      <c r="I285" s="302"/>
      <c r="J285" s="302"/>
      <c r="K285" s="302"/>
      <c r="L285" s="446"/>
      <c r="M285" s="446"/>
    </row>
    <row r="286" spans="2:13" s="35" customFormat="1" ht="14.25" customHeight="1" x14ac:dyDescent="0.25">
      <c r="C286" s="302" t="s">
        <v>516</v>
      </c>
      <c r="D286" s="447"/>
      <c r="E286" s="448" t="s">
        <v>191</v>
      </c>
      <c r="F286" s="449"/>
      <c r="G286" s="302"/>
      <c r="H286" s="302"/>
      <c r="I286" s="302"/>
      <c r="J286" s="302"/>
      <c r="K286" s="302"/>
      <c r="L286" s="446"/>
      <c r="M286" s="446"/>
    </row>
    <row r="287" spans="2:13" s="35" customFormat="1" ht="14.25" customHeight="1" x14ac:dyDescent="0.25">
      <c r="C287" s="302" t="s">
        <v>517</v>
      </c>
      <c r="D287" s="447"/>
      <c r="E287" s="448" t="s">
        <v>191</v>
      </c>
      <c r="F287" s="449"/>
      <c r="G287" s="302"/>
      <c r="H287" s="302"/>
      <c r="I287" s="302"/>
      <c r="J287" s="302"/>
      <c r="K287" s="302"/>
      <c r="L287" s="446"/>
      <c r="M287" s="446"/>
    </row>
    <row r="288" spans="2:13" s="35" customFormat="1" ht="14.25" customHeight="1" x14ac:dyDescent="0.25">
      <c r="C288" s="302" t="s">
        <v>518</v>
      </c>
      <c r="D288" s="447"/>
      <c r="E288" s="448" t="s">
        <v>191</v>
      </c>
      <c r="F288" s="449"/>
      <c r="G288" s="302" t="str">
        <f>Inventory!$C$89</f>
        <v>-9k-b</v>
      </c>
      <c r="H288" s="302"/>
      <c r="I288" s="302"/>
      <c r="J288" s="302"/>
      <c r="K288" s="302"/>
      <c r="L288" s="302" t="s">
        <v>518</v>
      </c>
      <c r="M288" s="302"/>
    </row>
    <row r="289" spans="3:13" s="35" customFormat="1" ht="14.25" customHeight="1" x14ac:dyDescent="0.25">
      <c r="C289" s="302" t="s">
        <v>519</v>
      </c>
      <c r="D289" s="447"/>
      <c r="E289" s="448" t="s">
        <v>191</v>
      </c>
      <c r="F289" s="449"/>
      <c r="G289" s="302" t="str">
        <f>Inventory!$C$89</f>
        <v>-9k-b</v>
      </c>
      <c r="H289" s="302"/>
      <c r="I289" s="302"/>
      <c r="J289" s="302"/>
      <c r="K289" s="302"/>
      <c r="L289" s="302" t="s">
        <v>519</v>
      </c>
      <c r="M289" s="302"/>
    </row>
    <row r="290" spans="3:13" s="35" customFormat="1" ht="14.25" customHeight="1" x14ac:dyDescent="0.25">
      <c r="C290" s="302" t="s">
        <v>520</v>
      </c>
      <c r="D290" s="447"/>
      <c r="E290" s="448" t="s">
        <v>191</v>
      </c>
      <c r="F290" s="449"/>
      <c r="G290" s="302" t="str">
        <f>Inventory!$C$91</f>
        <v>-a</v>
      </c>
      <c r="H290" s="302"/>
      <c r="I290" s="302"/>
      <c r="J290" s="302"/>
      <c r="K290" s="302"/>
      <c r="L290" s="302" t="s">
        <v>522</v>
      </c>
      <c r="M290" s="302"/>
    </row>
    <row r="291" spans="3:13" s="35" customFormat="1" ht="14.25" customHeight="1" x14ac:dyDescent="0.25">
      <c r="C291" s="302" t="s">
        <v>521</v>
      </c>
      <c r="D291" s="447"/>
      <c r="E291" s="448" t="s">
        <v>191</v>
      </c>
      <c r="F291" s="449"/>
      <c r="G291" s="302" t="str">
        <f>Inventory!$C$92</f>
        <v>-b</v>
      </c>
      <c r="H291" s="302"/>
      <c r="I291" s="302"/>
      <c r="J291" s="302"/>
      <c r="K291" s="302"/>
      <c r="L291" s="302" t="s">
        <v>522</v>
      </c>
      <c r="M291" s="302"/>
    </row>
    <row r="292" spans="3:13" s="35" customFormat="1" ht="14.25" customHeight="1" x14ac:dyDescent="0.25">
      <c r="C292" s="302" t="s">
        <v>195</v>
      </c>
      <c r="D292" s="447"/>
      <c r="E292" s="448" t="s">
        <v>191</v>
      </c>
      <c r="F292" s="449"/>
      <c r="G292" s="302"/>
      <c r="H292" s="302"/>
      <c r="I292" s="302"/>
      <c r="J292" s="302"/>
      <c r="K292" s="302"/>
      <c r="L292" s="446"/>
      <c r="M292" s="446"/>
    </row>
    <row r="293" spans="3:13" s="35" customFormat="1" ht="14.25" customHeight="1" x14ac:dyDescent="0.25">
      <c r="C293" s="302" t="s">
        <v>196</v>
      </c>
      <c r="D293" s="447"/>
      <c r="E293" s="448" t="s">
        <v>191</v>
      </c>
      <c r="F293" s="449"/>
      <c r="G293" s="302"/>
      <c r="H293" s="302"/>
      <c r="I293" s="302"/>
      <c r="J293" s="302"/>
      <c r="K293" s="302"/>
      <c r="L293" s="446"/>
      <c r="M293" s="446"/>
    </row>
    <row r="294" spans="3:13" s="35" customFormat="1" ht="14.25" customHeight="1" x14ac:dyDescent="0.25">
      <c r="C294" s="302" t="s">
        <v>197</v>
      </c>
      <c r="D294" s="447"/>
      <c r="E294" s="448" t="s">
        <v>191</v>
      </c>
      <c r="F294" s="449"/>
      <c r="G294" s="302"/>
      <c r="H294" s="302"/>
      <c r="I294" s="302"/>
      <c r="J294" s="302"/>
      <c r="K294" s="302"/>
      <c r="L294" s="446"/>
      <c r="M294" s="446"/>
    </row>
    <row r="295" spans="3:13" s="35" customFormat="1" ht="14.25" customHeight="1" x14ac:dyDescent="0.25">
      <c r="C295" s="302" t="s">
        <v>198</v>
      </c>
      <c r="D295" s="447"/>
      <c r="E295" s="448" t="s">
        <v>191</v>
      </c>
      <c r="F295" s="449"/>
      <c r="G295" s="302"/>
      <c r="H295" s="302"/>
      <c r="I295" s="302"/>
      <c r="J295" s="302"/>
      <c r="K295" s="302"/>
      <c r="L295" s="446"/>
      <c r="M295" s="446"/>
    </row>
    <row r="296" spans="3:13" s="35" customFormat="1" ht="14.25" customHeight="1" x14ac:dyDescent="0.25">
      <c r="C296" s="302" t="s">
        <v>199</v>
      </c>
      <c r="D296" s="447"/>
      <c r="E296" s="448" t="s">
        <v>191</v>
      </c>
      <c r="F296" s="449"/>
      <c r="G296" s="302" t="s">
        <v>1007</v>
      </c>
      <c r="H296" s="302"/>
      <c r="I296" s="302"/>
      <c r="J296" s="302"/>
      <c r="K296" s="302"/>
      <c r="L296" s="446"/>
      <c r="M296" s="446"/>
    </row>
    <row r="297" spans="3:13" s="35" customFormat="1" ht="14.25" customHeight="1" x14ac:dyDescent="0.25">
      <c r="C297" s="302" t="s">
        <v>200</v>
      </c>
      <c r="D297" s="447"/>
      <c r="E297" s="448" t="s">
        <v>191</v>
      </c>
      <c r="F297" s="449"/>
      <c r="G297" s="302" t="s">
        <v>1007</v>
      </c>
      <c r="H297" s="302"/>
      <c r="I297" s="302"/>
      <c r="J297" s="302"/>
      <c r="K297" s="302"/>
      <c r="L297" s="446"/>
      <c r="M297" s="446"/>
    </row>
    <row r="298" spans="3:13" s="35" customFormat="1" ht="14.25" customHeight="1" x14ac:dyDescent="0.25">
      <c r="C298" s="302" t="s">
        <v>522</v>
      </c>
      <c r="D298" s="447"/>
      <c r="E298" s="448" t="s">
        <v>191</v>
      </c>
      <c r="F298" s="449"/>
      <c r="G298" s="302"/>
      <c r="H298" s="302"/>
      <c r="I298" s="302"/>
      <c r="J298" s="302"/>
      <c r="K298" s="302"/>
      <c r="L298" s="446"/>
      <c r="M298" s="446"/>
    </row>
    <row r="299" spans="3:13" s="35" customFormat="1" ht="14.25" customHeight="1" x14ac:dyDescent="0.25">
      <c r="C299" s="302" t="s">
        <v>611</v>
      </c>
      <c r="D299" s="447"/>
      <c r="E299" s="448" t="s">
        <v>191</v>
      </c>
      <c r="F299" s="449"/>
      <c r="G299" s="302"/>
      <c r="H299" s="302"/>
      <c r="I299" s="302"/>
      <c r="J299" s="302"/>
      <c r="K299" s="302"/>
      <c r="L299" s="446"/>
      <c r="M299" s="446"/>
    </row>
    <row r="300" spans="3:13" s="35" customFormat="1" ht="14.25" customHeight="1" x14ac:dyDescent="0.25">
      <c r="C300" s="302" t="s">
        <v>612</v>
      </c>
      <c r="D300" s="447"/>
      <c r="E300" s="448" t="s">
        <v>191</v>
      </c>
      <c r="F300" s="449"/>
      <c r="G300" s="302"/>
      <c r="H300" s="302"/>
      <c r="I300" s="302"/>
      <c r="J300" s="302"/>
      <c r="K300" s="302"/>
      <c r="L300" s="446"/>
      <c r="M300" s="446"/>
    </row>
    <row r="301" spans="3:13" s="35" customFormat="1" ht="14.25" customHeight="1" x14ac:dyDescent="0.25">
      <c r="C301" s="302" t="s">
        <v>613</v>
      </c>
      <c r="D301" s="447"/>
      <c r="E301" s="448" t="s">
        <v>191</v>
      </c>
      <c r="F301" s="449"/>
      <c r="G301" s="302"/>
      <c r="H301" s="302"/>
      <c r="I301" s="302"/>
      <c r="J301" s="302"/>
      <c r="K301" s="302"/>
      <c r="L301" s="446"/>
      <c r="M301" s="446"/>
    </row>
    <row r="302" spans="3:13" s="35" customFormat="1" ht="14.25" customHeight="1" x14ac:dyDescent="0.25">
      <c r="C302" s="302" t="s">
        <v>614</v>
      </c>
      <c r="D302" s="447"/>
      <c r="E302" s="448" t="s">
        <v>191</v>
      </c>
      <c r="F302" s="449"/>
      <c r="G302" s="302"/>
      <c r="H302" s="302"/>
      <c r="I302" s="302"/>
      <c r="J302" s="302"/>
      <c r="K302" s="302"/>
      <c r="L302" s="446"/>
      <c r="M302" s="446"/>
    </row>
    <row r="303" spans="3:13" s="35" customFormat="1" ht="14.25" customHeight="1" x14ac:dyDescent="0.25">
      <c r="C303" s="302" t="s">
        <v>615</v>
      </c>
      <c r="D303" s="447"/>
      <c r="E303" s="448" t="s">
        <v>191</v>
      </c>
      <c r="F303" s="449"/>
      <c r="G303" s="302"/>
      <c r="H303" s="302"/>
      <c r="I303" s="302"/>
      <c r="J303" s="302"/>
      <c r="K303" s="302"/>
      <c r="L303" s="446"/>
      <c r="M303" s="446"/>
    </row>
    <row r="304" spans="3:13" s="35" customFormat="1" ht="14.25" customHeight="1" x14ac:dyDescent="0.25">
      <c r="C304" s="302" t="s">
        <v>616</v>
      </c>
      <c r="D304" s="447"/>
      <c r="E304" s="448" t="s">
        <v>191</v>
      </c>
      <c r="F304" s="449"/>
      <c r="G304" s="302"/>
      <c r="H304" s="302"/>
      <c r="I304" s="302"/>
      <c r="J304" s="302"/>
      <c r="K304" s="302"/>
      <c r="L304" s="446"/>
      <c r="M304" s="446"/>
    </row>
    <row r="305" spans="3:13" s="35" customFormat="1" ht="14.25" customHeight="1" x14ac:dyDescent="0.25">
      <c r="C305" s="302" t="s">
        <v>617</v>
      </c>
      <c r="D305" s="447"/>
      <c r="E305" s="448" t="s">
        <v>191</v>
      </c>
      <c r="F305" s="449"/>
      <c r="G305" s="302"/>
      <c r="H305" s="302"/>
      <c r="I305" s="302"/>
      <c r="J305" s="302"/>
      <c r="K305" s="302"/>
      <c r="L305" s="446"/>
      <c r="M305" s="446"/>
    </row>
    <row r="306" spans="3:13" s="35" customFormat="1" ht="14.25" customHeight="1" x14ac:dyDescent="0.25">
      <c r="C306" s="302" t="s">
        <v>618</v>
      </c>
      <c r="D306" s="447"/>
      <c r="E306" s="448" t="s">
        <v>191</v>
      </c>
      <c r="F306" s="449"/>
      <c r="G306" s="302" t="str">
        <f>C13</f>
        <v>shpsan-01</v>
      </c>
      <c r="H306" s="302"/>
      <c r="I306" s="302"/>
      <c r="J306" s="302"/>
      <c r="K306" s="302"/>
      <c r="L306" s="302" t="s">
        <v>201</v>
      </c>
      <c r="M306" s="302"/>
    </row>
    <row r="307" spans="3:13" s="35" customFormat="1" ht="14.25" customHeight="1" x14ac:dyDescent="0.25">
      <c r="C307" s="302" t="s">
        <v>619</v>
      </c>
      <c r="D307" s="447"/>
      <c r="E307" s="448" t="s">
        <v>191</v>
      </c>
      <c r="F307" s="449"/>
      <c r="G307" s="302" t="str">
        <f>C33</f>
        <v>shpsan-02</v>
      </c>
      <c r="H307" s="302"/>
      <c r="I307" s="302"/>
      <c r="J307" s="302"/>
      <c r="K307" s="302"/>
      <c r="L307" s="302" t="s">
        <v>201</v>
      </c>
      <c r="M307" s="302"/>
    </row>
    <row r="308" spans="3:13" s="35" customFormat="1" ht="14.25" customHeight="1" x14ac:dyDescent="0.25">
      <c r="C308" s="302" t="s">
        <v>620</v>
      </c>
      <c r="D308" s="447"/>
      <c r="E308" s="448" t="s">
        <v>191</v>
      </c>
      <c r="F308" s="449"/>
      <c r="G308" s="302" t="str">
        <f>CONCATENATE("FCOE - ",Inventory!$C$91)</f>
        <v>FCOE - -a</v>
      </c>
      <c r="H308" s="302"/>
      <c r="I308" s="302"/>
      <c r="J308" s="302"/>
      <c r="K308" s="302"/>
      <c r="L308" s="302" t="s">
        <v>620</v>
      </c>
      <c r="M308" s="302"/>
    </row>
    <row r="309" spans="3:13" s="35" customFormat="1" ht="14.25" customHeight="1" x14ac:dyDescent="0.25">
      <c r="C309" s="302" t="s">
        <v>621</v>
      </c>
      <c r="D309" s="447"/>
      <c r="E309" s="448" t="s">
        <v>191</v>
      </c>
      <c r="F309" s="449"/>
      <c r="G309" s="302" t="str">
        <f>CONCATENATE("FCOE - ",Inventory!$C$91)</f>
        <v>FCOE - -a</v>
      </c>
      <c r="H309" s="302"/>
      <c r="I309" s="302"/>
      <c r="J309" s="302"/>
      <c r="K309" s="302"/>
      <c r="L309" s="302" t="s">
        <v>621</v>
      </c>
      <c r="M309" s="302"/>
    </row>
    <row r="310" spans="3:13" s="35" customFormat="1" ht="14.25" customHeight="1" x14ac:dyDescent="0.25">
      <c r="C310" s="302" t="s">
        <v>622</v>
      </c>
      <c r="D310" s="447"/>
      <c r="E310" s="448" t="s">
        <v>191</v>
      </c>
      <c r="F310" s="449"/>
      <c r="G310" s="302" t="str">
        <f>CONCATENATE("FCOE - ",Inventory!$C$91)</f>
        <v>FCOE - -a</v>
      </c>
      <c r="H310" s="302"/>
      <c r="I310" s="302"/>
      <c r="J310" s="302"/>
      <c r="K310" s="302"/>
      <c r="L310" s="302" t="s">
        <v>622</v>
      </c>
      <c r="M310" s="302"/>
    </row>
    <row r="311" spans="3:13" s="35" customFormat="1" ht="14.25" customHeight="1" x14ac:dyDescent="0.25">
      <c r="C311" s="302" t="s">
        <v>623</v>
      </c>
      <c r="D311" s="447"/>
      <c r="E311" s="448" t="s">
        <v>191</v>
      </c>
      <c r="F311" s="449"/>
      <c r="G311" s="302" t="str">
        <f>CONCATENATE("FCOE - ",Inventory!$C$91)</f>
        <v>FCOE - -a</v>
      </c>
      <c r="H311" s="302"/>
      <c r="I311" s="302"/>
      <c r="J311" s="302"/>
      <c r="K311" s="302"/>
      <c r="L311" s="302" t="s">
        <v>623</v>
      </c>
      <c r="M311" s="302"/>
    </row>
    <row r="312" spans="3:13" s="35" customFormat="1" ht="14.25" customHeight="1" x14ac:dyDescent="0.25">
      <c r="C312" s="302" t="s">
        <v>624</v>
      </c>
      <c r="D312" s="447"/>
      <c r="E312" s="448" t="s">
        <v>191</v>
      </c>
      <c r="F312" s="449"/>
      <c r="G312" s="302"/>
      <c r="H312" s="302"/>
      <c r="I312" s="302"/>
      <c r="J312" s="302"/>
      <c r="K312" s="302"/>
      <c r="L312" s="302"/>
      <c r="M312" s="302"/>
    </row>
    <row r="313" spans="3:13" s="35" customFormat="1" ht="14.25" customHeight="1" x14ac:dyDescent="0.25">
      <c r="C313" s="302" t="s">
        <v>625</v>
      </c>
      <c r="D313" s="447"/>
      <c r="E313" s="448" t="s">
        <v>191</v>
      </c>
      <c r="F313" s="449"/>
      <c r="G313" s="302"/>
      <c r="H313" s="302"/>
      <c r="I313" s="302"/>
      <c r="J313" s="302"/>
      <c r="K313" s="302"/>
      <c r="L313" s="302"/>
      <c r="M313" s="302"/>
    </row>
    <row r="314" spans="3:13" s="35" customFormat="1" ht="14.25" customHeight="1" x14ac:dyDescent="0.25">
      <c r="C314" s="302" t="s">
        <v>626</v>
      </c>
      <c r="D314" s="447"/>
      <c r="E314" s="448" t="s">
        <v>191</v>
      </c>
      <c r="F314" s="449"/>
      <c r="G314" s="302"/>
      <c r="H314" s="302"/>
      <c r="I314" s="302"/>
      <c r="J314" s="302"/>
      <c r="K314" s="302"/>
      <c r="L314" s="302"/>
      <c r="M314" s="302"/>
    </row>
    <row r="315" spans="3:13" s="35" customFormat="1" ht="14.25" customHeight="1" x14ac:dyDescent="0.25">
      <c r="C315" s="302" t="s">
        <v>627</v>
      </c>
      <c r="D315" s="447"/>
      <c r="E315" s="448" t="s">
        <v>191</v>
      </c>
      <c r="F315" s="449"/>
      <c r="G315" s="302"/>
      <c r="H315" s="302"/>
      <c r="I315" s="302"/>
      <c r="J315" s="302"/>
      <c r="K315" s="302"/>
      <c r="L315" s="302"/>
      <c r="M315" s="302"/>
    </row>
    <row r="316" spans="3:13" s="35" customFormat="1" ht="14.25" customHeight="1" x14ac:dyDescent="0.25">
      <c r="C316" s="302" t="s">
        <v>628</v>
      </c>
      <c r="D316" s="447"/>
      <c r="E316" s="448" t="s">
        <v>191</v>
      </c>
      <c r="F316" s="449"/>
      <c r="G316" s="302"/>
      <c r="H316" s="302"/>
      <c r="I316" s="302"/>
      <c r="J316" s="302"/>
      <c r="K316" s="302"/>
      <c r="L316" s="302"/>
      <c r="M316" s="302"/>
    </row>
    <row r="317" spans="3:13" s="35" customFormat="1" ht="14.25" customHeight="1" x14ac:dyDescent="0.25">
      <c r="C317" s="302" t="s">
        <v>629</v>
      </c>
      <c r="D317" s="447"/>
      <c r="E317" s="448" t="s">
        <v>191</v>
      </c>
      <c r="F317" s="449"/>
      <c r="G317" s="302"/>
      <c r="H317" s="302"/>
      <c r="I317" s="302"/>
      <c r="J317" s="302"/>
      <c r="K317" s="302"/>
      <c r="L317" s="302"/>
      <c r="M317" s="302"/>
    </row>
    <row r="318" spans="3:13" s="35" customFormat="1" ht="14.25" customHeight="1" x14ac:dyDescent="0.25">
      <c r="C318" s="302" t="s">
        <v>630</v>
      </c>
      <c r="D318" s="447"/>
      <c r="E318" s="448" t="s">
        <v>191</v>
      </c>
      <c r="F318" s="449"/>
      <c r="G318" s="302"/>
      <c r="H318" s="302"/>
      <c r="I318" s="302"/>
      <c r="J318" s="302"/>
      <c r="K318" s="302"/>
      <c r="L318" s="302"/>
      <c r="M318" s="302"/>
    </row>
    <row r="319" spans="3:13" s="35" customFormat="1" ht="14.25" customHeight="1" x14ac:dyDescent="0.25">
      <c r="C319" s="302" t="s">
        <v>631</v>
      </c>
      <c r="D319" s="447"/>
      <c r="E319" s="448" t="s">
        <v>191</v>
      </c>
      <c r="F319" s="449"/>
      <c r="G319" s="302"/>
      <c r="H319" s="302"/>
      <c r="I319" s="302"/>
      <c r="J319" s="302"/>
      <c r="K319" s="302"/>
      <c r="L319" s="302"/>
      <c r="M319" s="302"/>
    </row>
    <row r="320" spans="3:13" s="35" customFormat="1" ht="14.25" customHeight="1" x14ac:dyDescent="0.25">
      <c r="C320" s="302" t="s">
        <v>632</v>
      </c>
      <c r="D320" s="447"/>
      <c r="E320" s="448" t="s">
        <v>191</v>
      </c>
      <c r="F320" s="449"/>
      <c r="G320" s="302"/>
      <c r="H320" s="302"/>
      <c r="I320" s="302"/>
      <c r="J320" s="302"/>
      <c r="K320" s="302"/>
      <c r="L320" s="302"/>
      <c r="M320" s="302"/>
    </row>
    <row r="321" spans="3:13" s="35" customFormat="1" ht="14.25" customHeight="1" x14ac:dyDescent="0.25">
      <c r="C321" s="302" t="s">
        <v>633</v>
      </c>
      <c r="D321" s="447"/>
      <c r="E321" s="448" t="s">
        <v>191</v>
      </c>
      <c r="F321" s="449"/>
      <c r="G321" s="302"/>
      <c r="H321" s="302"/>
      <c r="I321" s="302"/>
      <c r="J321" s="302"/>
      <c r="K321" s="302"/>
      <c r="L321" s="302"/>
      <c r="M321" s="302"/>
    </row>
    <row r="322" spans="3:13" s="35" customFormat="1" ht="14.25" customHeight="1" x14ac:dyDescent="0.25">
      <c r="C322" s="302" t="s">
        <v>634</v>
      </c>
      <c r="D322" s="447"/>
      <c r="E322" s="448" t="s">
        <v>191</v>
      </c>
      <c r="F322" s="449"/>
      <c r="G322" s="302"/>
      <c r="H322" s="302"/>
      <c r="I322" s="302"/>
      <c r="J322" s="302"/>
      <c r="K322" s="302"/>
      <c r="L322" s="302"/>
      <c r="M322" s="302"/>
    </row>
    <row r="323" spans="3:13" s="35" customFormat="1" ht="14.25" customHeight="1" x14ac:dyDescent="0.25">
      <c r="C323" s="302" t="s">
        <v>635</v>
      </c>
      <c r="D323" s="447"/>
      <c r="E323" s="448" t="s">
        <v>191</v>
      </c>
      <c r="F323" s="449"/>
      <c r="G323" s="302"/>
      <c r="H323" s="302"/>
      <c r="I323" s="302"/>
      <c r="J323" s="302"/>
      <c r="K323" s="302"/>
      <c r="L323" s="302"/>
      <c r="M323" s="302"/>
    </row>
    <row r="324" spans="3:13" s="35" customFormat="1" ht="14.25" customHeight="1" x14ac:dyDescent="0.25">
      <c r="C324" s="302" t="s">
        <v>636</v>
      </c>
      <c r="D324" s="447"/>
      <c r="E324" s="448" t="s">
        <v>191</v>
      </c>
      <c r="F324" s="449"/>
      <c r="G324" s="302"/>
      <c r="H324" s="302"/>
      <c r="I324" s="302"/>
      <c r="J324" s="302"/>
      <c r="K324" s="302"/>
      <c r="L324" s="302"/>
      <c r="M324" s="302"/>
    </row>
    <row r="325" spans="3:13" s="35" customFormat="1" ht="14.25" customHeight="1" x14ac:dyDescent="0.25">
      <c r="C325" s="302" t="s">
        <v>998</v>
      </c>
      <c r="D325" s="447"/>
      <c r="E325" s="448" t="s">
        <v>191</v>
      </c>
      <c r="F325" s="449"/>
      <c r="G325" s="302"/>
      <c r="H325" s="302"/>
      <c r="I325" s="302"/>
      <c r="J325" s="302"/>
      <c r="K325" s="302"/>
      <c r="L325" s="302"/>
      <c r="M325" s="302"/>
    </row>
    <row r="326" spans="3:13" s="35" customFormat="1" ht="14.25" customHeight="1" x14ac:dyDescent="0.25">
      <c r="C326" s="302" t="s">
        <v>999</v>
      </c>
      <c r="D326" s="447"/>
      <c r="E326" s="448" t="s">
        <v>191</v>
      </c>
      <c r="F326" s="449"/>
      <c r="G326" s="302"/>
      <c r="H326" s="302"/>
      <c r="I326" s="302"/>
      <c r="J326" s="302"/>
      <c r="K326" s="302"/>
      <c r="L326" s="302"/>
      <c r="M326" s="302"/>
    </row>
    <row r="327" spans="3:13" s="35" customFormat="1" ht="14.25" customHeight="1" x14ac:dyDescent="0.25">
      <c r="C327" s="302" t="s">
        <v>1000</v>
      </c>
      <c r="D327" s="447"/>
      <c r="E327" s="448" t="s">
        <v>191</v>
      </c>
      <c r="F327" s="449"/>
      <c r="G327" s="302"/>
      <c r="H327" s="302"/>
      <c r="I327" s="302"/>
      <c r="J327" s="302"/>
      <c r="K327" s="302"/>
      <c r="L327" s="302"/>
      <c r="M327" s="302"/>
    </row>
    <row r="328" spans="3:13" s="35" customFormat="1" ht="14.25" customHeight="1" x14ac:dyDescent="0.25">
      <c r="M328" s="36" t="s">
        <v>511</v>
      </c>
    </row>
    <row r="329" spans="3:13" s="35" customFormat="1" ht="14.25" customHeight="1" x14ac:dyDescent="0.25">
      <c r="C329" s="4" t="str">
        <f>IF(Inventory!C89&lt;&gt;0,Inventory!C89,"")</f>
        <v>-9k-b</v>
      </c>
    </row>
    <row r="330" spans="3:13" s="35" customFormat="1" ht="14.25" customHeight="1" thickBot="1" x14ac:dyDescent="0.3">
      <c r="C330" s="311" t="s">
        <v>186</v>
      </c>
      <c r="D330" s="450"/>
      <c r="E330" s="313" t="s">
        <v>187</v>
      </c>
      <c r="F330" s="311"/>
      <c r="G330" s="311" t="s">
        <v>188</v>
      </c>
      <c r="H330" s="311"/>
      <c r="I330" s="311"/>
      <c r="J330" s="311"/>
      <c r="K330" s="311"/>
      <c r="L330" s="311" t="s">
        <v>189</v>
      </c>
      <c r="M330" s="311"/>
    </row>
    <row r="331" spans="3:13" s="35" customFormat="1" ht="14.25" customHeight="1" x14ac:dyDescent="0.25">
      <c r="C331" s="302" t="s">
        <v>510</v>
      </c>
      <c r="D331" s="447"/>
      <c r="E331" s="448" t="s">
        <v>192</v>
      </c>
      <c r="F331" s="449"/>
      <c r="G331" s="302" t="s">
        <v>512</v>
      </c>
      <c r="H331" s="302"/>
      <c r="I331" s="302"/>
      <c r="J331" s="302"/>
      <c r="K331" s="302"/>
      <c r="L331" s="302"/>
      <c r="M331" s="302"/>
    </row>
    <row r="332" spans="3:13" s="35" customFormat="1" ht="14.25" customHeight="1" x14ac:dyDescent="0.25">
      <c r="C332" s="302" t="s">
        <v>193</v>
      </c>
      <c r="D332" s="447"/>
      <c r="E332" s="448" t="s">
        <v>191</v>
      </c>
      <c r="F332" s="449"/>
      <c r="G332" s="302" t="str">
        <f>Inventory!$C$88</f>
        <v>-9k-a</v>
      </c>
      <c r="H332" s="302"/>
      <c r="I332" s="302"/>
      <c r="J332" s="302"/>
      <c r="K332" s="302"/>
      <c r="L332" s="302" t="s">
        <v>193</v>
      </c>
      <c r="M332" s="302"/>
    </row>
    <row r="333" spans="3:13" s="35" customFormat="1" ht="14.25" customHeight="1" x14ac:dyDescent="0.25">
      <c r="C333" s="302" t="s">
        <v>194</v>
      </c>
      <c r="D333" s="447"/>
      <c r="E333" s="448" t="s">
        <v>191</v>
      </c>
      <c r="F333" s="449"/>
      <c r="G333" s="302" t="str">
        <f>Inventory!$C$88</f>
        <v>-9k-a</v>
      </c>
      <c r="H333" s="302"/>
      <c r="I333" s="302"/>
      <c r="J333" s="302"/>
      <c r="K333" s="302"/>
      <c r="L333" s="302" t="s">
        <v>194</v>
      </c>
      <c r="M333" s="302"/>
    </row>
    <row r="334" spans="3:13" s="35" customFormat="1" ht="14.25" customHeight="1" x14ac:dyDescent="0.25">
      <c r="C334" s="302" t="s">
        <v>206</v>
      </c>
      <c r="D334" s="447"/>
      <c r="E334" s="448" t="s">
        <v>191</v>
      </c>
      <c r="F334" s="449"/>
      <c r="G334" s="302"/>
      <c r="H334" s="302"/>
      <c r="I334" s="302"/>
      <c r="J334" s="302"/>
      <c r="K334" s="302"/>
      <c r="L334" s="446"/>
      <c r="M334" s="446"/>
    </row>
    <row r="335" spans="3:13" s="35" customFormat="1" ht="14.25" customHeight="1" x14ac:dyDescent="0.25">
      <c r="C335" s="302" t="s">
        <v>207</v>
      </c>
      <c r="D335" s="447"/>
      <c r="E335" s="448" t="s">
        <v>191</v>
      </c>
      <c r="F335" s="449"/>
      <c r="G335" s="302"/>
      <c r="H335" s="302"/>
      <c r="I335" s="302"/>
      <c r="J335" s="302"/>
      <c r="K335" s="302"/>
      <c r="L335" s="446"/>
      <c r="M335" s="446"/>
    </row>
    <row r="336" spans="3:13" s="35" customFormat="1" ht="14.25" customHeight="1" x14ac:dyDescent="0.25">
      <c r="C336" s="302" t="s">
        <v>514</v>
      </c>
      <c r="D336" s="447"/>
      <c r="E336" s="448" t="s">
        <v>191</v>
      </c>
      <c r="F336" s="449"/>
      <c r="G336" s="302"/>
      <c r="H336" s="302"/>
      <c r="I336" s="302"/>
      <c r="J336" s="302"/>
      <c r="K336" s="302"/>
      <c r="L336" s="446"/>
      <c r="M336" s="446"/>
    </row>
    <row r="337" spans="3:13" s="35" customFormat="1" ht="14.25" customHeight="1" x14ac:dyDescent="0.25">
      <c r="C337" s="302" t="s">
        <v>515</v>
      </c>
      <c r="D337" s="447"/>
      <c r="E337" s="448" t="s">
        <v>191</v>
      </c>
      <c r="F337" s="449"/>
      <c r="G337" s="302"/>
      <c r="H337" s="302"/>
      <c r="I337" s="302"/>
      <c r="J337" s="302"/>
      <c r="K337" s="302"/>
      <c r="L337" s="446"/>
      <c r="M337" s="446"/>
    </row>
    <row r="338" spans="3:13" s="35" customFormat="1" ht="14.25" customHeight="1" x14ac:dyDescent="0.25">
      <c r="C338" s="302" t="s">
        <v>516</v>
      </c>
      <c r="D338" s="447"/>
      <c r="E338" s="448" t="s">
        <v>191</v>
      </c>
      <c r="F338" s="449"/>
      <c r="G338" s="302"/>
      <c r="H338" s="302"/>
      <c r="I338" s="302"/>
      <c r="J338" s="302"/>
      <c r="K338" s="302"/>
      <c r="L338" s="446"/>
      <c r="M338" s="446"/>
    </row>
    <row r="339" spans="3:13" s="35" customFormat="1" ht="14.25" customHeight="1" x14ac:dyDescent="0.25">
      <c r="C339" s="302" t="s">
        <v>517</v>
      </c>
      <c r="D339" s="447"/>
      <c r="E339" s="448" t="s">
        <v>191</v>
      </c>
      <c r="F339" s="449"/>
      <c r="G339" s="302"/>
      <c r="H339" s="302"/>
      <c r="I339" s="302"/>
      <c r="J339" s="302"/>
      <c r="K339" s="302"/>
      <c r="L339" s="446"/>
      <c r="M339" s="446"/>
    </row>
    <row r="340" spans="3:13" s="35" customFormat="1" ht="14.25" customHeight="1" x14ac:dyDescent="0.25">
      <c r="C340" s="302" t="s">
        <v>518</v>
      </c>
      <c r="D340" s="447"/>
      <c r="E340" s="448" t="s">
        <v>191</v>
      </c>
      <c r="F340" s="449"/>
      <c r="G340" s="302" t="str">
        <f>Inventory!$C$88</f>
        <v>-9k-a</v>
      </c>
      <c r="H340" s="302"/>
      <c r="I340" s="302"/>
      <c r="J340" s="302"/>
      <c r="K340" s="302"/>
      <c r="L340" s="302" t="s">
        <v>518</v>
      </c>
      <c r="M340" s="302"/>
    </row>
    <row r="341" spans="3:13" s="35" customFormat="1" ht="14.25" customHeight="1" x14ac:dyDescent="0.25">
      <c r="C341" s="302" t="s">
        <v>519</v>
      </c>
      <c r="D341" s="447"/>
      <c r="E341" s="448" t="s">
        <v>191</v>
      </c>
      <c r="F341" s="449"/>
      <c r="G341" s="302" t="str">
        <f>Inventory!$C$88</f>
        <v>-9k-a</v>
      </c>
      <c r="H341" s="302"/>
      <c r="I341" s="302"/>
      <c r="J341" s="302"/>
      <c r="K341" s="302"/>
      <c r="L341" s="302" t="s">
        <v>519</v>
      </c>
      <c r="M341" s="302"/>
    </row>
    <row r="342" spans="3:13" s="35" customFormat="1" ht="14.25" customHeight="1" x14ac:dyDescent="0.25">
      <c r="C342" s="302" t="s">
        <v>520</v>
      </c>
      <c r="D342" s="447"/>
      <c r="E342" s="448" t="s">
        <v>191</v>
      </c>
      <c r="F342" s="449"/>
      <c r="G342" s="302" t="str">
        <f>Inventory!$C$91</f>
        <v>-a</v>
      </c>
      <c r="H342" s="302"/>
      <c r="I342" s="302"/>
      <c r="J342" s="302"/>
      <c r="K342" s="302"/>
      <c r="L342" s="302" t="s">
        <v>611</v>
      </c>
      <c r="M342" s="302"/>
    </row>
    <row r="343" spans="3:13" s="35" customFormat="1" ht="14.25" customHeight="1" x14ac:dyDescent="0.25">
      <c r="C343" s="302" t="s">
        <v>521</v>
      </c>
      <c r="D343" s="447"/>
      <c r="E343" s="448" t="s">
        <v>191</v>
      </c>
      <c r="F343" s="449"/>
      <c r="G343" s="302" t="str">
        <f>Inventory!$C$92</f>
        <v>-b</v>
      </c>
      <c r="H343" s="302"/>
      <c r="I343" s="302"/>
      <c r="J343" s="302"/>
      <c r="K343" s="302"/>
      <c r="L343" s="302" t="s">
        <v>611</v>
      </c>
      <c r="M343" s="302"/>
    </row>
    <row r="344" spans="3:13" s="35" customFormat="1" ht="14.25" customHeight="1" x14ac:dyDescent="0.25">
      <c r="C344" s="302" t="s">
        <v>195</v>
      </c>
      <c r="D344" s="447"/>
      <c r="E344" s="448" t="s">
        <v>191</v>
      </c>
      <c r="F344" s="449"/>
      <c r="G344" s="302"/>
      <c r="H344" s="302"/>
      <c r="I344" s="302"/>
      <c r="J344" s="302"/>
      <c r="K344" s="302"/>
      <c r="L344" s="446"/>
      <c r="M344" s="446"/>
    </row>
    <row r="345" spans="3:13" s="35" customFormat="1" ht="14.25" customHeight="1" x14ac:dyDescent="0.25">
      <c r="C345" s="302" t="s">
        <v>196</v>
      </c>
      <c r="D345" s="447"/>
      <c r="E345" s="448" t="s">
        <v>191</v>
      </c>
      <c r="F345" s="449"/>
      <c r="G345" s="302"/>
      <c r="H345" s="302"/>
      <c r="I345" s="302"/>
      <c r="J345" s="302"/>
      <c r="K345" s="302"/>
      <c r="L345" s="446"/>
      <c r="M345" s="446"/>
    </row>
    <row r="346" spans="3:13" s="35" customFormat="1" ht="14.25" customHeight="1" x14ac:dyDescent="0.25">
      <c r="C346" s="302" t="s">
        <v>197</v>
      </c>
      <c r="D346" s="447"/>
      <c r="E346" s="448" t="s">
        <v>191</v>
      </c>
      <c r="F346" s="449"/>
      <c r="G346" s="302"/>
      <c r="H346" s="302"/>
      <c r="I346" s="302"/>
      <c r="J346" s="302"/>
      <c r="K346" s="302"/>
      <c r="L346" s="446"/>
      <c r="M346" s="446"/>
    </row>
    <row r="347" spans="3:13" s="35" customFormat="1" ht="14.25" customHeight="1" x14ac:dyDescent="0.25">
      <c r="C347" s="302" t="s">
        <v>198</v>
      </c>
      <c r="D347" s="447"/>
      <c r="E347" s="448" t="s">
        <v>191</v>
      </c>
      <c r="F347" s="449"/>
      <c r="G347" s="302"/>
      <c r="H347" s="302"/>
      <c r="I347" s="302"/>
      <c r="J347" s="302"/>
      <c r="K347" s="302"/>
      <c r="L347" s="446"/>
      <c r="M347" s="446"/>
    </row>
    <row r="348" spans="3:13" s="35" customFormat="1" ht="14.25" customHeight="1" x14ac:dyDescent="0.25">
      <c r="C348" s="302" t="s">
        <v>199</v>
      </c>
      <c r="D348" s="447"/>
      <c r="E348" s="448" t="s">
        <v>191</v>
      </c>
      <c r="F348" s="449"/>
      <c r="G348" s="302" t="s">
        <v>1007</v>
      </c>
      <c r="H348" s="302"/>
      <c r="I348" s="302"/>
      <c r="J348" s="302"/>
      <c r="K348" s="302"/>
      <c r="L348" s="446"/>
      <c r="M348" s="446"/>
    </row>
    <row r="349" spans="3:13" s="35" customFormat="1" ht="14.25" customHeight="1" x14ac:dyDescent="0.25">
      <c r="C349" s="302" t="s">
        <v>200</v>
      </c>
      <c r="D349" s="447"/>
      <c r="E349" s="448" t="s">
        <v>191</v>
      </c>
      <c r="F349" s="449"/>
      <c r="G349" s="302" t="s">
        <v>1007</v>
      </c>
      <c r="H349" s="302"/>
      <c r="I349" s="302"/>
      <c r="J349" s="302"/>
      <c r="K349" s="302"/>
      <c r="L349" s="446"/>
      <c r="M349" s="446"/>
    </row>
    <row r="350" spans="3:13" s="35" customFormat="1" ht="14.25" customHeight="1" x14ac:dyDescent="0.25">
      <c r="C350" s="302" t="s">
        <v>522</v>
      </c>
      <c r="D350" s="447"/>
      <c r="E350" s="448" t="s">
        <v>191</v>
      </c>
      <c r="F350" s="449"/>
      <c r="G350" s="302"/>
      <c r="H350" s="302"/>
      <c r="I350" s="302"/>
      <c r="J350" s="302"/>
      <c r="K350" s="302"/>
      <c r="L350" s="446"/>
      <c r="M350" s="446"/>
    </row>
    <row r="351" spans="3:13" s="35" customFormat="1" ht="14.25" customHeight="1" x14ac:dyDescent="0.25">
      <c r="C351" s="302" t="s">
        <v>611</v>
      </c>
      <c r="D351" s="447"/>
      <c r="E351" s="448" t="s">
        <v>191</v>
      </c>
      <c r="F351" s="449"/>
      <c r="G351" s="302"/>
      <c r="H351" s="302"/>
      <c r="I351" s="302"/>
      <c r="J351" s="302"/>
      <c r="K351" s="302"/>
      <c r="L351" s="446"/>
      <c r="M351" s="446"/>
    </row>
    <row r="352" spans="3:13" s="35" customFormat="1" ht="14.25" customHeight="1" x14ac:dyDescent="0.25">
      <c r="C352" s="302" t="s">
        <v>612</v>
      </c>
      <c r="D352" s="447"/>
      <c r="E352" s="448" t="s">
        <v>191</v>
      </c>
      <c r="F352" s="449"/>
      <c r="G352" s="302"/>
      <c r="H352" s="302"/>
      <c r="I352" s="302"/>
      <c r="J352" s="302"/>
      <c r="K352" s="302"/>
      <c r="L352" s="446"/>
      <c r="M352" s="446"/>
    </row>
    <row r="353" spans="3:13" s="35" customFormat="1" ht="14.25" customHeight="1" x14ac:dyDescent="0.25">
      <c r="C353" s="302" t="s">
        <v>613</v>
      </c>
      <c r="D353" s="447"/>
      <c r="E353" s="448" t="s">
        <v>191</v>
      </c>
      <c r="F353" s="449"/>
      <c r="G353" s="302"/>
      <c r="H353" s="302"/>
      <c r="I353" s="302"/>
      <c r="J353" s="302"/>
      <c r="K353" s="302"/>
      <c r="L353" s="446"/>
      <c r="M353" s="446"/>
    </row>
    <row r="354" spans="3:13" s="35" customFormat="1" ht="14.25" customHeight="1" x14ac:dyDescent="0.25">
      <c r="C354" s="302" t="s">
        <v>614</v>
      </c>
      <c r="D354" s="447"/>
      <c r="E354" s="448" t="s">
        <v>191</v>
      </c>
      <c r="F354" s="449"/>
      <c r="G354" s="302"/>
      <c r="H354" s="302"/>
      <c r="I354" s="302"/>
      <c r="J354" s="302"/>
      <c r="K354" s="302"/>
      <c r="L354" s="446"/>
      <c r="M354" s="446"/>
    </row>
    <row r="355" spans="3:13" s="35" customFormat="1" ht="14.25" customHeight="1" x14ac:dyDescent="0.25">
      <c r="C355" s="302" t="s">
        <v>615</v>
      </c>
      <c r="D355" s="447"/>
      <c r="E355" s="448" t="s">
        <v>191</v>
      </c>
      <c r="F355" s="449"/>
      <c r="G355" s="302"/>
      <c r="H355" s="302"/>
      <c r="I355" s="302"/>
      <c r="J355" s="302"/>
      <c r="K355" s="302"/>
      <c r="L355" s="446"/>
      <c r="M355" s="446"/>
    </row>
    <row r="356" spans="3:13" s="35" customFormat="1" ht="14.25" customHeight="1" x14ac:dyDescent="0.25">
      <c r="C356" s="302" t="s">
        <v>616</v>
      </c>
      <c r="D356" s="447"/>
      <c r="E356" s="448" t="s">
        <v>191</v>
      </c>
      <c r="F356" s="449"/>
      <c r="G356" s="302"/>
      <c r="H356" s="302"/>
      <c r="I356" s="302"/>
      <c r="J356" s="302"/>
      <c r="K356" s="302"/>
      <c r="L356" s="446"/>
      <c r="M356" s="446"/>
    </row>
    <row r="357" spans="3:13" s="35" customFormat="1" ht="14.25" customHeight="1" x14ac:dyDescent="0.25">
      <c r="C357" s="302" t="s">
        <v>617</v>
      </c>
      <c r="D357" s="447"/>
      <c r="E357" s="448" t="s">
        <v>191</v>
      </c>
      <c r="F357" s="449"/>
      <c r="G357" s="302"/>
      <c r="H357" s="302"/>
      <c r="I357" s="302"/>
      <c r="J357" s="302"/>
      <c r="K357" s="302"/>
      <c r="L357" s="446"/>
      <c r="M357" s="446"/>
    </row>
    <row r="358" spans="3:13" s="35" customFormat="1" ht="14.25" customHeight="1" x14ac:dyDescent="0.25">
      <c r="C358" s="302" t="s">
        <v>618</v>
      </c>
      <c r="D358" s="447"/>
      <c r="E358" s="448" t="s">
        <v>191</v>
      </c>
      <c r="F358" s="449"/>
      <c r="G358" s="302" t="str">
        <f>C13</f>
        <v>shpsan-01</v>
      </c>
      <c r="H358" s="302"/>
      <c r="I358" s="302"/>
      <c r="J358" s="302"/>
      <c r="K358" s="302"/>
      <c r="L358" s="302" t="s">
        <v>202</v>
      </c>
      <c r="M358" s="302"/>
    </row>
    <row r="359" spans="3:13" s="35" customFormat="1" ht="14.25" customHeight="1" x14ac:dyDescent="0.25">
      <c r="C359" s="302" t="s">
        <v>619</v>
      </c>
      <c r="D359" s="447"/>
      <c r="E359" s="448" t="s">
        <v>191</v>
      </c>
      <c r="F359" s="449"/>
      <c r="G359" s="302" t="str">
        <f>C33</f>
        <v>shpsan-02</v>
      </c>
      <c r="H359" s="302"/>
      <c r="I359" s="302"/>
      <c r="J359" s="302"/>
      <c r="K359" s="302"/>
      <c r="L359" s="302" t="s">
        <v>202</v>
      </c>
      <c r="M359" s="302"/>
    </row>
    <row r="360" spans="3:13" s="35" customFormat="1" ht="14.25" customHeight="1" x14ac:dyDescent="0.25">
      <c r="C360" s="302" t="s">
        <v>620</v>
      </c>
      <c r="D360" s="447"/>
      <c r="E360" s="448" t="s">
        <v>191</v>
      </c>
      <c r="F360" s="449"/>
      <c r="G360" s="302" t="str">
        <f>CONCATENATE("FCOE - ",Inventory!$C$92)</f>
        <v>FCOE - -b</v>
      </c>
      <c r="H360" s="302"/>
      <c r="I360" s="302"/>
      <c r="J360" s="302"/>
      <c r="K360" s="302"/>
      <c r="L360" s="302" t="s">
        <v>620</v>
      </c>
      <c r="M360" s="302"/>
    </row>
    <row r="361" spans="3:13" s="35" customFormat="1" ht="14.25" customHeight="1" x14ac:dyDescent="0.25">
      <c r="C361" s="302" t="s">
        <v>621</v>
      </c>
      <c r="D361" s="447"/>
      <c r="E361" s="448" t="s">
        <v>191</v>
      </c>
      <c r="F361" s="449"/>
      <c r="G361" s="302" t="str">
        <f>CONCATENATE("FCOE - ",Inventory!$C$92)</f>
        <v>FCOE - -b</v>
      </c>
      <c r="H361" s="302"/>
      <c r="I361" s="302"/>
      <c r="J361" s="302"/>
      <c r="K361" s="302"/>
      <c r="L361" s="302" t="s">
        <v>621</v>
      </c>
      <c r="M361" s="302"/>
    </row>
    <row r="362" spans="3:13" s="35" customFormat="1" ht="14.25" customHeight="1" x14ac:dyDescent="0.25">
      <c r="C362" s="302" t="s">
        <v>622</v>
      </c>
      <c r="D362" s="447"/>
      <c r="E362" s="448" t="s">
        <v>191</v>
      </c>
      <c r="F362" s="449"/>
      <c r="G362" s="302" t="str">
        <f>CONCATENATE("FCOE - ",Inventory!$C$92)</f>
        <v>FCOE - -b</v>
      </c>
      <c r="H362" s="302"/>
      <c r="I362" s="302"/>
      <c r="J362" s="302"/>
      <c r="K362" s="302"/>
      <c r="L362" s="302" t="s">
        <v>622</v>
      </c>
      <c r="M362" s="302"/>
    </row>
    <row r="363" spans="3:13" s="35" customFormat="1" ht="14.25" customHeight="1" x14ac:dyDescent="0.25">
      <c r="C363" s="302" t="s">
        <v>623</v>
      </c>
      <c r="D363" s="447"/>
      <c r="E363" s="448" t="s">
        <v>191</v>
      </c>
      <c r="F363" s="449"/>
      <c r="G363" s="302" t="str">
        <f>CONCATENATE("FCOE - ",Inventory!$C$92)</f>
        <v>FCOE - -b</v>
      </c>
      <c r="H363" s="302"/>
      <c r="I363" s="302"/>
      <c r="J363" s="302"/>
      <c r="K363" s="302"/>
      <c r="L363" s="302" t="s">
        <v>623</v>
      </c>
      <c r="M363" s="302"/>
    </row>
    <row r="364" spans="3:13" s="35" customFormat="1" ht="14.25" customHeight="1" x14ac:dyDescent="0.25">
      <c r="C364" s="302" t="s">
        <v>624</v>
      </c>
      <c r="D364" s="447"/>
      <c r="E364" s="448" t="s">
        <v>191</v>
      </c>
      <c r="F364" s="449"/>
      <c r="G364" s="302"/>
      <c r="H364" s="302"/>
      <c r="I364" s="302"/>
      <c r="J364" s="302"/>
      <c r="K364" s="302"/>
      <c r="L364" s="302"/>
      <c r="M364" s="302"/>
    </row>
    <row r="365" spans="3:13" s="35" customFormat="1" ht="14.25" customHeight="1" x14ac:dyDescent="0.25">
      <c r="C365" s="302" t="s">
        <v>625</v>
      </c>
      <c r="D365" s="447"/>
      <c r="E365" s="448" t="s">
        <v>191</v>
      </c>
      <c r="F365" s="449"/>
      <c r="G365" s="302"/>
      <c r="H365" s="302"/>
      <c r="I365" s="302"/>
      <c r="J365" s="302"/>
      <c r="K365" s="302"/>
      <c r="L365" s="302"/>
      <c r="M365" s="302"/>
    </row>
    <row r="366" spans="3:13" s="35" customFormat="1" ht="14.25" customHeight="1" x14ac:dyDescent="0.25">
      <c r="C366" s="302" t="s">
        <v>626</v>
      </c>
      <c r="D366" s="447"/>
      <c r="E366" s="448" t="s">
        <v>191</v>
      </c>
      <c r="F366" s="449"/>
      <c r="G366" s="302"/>
      <c r="H366" s="302"/>
      <c r="I366" s="302"/>
      <c r="J366" s="302"/>
      <c r="K366" s="302"/>
      <c r="L366" s="302"/>
      <c r="M366" s="302"/>
    </row>
    <row r="367" spans="3:13" s="35" customFormat="1" ht="14.25" customHeight="1" x14ac:dyDescent="0.25">
      <c r="C367" s="302" t="s">
        <v>627</v>
      </c>
      <c r="D367" s="447"/>
      <c r="E367" s="448" t="s">
        <v>191</v>
      </c>
      <c r="F367" s="449"/>
      <c r="G367" s="302"/>
      <c r="H367" s="302"/>
      <c r="I367" s="302"/>
      <c r="J367" s="302"/>
      <c r="K367" s="302"/>
      <c r="L367" s="302"/>
      <c r="M367" s="302"/>
    </row>
    <row r="368" spans="3:13" s="35" customFormat="1" ht="14.25" customHeight="1" x14ac:dyDescent="0.25">
      <c r="C368" s="302" t="s">
        <v>628</v>
      </c>
      <c r="D368" s="447"/>
      <c r="E368" s="448" t="s">
        <v>191</v>
      </c>
      <c r="F368" s="449"/>
      <c r="G368" s="302"/>
      <c r="H368" s="302"/>
      <c r="I368" s="302"/>
      <c r="J368" s="302"/>
      <c r="K368" s="302"/>
      <c r="L368" s="302"/>
      <c r="M368" s="302"/>
    </row>
    <row r="369" spans="2:13" s="35" customFormat="1" ht="14.25" customHeight="1" x14ac:dyDescent="0.25">
      <c r="C369" s="302" t="s">
        <v>629</v>
      </c>
      <c r="D369" s="447"/>
      <c r="E369" s="448" t="s">
        <v>191</v>
      </c>
      <c r="F369" s="449"/>
      <c r="G369" s="302"/>
      <c r="H369" s="302"/>
      <c r="I369" s="302"/>
      <c r="J369" s="302"/>
      <c r="K369" s="302"/>
      <c r="L369" s="302"/>
      <c r="M369" s="302"/>
    </row>
    <row r="370" spans="2:13" s="35" customFormat="1" ht="14.25" customHeight="1" x14ac:dyDescent="0.25">
      <c r="C370" s="302" t="s">
        <v>630</v>
      </c>
      <c r="D370" s="447"/>
      <c r="E370" s="448" t="s">
        <v>191</v>
      </c>
      <c r="F370" s="449"/>
      <c r="G370" s="302"/>
      <c r="H370" s="302"/>
      <c r="I370" s="302"/>
      <c r="J370" s="302"/>
      <c r="K370" s="302"/>
      <c r="L370" s="302"/>
      <c r="M370" s="302"/>
    </row>
    <row r="371" spans="2:13" s="35" customFormat="1" ht="14.25" customHeight="1" x14ac:dyDescent="0.25">
      <c r="C371" s="302" t="s">
        <v>631</v>
      </c>
      <c r="D371" s="447"/>
      <c r="E371" s="448" t="s">
        <v>191</v>
      </c>
      <c r="F371" s="449"/>
      <c r="G371" s="302"/>
      <c r="H371" s="302"/>
      <c r="I371" s="302"/>
      <c r="J371" s="302"/>
      <c r="K371" s="302"/>
      <c r="L371" s="302"/>
      <c r="M371" s="302"/>
    </row>
    <row r="372" spans="2:13" s="35" customFormat="1" ht="14.25" customHeight="1" x14ac:dyDescent="0.25">
      <c r="C372" s="302" t="s">
        <v>632</v>
      </c>
      <c r="D372" s="447"/>
      <c r="E372" s="448" t="s">
        <v>191</v>
      </c>
      <c r="F372" s="449"/>
      <c r="G372" s="302"/>
      <c r="H372" s="302"/>
      <c r="I372" s="302"/>
      <c r="J372" s="302"/>
      <c r="K372" s="302"/>
      <c r="L372" s="302"/>
      <c r="M372" s="302"/>
    </row>
    <row r="373" spans="2:13" s="35" customFormat="1" ht="14.25" customHeight="1" x14ac:dyDescent="0.25">
      <c r="C373" s="302" t="s">
        <v>633</v>
      </c>
      <c r="D373" s="447"/>
      <c r="E373" s="448" t="s">
        <v>191</v>
      </c>
      <c r="F373" s="449"/>
      <c r="G373" s="302"/>
      <c r="H373" s="302"/>
      <c r="I373" s="302"/>
      <c r="J373" s="302"/>
      <c r="K373" s="302"/>
      <c r="L373" s="302"/>
      <c r="M373" s="302"/>
    </row>
    <row r="374" spans="2:13" s="35" customFormat="1" ht="14.25" customHeight="1" x14ac:dyDescent="0.25">
      <c r="C374" s="302" t="s">
        <v>634</v>
      </c>
      <c r="D374" s="447"/>
      <c r="E374" s="448" t="s">
        <v>191</v>
      </c>
      <c r="F374" s="449"/>
      <c r="G374" s="302"/>
      <c r="H374" s="302"/>
      <c r="I374" s="302"/>
      <c r="J374" s="302"/>
      <c r="K374" s="302"/>
      <c r="L374" s="302"/>
      <c r="M374" s="302"/>
    </row>
    <row r="375" spans="2:13" s="35" customFormat="1" ht="14.25" customHeight="1" x14ac:dyDescent="0.25">
      <c r="C375" s="302" t="s">
        <v>635</v>
      </c>
      <c r="D375" s="447"/>
      <c r="E375" s="448" t="s">
        <v>191</v>
      </c>
      <c r="F375" s="449"/>
      <c r="G375" s="302"/>
      <c r="H375" s="302"/>
      <c r="I375" s="302"/>
      <c r="J375" s="302"/>
      <c r="K375" s="302"/>
      <c r="L375" s="302"/>
      <c r="M375" s="302"/>
    </row>
    <row r="376" spans="2:13" s="35" customFormat="1" ht="14.25" customHeight="1" x14ac:dyDescent="0.25">
      <c r="C376" s="302" t="s">
        <v>636</v>
      </c>
      <c r="D376" s="447"/>
      <c r="E376" s="448" t="s">
        <v>191</v>
      </c>
      <c r="F376" s="449"/>
      <c r="G376" s="302"/>
      <c r="H376" s="302"/>
      <c r="I376" s="302"/>
      <c r="J376" s="302"/>
      <c r="K376" s="302"/>
      <c r="L376" s="302"/>
      <c r="M376" s="302"/>
    </row>
    <row r="377" spans="2:13" s="35" customFormat="1" ht="14.25" customHeight="1" x14ac:dyDescent="0.25">
      <c r="C377" s="302" t="s">
        <v>998</v>
      </c>
      <c r="D377" s="447"/>
      <c r="E377" s="448" t="s">
        <v>191</v>
      </c>
      <c r="F377" s="449"/>
      <c r="G377" s="302"/>
      <c r="H377" s="302"/>
      <c r="I377" s="302"/>
      <c r="J377" s="302"/>
      <c r="K377" s="302"/>
      <c r="L377" s="302"/>
      <c r="M377" s="302"/>
    </row>
    <row r="378" spans="2:13" s="35" customFormat="1" ht="14.25" customHeight="1" x14ac:dyDescent="0.25">
      <c r="C378" s="302" t="s">
        <v>999</v>
      </c>
      <c r="D378" s="447"/>
      <c r="E378" s="448" t="s">
        <v>191</v>
      </c>
      <c r="F378" s="449"/>
      <c r="G378" s="302"/>
      <c r="H378" s="302"/>
      <c r="I378" s="302"/>
      <c r="J378" s="302"/>
      <c r="K378" s="302"/>
      <c r="L378" s="302"/>
      <c r="M378" s="302"/>
    </row>
    <row r="379" spans="2:13" s="35" customFormat="1" ht="14.25" customHeight="1" x14ac:dyDescent="0.25">
      <c r="C379" s="302" t="s">
        <v>1000</v>
      </c>
      <c r="D379" s="447"/>
      <c r="E379" s="448" t="s">
        <v>191</v>
      </c>
      <c r="F379" s="449"/>
      <c r="G379" s="302"/>
      <c r="H379" s="302"/>
      <c r="I379" s="302"/>
      <c r="J379" s="302"/>
      <c r="K379" s="302"/>
      <c r="L379" s="302"/>
      <c r="M379" s="302"/>
    </row>
    <row r="380" spans="2:13" s="35" customFormat="1" ht="14.25" customHeight="1" x14ac:dyDescent="0.25">
      <c r="M380" s="36" t="s">
        <v>511</v>
      </c>
    </row>
    <row r="381" spans="2:13" s="35" customFormat="1" ht="14.25" customHeight="1" x14ac:dyDescent="0.25"/>
    <row r="382" spans="2:13" s="35" customFormat="1" ht="14.25" customHeight="1" x14ac:dyDescent="0.25">
      <c r="B382" s="4" t="s">
        <v>1052</v>
      </c>
      <c r="M382" s="95" t="str">
        <f>IF(C384&lt;&gt;"","","**Hide this section, no Nexus switches exist**")</f>
        <v/>
      </c>
    </row>
    <row r="383" spans="2:13" s="35" customFormat="1" ht="6" customHeight="1" x14ac:dyDescent="0.25">
      <c r="B383" s="4"/>
      <c r="G383" s="6"/>
    </row>
    <row r="384" spans="2:13" s="35" customFormat="1" ht="14.25" customHeight="1" x14ac:dyDescent="0.25">
      <c r="C384" s="4" t="str">
        <f>IF(Inventory!C91&lt;&gt;0,Inventory!C91,"")</f>
        <v>-a</v>
      </c>
    </row>
    <row r="385" spans="3:13" s="35" customFormat="1" ht="14.25" customHeight="1" thickBot="1" x14ac:dyDescent="0.3">
      <c r="C385" s="311" t="s">
        <v>186</v>
      </c>
      <c r="D385" s="450"/>
      <c r="E385" s="313" t="s">
        <v>187</v>
      </c>
      <c r="F385" s="311"/>
      <c r="G385" s="311" t="s">
        <v>188</v>
      </c>
      <c r="H385" s="311"/>
      <c r="I385" s="311"/>
      <c r="J385" s="311"/>
      <c r="K385" s="311"/>
      <c r="L385" s="311" t="s">
        <v>189</v>
      </c>
      <c r="M385" s="311"/>
    </row>
    <row r="386" spans="3:13" s="35" customFormat="1" ht="14.25" customHeight="1" x14ac:dyDescent="0.25">
      <c r="C386" s="302" t="s">
        <v>510</v>
      </c>
      <c r="D386" s="447"/>
      <c r="E386" s="448" t="s">
        <v>192</v>
      </c>
      <c r="F386" s="449"/>
      <c r="G386" s="302" t="s">
        <v>512</v>
      </c>
      <c r="H386" s="302"/>
      <c r="I386" s="302"/>
      <c r="J386" s="302"/>
      <c r="K386" s="302"/>
      <c r="L386" s="302"/>
      <c r="M386" s="302"/>
    </row>
    <row r="387" spans="3:13" s="35" customFormat="1" ht="14.25" customHeight="1" x14ac:dyDescent="0.25">
      <c r="C387" s="302" t="s">
        <v>204</v>
      </c>
      <c r="D387" s="447"/>
      <c r="E387" s="448" t="s">
        <v>191</v>
      </c>
      <c r="F387" s="449"/>
      <c r="G387" s="302" t="str">
        <f>Inventory!$C$92</f>
        <v>-b</v>
      </c>
      <c r="H387" s="302"/>
      <c r="I387" s="302"/>
      <c r="J387" s="302"/>
      <c r="K387" s="302"/>
      <c r="L387" s="302" t="s">
        <v>204</v>
      </c>
      <c r="M387" s="302"/>
    </row>
    <row r="388" spans="3:13" s="35" customFormat="1" ht="14.25" customHeight="1" x14ac:dyDescent="0.25">
      <c r="C388" s="302" t="s">
        <v>205</v>
      </c>
      <c r="D388" s="447"/>
      <c r="E388" s="448" t="s">
        <v>191</v>
      </c>
      <c r="F388" s="449"/>
      <c r="G388" s="302" t="str">
        <f>Inventory!$C$92</f>
        <v>-b</v>
      </c>
      <c r="H388" s="302"/>
      <c r="I388" s="302"/>
      <c r="J388" s="302"/>
      <c r="K388" s="302"/>
      <c r="L388" s="302" t="s">
        <v>205</v>
      </c>
      <c r="M388" s="302"/>
    </row>
    <row r="389" spans="3:13" s="35" customFormat="1" ht="14.25" customHeight="1" x14ac:dyDescent="0.25">
      <c r="C389" s="302" t="s">
        <v>193</v>
      </c>
      <c r="D389" s="447"/>
      <c r="E389" s="448" t="s">
        <v>191</v>
      </c>
      <c r="F389" s="449"/>
      <c r="G389" s="302" t="s">
        <v>208</v>
      </c>
      <c r="H389" s="302"/>
      <c r="I389" s="302"/>
      <c r="J389" s="302"/>
      <c r="K389" s="302"/>
      <c r="L389" s="302" t="s">
        <v>209</v>
      </c>
      <c r="M389" s="302"/>
    </row>
    <row r="390" spans="3:13" s="35" customFormat="1" ht="14.25" customHeight="1" x14ac:dyDescent="0.25">
      <c r="C390" s="302" t="s">
        <v>194</v>
      </c>
      <c r="D390" s="447"/>
      <c r="E390" s="448" t="s">
        <v>191</v>
      </c>
      <c r="F390" s="449"/>
      <c r="G390" s="302" t="s">
        <v>208</v>
      </c>
      <c r="H390" s="302"/>
      <c r="I390" s="302"/>
      <c r="J390" s="302"/>
      <c r="K390" s="302"/>
      <c r="L390" s="302" t="s">
        <v>210</v>
      </c>
      <c r="M390" s="302"/>
    </row>
    <row r="391" spans="3:13" s="35" customFormat="1" ht="14.25" customHeight="1" x14ac:dyDescent="0.25">
      <c r="C391" s="302" t="s">
        <v>206</v>
      </c>
      <c r="D391" s="447"/>
      <c r="E391" s="448" t="s">
        <v>191</v>
      </c>
      <c r="F391" s="449"/>
      <c r="G391" s="302" t="s">
        <v>208</v>
      </c>
      <c r="H391" s="302"/>
      <c r="I391" s="302"/>
      <c r="J391" s="302"/>
      <c r="K391" s="302"/>
      <c r="L391" s="302" t="s">
        <v>211</v>
      </c>
      <c r="M391" s="302"/>
    </row>
    <row r="392" spans="3:13" s="35" customFormat="1" ht="14.25" customHeight="1" x14ac:dyDescent="0.25">
      <c r="C392" s="302" t="s">
        <v>207</v>
      </c>
      <c r="D392" s="447"/>
      <c r="E392" s="448" t="s">
        <v>191</v>
      </c>
      <c r="F392" s="449"/>
      <c r="G392" s="302" t="s">
        <v>208</v>
      </c>
      <c r="H392" s="302"/>
      <c r="I392" s="302"/>
      <c r="J392" s="302"/>
      <c r="K392" s="302"/>
      <c r="L392" s="302" t="s">
        <v>212</v>
      </c>
      <c r="M392" s="302"/>
    </row>
    <row r="393" spans="3:13" s="35" customFormat="1" ht="14.25" customHeight="1" x14ac:dyDescent="0.25">
      <c r="C393" s="302" t="s">
        <v>514</v>
      </c>
      <c r="D393" s="447"/>
      <c r="E393" s="448" t="s">
        <v>191</v>
      </c>
      <c r="F393" s="449"/>
      <c r="G393" s="302"/>
      <c r="H393" s="302"/>
      <c r="I393" s="302"/>
      <c r="J393" s="302"/>
      <c r="K393" s="302"/>
      <c r="L393" s="446"/>
      <c r="M393" s="446"/>
    </row>
    <row r="394" spans="3:13" s="35" customFormat="1" ht="14.25" customHeight="1" x14ac:dyDescent="0.25">
      <c r="C394" s="302" t="s">
        <v>515</v>
      </c>
      <c r="D394" s="447"/>
      <c r="E394" s="448" t="s">
        <v>191</v>
      </c>
      <c r="F394" s="449"/>
      <c r="G394" s="302"/>
      <c r="H394" s="302"/>
      <c r="I394" s="302"/>
      <c r="J394" s="302"/>
      <c r="K394" s="302"/>
      <c r="L394" s="446"/>
      <c r="M394" s="446"/>
    </row>
    <row r="395" spans="3:13" s="35" customFormat="1" ht="14.25" customHeight="1" x14ac:dyDescent="0.25">
      <c r="C395" s="302" t="s">
        <v>516</v>
      </c>
      <c r="D395" s="447"/>
      <c r="E395" s="448" t="s">
        <v>191</v>
      </c>
      <c r="F395" s="449"/>
      <c r="G395" s="302"/>
      <c r="H395" s="302"/>
      <c r="I395" s="302"/>
      <c r="J395" s="302"/>
      <c r="K395" s="302"/>
      <c r="L395" s="446"/>
      <c r="M395" s="446"/>
    </row>
    <row r="396" spans="3:13" s="35" customFormat="1" ht="14.25" customHeight="1" x14ac:dyDescent="0.25">
      <c r="C396" s="302" t="s">
        <v>517</v>
      </c>
      <c r="D396" s="447"/>
      <c r="E396" s="448" t="s">
        <v>191</v>
      </c>
      <c r="F396" s="449"/>
      <c r="G396" s="302"/>
      <c r="H396" s="302"/>
      <c r="I396" s="302"/>
      <c r="J396" s="302"/>
      <c r="K396" s="302"/>
      <c r="L396" s="446"/>
      <c r="M396" s="446"/>
    </row>
    <row r="397" spans="3:13" s="35" customFormat="1" ht="14.25" customHeight="1" x14ac:dyDescent="0.25">
      <c r="C397" s="302" t="s">
        <v>518</v>
      </c>
      <c r="D397" s="447"/>
      <c r="E397" s="448" t="s">
        <v>191</v>
      </c>
      <c r="F397" s="449"/>
      <c r="G397" s="302" t="s">
        <v>956</v>
      </c>
      <c r="H397" s="302"/>
      <c r="I397" s="302"/>
      <c r="J397" s="302"/>
      <c r="K397" s="302"/>
      <c r="L397" s="302" t="s">
        <v>209</v>
      </c>
      <c r="M397" s="302"/>
    </row>
    <row r="398" spans="3:13" s="35" customFormat="1" ht="14.25" customHeight="1" x14ac:dyDescent="0.25">
      <c r="C398" s="302" t="s">
        <v>519</v>
      </c>
      <c r="D398" s="447"/>
      <c r="E398" s="448" t="s">
        <v>191</v>
      </c>
      <c r="F398" s="449"/>
      <c r="G398" s="302" t="s">
        <v>956</v>
      </c>
      <c r="H398" s="302"/>
      <c r="I398" s="302"/>
      <c r="J398" s="302"/>
      <c r="K398" s="302"/>
      <c r="L398" s="302" t="s">
        <v>210</v>
      </c>
      <c r="M398" s="302"/>
    </row>
    <row r="399" spans="3:13" s="35" customFormat="1" ht="14.25" customHeight="1" x14ac:dyDescent="0.25">
      <c r="C399" s="302" t="s">
        <v>520</v>
      </c>
      <c r="D399" s="447"/>
      <c r="E399" s="448" t="s">
        <v>191</v>
      </c>
      <c r="F399" s="449"/>
      <c r="G399" s="302" t="s">
        <v>956</v>
      </c>
      <c r="H399" s="302"/>
      <c r="I399" s="302"/>
      <c r="J399" s="302"/>
      <c r="K399" s="302"/>
      <c r="L399" s="302" t="s">
        <v>211</v>
      </c>
      <c r="M399" s="302"/>
    </row>
    <row r="400" spans="3:13" s="35" customFormat="1" ht="14.25" customHeight="1" x14ac:dyDescent="0.25">
      <c r="C400" s="302" t="s">
        <v>521</v>
      </c>
      <c r="D400" s="447"/>
      <c r="E400" s="448" t="s">
        <v>191</v>
      </c>
      <c r="F400" s="449"/>
      <c r="G400" s="302" t="s">
        <v>956</v>
      </c>
      <c r="H400" s="302"/>
      <c r="I400" s="302"/>
      <c r="J400" s="302"/>
      <c r="K400" s="302"/>
      <c r="L400" s="302" t="s">
        <v>212</v>
      </c>
      <c r="M400" s="302"/>
    </row>
    <row r="401" spans="3:13" s="35" customFormat="1" ht="14.25" customHeight="1" x14ac:dyDescent="0.25">
      <c r="C401" s="302" t="s">
        <v>195</v>
      </c>
      <c r="D401" s="447"/>
      <c r="E401" s="448" t="s">
        <v>191</v>
      </c>
      <c r="F401" s="449"/>
      <c r="G401" s="302"/>
      <c r="H401" s="302"/>
      <c r="I401" s="302"/>
      <c r="J401" s="302"/>
      <c r="K401" s="302"/>
      <c r="L401" s="446"/>
      <c r="M401" s="446"/>
    </row>
    <row r="402" spans="3:13" s="35" customFormat="1" ht="14.25" customHeight="1" x14ac:dyDescent="0.25">
      <c r="C402" s="302" t="s">
        <v>196</v>
      </c>
      <c r="D402" s="447"/>
      <c r="E402" s="448" t="s">
        <v>191</v>
      </c>
      <c r="F402" s="449"/>
      <c r="G402" s="302"/>
      <c r="H402" s="302"/>
      <c r="I402" s="302"/>
      <c r="J402" s="302"/>
      <c r="K402" s="302"/>
      <c r="L402" s="446"/>
      <c r="M402" s="446"/>
    </row>
    <row r="403" spans="3:13" s="35" customFormat="1" ht="14.25" customHeight="1" x14ac:dyDescent="0.25">
      <c r="C403" s="302" t="s">
        <v>197</v>
      </c>
      <c r="D403" s="447"/>
      <c r="E403" s="448" t="s">
        <v>191</v>
      </c>
      <c r="F403" s="449"/>
      <c r="G403" s="302"/>
      <c r="H403" s="302"/>
      <c r="I403" s="302"/>
      <c r="J403" s="302"/>
      <c r="K403" s="302"/>
      <c r="L403" s="446"/>
      <c r="M403" s="446"/>
    </row>
    <row r="404" spans="3:13" s="35" customFormat="1" ht="14.25" customHeight="1" x14ac:dyDescent="0.25">
      <c r="C404" s="302" t="s">
        <v>198</v>
      </c>
      <c r="D404" s="447"/>
      <c r="E404" s="448" t="s">
        <v>191</v>
      </c>
      <c r="F404" s="449"/>
      <c r="G404" s="302"/>
      <c r="H404" s="302"/>
      <c r="I404" s="302"/>
      <c r="J404" s="302"/>
      <c r="K404" s="302"/>
      <c r="L404" s="446"/>
      <c r="M404" s="446"/>
    </row>
    <row r="405" spans="3:13" s="35" customFormat="1" ht="14.25" customHeight="1" x14ac:dyDescent="0.25">
      <c r="C405" s="302" t="s">
        <v>199</v>
      </c>
      <c r="D405" s="447"/>
      <c r="E405" s="448" t="s">
        <v>191</v>
      </c>
      <c r="F405" s="449"/>
      <c r="G405" s="302"/>
      <c r="H405" s="302"/>
      <c r="I405" s="302"/>
      <c r="J405" s="302"/>
      <c r="K405" s="302"/>
      <c r="L405" s="446"/>
      <c r="M405" s="446"/>
    </row>
    <row r="406" spans="3:13" s="35" customFormat="1" ht="14.25" customHeight="1" x14ac:dyDescent="0.25">
      <c r="C406" s="302" t="s">
        <v>200</v>
      </c>
      <c r="D406" s="447"/>
      <c r="E406" s="448" t="s">
        <v>191</v>
      </c>
      <c r="F406" s="449"/>
      <c r="G406" s="302"/>
      <c r="H406" s="302"/>
      <c r="I406" s="302"/>
      <c r="J406" s="302"/>
      <c r="K406" s="302"/>
      <c r="L406" s="446"/>
      <c r="M406" s="446"/>
    </row>
    <row r="407" spans="3:13" s="35" customFormat="1" ht="14.25" customHeight="1" x14ac:dyDescent="0.25">
      <c r="C407" s="302" t="s">
        <v>522</v>
      </c>
      <c r="D407" s="447"/>
      <c r="E407" s="448" t="s">
        <v>191</v>
      </c>
      <c r="F407" s="449"/>
      <c r="G407" s="302" t="str">
        <f>Inventory!$C$88</f>
        <v>-9k-a</v>
      </c>
      <c r="H407" s="302"/>
      <c r="I407" s="302"/>
      <c r="J407" s="302"/>
      <c r="K407" s="302"/>
      <c r="L407" s="302" t="s">
        <v>520</v>
      </c>
      <c r="M407" s="302"/>
    </row>
    <row r="408" spans="3:13" s="35" customFormat="1" ht="14.25" customHeight="1" x14ac:dyDescent="0.25">
      <c r="C408" s="302" t="s">
        <v>611</v>
      </c>
      <c r="D408" s="447"/>
      <c r="E408" s="448" t="s">
        <v>191</v>
      </c>
      <c r="F408" s="449"/>
      <c r="G408" s="302" t="str">
        <f>Inventory!$C$89</f>
        <v>-9k-b</v>
      </c>
      <c r="H408" s="302"/>
      <c r="I408" s="302"/>
      <c r="J408" s="302"/>
      <c r="K408" s="302"/>
      <c r="L408" s="302" t="s">
        <v>520</v>
      </c>
      <c r="M408" s="302"/>
    </row>
    <row r="409" spans="3:13" s="35" customFormat="1" ht="14.25" customHeight="1" x14ac:dyDescent="0.25">
      <c r="C409" s="302" t="s">
        <v>612</v>
      </c>
      <c r="D409" s="447"/>
      <c r="E409" s="448" t="s">
        <v>191</v>
      </c>
      <c r="F409" s="449"/>
      <c r="G409" s="302"/>
      <c r="H409" s="302"/>
      <c r="I409" s="302"/>
      <c r="J409" s="302"/>
      <c r="K409" s="302"/>
      <c r="L409" s="446"/>
      <c r="M409" s="446"/>
    </row>
    <row r="410" spans="3:13" s="35" customFormat="1" ht="14.25" customHeight="1" x14ac:dyDescent="0.25">
      <c r="C410" s="302" t="s">
        <v>613</v>
      </c>
      <c r="D410" s="447"/>
      <c r="E410" s="448" t="s">
        <v>191</v>
      </c>
      <c r="F410" s="449"/>
      <c r="G410" s="302"/>
      <c r="H410" s="302"/>
      <c r="I410" s="302"/>
      <c r="J410" s="302"/>
      <c r="K410" s="302"/>
      <c r="L410" s="446"/>
      <c r="M410" s="446"/>
    </row>
    <row r="411" spans="3:13" s="35" customFormat="1" ht="14.25" customHeight="1" x14ac:dyDescent="0.25">
      <c r="C411" s="302" t="s">
        <v>614</v>
      </c>
      <c r="D411" s="447"/>
      <c r="E411" s="448" t="s">
        <v>191</v>
      </c>
      <c r="F411" s="449"/>
      <c r="G411" s="302"/>
      <c r="H411" s="302"/>
      <c r="I411" s="302"/>
      <c r="J411" s="302"/>
      <c r="K411" s="302"/>
      <c r="L411" s="446"/>
      <c r="M411" s="446"/>
    </row>
    <row r="412" spans="3:13" s="35" customFormat="1" ht="14.25" customHeight="1" x14ac:dyDescent="0.25">
      <c r="C412" s="302" t="s">
        <v>615</v>
      </c>
      <c r="D412" s="447"/>
      <c r="E412" s="448" t="s">
        <v>191</v>
      </c>
      <c r="F412" s="449"/>
      <c r="G412" s="302"/>
      <c r="H412" s="302"/>
      <c r="I412" s="302"/>
      <c r="J412" s="302"/>
      <c r="K412" s="302"/>
      <c r="L412" s="446"/>
      <c r="M412" s="446"/>
    </row>
    <row r="413" spans="3:13" s="35" customFormat="1" ht="14.25" customHeight="1" x14ac:dyDescent="0.25">
      <c r="C413" s="302" t="s">
        <v>616</v>
      </c>
      <c r="D413" s="447"/>
      <c r="E413" s="448" t="s">
        <v>191</v>
      </c>
      <c r="F413" s="449"/>
      <c r="G413" s="302"/>
      <c r="H413" s="302"/>
      <c r="I413" s="302"/>
      <c r="J413" s="302"/>
      <c r="K413" s="302"/>
      <c r="L413" s="446"/>
      <c r="M413" s="446"/>
    </row>
    <row r="414" spans="3:13" s="35" customFormat="1" ht="14.25" customHeight="1" x14ac:dyDescent="0.25">
      <c r="C414" s="302" t="s">
        <v>617</v>
      </c>
      <c r="D414" s="447"/>
      <c r="E414" s="448" t="s">
        <v>191</v>
      </c>
      <c r="F414" s="449"/>
      <c r="G414" s="302"/>
      <c r="H414" s="302"/>
      <c r="I414" s="302"/>
      <c r="J414" s="302"/>
      <c r="K414" s="302"/>
      <c r="L414" s="446"/>
      <c r="M414" s="446"/>
    </row>
    <row r="415" spans="3:13" s="35" customFormat="1" ht="14.25" customHeight="1" x14ac:dyDescent="0.25">
      <c r="C415" s="302" t="s">
        <v>618</v>
      </c>
      <c r="D415" s="447"/>
      <c r="E415" s="448" t="s">
        <v>191</v>
      </c>
      <c r="F415" s="449"/>
      <c r="G415" s="302"/>
      <c r="H415" s="302"/>
      <c r="I415" s="302"/>
      <c r="J415" s="302"/>
      <c r="K415" s="302"/>
      <c r="L415" s="446"/>
      <c r="M415" s="446"/>
    </row>
    <row r="416" spans="3:13" s="35" customFormat="1" ht="14.25" customHeight="1" x14ac:dyDescent="0.25">
      <c r="C416" s="302" t="s">
        <v>619</v>
      </c>
      <c r="D416" s="447"/>
      <c r="E416" s="448" t="s">
        <v>191</v>
      </c>
      <c r="F416" s="449"/>
      <c r="G416" s="302"/>
      <c r="H416" s="302"/>
      <c r="I416" s="302"/>
      <c r="J416" s="302"/>
      <c r="K416" s="302"/>
      <c r="L416" s="446"/>
      <c r="M416" s="446"/>
    </row>
    <row r="417" spans="3:13" s="35" customFormat="1" ht="14.25" customHeight="1" x14ac:dyDescent="0.25">
      <c r="C417" s="302" t="s">
        <v>620</v>
      </c>
      <c r="D417" s="447"/>
      <c r="E417" s="448" t="s">
        <v>191</v>
      </c>
      <c r="F417" s="449"/>
      <c r="G417" s="302" t="str">
        <f>CONCATENATE("FCOE - ",Inventory!$C$88)</f>
        <v>FCOE - -9k-a</v>
      </c>
      <c r="H417" s="302"/>
      <c r="I417" s="302"/>
      <c r="J417" s="302"/>
      <c r="K417" s="302"/>
      <c r="L417" s="302" t="s">
        <v>620</v>
      </c>
      <c r="M417" s="302"/>
    </row>
    <row r="418" spans="3:13" s="35" customFormat="1" ht="14.25" customHeight="1" x14ac:dyDescent="0.25">
      <c r="C418" s="302" t="s">
        <v>621</v>
      </c>
      <c r="D418" s="447"/>
      <c r="E418" s="448" t="s">
        <v>191</v>
      </c>
      <c r="F418" s="449"/>
      <c r="G418" s="302" t="str">
        <f>CONCATENATE("FCOE - ",Inventory!$C$88)</f>
        <v>FCOE - -9k-a</v>
      </c>
      <c r="H418" s="302"/>
      <c r="I418" s="302"/>
      <c r="J418" s="302"/>
      <c r="K418" s="302"/>
      <c r="L418" s="302" t="s">
        <v>621</v>
      </c>
      <c r="M418" s="302"/>
    </row>
    <row r="419" spans="3:13" s="35" customFormat="1" ht="14.25" customHeight="1" x14ac:dyDescent="0.25">
      <c r="C419" s="302" t="s">
        <v>622</v>
      </c>
      <c r="D419" s="447"/>
      <c r="E419" s="448" t="s">
        <v>191</v>
      </c>
      <c r="F419" s="449"/>
      <c r="G419" s="302" t="str">
        <f>CONCATENATE("FCOE - ",Inventory!$C$88)</f>
        <v>FCOE - -9k-a</v>
      </c>
      <c r="H419" s="302"/>
      <c r="I419" s="302"/>
      <c r="J419" s="302"/>
      <c r="K419" s="302"/>
      <c r="L419" s="302" t="s">
        <v>622</v>
      </c>
      <c r="M419" s="302"/>
    </row>
    <row r="420" spans="3:13" s="35" customFormat="1" ht="14.25" customHeight="1" x14ac:dyDescent="0.25">
      <c r="C420" s="302" t="s">
        <v>623</v>
      </c>
      <c r="D420" s="447"/>
      <c r="E420" s="448" t="s">
        <v>191</v>
      </c>
      <c r="F420" s="449"/>
      <c r="G420" s="302" t="str">
        <f>CONCATENATE("FCOE - ",Inventory!$C$88)</f>
        <v>FCOE - -9k-a</v>
      </c>
      <c r="H420" s="302"/>
      <c r="I420" s="302"/>
      <c r="J420" s="302"/>
      <c r="K420" s="302"/>
      <c r="L420" s="302" t="s">
        <v>623</v>
      </c>
      <c r="M420" s="302"/>
    </row>
    <row r="421" spans="3:13" s="35" customFormat="1" ht="14.25" customHeight="1" x14ac:dyDescent="0.25">
      <c r="C421" s="302" t="s">
        <v>624</v>
      </c>
      <c r="D421" s="447"/>
      <c r="E421" s="448" t="s">
        <v>191</v>
      </c>
      <c r="F421" s="449"/>
      <c r="G421" s="302"/>
      <c r="H421" s="302"/>
      <c r="I421" s="302"/>
      <c r="J421" s="302"/>
      <c r="K421" s="302"/>
      <c r="L421" s="302"/>
      <c r="M421" s="302"/>
    </row>
    <row r="422" spans="3:13" s="35" customFormat="1" ht="14.25" customHeight="1" x14ac:dyDescent="0.25">
      <c r="C422" s="302" t="s">
        <v>625</v>
      </c>
      <c r="D422" s="447"/>
      <c r="E422" s="448" t="s">
        <v>191</v>
      </c>
      <c r="F422" s="449"/>
      <c r="G422" s="302"/>
      <c r="H422" s="302"/>
      <c r="I422" s="302"/>
      <c r="J422" s="302"/>
      <c r="K422" s="302"/>
      <c r="L422" s="302"/>
      <c r="M422" s="302"/>
    </row>
    <row r="423" spans="3:13" s="35" customFormat="1" ht="14.25" customHeight="1" x14ac:dyDescent="0.25">
      <c r="C423" s="302" t="s">
        <v>626</v>
      </c>
      <c r="D423" s="447"/>
      <c r="E423" s="448" t="s">
        <v>191</v>
      </c>
      <c r="F423" s="449"/>
      <c r="G423" s="302"/>
      <c r="H423" s="302"/>
      <c r="I423" s="302"/>
      <c r="J423" s="302"/>
      <c r="K423" s="302"/>
      <c r="L423" s="302"/>
      <c r="M423" s="302"/>
    </row>
    <row r="424" spans="3:13" s="35" customFormat="1" ht="14.25" customHeight="1" x14ac:dyDescent="0.25">
      <c r="C424" s="302" t="s">
        <v>627</v>
      </c>
      <c r="D424" s="447"/>
      <c r="E424" s="448" t="s">
        <v>191</v>
      </c>
      <c r="F424" s="449"/>
      <c r="G424" s="302"/>
      <c r="H424" s="302"/>
      <c r="I424" s="302"/>
      <c r="J424" s="302"/>
      <c r="K424" s="302"/>
      <c r="L424" s="302"/>
      <c r="M424" s="302"/>
    </row>
    <row r="425" spans="3:13" s="35" customFormat="1" ht="14.25" customHeight="1" x14ac:dyDescent="0.25">
      <c r="C425" s="302" t="s">
        <v>628</v>
      </c>
      <c r="D425" s="447"/>
      <c r="E425" s="448" t="s">
        <v>191</v>
      </c>
      <c r="F425" s="449"/>
      <c r="G425" s="302"/>
      <c r="H425" s="302"/>
      <c r="I425" s="302"/>
      <c r="J425" s="302"/>
      <c r="K425" s="302"/>
      <c r="L425" s="302"/>
      <c r="M425" s="302"/>
    </row>
    <row r="426" spans="3:13" s="35" customFormat="1" ht="14.25" customHeight="1" x14ac:dyDescent="0.25">
      <c r="C426" s="302" t="s">
        <v>629</v>
      </c>
      <c r="D426" s="447"/>
      <c r="E426" s="448" t="s">
        <v>191</v>
      </c>
      <c r="F426" s="449"/>
      <c r="G426" s="302"/>
      <c r="H426" s="302"/>
      <c r="I426" s="302"/>
      <c r="J426" s="302"/>
      <c r="K426" s="302"/>
      <c r="L426" s="302"/>
      <c r="M426" s="302"/>
    </row>
    <row r="427" spans="3:13" s="35" customFormat="1" ht="14.25" customHeight="1" x14ac:dyDescent="0.25">
      <c r="C427" s="302" t="s">
        <v>630</v>
      </c>
      <c r="D427" s="447"/>
      <c r="E427" s="448" t="s">
        <v>191</v>
      </c>
      <c r="F427" s="449"/>
      <c r="G427" s="302"/>
      <c r="H427" s="302"/>
      <c r="I427" s="302"/>
      <c r="J427" s="302"/>
      <c r="K427" s="302"/>
      <c r="L427" s="302"/>
      <c r="M427" s="302"/>
    </row>
    <row r="428" spans="3:13" s="35" customFormat="1" ht="14.25" customHeight="1" x14ac:dyDescent="0.25">
      <c r="C428" s="302" t="s">
        <v>631</v>
      </c>
      <c r="D428" s="447"/>
      <c r="E428" s="448" t="s">
        <v>191</v>
      </c>
      <c r="F428" s="449"/>
      <c r="G428" s="302"/>
      <c r="H428" s="302"/>
      <c r="I428" s="302"/>
      <c r="J428" s="302"/>
      <c r="K428" s="302"/>
      <c r="L428" s="302"/>
      <c r="M428" s="302"/>
    </row>
    <row r="429" spans="3:13" s="35" customFormat="1" ht="14.25" customHeight="1" x14ac:dyDescent="0.25">
      <c r="C429" s="302" t="s">
        <v>632</v>
      </c>
      <c r="D429" s="447"/>
      <c r="E429" s="448" t="s">
        <v>191</v>
      </c>
      <c r="F429" s="449"/>
      <c r="G429" s="302"/>
      <c r="H429" s="302"/>
      <c r="I429" s="302"/>
      <c r="J429" s="302"/>
      <c r="K429" s="302"/>
      <c r="L429" s="302"/>
      <c r="M429" s="302"/>
    </row>
    <row r="430" spans="3:13" s="35" customFormat="1" ht="14.25" customHeight="1" x14ac:dyDescent="0.25">
      <c r="C430" s="302" t="s">
        <v>633</v>
      </c>
      <c r="D430" s="447"/>
      <c r="E430" s="448" t="s">
        <v>191</v>
      </c>
      <c r="F430" s="449"/>
      <c r="G430" s="302"/>
      <c r="H430" s="302"/>
      <c r="I430" s="302"/>
      <c r="J430" s="302"/>
      <c r="K430" s="302"/>
      <c r="L430" s="302"/>
      <c r="M430" s="302"/>
    </row>
    <row r="431" spans="3:13" s="35" customFormat="1" ht="14.25" customHeight="1" x14ac:dyDescent="0.25">
      <c r="C431" s="302" t="s">
        <v>634</v>
      </c>
      <c r="D431" s="447"/>
      <c r="E431" s="448" t="s">
        <v>191</v>
      </c>
      <c r="F431" s="449"/>
      <c r="G431" s="302"/>
      <c r="H431" s="302"/>
      <c r="I431" s="302"/>
      <c r="J431" s="302"/>
      <c r="K431" s="302"/>
      <c r="L431" s="302"/>
      <c r="M431" s="302"/>
    </row>
    <row r="432" spans="3:13" s="35" customFormat="1" ht="14.25" customHeight="1" x14ac:dyDescent="0.25">
      <c r="C432" s="302" t="s">
        <v>635</v>
      </c>
      <c r="D432" s="447"/>
      <c r="E432" s="448" t="s">
        <v>191</v>
      </c>
      <c r="F432" s="449"/>
      <c r="G432" s="302"/>
      <c r="H432" s="302"/>
      <c r="I432" s="302"/>
      <c r="J432" s="302"/>
      <c r="K432" s="302"/>
      <c r="L432" s="302"/>
      <c r="M432" s="302"/>
    </row>
    <row r="433" spans="3:13" s="35" customFormat="1" ht="14.25" customHeight="1" x14ac:dyDescent="0.25">
      <c r="C433" s="302" t="s">
        <v>636</v>
      </c>
      <c r="D433" s="447"/>
      <c r="E433" s="448" t="s">
        <v>191</v>
      </c>
      <c r="F433" s="449"/>
      <c r="G433" s="302"/>
      <c r="H433" s="302"/>
      <c r="I433" s="302"/>
      <c r="J433" s="302"/>
      <c r="K433" s="302"/>
      <c r="L433" s="302"/>
      <c r="M433" s="302"/>
    </row>
    <row r="434" spans="3:13" s="35" customFormat="1" ht="14.25" customHeight="1" x14ac:dyDescent="0.25">
      <c r="C434" s="302" t="s">
        <v>998</v>
      </c>
      <c r="D434" s="447"/>
      <c r="E434" s="448" t="s">
        <v>191</v>
      </c>
      <c r="F434" s="449"/>
      <c r="G434" s="302"/>
      <c r="H434" s="302"/>
      <c r="I434" s="302"/>
      <c r="J434" s="302"/>
      <c r="K434" s="302"/>
      <c r="L434" s="302"/>
      <c r="M434" s="302"/>
    </row>
    <row r="435" spans="3:13" s="35" customFormat="1" ht="14.25" customHeight="1" x14ac:dyDescent="0.25">
      <c r="C435" s="302" t="s">
        <v>999</v>
      </c>
      <c r="D435" s="447"/>
      <c r="E435" s="448" t="s">
        <v>191</v>
      </c>
      <c r="F435" s="449"/>
      <c r="G435" s="302"/>
      <c r="H435" s="302"/>
      <c r="I435" s="302"/>
      <c r="J435" s="302"/>
      <c r="K435" s="302"/>
      <c r="L435" s="302"/>
      <c r="M435" s="302"/>
    </row>
    <row r="436" spans="3:13" s="35" customFormat="1" ht="14.25" customHeight="1" x14ac:dyDescent="0.25">
      <c r="C436" s="302" t="s">
        <v>1000</v>
      </c>
      <c r="D436" s="447"/>
      <c r="E436" s="448" t="s">
        <v>191</v>
      </c>
      <c r="F436" s="449"/>
      <c r="G436" s="302"/>
      <c r="H436" s="302"/>
      <c r="I436" s="302"/>
      <c r="J436" s="302"/>
      <c r="K436" s="302"/>
      <c r="L436" s="302"/>
      <c r="M436" s="302"/>
    </row>
    <row r="437" spans="3:13" s="35" customFormat="1" ht="14.25" customHeight="1" x14ac:dyDescent="0.25">
      <c r="C437" s="302" t="s">
        <v>1197</v>
      </c>
      <c r="D437" s="447"/>
      <c r="E437" s="448" t="s">
        <v>191</v>
      </c>
      <c r="F437" s="449"/>
      <c r="G437" s="302"/>
      <c r="H437" s="302"/>
      <c r="I437" s="302"/>
      <c r="J437" s="302"/>
      <c r="K437" s="302"/>
      <c r="L437" s="302"/>
      <c r="M437" s="302"/>
    </row>
    <row r="438" spans="3:13" s="35" customFormat="1" ht="14.25" customHeight="1" x14ac:dyDescent="0.25">
      <c r="C438" s="302" t="s">
        <v>1198</v>
      </c>
      <c r="D438" s="447"/>
      <c r="E438" s="448" t="s">
        <v>191</v>
      </c>
      <c r="F438" s="449"/>
      <c r="G438" s="302"/>
      <c r="H438" s="302"/>
      <c r="I438" s="302"/>
      <c r="J438" s="302"/>
      <c r="K438" s="302"/>
      <c r="L438" s="302"/>
      <c r="M438" s="302"/>
    </row>
    <row r="439" spans="3:13" s="35" customFormat="1" ht="14.25" customHeight="1" x14ac:dyDescent="0.25">
      <c r="C439" s="302" t="s">
        <v>1199</v>
      </c>
      <c r="D439" s="447"/>
      <c r="E439" s="448" t="s">
        <v>191</v>
      </c>
      <c r="F439" s="449"/>
      <c r="G439" s="302"/>
      <c r="H439" s="302"/>
      <c r="I439" s="302"/>
      <c r="J439" s="302"/>
      <c r="K439" s="302"/>
      <c r="L439" s="302"/>
      <c r="M439" s="302"/>
    </row>
    <row r="440" spans="3:13" s="35" customFormat="1" ht="14.25" customHeight="1" x14ac:dyDescent="0.25">
      <c r="C440" s="302" t="s">
        <v>1200</v>
      </c>
      <c r="D440" s="447"/>
      <c r="E440" s="448" t="s">
        <v>191</v>
      </c>
      <c r="F440" s="449"/>
      <c r="G440" s="302"/>
      <c r="H440" s="302"/>
      <c r="I440" s="302"/>
      <c r="J440" s="302"/>
      <c r="K440" s="302"/>
      <c r="L440" s="302"/>
      <c r="M440" s="302"/>
    </row>
    <row r="441" spans="3:13" s="35" customFormat="1" ht="14.25" customHeight="1" x14ac:dyDescent="0.25">
      <c r="C441" s="302" t="s">
        <v>1201</v>
      </c>
      <c r="D441" s="447"/>
      <c r="E441" s="448" t="s">
        <v>191</v>
      </c>
      <c r="F441" s="449"/>
      <c r="G441" s="302"/>
      <c r="H441" s="302"/>
      <c r="I441" s="302"/>
      <c r="J441" s="302"/>
      <c r="K441" s="302"/>
      <c r="L441" s="302"/>
      <c r="M441" s="302"/>
    </row>
    <row r="442" spans="3:13" s="35" customFormat="1" ht="14.25" customHeight="1" x14ac:dyDescent="0.25">
      <c r="C442" s="302" t="s">
        <v>1202</v>
      </c>
      <c r="D442" s="447"/>
      <c r="E442" s="448" t="s">
        <v>191</v>
      </c>
      <c r="F442" s="449"/>
      <c r="G442" s="302"/>
      <c r="H442" s="302"/>
      <c r="I442" s="302"/>
      <c r="J442" s="302"/>
      <c r="K442" s="302"/>
      <c r="L442" s="302"/>
      <c r="M442" s="302"/>
    </row>
    <row r="443" spans="3:13" s="35" customFormat="1" ht="14.25" customHeight="1" x14ac:dyDescent="0.25">
      <c r="C443" s="302" t="s">
        <v>1203</v>
      </c>
      <c r="D443" s="447"/>
      <c r="E443" s="448" t="s">
        <v>191</v>
      </c>
      <c r="F443" s="449"/>
      <c r="G443" s="302"/>
      <c r="H443" s="302"/>
      <c r="I443" s="302"/>
      <c r="J443" s="302"/>
      <c r="K443" s="302"/>
      <c r="L443" s="302"/>
      <c r="M443" s="302"/>
    </row>
    <row r="444" spans="3:13" s="35" customFormat="1" ht="14.25" customHeight="1" x14ac:dyDescent="0.25">
      <c r="C444" s="302" t="s">
        <v>1204</v>
      </c>
      <c r="D444" s="447"/>
      <c r="E444" s="448" t="s">
        <v>191</v>
      </c>
      <c r="F444" s="449"/>
      <c r="G444" s="302"/>
      <c r="H444" s="302"/>
      <c r="I444" s="302"/>
      <c r="J444" s="302"/>
      <c r="K444" s="302"/>
      <c r="L444" s="302"/>
      <c r="M444" s="302"/>
    </row>
    <row r="445" spans="3:13" s="35" customFormat="1" ht="14.25" customHeight="1" x14ac:dyDescent="0.25">
      <c r="C445" s="302" t="s">
        <v>1205</v>
      </c>
      <c r="D445" s="447"/>
      <c r="E445" s="448" t="s">
        <v>191</v>
      </c>
      <c r="F445" s="449"/>
      <c r="G445" s="302"/>
      <c r="H445" s="302"/>
      <c r="I445" s="302"/>
      <c r="J445" s="302"/>
      <c r="K445" s="302"/>
      <c r="L445" s="302"/>
      <c r="M445" s="302"/>
    </row>
    <row r="446" spans="3:13" s="35" customFormat="1" ht="14.25" customHeight="1" x14ac:dyDescent="0.25">
      <c r="C446" s="302" t="s">
        <v>1206</v>
      </c>
      <c r="D446" s="447"/>
      <c r="E446" s="448" t="s">
        <v>191</v>
      </c>
      <c r="F446" s="449"/>
      <c r="G446" s="302"/>
      <c r="H446" s="302"/>
      <c r="I446" s="302"/>
      <c r="J446" s="302"/>
      <c r="K446" s="302"/>
      <c r="L446" s="302"/>
      <c r="M446" s="302"/>
    </row>
    <row r="447" spans="3:13" s="35" customFormat="1" ht="14.25" customHeight="1" x14ac:dyDescent="0.25">
      <c r="C447" s="302" t="s">
        <v>1207</v>
      </c>
      <c r="D447" s="447"/>
      <c r="E447" s="448" t="s">
        <v>191</v>
      </c>
      <c r="F447" s="449"/>
      <c r="G447" s="302"/>
      <c r="H447" s="302"/>
      <c r="I447" s="302"/>
      <c r="J447" s="302"/>
      <c r="K447" s="302"/>
      <c r="L447" s="302"/>
      <c r="M447" s="302"/>
    </row>
    <row r="448" spans="3:13" s="35" customFormat="1" ht="14.25" customHeight="1" x14ac:dyDescent="0.25">
      <c r="C448" s="302" t="s">
        <v>1208</v>
      </c>
      <c r="D448" s="447"/>
      <c r="E448" s="448" t="s">
        <v>191</v>
      </c>
      <c r="F448" s="449"/>
      <c r="G448" s="302"/>
      <c r="H448" s="302"/>
      <c r="I448" s="302"/>
      <c r="J448" s="302"/>
      <c r="K448" s="302"/>
      <c r="L448" s="302"/>
      <c r="M448" s="302"/>
    </row>
    <row r="449" spans="3:13" s="35" customFormat="1" ht="14.25" customHeight="1" x14ac:dyDescent="0.25">
      <c r="C449" s="302" t="s">
        <v>1209</v>
      </c>
      <c r="D449" s="447"/>
      <c r="E449" s="448" t="s">
        <v>191</v>
      </c>
      <c r="F449" s="449"/>
      <c r="G449" s="302"/>
      <c r="H449" s="302"/>
      <c r="I449" s="302"/>
      <c r="J449" s="302"/>
      <c r="K449" s="302"/>
      <c r="L449" s="302"/>
      <c r="M449" s="302"/>
    </row>
    <row r="450" spans="3:13" s="35" customFormat="1" ht="14.25" customHeight="1" x14ac:dyDescent="0.25">
      <c r="C450" s="302" t="s">
        <v>1210</v>
      </c>
      <c r="D450" s="447"/>
      <c r="E450" s="448" t="s">
        <v>191</v>
      </c>
      <c r="F450" s="449"/>
      <c r="G450" s="302"/>
      <c r="H450" s="302"/>
      <c r="I450" s="302"/>
      <c r="J450" s="302"/>
      <c r="K450" s="302"/>
      <c r="L450" s="302"/>
      <c r="M450" s="302"/>
    </row>
    <row r="451" spans="3:13" s="35" customFormat="1" ht="14.25" customHeight="1" x14ac:dyDescent="0.25">
      <c r="C451" s="302" t="s">
        <v>1211</v>
      </c>
      <c r="D451" s="447"/>
      <c r="E451" s="448" t="s">
        <v>191</v>
      </c>
      <c r="F451" s="449"/>
      <c r="G451" s="302"/>
      <c r="H451" s="302"/>
      <c r="I451" s="302"/>
      <c r="J451" s="302"/>
      <c r="K451" s="302"/>
      <c r="L451" s="302"/>
      <c r="M451" s="302"/>
    </row>
    <row r="452" spans="3:13" s="35" customFormat="1" ht="14.25" customHeight="1" x14ac:dyDescent="0.25">
      <c r="C452" s="302" t="s">
        <v>1212</v>
      </c>
      <c r="D452" s="447"/>
      <c r="E452" s="448" t="s">
        <v>191</v>
      </c>
      <c r="F452" s="449"/>
      <c r="G452" s="302"/>
      <c r="H452" s="302"/>
      <c r="I452" s="302"/>
      <c r="J452" s="302"/>
      <c r="K452" s="302"/>
      <c r="L452" s="302"/>
      <c r="M452" s="302"/>
    </row>
    <row r="453" spans="3:13" s="35" customFormat="1" ht="14.25" customHeight="1" x14ac:dyDescent="0.25">
      <c r="C453" s="302" t="s">
        <v>1213</v>
      </c>
      <c r="D453" s="447"/>
      <c r="E453" s="448" t="s">
        <v>191</v>
      </c>
      <c r="F453" s="449"/>
      <c r="G453" s="302"/>
      <c r="H453" s="302"/>
      <c r="I453" s="302"/>
      <c r="J453" s="302"/>
      <c r="K453" s="302"/>
      <c r="L453" s="302"/>
      <c r="M453" s="302"/>
    </row>
    <row r="454" spans="3:13" s="35" customFormat="1" ht="14.25" customHeight="1" x14ac:dyDescent="0.25">
      <c r="C454" s="302" t="s">
        <v>1214</v>
      </c>
      <c r="D454" s="447"/>
      <c r="E454" s="448" t="s">
        <v>191</v>
      </c>
      <c r="F454" s="449"/>
      <c r="G454" s="302"/>
      <c r="H454" s="302"/>
      <c r="I454" s="302"/>
      <c r="J454" s="302"/>
      <c r="K454" s="302"/>
      <c r="L454" s="302"/>
      <c r="M454" s="302"/>
    </row>
    <row r="455" spans="3:13" s="35" customFormat="1" ht="14.25" customHeight="1" x14ac:dyDescent="0.25">
      <c r="C455" s="302" t="s">
        <v>1215</v>
      </c>
      <c r="D455" s="447"/>
      <c r="E455" s="448" t="s">
        <v>191</v>
      </c>
      <c r="F455" s="449"/>
      <c r="G455" s="302"/>
      <c r="H455" s="302"/>
      <c r="I455" s="302"/>
      <c r="J455" s="302"/>
      <c r="K455" s="302"/>
      <c r="L455" s="302"/>
      <c r="M455" s="302"/>
    </row>
    <row r="456" spans="3:13" s="35" customFormat="1" ht="14.25" customHeight="1" x14ac:dyDescent="0.25">
      <c r="C456" s="302" t="s">
        <v>1216</v>
      </c>
      <c r="D456" s="447"/>
      <c r="E456" s="448" t="s">
        <v>191</v>
      </c>
      <c r="F456" s="449"/>
      <c r="G456" s="302"/>
      <c r="H456" s="302"/>
      <c r="I456" s="302"/>
      <c r="J456" s="302"/>
      <c r="K456" s="302"/>
      <c r="L456" s="302"/>
      <c r="M456" s="302"/>
    </row>
    <row r="457" spans="3:13" s="35" customFormat="1" ht="14.25" customHeight="1" x14ac:dyDescent="0.25">
      <c r="C457" s="302" t="s">
        <v>1217</v>
      </c>
      <c r="D457" s="447"/>
      <c r="E457" s="448" t="s">
        <v>191</v>
      </c>
      <c r="F457" s="449"/>
      <c r="G457" s="302"/>
      <c r="H457" s="302"/>
      <c r="I457" s="302"/>
      <c r="J457" s="302"/>
      <c r="K457" s="302"/>
      <c r="L457" s="302"/>
      <c r="M457" s="302"/>
    </row>
    <row r="458" spans="3:13" s="35" customFormat="1" ht="14.25" customHeight="1" x14ac:dyDescent="0.25">
      <c r="C458" s="302" t="s">
        <v>1218</v>
      </c>
      <c r="D458" s="447"/>
      <c r="E458" s="448" t="s">
        <v>191</v>
      </c>
      <c r="F458" s="449"/>
      <c r="G458" s="302"/>
      <c r="H458" s="302"/>
      <c r="I458" s="302"/>
      <c r="J458" s="302"/>
      <c r="K458" s="302"/>
      <c r="L458" s="302"/>
      <c r="M458" s="302"/>
    </row>
    <row r="459" spans="3:13" s="35" customFormat="1" ht="14.25" customHeight="1" x14ac:dyDescent="0.25">
      <c r="C459" s="302" t="s">
        <v>1219</v>
      </c>
      <c r="D459" s="447"/>
      <c r="E459" s="448" t="s">
        <v>191</v>
      </c>
      <c r="F459" s="449"/>
      <c r="G459" s="302"/>
      <c r="H459" s="302"/>
      <c r="I459" s="302"/>
      <c r="J459" s="302"/>
      <c r="K459" s="302"/>
      <c r="L459" s="302"/>
      <c r="M459" s="302"/>
    </row>
    <row r="460" spans="3:13" s="35" customFormat="1" ht="14.25" customHeight="1" x14ac:dyDescent="0.25">
      <c r="C460" s="302" t="s">
        <v>1220</v>
      </c>
      <c r="D460" s="447"/>
      <c r="E460" s="448" t="s">
        <v>191</v>
      </c>
      <c r="F460" s="449"/>
      <c r="G460" s="302"/>
      <c r="H460" s="302"/>
      <c r="I460" s="302"/>
      <c r="J460" s="302"/>
      <c r="K460" s="302"/>
      <c r="L460" s="302"/>
      <c r="M460" s="302"/>
    </row>
    <row r="461" spans="3:13" s="35" customFormat="1" ht="14.25" customHeight="1" x14ac:dyDescent="0.25">
      <c r="C461" s="302" t="s">
        <v>1221</v>
      </c>
      <c r="D461" s="447"/>
      <c r="E461" s="448" t="s">
        <v>191</v>
      </c>
      <c r="F461" s="449"/>
      <c r="G461" s="302"/>
      <c r="H461" s="302"/>
      <c r="I461" s="302"/>
      <c r="J461" s="302"/>
      <c r="K461" s="302"/>
      <c r="L461" s="302"/>
      <c r="M461" s="302"/>
    </row>
    <row r="462" spans="3:13" s="35" customFormat="1" ht="14.25" customHeight="1" x14ac:dyDescent="0.25">
      <c r="C462" s="302" t="s">
        <v>1222</v>
      </c>
      <c r="D462" s="447"/>
      <c r="E462" s="448" t="s">
        <v>191</v>
      </c>
      <c r="F462" s="449"/>
      <c r="G462" s="302"/>
      <c r="H462" s="302"/>
      <c r="I462" s="302"/>
      <c r="J462" s="302"/>
      <c r="K462" s="302"/>
      <c r="L462" s="302"/>
      <c r="M462" s="302"/>
    </row>
    <row r="463" spans="3:13" s="35" customFormat="1" ht="14.25" customHeight="1" x14ac:dyDescent="0.25">
      <c r="C463" s="302" t="s">
        <v>1223</v>
      </c>
      <c r="D463" s="447"/>
      <c r="E463" s="448" t="s">
        <v>191</v>
      </c>
      <c r="F463" s="449"/>
      <c r="G463" s="302"/>
      <c r="H463" s="302"/>
      <c r="I463" s="302"/>
      <c r="J463" s="302"/>
      <c r="K463" s="302"/>
      <c r="L463" s="302"/>
      <c r="M463" s="302"/>
    </row>
    <row r="464" spans="3:13" s="35" customFormat="1" ht="14.25" customHeight="1" x14ac:dyDescent="0.25">
      <c r="C464" s="302" t="s">
        <v>1224</v>
      </c>
      <c r="D464" s="447"/>
      <c r="E464" s="448" t="s">
        <v>191</v>
      </c>
      <c r="F464" s="449"/>
      <c r="G464" s="302"/>
      <c r="H464" s="302"/>
      <c r="I464" s="302"/>
      <c r="J464" s="302"/>
      <c r="K464" s="302"/>
      <c r="L464" s="302"/>
      <c r="M464" s="302"/>
    </row>
    <row r="465" spans="3:13" s="35" customFormat="1" ht="14.25" customHeight="1" x14ac:dyDescent="0.25">
      <c r="C465" s="302" t="s">
        <v>1225</v>
      </c>
      <c r="D465" s="447"/>
      <c r="E465" s="448" t="s">
        <v>191</v>
      </c>
      <c r="F465" s="449"/>
      <c r="G465" s="302"/>
      <c r="H465" s="302"/>
      <c r="I465" s="302"/>
      <c r="J465" s="302"/>
      <c r="K465" s="302"/>
      <c r="L465" s="302"/>
      <c r="M465" s="302"/>
    </row>
    <row r="466" spans="3:13" s="35" customFormat="1" ht="14.25" customHeight="1" x14ac:dyDescent="0.25">
      <c r="C466" s="302" t="s">
        <v>1226</v>
      </c>
      <c r="D466" s="447"/>
      <c r="E466" s="448" t="s">
        <v>191</v>
      </c>
      <c r="F466" s="449"/>
      <c r="G466" s="302"/>
      <c r="H466" s="302"/>
      <c r="I466" s="302"/>
      <c r="J466" s="302"/>
      <c r="K466" s="302"/>
      <c r="L466" s="302"/>
      <c r="M466" s="302"/>
    </row>
    <row r="467" spans="3:13" s="35" customFormat="1" ht="14.25" customHeight="1" x14ac:dyDescent="0.25">
      <c r="C467" s="302" t="s">
        <v>1227</v>
      </c>
      <c r="D467" s="447"/>
      <c r="E467" s="448" t="s">
        <v>191</v>
      </c>
      <c r="F467" s="449"/>
      <c r="G467" s="302"/>
      <c r="H467" s="302"/>
      <c r="I467" s="302"/>
      <c r="J467" s="302"/>
      <c r="K467" s="302"/>
      <c r="L467" s="302"/>
      <c r="M467" s="302"/>
    </row>
    <row r="468" spans="3:13" s="35" customFormat="1" ht="14.25" customHeight="1" x14ac:dyDescent="0.25">
      <c r="C468" s="302" t="s">
        <v>1228</v>
      </c>
      <c r="D468" s="447"/>
      <c r="E468" s="448" t="s">
        <v>191</v>
      </c>
      <c r="F468" s="449"/>
      <c r="G468" s="302"/>
      <c r="H468" s="302"/>
      <c r="I468" s="302"/>
      <c r="J468" s="302"/>
      <c r="K468" s="302"/>
      <c r="L468" s="302"/>
      <c r="M468" s="302"/>
    </row>
    <row r="469" spans="3:13" s="35" customFormat="1" ht="14.25" customHeight="1" x14ac:dyDescent="0.25">
      <c r="C469" s="302" t="s">
        <v>1229</v>
      </c>
      <c r="D469" s="447"/>
      <c r="E469" s="448" t="s">
        <v>191</v>
      </c>
      <c r="F469" s="449"/>
      <c r="G469" s="302"/>
      <c r="H469" s="302"/>
      <c r="I469" s="302"/>
      <c r="J469" s="302"/>
      <c r="K469" s="302"/>
      <c r="L469" s="302"/>
      <c r="M469" s="302"/>
    </row>
    <row r="470" spans="3:13" s="35" customFormat="1" ht="14.25" customHeight="1" x14ac:dyDescent="0.25">
      <c r="C470" s="302" t="s">
        <v>1230</v>
      </c>
      <c r="D470" s="447"/>
      <c r="E470" s="448" t="s">
        <v>191</v>
      </c>
      <c r="F470" s="449"/>
      <c r="G470" s="302"/>
      <c r="H470" s="302"/>
      <c r="I470" s="302"/>
      <c r="J470" s="302"/>
      <c r="K470" s="302"/>
      <c r="L470" s="302"/>
      <c r="M470" s="302"/>
    </row>
    <row r="471" spans="3:13" s="35" customFormat="1" ht="14.25" customHeight="1" x14ac:dyDescent="0.25">
      <c r="C471" s="302" t="s">
        <v>1231</v>
      </c>
      <c r="D471" s="447"/>
      <c r="E471" s="448" t="s">
        <v>191</v>
      </c>
      <c r="F471" s="449"/>
      <c r="G471" s="302"/>
      <c r="H471" s="302"/>
      <c r="I471" s="302"/>
      <c r="J471" s="302"/>
      <c r="K471" s="302"/>
      <c r="L471" s="302"/>
      <c r="M471" s="302"/>
    </row>
    <row r="472" spans="3:13" s="35" customFormat="1" ht="14.25" customHeight="1" x14ac:dyDescent="0.25">
      <c r="C472" s="302" t="s">
        <v>1232</v>
      </c>
      <c r="D472" s="447"/>
      <c r="E472" s="448" t="s">
        <v>191</v>
      </c>
      <c r="F472" s="449"/>
      <c r="G472" s="302"/>
      <c r="H472" s="302"/>
      <c r="I472" s="302"/>
      <c r="J472" s="302"/>
      <c r="K472" s="302"/>
      <c r="L472" s="302"/>
      <c r="M472" s="302"/>
    </row>
    <row r="473" spans="3:13" s="35" customFormat="1" ht="14.25" customHeight="1" x14ac:dyDescent="0.25">
      <c r="C473" s="302" t="s">
        <v>1233</v>
      </c>
      <c r="D473" s="447"/>
      <c r="E473" s="448" t="s">
        <v>191</v>
      </c>
      <c r="F473" s="449"/>
      <c r="G473" s="302"/>
      <c r="H473" s="302"/>
      <c r="I473" s="302"/>
      <c r="J473" s="302"/>
      <c r="K473" s="302"/>
      <c r="L473" s="302"/>
      <c r="M473" s="302"/>
    </row>
    <row r="474" spans="3:13" s="35" customFormat="1" ht="14.25" customHeight="1" x14ac:dyDescent="0.25">
      <c r="C474" s="302" t="s">
        <v>1234</v>
      </c>
      <c r="D474" s="447"/>
      <c r="E474" s="448" t="s">
        <v>191</v>
      </c>
      <c r="F474" s="449"/>
      <c r="G474" s="302"/>
      <c r="H474" s="302"/>
      <c r="I474" s="302"/>
      <c r="J474" s="302"/>
      <c r="K474" s="302"/>
      <c r="L474" s="302"/>
      <c r="M474" s="302"/>
    </row>
    <row r="475" spans="3:13" s="35" customFormat="1" ht="14.25" customHeight="1" x14ac:dyDescent="0.25">
      <c r="C475" s="302" t="s">
        <v>1235</v>
      </c>
      <c r="D475" s="447"/>
      <c r="E475" s="448" t="s">
        <v>191</v>
      </c>
      <c r="F475" s="449"/>
      <c r="G475" s="302"/>
      <c r="H475" s="302"/>
      <c r="I475" s="302"/>
      <c r="J475" s="302"/>
      <c r="K475" s="302"/>
      <c r="L475" s="302"/>
      <c r="M475" s="302"/>
    </row>
    <row r="476" spans="3:13" s="35" customFormat="1" ht="14.25" customHeight="1" x14ac:dyDescent="0.25">
      <c r="C476" s="302" t="s">
        <v>1236</v>
      </c>
      <c r="D476" s="447"/>
      <c r="E476" s="448" t="s">
        <v>191</v>
      </c>
      <c r="F476" s="449"/>
      <c r="G476" s="302"/>
      <c r="H476" s="302"/>
      <c r="I476" s="302"/>
      <c r="J476" s="302"/>
      <c r="K476" s="302"/>
      <c r="L476" s="302"/>
      <c r="M476" s="302"/>
    </row>
    <row r="477" spans="3:13" s="35" customFormat="1" ht="14.25" customHeight="1" x14ac:dyDescent="0.25">
      <c r="C477" s="302" t="s">
        <v>1237</v>
      </c>
      <c r="D477" s="447"/>
      <c r="E477" s="448" t="s">
        <v>191</v>
      </c>
      <c r="F477" s="449"/>
      <c r="G477" s="302"/>
      <c r="H477" s="302"/>
      <c r="I477" s="302"/>
      <c r="J477" s="302"/>
      <c r="K477" s="302"/>
      <c r="L477" s="302"/>
      <c r="M477" s="302"/>
    </row>
    <row r="478" spans="3:13" s="35" customFormat="1" ht="14.25" customHeight="1" x14ac:dyDescent="0.25">
      <c r="C478" s="302" t="s">
        <v>1238</v>
      </c>
      <c r="D478" s="447"/>
      <c r="E478" s="448" t="s">
        <v>191</v>
      </c>
      <c r="F478" s="449"/>
      <c r="G478" s="302"/>
      <c r="H478" s="302"/>
      <c r="I478" s="302"/>
      <c r="J478" s="302"/>
      <c r="K478" s="302"/>
      <c r="L478" s="302"/>
      <c r="M478" s="302"/>
    </row>
    <row r="479" spans="3:13" s="35" customFormat="1" ht="14.25" customHeight="1" x14ac:dyDescent="0.25">
      <c r="C479" s="302" t="s">
        <v>1239</v>
      </c>
      <c r="D479" s="447"/>
      <c r="E479" s="448" t="s">
        <v>191</v>
      </c>
      <c r="F479" s="449"/>
      <c r="G479" s="302"/>
      <c r="H479" s="302"/>
      <c r="I479" s="302"/>
      <c r="J479" s="302"/>
      <c r="K479" s="302"/>
      <c r="L479" s="302"/>
      <c r="M479" s="302"/>
    </row>
    <row r="480" spans="3:13" s="35" customFormat="1" ht="14.25" customHeight="1" x14ac:dyDescent="0.25">
      <c r="C480" s="302" t="s">
        <v>1240</v>
      </c>
      <c r="D480" s="447"/>
      <c r="E480" s="448" t="s">
        <v>191</v>
      </c>
      <c r="F480" s="449"/>
      <c r="G480" s="302"/>
      <c r="H480" s="302"/>
      <c r="I480" s="302"/>
      <c r="J480" s="302"/>
      <c r="K480" s="302"/>
      <c r="L480" s="302"/>
      <c r="M480" s="302"/>
    </row>
    <row r="481" spans="3:13" s="35" customFormat="1" ht="14.25" customHeight="1" x14ac:dyDescent="0.25">
      <c r="C481" s="302" t="s">
        <v>1241</v>
      </c>
      <c r="D481" s="447"/>
      <c r="E481" s="448" t="s">
        <v>191</v>
      </c>
      <c r="F481" s="449"/>
      <c r="G481" s="302"/>
      <c r="H481" s="302"/>
      <c r="I481" s="302"/>
      <c r="J481" s="302"/>
      <c r="K481" s="302"/>
      <c r="L481" s="302"/>
      <c r="M481" s="302"/>
    </row>
    <row r="482" spans="3:13" s="35" customFormat="1" ht="14.25" customHeight="1" x14ac:dyDescent="0.25">
      <c r="C482" s="302" t="s">
        <v>1242</v>
      </c>
      <c r="D482" s="447"/>
      <c r="E482" s="448" t="s">
        <v>191</v>
      </c>
      <c r="F482" s="449"/>
      <c r="G482" s="302"/>
      <c r="H482" s="302"/>
      <c r="I482" s="302"/>
      <c r="J482" s="302"/>
      <c r="K482" s="302"/>
      <c r="L482" s="302"/>
      <c r="M482" s="302"/>
    </row>
    <row r="483" spans="3:13" s="35" customFormat="1" ht="14.25" customHeight="1" x14ac:dyDescent="0.25">
      <c r="C483" s="302" t="s">
        <v>1243</v>
      </c>
      <c r="D483" s="447"/>
      <c r="E483" s="448" t="s">
        <v>191</v>
      </c>
      <c r="F483" s="449"/>
      <c r="G483" s="302"/>
      <c r="H483" s="302"/>
      <c r="I483" s="302"/>
      <c r="J483" s="302"/>
      <c r="K483" s="302"/>
      <c r="L483" s="302"/>
      <c r="M483" s="302"/>
    </row>
    <row r="484" spans="3:13" s="35" customFormat="1" ht="14.25" customHeight="1" x14ac:dyDescent="0.25">
      <c r="C484" s="302" t="s">
        <v>1244</v>
      </c>
      <c r="D484" s="447"/>
      <c r="E484" s="448" t="s">
        <v>191</v>
      </c>
      <c r="F484" s="449"/>
      <c r="G484" s="302"/>
      <c r="H484" s="302"/>
      <c r="I484" s="302"/>
      <c r="J484" s="302"/>
      <c r="K484" s="302"/>
      <c r="L484" s="302"/>
      <c r="M484" s="302"/>
    </row>
    <row r="485" spans="3:13" s="35" customFormat="1" ht="14.25" customHeight="1" x14ac:dyDescent="0.25">
      <c r="M485" s="36" t="s">
        <v>511</v>
      </c>
    </row>
    <row r="486" spans="3:13" s="35" customFormat="1" ht="14.25" customHeight="1" x14ac:dyDescent="0.25">
      <c r="C486" s="4" t="str">
        <f>IF(Inventory!C92&lt;&gt;0,Inventory!C92,"")</f>
        <v>-b</v>
      </c>
    </row>
    <row r="487" spans="3:13" s="35" customFormat="1" ht="14.25" customHeight="1" thickBot="1" x14ac:dyDescent="0.3">
      <c r="C487" s="311" t="s">
        <v>186</v>
      </c>
      <c r="D487" s="450"/>
      <c r="E487" s="313" t="s">
        <v>187</v>
      </c>
      <c r="F487" s="311"/>
      <c r="G487" s="311" t="s">
        <v>188</v>
      </c>
      <c r="H487" s="311"/>
      <c r="I487" s="311"/>
      <c r="J487" s="311"/>
      <c r="K487" s="311"/>
      <c r="L487" s="311" t="s">
        <v>189</v>
      </c>
      <c r="M487" s="311"/>
    </row>
    <row r="488" spans="3:13" s="35" customFormat="1" ht="14.25" customHeight="1" x14ac:dyDescent="0.25">
      <c r="C488" s="302" t="s">
        <v>510</v>
      </c>
      <c r="D488" s="447"/>
      <c r="E488" s="448" t="s">
        <v>192</v>
      </c>
      <c r="F488" s="449"/>
      <c r="G488" s="302" t="s">
        <v>512</v>
      </c>
      <c r="H488" s="302"/>
      <c r="I488" s="302"/>
      <c r="J488" s="302"/>
      <c r="K488" s="302"/>
      <c r="L488" s="302"/>
      <c r="M488" s="302"/>
    </row>
    <row r="489" spans="3:13" s="35" customFormat="1" ht="14.25" customHeight="1" x14ac:dyDescent="0.25">
      <c r="C489" s="302" t="s">
        <v>204</v>
      </c>
      <c r="D489" s="447"/>
      <c r="E489" s="448" t="s">
        <v>191</v>
      </c>
      <c r="F489" s="449"/>
      <c r="G489" s="302" t="str">
        <f>Inventory!$C$91</f>
        <v>-a</v>
      </c>
      <c r="H489" s="302"/>
      <c r="I489" s="302"/>
      <c r="J489" s="302"/>
      <c r="K489" s="302"/>
      <c r="L489" s="302" t="s">
        <v>204</v>
      </c>
      <c r="M489" s="302"/>
    </row>
    <row r="490" spans="3:13" s="35" customFormat="1" ht="14.25" customHeight="1" x14ac:dyDescent="0.25">
      <c r="C490" s="302" t="s">
        <v>205</v>
      </c>
      <c r="D490" s="447"/>
      <c r="E490" s="448" t="s">
        <v>191</v>
      </c>
      <c r="F490" s="449"/>
      <c r="G490" s="302" t="str">
        <f>Inventory!$C$91</f>
        <v>-a</v>
      </c>
      <c r="H490" s="302"/>
      <c r="I490" s="302"/>
      <c r="J490" s="302"/>
      <c r="K490" s="302"/>
      <c r="L490" s="302" t="s">
        <v>205</v>
      </c>
      <c r="M490" s="302"/>
    </row>
    <row r="491" spans="3:13" s="35" customFormat="1" ht="14.25" customHeight="1" x14ac:dyDescent="0.25">
      <c r="C491" s="302" t="s">
        <v>193</v>
      </c>
      <c r="D491" s="447"/>
      <c r="E491" s="448" t="s">
        <v>191</v>
      </c>
      <c r="F491" s="449"/>
      <c r="G491" s="302" t="s">
        <v>213</v>
      </c>
      <c r="H491" s="302"/>
      <c r="I491" s="302"/>
      <c r="J491" s="302"/>
      <c r="K491" s="302"/>
      <c r="L491" s="302" t="s">
        <v>209</v>
      </c>
      <c r="M491" s="302"/>
    </row>
    <row r="492" spans="3:13" s="35" customFormat="1" ht="14.25" customHeight="1" x14ac:dyDescent="0.25">
      <c r="C492" s="302" t="s">
        <v>194</v>
      </c>
      <c r="D492" s="447"/>
      <c r="E492" s="448" t="s">
        <v>191</v>
      </c>
      <c r="F492" s="449"/>
      <c r="G492" s="302" t="s">
        <v>213</v>
      </c>
      <c r="H492" s="302"/>
      <c r="I492" s="302"/>
      <c r="J492" s="302"/>
      <c r="K492" s="302"/>
      <c r="L492" s="302" t="s">
        <v>210</v>
      </c>
      <c r="M492" s="302"/>
    </row>
    <row r="493" spans="3:13" s="35" customFormat="1" ht="14.25" customHeight="1" x14ac:dyDescent="0.25">
      <c r="C493" s="302" t="s">
        <v>206</v>
      </c>
      <c r="D493" s="447"/>
      <c r="E493" s="448" t="s">
        <v>191</v>
      </c>
      <c r="F493" s="449"/>
      <c r="G493" s="302" t="s">
        <v>213</v>
      </c>
      <c r="H493" s="302"/>
      <c r="I493" s="302"/>
      <c r="J493" s="302"/>
      <c r="K493" s="302"/>
      <c r="L493" s="302" t="s">
        <v>211</v>
      </c>
      <c r="M493" s="302"/>
    </row>
    <row r="494" spans="3:13" s="35" customFormat="1" ht="14.25" customHeight="1" x14ac:dyDescent="0.25">
      <c r="C494" s="302" t="s">
        <v>207</v>
      </c>
      <c r="D494" s="447"/>
      <c r="E494" s="448" t="s">
        <v>191</v>
      </c>
      <c r="F494" s="449"/>
      <c r="G494" s="302" t="s">
        <v>213</v>
      </c>
      <c r="H494" s="302"/>
      <c r="I494" s="302"/>
      <c r="J494" s="302"/>
      <c r="K494" s="302"/>
      <c r="L494" s="302" t="s">
        <v>212</v>
      </c>
      <c r="M494" s="302"/>
    </row>
    <row r="495" spans="3:13" s="35" customFormat="1" ht="14.25" customHeight="1" x14ac:dyDescent="0.25">
      <c r="C495" s="302" t="s">
        <v>514</v>
      </c>
      <c r="D495" s="447"/>
      <c r="E495" s="448" t="s">
        <v>191</v>
      </c>
      <c r="F495" s="449"/>
      <c r="G495" s="302"/>
      <c r="H495" s="302"/>
      <c r="I495" s="302"/>
      <c r="J495" s="302"/>
      <c r="K495" s="302"/>
      <c r="L495" s="446"/>
      <c r="M495" s="446"/>
    </row>
    <row r="496" spans="3:13" s="35" customFormat="1" ht="14.25" customHeight="1" x14ac:dyDescent="0.25">
      <c r="C496" s="302" t="s">
        <v>515</v>
      </c>
      <c r="D496" s="447"/>
      <c r="E496" s="448" t="s">
        <v>191</v>
      </c>
      <c r="F496" s="449"/>
      <c r="G496" s="302"/>
      <c r="H496" s="302"/>
      <c r="I496" s="302"/>
      <c r="J496" s="302"/>
      <c r="K496" s="302"/>
      <c r="L496" s="446"/>
      <c r="M496" s="446"/>
    </row>
    <row r="497" spans="3:13" s="35" customFormat="1" ht="14.25" customHeight="1" x14ac:dyDescent="0.25">
      <c r="C497" s="302" t="s">
        <v>516</v>
      </c>
      <c r="D497" s="447"/>
      <c r="E497" s="448" t="s">
        <v>191</v>
      </c>
      <c r="F497" s="449"/>
      <c r="G497" s="302"/>
      <c r="H497" s="302"/>
      <c r="I497" s="302"/>
      <c r="J497" s="302"/>
      <c r="K497" s="302"/>
      <c r="L497" s="446"/>
      <c r="M497" s="446"/>
    </row>
    <row r="498" spans="3:13" s="35" customFormat="1" ht="14.25" customHeight="1" x14ac:dyDescent="0.25">
      <c r="C498" s="302" t="s">
        <v>517</v>
      </c>
      <c r="D498" s="447"/>
      <c r="E498" s="448" t="s">
        <v>191</v>
      </c>
      <c r="F498" s="449"/>
      <c r="G498" s="302"/>
      <c r="H498" s="302"/>
      <c r="I498" s="302"/>
      <c r="J498" s="302"/>
      <c r="K498" s="302"/>
      <c r="L498" s="446"/>
      <c r="M498" s="446"/>
    </row>
    <row r="499" spans="3:13" s="35" customFormat="1" ht="14.25" customHeight="1" x14ac:dyDescent="0.25">
      <c r="C499" s="302" t="s">
        <v>518</v>
      </c>
      <c r="D499" s="447"/>
      <c r="E499" s="448" t="s">
        <v>191</v>
      </c>
      <c r="F499" s="449"/>
      <c r="G499" s="302" t="s">
        <v>957</v>
      </c>
      <c r="H499" s="302"/>
      <c r="I499" s="302"/>
      <c r="J499" s="302"/>
      <c r="K499" s="302"/>
      <c r="L499" s="302" t="s">
        <v>209</v>
      </c>
      <c r="M499" s="302"/>
    </row>
    <row r="500" spans="3:13" s="35" customFormat="1" ht="14.25" customHeight="1" x14ac:dyDescent="0.25">
      <c r="C500" s="302" t="s">
        <v>519</v>
      </c>
      <c r="D500" s="447"/>
      <c r="E500" s="448" t="s">
        <v>191</v>
      </c>
      <c r="F500" s="449"/>
      <c r="G500" s="302" t="s">
        <v>957</v>
      </c>
      <c r="H500" s="302"/>
      <c r="I500" s="302"/>
      <c r="J500" s="302"/>
      <c r="K500" s="302"/>
      <c r="L500" s="302" t="s">
        <v>210</v>
      </c>
      <c r="M500" s="302"/>
    </row>
    <row r="501" spans="3:13" s="35" customFormat="1" ht="14.25" customHeight="1" x14ac:dyDescent="0.25">
      <c r="C501" s="302" t="s">
        <v>520</v>
      </c>
      <c r="D501" s="447"/>
      <c r="E501" s="448" t="s">
        <v>191</v>
      </c>
      <c r="F501" s="449"/>
      <c r="G501" s="302" t="s">
        <v>957</v>
      </c>
      <c r="H501" s="302"/>
      <c r="I501" s="302"/>
      <c r="J501" s="302"/>
      <c r="K501" s="302"/>
      <c r="L501" s="302" t="s">
        <v>211</v>
      </c>
      <c r="M501" s="302"/>
    </row>
    <row r="502" spans="3:13" s="35" customFormat="1" ht="14.25" customHeight="1" x14ac:dyDescent="0.25">
      <c r="C502" s="302" t="s">
        <v>521</v>
      </c>
      <c r="D502" s="447"/>
      <c r="E502" s="448" t="s">
        <v>191</v>
      </c>
      <c r="F502" s="449"/>
      <c r="G502" s="302" t="s">
        <v>957</v>
      </c>
      <c r="H502" s="302"/>
      <c r="I502" s="302"/>
      <c r="J502" s="302"/>
      <c r="K502" s="302"/>
      <c r="L502" s="302" t="s">
        <v>212</v>
      </c>
      <c r="M502" s="302"/>
    </row>
    <row r="503" spans="3:13" s="35" customFormat="1" ht="14.25" customHeight="1" x14ac:dyDescent="0.25">
      <c r="C503" s="302" t="s">
        <v>195</v>
      </c>
      <c r="D503" s="447"/>
      <c r="E503" s="448" t="s">
        <v>191</v>
      </c>
      <c r="F503" s="449"/>
      <c r="G503" s="302"/>
      <c r="H503" s="302"/>
      <c r="I503" s="302"/>
      <c r="J503" s="302"/>
      <c r="K503" s="302"/>
      <c r="L503" s="446"/>
      <c r="M503" s="446"/>
    </row>
    <row r="504" spans="3:13" s="35" customFormat="1" ht="14.25" customHeight="1" x14ac:dyDescent="0.25">
      <c r="C504" s="302" t="s">
        <v>196</v>
      </c>
      <c r="D504" s="447"/>
      <c r="E504" s="448" t="s">
        <v>191</v>
      </c>
      <c r="F504" s="449"/>
      <c r="G504" s="302"/>
      <c r="H504" s="302"/>
      <c r="I504" s="302"/>
      <c r="J504" s="302"/>
      <c r="K504" s="302"/>
      <c r="L504" s="446"/>
      <c r="M504" s="446"/>
    </row>
    <row r="505" spans="3:13" s="35" customFormat="1" ht="14.25" customHeight="1" x14ac:dyDescent="0.25">
      <c r="C505" s="302" t="s">
        <v>197</v>
      </c>
      <c r="D505" s="447"/>
      <c r="E505" s="448" t="s">
        <v>191</v>
      </c>
      <c r="F505" s="449"/>
      <c r="G505" s="302"/>
      <c r="H505" s="302"/>
      <c r="I505" s="302"/>
      <c r="J505" s="302"/>
      <c r="K505" s="302"/>
      <c r="L505" s="446"/>
      <c r="M505" s="446"/>
    </row>
    <row r="506" spans="3:13" s="35" customFormat="1" ht="14.25" customHeight="1" x14ac:dyDescent="0.25">
      <c r="C506" s="302" t="s">
        <v>198</v>
      </c>
      <c r="D506" s="447"/>
      <c r="E506" s="448" t="s">
        <v>191</v>
      </c>
      <c r="F506" s="449"/>
      <c r="G506" s="302"/>
      <c r="H506" s="302"/>
      <c r="I506" s="302"/>
      <c r="J506" s="302"/>
      <c r="K506" s="302"/>
      <c r="L506" s="446"/>
      <c r="M506" s="446"/>
    </row>
    <row r="507" spans="3:13" s="35" customFormat="1" ht="14.25" customHeight="1" x14ac:dyDescent="0.25">
      <c r="C507" s="302" t="s">
        <v>199</v>
      </c>
      <c r="D507" s="447"/>
      <c r="E507" s="448" t="s">
        <v>191</v>
      </c>
      <c r="F507" s="449"/>
      <c r="G507" s="302"/>
      <c r="H507" s="302"/>
      <c r="I507" s="302"/>
      <c r="J507" s="302"/>
      <c r="K507" s="302"/>
      <c r="L507" s="446"/>
      <c r="M507" s="446"/>
    </row>
    <row r="508" spans="3:13" s="35" customFormat="1" ht="14.25" customHeight="1" x14ac:dyDescent="0.25">
      <c r="C508" s="302" t="s">
        <v>200</v>
      </c>
      <c r="D508" s="447"/>
      <c r="E508" s="448" t="s">
        <v>191</v>
      </c>
      <c r="F508" s="449"/>
      <c r="G508" s="302"/>
      <c r="H508" s="302"/>
      <c r="I508" s="302"/>
      <c r="J508" s="302"/>
      <c r="K508" s="302"/>
      <c r="L508" s="446"/>
      <c r="M508" s="446"/>
    </row>
    <row r="509" spans="3:13" s="35" customFormat="1" ht="14.25" customHeight="1" x14ac:dyDescent="0.25">
      <c r="C509" s="302" t="s">
        <v>522</v>
      </c>
      <c r="D509" s="447"/>
      <c r="E509" s="448" t="s">
        <v>191</v>
      </c>
      <c r="F509" s="449"/>
      <c r="G509" s="302" t="str">
        <f>Inventory!$C$88</f>
        <v>-9k-a</v>
      </c>
      <c r="H509" s="302"/>
      <c r="I509" s="302"/>
      <c r="J509" s="302"/>
      <c r="K509" s="302"/>
      <c r="L509" s="302" t="s">
        <v>521</v>
      </c>
      <c r="M509" s="302"/>
    </row>
    <row r="510" spans="3:13" s="35" customFormat="1" ht="14.25" customHeight="1" x14ac:dyDescent="0.25">
      <c r="C510" s="302" t="s">
        <v>611</v>
      </c>
      <c r="D510" s="447"/>
      <c r="E510" s="448" t="s">
        <v>191</v>
      </c>
      <c r="F510" s="449"/>
      <c r="G510" s="302" t="str">
        <f>Inventory!$C$89</f>
        <v>-9k-b</v>
      </c>
      <c r="H510" s="302"/>
      <c r="I510" s="302"/>
      <c r="J510" s="302"/>
      <c r="K510" s="302"/>
      <c r="L510" s="446" t="s">
        <v>521</v>
      </c>
      <c r="M510" s="446"/>
    </row>
    <row r="511" spans="3:13" s="35" customFormat="1" ht="14.25" customHeight="1" x14ac:dyDescent="0.25">
      <c r="C511" s="302" t="s">
        <v>612</v>
      </c>
      <c r="D511" s="447"/>
      <c r="E511" s="448" t="s">
        <v>191</v>
      </c>
      <c r="F511" s="449"/>
      <c r="G511" s="302"/>
      <c r="H511" s="302"/>
      <c r="I511" s="302"/>
      <c r="J511" s="302"/>
      <c r="K511" s="302"/>
      <c r="L511" s="446"/>
      <c r="M511" s="446"/>
    </row>
    <row r="512" spans="3:13" s="35" customFormat="1" ht="14.25" customHeight="1" x14ac:dyDescent="0.25">
      <c r="C512" s="302" t="s">
        <v>613</v>
      </c>
      <c r="D512" s="447"/>
      <c r="E512" s="448" t="s">
        <v>191</v>
      </c>
      <c r="F512" s="449"/>
      <c r="G512" s="302"/>
      <c r="H512" s="302"/>
      <c r="I512" s="302"/>
      <c r="J512" s="302"/>
      <c r="K512" s="302"/>
      <c r="L512" s="446"/>
      <c r="M512" s="446"/>
    </row>
    <row r="513" spans="3:13" s="35" customFormat="1" ht="14.25" customHeight="1" x14ac:dyDescent="0.25">
      <c r="C513" s="302" t="s">
        <v>614</v>
      </c>
      <c r="D513" s="447"/>
      <c r="E513" s="448" t="s">
        <v>191</v>
      </c>
      <c r="F513" s="449"/>
      <c r="G513" s="302"/>
      <c r="H513" s="302"/>
      <c r="I513" s="302"/>
      <c r="J513" s="302"/>
      <c r="K513" s="302"/>
      <c r="L513" s="446"/>
      <c r="M513" s="446"/>
    </row>
    <row r="514" spans="3:13" s="35" customFormat="1" ht="14.25" customHeight="1" x14ac:dyDescent="0.25">
      <c r="C514" s="302" t="s">
        <v>615</v>
      </c>
      <c r="D514" s="447"/>
      <c r="E514" s="448" t="s">
        <v>191</v>
      </c>
      <c r="F514" s="449"/>
      <c r="G514" s="302"/>
      <c r="H514" s="302"/>
      <c r="I514" s="302"/>
      <c r="J514" s="302"/>
      <c r="K514" s="302"/>
      <c r="L514" s="446"/>
      <c r="M514" s="446"/>
    </row>
    <row r="515" spans="3:13" s="35" customFormat="1" ht="14.25" customHeight="1" x14ac:dyDescent="0.25">
      <c r="C515" s="302" t="s">
        <v>616</v>
      </c>
      <c r="D515" s="447"/>
      <c r="E515" s="448" t="s">
        <v>191</v>
      </c>
      <c r="F515" s="449"/>
      <c r="G515" s="302"/>
      <c r="H515" s="302"/>
      <c r="I515" s="302"/>
      <c r="J515" s="302"/>
      <c r="K515" s="302"/>
      <c r="L515" s="446"/>
      <c r="M515" s="446"/>
    </row>
    <row r="516" spans="3:13" s="35" customFormat="1" ht="14.25" customHeight="1" x14ac:dyDescent="0.25">
      <c r="C516" s="302" t="s">
        <v>617</v>
      </c>
      <c r="D516" s="447"/>
      <c r="E516" s="448" t="s">
        <v>191</v>
      </c>
      <c r="F516" s="449"/>
      <c r="G516" s="302"/>
      <c r="H516" s="302"/>
      <c r="I516" s="302"/>
      <c r="J516" s="302"/>
      <c r="K516" s="302"/>
      <c r="L516" s="446"/>
      <c r="M516" s="446"/>
    </row>
    <row r="517" spans="3:13" s="35" customFormat="1" ht="14.25" customHeight="1" x14ac:dyDescent="0.25">
      <c r="C517" s="302" t="s">
        <v>618</v>
      </c>
      <c r="D517" s="447"/>
      <c r="E517" s="448" t="s">
        <v>191</v>
      </c>
      <c r="F517" s="449"/>
      <c r="G517" s="302"/>
      <c r="H517" s="302"/>
      <c r="I517" s="302"/>
      <c r="J517" s="302"/>
      <c r="K517" s="302"/>
      <c r="L517" s="446"/>
      <c r="M517" s="446"/>
    </row>
    <row r="518" spans="3:13" s="35" customFormat="1" ht="14.25" customHeight="1" x14ac:dyDescent="0.25">
      <c r="C518" s="302" t="s">
        <v>619</v>
      </c>
      <c r="D518" s="447"/>
      <c r="E518" s="448" t="s">
        <v>191</v>
      </c>
      <c r="F518" s="449"/>
      <c r="G518" s="302"/>
      <c r="H518" s="302"/>
      <c r="I518" s="302"/>
      <c r="J518" s="302"/>
      <c r="K518" s="302"/>
      <c r="L518" s="446"/>
      <c r="M518" s="446"/>
    </row>
    <row r="519" spans="3:13" s="35" customFormat="1" ht="14.25" customHeight="1" x14ac:dyDescent="0.25">
      <c r="C519" s="302" t="s">
        <v>620</v>
      </c>
      <c r="D519" s="447"/>
      <c r="E519" s="448" t="s">
        <v>191</v>
      </c>
      <c r="F519" s="449"/>
      <c r="G519" s="302" t="str">
        <f>CONCATENATE("FCOE - ",Inventory!$C$89)</f>
        <v>FCOE - -9k-b</v>
      </c>
      <c r="H519" s="302"/>
      <c r="I519" s="302"/>
      <c r="J519" s="302"/>
      <c r="K519" s="302"/>
      <c r="L519" s="302" t="s">
        <v>620</v>
      </c>
      <c r="M519" s="302"/>
    </row>
    <row r="520" spans="3:13" s="35" customFormat="1" ht="14.25" customHeight="1" x14ac:dyDescent="0.25">
      <c r="C520" s="302" t="s">
        <v>621</v>
      </c>
      <c r="D520" s="447"/>
      <c r="E520" s="448" t="s">
        <v>191</v>
      </c>
      <c r="F520" s="449"/>
      <c r="G520" s="302" t="str">
        <f>CONCATENATE("FCOE - ",Inventory!$C$89)</f>
        <v>FCOE - -9k-b</v>
      </c>
      <c r="H520" s="302"/>
      <c r="I520" s="302"/>
      <c r="J520" s="302"/>
      <c r="K520" s="302"/>
      <c r="L520" s="302" t="s">
        <v>621</v>
      </c>
      <c r="M520" s="302"/>
    </row>
    <row r="521" spans="3:13" s="35" customFormat="1" ht="14.25" customHeight="1" x14ac:dyDescent="0.25">
      <c r="C521" s="302" t="s">
        <v>622</v>
      </c>
      <c r="D521" s="447"/>
      <c r="E521" s="448" t="s">
        <v>191</v>
      </c>
      <c r="F521" s="449"/>
      <c r="G521" s="302" t="str">
        <f>CONCATENATE("FCOE - ",Inventory!$C$89)</f>
        <v>FCOE - -9k-b</v>
      </c>
      <c r="H521" s="302"/>
      <c r="I521" s="302"/>
      <c r="J521" s="302"/>
      <c r="K521" s="302"/>
      <c r="L521" s="302" t="s">
        <v>622</v>
      </c>
      <c r="M521" s="302"/>
    </row>
    <row r="522" spans="3:13" s="35" customFormat="1" ht="14.25" customHeight="1" x14ac:dyDescent="0.25">
      <c r="C522" s="302" t="s">
        <v>623</v>
      </c>
      <c r="D522" s="447"/>
      <c r="E522" s="448" t="s">
        <v>191</v>
      </c>
      <c r="F522" s="449"/>
      <c r="G522" s="302" t="str">
        <f>CONCATENATE("FCOE - ",Inventory!$C$89)</f>
        <v>FCOE - -9k-b</v>
      </c>
      <c r="H522" s="302"/>
      <c r="I522" s="302"/>
      <c r="J522" s="302"/>
      <c r="K522" s="302"/>
      <c r="L522" s="302" t="s">
        <v>623</v>
      </c>
      <c r="M522" s="302"/>
    </row>
    <row r="523" spans="3:13" s="35" customFormat="1" ht="14.25" customHeight="1" x14ac:dyDescent="0.25">
      <c r="C523" s="302" t="s">
        <v>624</v>
      </c>
      <c r="D523" s="447"/>
      <c r="E523" s="448" t="s">
        <v>191</v>
      </c>
      <c r="F523" s="449"/>
      <c r="G523" s="302"/>
      <c r="H523" s="302"/>
      <c r="I523" s="302"/>
      <c r="J523" s="302"/>
      <c r="K523" s="302"/>
      <c r="L523" s="302"/>
      <c r="M523" s="302"/>
    </row>
    <row r="524" spans="3:13" s="35" customFormat="1" ht="14.25" customHeight="1" x14ac:dyDescent="0.25">
      <c r="C524" s="302" t="s">
        <v>625</v>
      </c>
      <c r="D524" s="447"/>
      <c r="E524" s="448" t="s">
        <v>191</v>
      </c>
      <c r="F524" s="449"/>
      <c r="G524" s="302"/>
      <c r="H524" s="302"/>
      <c r="I524" s="302"/>
      <c r="J524" s="302"/>
      <c r="K524" s="302"/>
      <c r="L524" s="302"/>
      <c r="M524" s="302"/>
    </row>
    <row r="525" spans="3:13" s="35" customFormat="1" ht="14.25" customHeight="1" x14ac:dyDescent="0.25">
      <c r="C525" s="302" t="s">
        <v>626</v>
      </c>
      <c r="D525" s="447"/>
      <c r="E525" s="448" t="s">
        <v>191</v>
      </c>
      <c r="F525" s="449"/>
      <c r="G525" s="302"/>
      <c r="H525" s="302"/>
      <c r="I525" s="302"/>
      <c r="J525" s="302"/>
      <c r="K525" s="302"/>
      <c r="L525" s="302"/>
      <c r="M525" s="302"/>
    </row>
    <row r="526" spans="3:13" s="35" customFormat="1" ht="14.25" customHeight="1" x14ac:dyDescent="0.25">
      <c r="C526" s="302" t="s">
        <v>627</v>
      </c>
      <c r="D526" s="447"/>
      <c r="E526" s="448" t="s">
        <v>191</v>
      </c>
      <c r="F526" s="449"/>
      <c r="G526" s="302"/>
      <c r="H526" s="302"/>
      <c r="I526" s="302"/>
      <c r="J526" s="302"/>
      <c r="K526" s="302"/>
      <c r="L526" s="302"/>
      <c r="M526" s="302"/>
    </row>
    <row r="527" spans="3:13" s="35" customFormat="1" ht="14.25" customHeight="1" x14ac:dyDescent="0.25">
      <c r="C527" s="302" t="s">
        <v>628</v>
      </c>
      <c r="D527" s="447"/>
      <c r="E527" s="448" t="s">
        <v>191</v>
      </c>
      <c r="F527" s="449"/>
      <c r="G527" s="302"/>
      <c r="H527" s="302"/>
      <c r="I527" s="302"/>
      <c r="J527" s="302"/>
      <c r="K527" s="302"/>
      <c r="L527" s="302"/>
      <c r="M527" s="302"/>
    </row>
    <row r="528" spans="3:13" s="35" customFormat="1" ht="14.25" customHeight="1" x14ac:dyDescent="0.25">
      <c r="C528" s="302" t="s">
        <v>629</v>
      </c>
      <c r="D528" s="447"/>
      <c r="E528" s="448" t="s">
        <v>191</v>
      </c>
      <c r="F528" s="449"/>
      <c r="G528" s="302"/>
      <c r="H528" s="302"/>
      <c r="I528" s="302"/>
      <c r="J528" s="302"/>
      <c r="K528" s="302"/>
      <c r="L528" s="302"/>
      <c r="M528" s="302"/>
    </row>
    <row r="529" spans="3:13" s="35" customFormat="1" ht="14.25" customHeight="1" x14ac:dyDescent="0.25">
      <c r="C529" s="302" t="s">
        <v>630</v>
      </c>
      <c r="D529" s="447"/>
      <c r="E529" s="448" t="s">
        <v>191</v>
      </c>
      <c r="F529" s="449"/>
      <c r="G529" s="302"/>
      <c r="H529" s="302"/>
      <c r="I529" s="302"/>
      <c r="J529" s="302"/>
      <c r="K529" s="302"/>
      <c r="L529" s="302"/>
      <c r="M529" s="302"/>
    </row>
    <row r="530" spans="3:13" s="35" customFormat="1" ht="14.25" customHeight="1" x14ac:dyDescent="0.25">
      <c r="C530" s="302" t="s">
        <v>631</v>
      </c>
      <c r="D530" s="447"/>
      <c r="E530" s="448" t="s">
        <v>191</v>
      </c>
      <c r="F530" s="449"/>
      <c r="G530" s="302"/>
      <c r="H530" s="302"/>
      <c r="I530" s="302"/>
      <c r="J530" s="302"/>
      <c r="K530" s="302"/>
      <c r="L530" s="302"/>
      <c r="M530" s="302"/>
    </row>
    <row r="531" spans="3:13" s="35" customFormat="1" ht="14.25" customHeight="1" x14ac:dyDescent="0.25">
      <c r="C531" s="302" t="s">
        <v>632</v>
      </c>
      <c r="D531" s="447"/>
      <c r="E531" s="448" t="s">
        <v>191</v>
      </c>
      <c r="F531" s="449"/>
      <c r="G531" s="302"/>
      <c r="H531" s="302"/>
      <c r="I531" s="302"/>
      <c r="J531" s="302"/>
      <c r="K531" s="302"/>
      <c r="L531" s="302"/>
      <c r="M531" s="302"/>
    </row>
    <row r="532" spans="3:13" s="35" customFormat="1" ht="14.25" customHeight="1" x14ac:dyDescent="0.25">
      <c r="C532" s="302" t="s">
        <v>633</v>
      </c>
      <c r="D532" s="447"/>
      <c r="E532" s="448" t="s">
        <v>191</v>
      </c>
      <c r="F532" s="449"/>
      <c r="G532" s="302"/>
      <c r="H532" s="302"/>
      <c r="I532" s="302"/>
      <c r="J532" s="302"/>
      <c r="K532" s="302"/>
      <c r="L532" s="302"/>
      <c r="M532" s="302"/>
    </row>
    <row r="533" spans="3:13" s="35" customFormat="1" ht="14.25" customHeight="1" x14ac:dyDescent="0.25">
      <c r="C533" s="302" t="s">
        <v>634</v>
      </c>
      <c r="D533" s="447"/>
      <c r="E533" s="448" t="s">
        <v>191</v>
      </c>
      <c r="F533" s="449"/>
      <c r="G533" s="302"/>
      <c r="H533" s="302"/>
      <c r="I533" s="302"/>
      <c r="J533" s="302"/>
      <c r="K533" s="302"/>
      <c r="L533" s="302"/>
      <c r="M533" s="302"/>
    </row>
    <row r="534" spans="3:13" s="35" customFormat="1" ht="14.25" customHeight="1" x14ac:dyDescent="0.25">
      <c r="C534" s="302" t="s">
        <v>635</v>
      </c>
      <c r="D534" s="447"/>
      <c r="E534" s="448" t="s">
        <v>191</v>
      </c>
      <c r="F534" s="449"/>
      <c r="G534" s="302"/>
      <c r="H534" s="302"/>
      <c r="I534" s="302"/>
      <c r="J534" s="302"/>
      <c r="K534" s="302"/>
      <c r="L534" s="302"/>
      <c r="M534" s="302"/>
    </row>
    <row r="535" spans="3:13" s="35" customFormat="1" ht="14.25" customHeight="1" x14ac:dyDescent="0.25">
      <c r="C535" s="302" t="s">
        <v>636</v>
      </c>
      <c r="D535" s="447"/>
      <c r="E535" s="448" t="s">
        <v>191</v>
      </c>
      <c r="F535" s="449"/>
      <c r="G535" s="302"/>
      <c r="H535" s="302"/>
      <c r="I535" s="302"/>
      <c r="J535" s="302"/>
      <c r="K535" s="302"/>
      <c r="L535" s="302"/>
      <c r="M535" s="302"/>
    </row>
    <row r="536" spans="3:13" s="35" customFormat="1" ht="14.25" customHeight="1" x14ac:dyDescent="0.25">
      <c r="C536" s="302" t="s">
        <v>998</v>
      </c>
      <c r="D536" s="447"/>
      <c r="E536" s="448" t="s">
        <v>191</v>
      </c>
      <c r="F536" s="449"/>
      <c r="G536" s="302"/>
      <c r="H536" s="302"/>
      <c r="I536" s="302"/>
      <c r="J536" s="302"/>
      <c r="K536" s="302"/>
      <c r="L536" s="302"/>
      <c r="M536" s="302"/>
    </row>
    <row r="537" spans="3:13" s="35" customFormat="1" ht="14.25" customHeight="1" x14ac:dyDescent="0.25">
      <c r="C537" s="302" t="s">
        <v>999</v>
      </c>
      <c r="D537" s="447"/>
      <c r="E537" s="448" t="s">
        <v>191</v>
      </c>
      <c r="F537" s="449"/>
      <c r="G537" s="302"/>
      <c r="H537" s="302"/>
      <c r="I537" s="302"/>
      <c r="J537" s="302"/>
      <c r="K537" s="302"/>
      <c r="L537" s="302"/>
      <c r="M537" s="302"/>
    </row>
    <row r="538" spans="3:13" s="35" customFormat="1" ht="14.25" customHeight="1" x14ac:dyDescent="0.25">
      <c r="C538" s="302" t="s">
        <v>1000</v>
      </c>
      <c r="D538" s="447"/>
      <c r="E538" s="448" t="s">
        <v>191</v>
      </c>
      <c r="F538" s="449"/>
      <c r="G538" s="302"/>
      <c r="H538" s="302"/>
      <c r="I538" s="302"/>
      <c r="J538" s="302"/>
      <c r="K538" s="302"/>
      <c r="L538" s="302"/>
      <c r="M538" s="302"/>
    </row>
    <row r="539" spans="3:13" s="35" customFormat="1" ht="14.25" customHeight="1" x14ac:dyDescent="0.25">
      <c r="C539" s="302" t="s">
        <v>1197</v>
      </c>
      <c r="D539" s="447"/>
      <c r="E539" s="448" t="s">
        <v>191</v>
      </c>
      <c r="F539" s="449"/>
      <c r="G539" s="302"/>
      <c r="H539" s="302"/>
      <c r="I539" s="302"/>
      <c r="J539" s="302"/>
      <c r="K539" s="302"/>
      <c r="L539" s="302"/>
      <c r="M539" s="302"/>
    </row>
    <row r="540" spans="3:13" s="35" customFormat="1" ht="14.25" customHeight="1" x14ac:dyDescent="0.25">
      <c r="C540" s="302" t="s">
        <v>1198</v>
      </c>
      <c r="D540" s="447"/>
      <c r="E540" s="448" t="s">
        <v>191</v>
      </c>
      <c r="F540" s="449"/>
      <c r="G540" s="302"/>
      <c r="H540" s="302"/>
      <c r="I540" s="302"/>
      <c r="J540" s="302"/>
      <c r="K540" s="302"/>
      <c r="L540" s="302"/>
      <c r="M540" s="302"/>
    </row>
    <row r="541" spans="3:13" s="35" customFormat="1" ht="14.25" customHeight="1" x14ac:dyDescent="0.25">
      <c r="C541" s="302" t="s">
        <v>1199</v>
      </c>
      <c r="D541" s="447"/>
      <c r="E541" s="448" t="s">
        <v>191</v>
      </c>
      <c r="F541" s="449"/>
      <c r="G541" s="302"/>
      <c r="H541" s="302"/>
      <c r="I541" s="302"/>
      <c r="J541" s="302"/>
      <c r="K541" s="302"/>
      <c r="L541" s="302"/>
      <c r="M541" s="302"/>
    </row>
    <row r="542" spans="3:13" s="35" customFormat="1" ht="14.25" customHeight="1" x14ac:dyDescent="0.25">
      <c r="C542" s="302" t="s">
        <v>1200</v>
      </c>
      <c r="D542" s="447"/>
      <c r="E542" s="448" t="s">
        <v>191</v>
      </c>
      <c r="F542" s="449"/>
      <c r="G542" s="302"/>
      <c r="H542" s="302"/>
      <c r="I542" s="302"/>
      <c r="J542" s="302"/>
      <c r="K542" s="302"/>
      <c r="L542" s="302"/>
      <c r="M542" s="302"/>
    </row>
    <row r="543" spans="3:13" s="35" customFormat="1" ht="14.25" customHeight="1" x14ac:dyDescent="0.25">
      <c r="C543" s="302" t="s">
        <v>1201</v>
      </c>
      <c r="D543" s="447"/>
      <c r="E543" s="448" t="s">
        <v>191</v>
      </c>
      <c r="F543" s="449"/>
      <c r="G543" s="302"/>
      <c r="H543" s="302"/>
      <c r="I543" s="302"/>
      <c r="J543" s="302"/>
      <c r="K543" s="302"/>
      <c r="L543" s="302"/>
      <c r="M543" s="302"/>
    </row>
    <row r="544" spans="3:13" s="35" customFormat="1" ht="14.25" customHeight="1" x14ac:dyDescent="0.25">
      <c r="C544" s="302" t="s">
        <v>1202</v>
      </c>
      <c r="D544" s="447"/>
      <c r="E544" s="448" t="s">
        <v>191</v>
      </c>
      <c r="F544" s="449"/>
      <c r="G544" s="302"/>
      <c r="H544" s="302"/>
      <c r="I544" s="302"/>
      <c r="J544" s="302"/>
      <c r="K544" s="302"/>
      <c r="L544" s="302"/>
      <c r="M544" s="302"/>
    </row>
    <row r="545" spans="3:13" s="35" customFormat="1" ht="14.25" customHeight="1" x14ac:dyDescent="0.25">
      <c r="C545" s="302" t="s">
        <v>1203</v>
      </c>
      <c r="D545" s="447"/>
      <c r="E545" s="448" t="s">
        <v>191</v>
      </c>
      <c r="F545" s="449"/>
      <c r="G545" s="302"/>
      <c r="H545" s="302"/>
      <c r="I545" s="302"/>
      <c r="J545" s="302"/>
      <c r="K545" s="302"/>
      <c r="L545" s="302"/>
      <c r="M545" s="302"/>
    </row>
    <row r="546" spans="3:13" s="35" customFormat="1" ht="14.25" customHeight="1" x14ac:dyDescent="0.25">
      <c r="C546" s="302" t="s">
        <v>1204</v>
      </c>
      <c r="D546" s="447"/>
      <c r="E546" s="448" t="s">
        <v>191</v>
      </c>
      <c r="F546" s="449"/>
      <c r="G546" s="302"/>
      <c r="H546" s="302"/>
      <c r="I546" s="302"/>
      <c r="J546" s="302"/>
      <c r="K546" s="302"/>
      <c r="L546" s="302"/>
      <c r="M546" s="302"/>
    </row>
    <row r="547" spans="3:13" s="35" customFormat="1" ht="14.25" customHeight="1" x14ac:dyDescent="0.25">
      <c r="C547" s="302" t="s">
        <v>1205</v>
      </c>
      <c r="D547" s="447"/>
      <c r="E547" s="448" t="s">
        <v>191</v>
      </c>
      <c r="F547" s="449"/>
      <c r="G547" s="302"/>
      <c r="H547" s="302"/>
      <c r="I547" s="302"/>
      <c r="J547" s="302"/>
      <c r="K547" s="302"/>
      <c r="L547" s="302"/>
      <c r="M547" s="302"/>
    </row>
    <row r="548" spans="3:13" s="35" customFormat="1" ht="14.25" customHeight="1" x14ac:dyDescent="0.25">
      <c r="C548" s="302" t="s">
        <v>1206</v>
      </c>
      <c r="D548" s="447"/>
      <c r="E548" s="448" t="s">
        <v>191</v>
      </c>
      <c r="F548" s="449"/>
      <c r="G548" s="302"/>
      <c r="H548" s="302"/>
      <c r="I548" s="302"/>
      <c r="J548" s="302"/>
      <c r="K548" s="302"/>
      <c r="L548" s="302"/>
      <c r="M548" s="302"/>
    </row>
    <row r="549" spans="3:13" s="35" customFormat="1" ht="14.25" customHeight="1" x14ac:dyDescent="0.25">
      <c r="C549" s="302" t="s">
        <v>1207</v>
      </c>
      <c r="D549" s="447"/>
      <c r="E549" s="448" t="s">
        <v>191</v>
      </c>
      <c r="F549" s="449"/>
      <c r="G549" s="302"/>
      <c r="H549" s="302"/>
      <c r="I549" s="302"/>
      <c r="J549" s="302"/>
      <c r="K549" s="302"/>
      <c r="L549" s="302"/>
      <c r="M549" s="302"/>
    </row>
    <row r="550" spans="3:13" s="35" customFormat="1" ht="14.25" customHeight="1" x14ac:dyDescent="0.25">
      <c r="C550" s="302" t="s">
        <v>1208</v>
      </c>
      <c r="D550" s="447"/>
      <c r="E550" s="448" t="s">
        <v>191</v>
      </c>
      <c r="F550" s="449"/>
      <c r="G550" s="302"/>
      <c r="H550" s="302"/>
      <c r="I550" s="302"/>
      <c r="J550" s="302"/>
      <c r="K550" s="302"/>
      <c r="L550" s="302"/>
      <c r="M550" s="302"/>
    </row>
    <row r="551" spans="3:13" s="35" customFormat="1" ht="14.25" customHeight="1" x14ac:dyDescent="0.25">
      <c r="C551" s="302" t="s">
        <v>1209</v>
      </c>
      <c r="D551" s="447"/>
      <c r="E551" s="448" t="s">
        <v>191</v>
      </c>
      <c r="F551" s="449"/>
      <c r="G551" s="302"/>
      <c r="H551" s="302"/>
      <c r="I551" s="302"/>
      <c r="J551" s="302"/>
      <c r="K551" s="302"/>
      <c r="L551" s="302"/>
      <c r="M551" s="302"/>
    </row>
    <row r="552" spans="3:13" s="35" customFormat="1" ht="14.25" customHeight="1" x14ac:dyDescent="0.25">
      <c r="C552" s="302" t="s">
        <v>1210</v>
      </c>
      <c r="D552" s="447"/>
      <c r="E552" s="448" t="s">
        <v>191</v>
      </c>
      <c r="F552" s="449"/>
      <c r="G552" s="302"/>
      <c r="H552" s="302"/>
      <c r="I552" s="302"/>
      <c r="J552" s="302"/>
      <c r="K552" s="302"/>
      <c r="L552" s="302"/>
      <c r="M552" s="302"/>
    </row>
    <row r="553" spans="3:13" s="35" customFormat="1" ht="14.25" customHeight="1" x14ac:dyDescent="0.25">
      <c r="C553" s="302" t="s">
        <v>1211</v>
      </c>
      <c r="D553" s="447"/>
      <c r="E553" s="448" t="s">
        <v>191</v>
      </c>
      <c r="F553" s="449"/>
      <c r="G553" s="302"/>
      <c r="H553" s="302"/>
      <c r="I553" s="302"/>
      <c r="J553" s="302"/>
      <c r="K553" s="302"/>
      <c r="L553" s="302"/>
      <c r="M553" s="302"/>
    </row>
    <row r="554" spans="3:13" s="35" customFormat="1" ht="14.25" customHeight="1" x14ac:dyDescent="0.25">
      <c r="C554" s="302" t="s">
        <v>1212</v>
      </c>
      <c r="D554" s="447"/>
      <c r="E554" s="448" t="s">
        <v>191</v>
      </c>
      <c r="F554" s="449"/>
      <c r="G554" s="302"/>
      <c r="H554" s="302"/>
      <c r="I554" s="302"/>
      <c r="J554" s="302"/>
      <c r="K554" s="302"/>
      <c r="L554" s="302"/>
      <c r="M554" s="302"/>
    </row>
    <row r="555" spans="3:13" s="35" customFormat="1" ht="14.25" customHeight="1" x14ac:dyDescent="0.25">
      <c r="C555" s="302" t="s">
        <v>1213</v>
      </c>
      <c r="D555" s="447"/>
      <c r="E555" s="448" t="s">
        <v>191</v>
      </c>
      <c r="F555" s="449"/>
      <c r="G555" s="302"/>
      <c r="H555" s="302"/>
      <c r="I555" s="302"/>
      <c r="J555" s="302"/>
      <c r="K555" s="302"/>
      <c r="L555" s="302"/>
      <c r="M555" s="302"/>
    </row>
    <row r="556" spans="3:13" s="35" customFormat="1" ht="14.25" customHeight="1" x14ac:dyDescent="0.25">
      <c r="C556" s="302" t="s">
        <v>1214</v>
      </c>
      <c r="D556" s="447"/>
      <c r="E556" s="448" t="s">
        <v>191</v>
      </c>
      <c r="F556" s="449"/>
      <c r="G556" s="302"/>
      <c r="H556" s="302"/>
      <c r="I556" s="302"/>
      <c r="J556" s="302"/>
      <c r="K556" s="302"/>
      <c r="L556" s="302"/>
      <c r="M556" s="302"/>
    </row>
    <row r="557" spans="3:13" s="35" customFormat="1" ht="14.25" customHeight="1" x14ac:dyDescent="0.25">
      <c r="C557" s="302" t="s">
        <v>1215</v>
      </c>
      <c r="D557" s="447"/>
      <c r="E557" s="448" t="s">
        <v>191</v>
      </c>
      <c r="F557" s="449"/>
      <c r="G557" s="302"/>
      <c r="H557" s="302"/>
      <c r="I557" s="302"/>
      <c r="J557" s="302"/>
      <c r="K557" s="302"/>
      <c r="L557" s="302"/>
      <c r="M557" s="302"/>
    </row>
    <row r="558" spans="3:13" s="35" customFormat="1" ht="14.25" customHeight="1" x14ac:dyDescent="0.25">
      <c r="C558" s="302" t="s">
        <v>1216</v>
      </c>
      <c r="D558" s="447"/>
      <c r="E558" s="448" t="s">
        <v>191</v>
      </c>
      <c r="F558" s="449"/>
      <c r="G558" s="302"/>
      <c r="H558" s="302"/>
      <c r="I558" s="302"/>
      <c r="J558" s="302"/>
      <c r="K558" s="302"/>
      <c r="L558" s="302"/>
      <c r="M558" s="302"/>
    </row>
    <row r="559" spans="3:13" s="35" customFormat="1" ht="14.25" customHeight="1" x14ac:dyDescent="0.25">
      <c r="C559" s="302" t="s">
        <v>1217</v>
      </c>
      <c r="D559" s="447"/>
      <c r="E559" s="448" t="s">
        <v>191</v>
      </c>
      <c r="F559" s="449"/>
      <c r="G559" s="302"/>
      <c r="H559" s="302"/>
      <c r="I559" s="302"/>
      <c r="J559" s="302"/>
      <c r="K559" s="302"/>
      <c r="L559" s="302"/>
      <c r="M559" s="302"/>
    </row>
    <row r="560" spans="3:13" s="35" customFormat="1" ht="14.25" customHeight="1" x14ac:dyDescent="0.25">
      <c r="C560" s="302" t="s">
        <v>1218</v>
      </c>
      <c r="D560" s="447"/>
      <c r="E560" s="448" t="s">
        <v>191</v>
      </c>
      <c r="F560" s="449"/>
      <c r="G560" s="302"/>
      <c r="H560" s="302"/>
      <c r="I560" s="302"/>
      <c r="J560" s="302"/>
      <c r="K560" s="302"/>
      <c r="L560" s="302"/>
      <c r="M560" s="302"/>
    </row>
    <row r="561" spans="3:13" s="35" customFormat="1" ht="14.25" customHeight="1" x14ac:dyDescent="0.25">
      <c r="C561" s="302" t="s">
        <v>1219</v>
      </c>
      <c r="D561" s="447"/>
      <c r="E561" s="448" t="s">
        <v>191</v>
      </c>
      <c r="F561" s="449"/>
      <c r="G561" s="302"/>
      <c r="H561" s="302"/>
      <c r="I561" s="302"/>
      <c r="J561" s="302"/>
      <c r="K561" s="302"/>
      <c r="L561" s="302"/>
      <c r="M561" s="302"/>
    </row>
    <row r="562" spans="3:13" s="35" customFormat="1" ht="14.25" customHeight="1" x14ac:dyDescent="0.25">
      <c r="C562" s="302" t="s">
        <v>1220</v>
      </c>
      <c r="D562" s="447"/>
      <c r="E562" s="448" t="s">
        <v>191</v>
      </c>
      <c r="F562" s="449"/>
      <c r="G562" s="302"/>
      <c r="H562" s="302"/>
      <c r="I562" s="302"/>
      <c r="J562" s="302"/>
      <c r="K562" s="302"/>
      <c r="L562" s="302"/>
      <c r="M562" s="302"/>
    </row>
    <row r="563" spans="3:13" s="35" customFormat="1" ht="14.25" customHeight="1" x14ac:dyDescent="0.25">
      <c r="C563" s="302" t="s">
        <v>1221</v>
      </c>
      <c r="D563" s="447"/>
      <c r="E563" s="448" t="s">
        <v>191</v>
      </c>
      <c r="F563" s="449"/>
      <c r="G563" s="302"/>
      <c r="H563" s="302"/>
      <c r="I563" s="302"/>
      <c r="J563" s="302"/>
      <c r="K563" s="302"/>
      <c r="L563" s="302"/>
      <c r="M563" s="302"/>
    </row>
    <row r="564" spans="3:13" s="35" customFormat="1" ht="14.25" customHeight="1" x14ac:dyDescent="0.25">
      <c r="C564" s="302" t="s">
        <v>1222</v>
      </c>
      <c r="D564" s="447"/>
      <c r="E564" s="448" t="s">
        <v>191</v>
      </c>
      <c r="F564" s="449"/>
      <c r="G564" s="302"/>
      <c r="H564" s="302"/>
      <c r="I564" s="302"/>
      <c r="J564" s="302"/>
      <c r="K564" s="302"/>
      <c r="L564" s="302"/>
      <c r="M564" s="302"/>
    </row>
    <row r="565" spans="3:13" s="35" customFormat="1" ht="14.25" customHeight="1" x14ac:dyDescent="0.25">
      <c r="C565" s="302" t="s">
        <v>1223</v>
      </c>
      <c r="D565" s="447"/>
      <c r="E565" s="448" t="s">
        <v>191</v>
      </c>
      <c r="F565" s="449"/>
      <c r="G565" s="302"/>
      <c r="H565" s="302"/>
      <c r="I565" s="302"/>
      <c r="J565" s="302"/>
      <c r="K565" s="302"/>
      <c r="L565" s="302"/>
      <c r="M565" s="302"/>
    </row>
    <row r="566" spans="3:13" s="35" customFormat="1" ht="14.25" customHeight="1" x14ac:dyDescent="0.25">
      <c r="C566" s="302" t="s">
        <v>1224</v>
      </c>
      <c r="D566" s="447"/>
      <c r="E566" s="448" t="s">
        <v>191</v>
      </c>
      <c r="F566" s="449"/>
      <c r="G566" s="302"/>
      <c r="H566" s="302"/>
      <c r="I566" s="302"/>
      <c r="J566" s="302"/>
      <c r="K566" s="302"/>
      <c r="L566" s="302"/>
      <c r="M566" s="302"/>
    </row>
    <row r="567" spans="3:13" s="35" customFormat="1" ht="14.25" customHeight="1" x14ac:dyDescent="0.25">
      <c r="C567" s="302" t="s">
        <v>1225</v>
      </c>
      <c r="D567" s="447"/>
      <c r="E567" s="448" t="s">
        <v>191</v>
      </c>
      <c r="F567" s="449"/>
      <c r="G567" s="302"/>
      <c r="H567" s="302"/>
      <c r="I567" s="302"/>
      <c r="J567" s="302"/>
      <c r="K567" s="302"/>
      <c r="L567" s="302"/>
      <c r="M567" s="302"/>
    </row>
    <row r="568" spans="3:13" s="35" customFormat="1" ht="14.25" customHeight="1" x14ac:dyDescent="0.25">
      <c r="C568" s="302" t="s">
        <v>1226</v>
      </c>
      <c r="D568" s="447"/>
      <c r="E568" s="448" t="s">
        <v>191</v>
      </c>
      <c r="F568" s="449"/>
      <c r="G568" s="302"/>
      <c r="H568" s="302"/>
      <c r="I568" s="302"/>
      <c r="J568" s="302"/>
      <c r="K568" s="302"/>
      <c r="L568" s="302"/>
      <c r="M568" s="302"/>
    </row>
    <row r="569" spans="3:13" s="35" customFormat="1" ht="14.25" customHeight="1" x14ac:dyDescent="0.25">
      <c r="C569" s="302" t="s">
        <v>1227</v>
      </c>
      <c r="D569" s="447"/>
      <c r="E569" s="448" t="s">
        <v>191</v>
      </c>
      <c r="F569" s="449"/>
      <c r="G569" s="302"/>
      <c r="H569" s="302"/>
      <c r="I569" s="302"/>
      <c r="J569" s="302"/>
      <c r="K569" s="302"/>
      <c r="L569" s="302"/>
      <c r="M569" s="302"/>
    </row>
    <row r="570" spans="3:13" s="35" customFormat="1" ht="14.25" customHeight="1" x14ac:dyDescent="0.25">
      <c r="C570" s="302" t="s">
        <v>1228</v>
      </c>
      <c r="D570" s="447"/>
      <c r="E570" s="448" t="s">
        <v>191</v>
      </c>
      <c r="F570" s="449"/>
      <c r="G570" s="302"/>
      <c r="H570" s="302"/>
      <c r="I570" s="302"/>
      <c r="J570" s="302"/>
      <c r="K570" s="302"/>
      <c r="L570" s="302"/>
      <c r="M570" s="302"/>
    </row>
    <row r="571" spans="3:13" s="35" customFormat="1" ht="14.25" customHeight="1" x14ac:dyDescent="0.25">
      <c r="C571" s="302" t="s">
        <v>1229</v>
      </c>
      <c r="D571" s="447"/>
      <c r="E571" s="448" t="s">
        <v>191</v>
      </c>
      <c r="F571" s="449"/>
      <c r="G571" s="302"/>
      <c r="H571" s="302"/>
      <c r="I571" s="302"/>
      <c r="J571" s="302"/>
      <c r="K571" s="302"/>
      <c r="L571" s="302"/>
      <c r="M571" s="302"/>
    </row>
    <row r="572" spans="3:13" s="35" customFormat="1" ht="14.25" customHeight="1" x14ac:dyDescent="0.25">
      <c r="C572" s="302" t="s">
        <v>1230</v>
      </c>
      <c r="D572" s="447"/>
      <c r="E572" s="448" t="s">
        <v>191</v>
      </c>
      <c r="F572" s="449"/>
      <c r="G572" s="302"/>
      <c r="H572" s="302"/>
      <c r="I572" s="302"/>
      <c r="J572" s="302"/>
      <c r="K572" s="302"/>
      <c r="L572" s="302"/>
      <c r="M572" s="302"/>
    </row>
    <row r="573" spans="3:13" s="35" customFormat="1" ht="14.25" customHeight="1" x14ac:dyDescent="0.25">
      <c r="C573" s="302" t="s">
        <v>1231</v>
      </c>
      <c r="D573" s="447"/>
      <c r="E573" s="448" t="s">
        <v>191</v>
      </c>
      <c r="F573" s="449"/>
      <c r="G573" s="302"/>
      <c r="H573" s="302"/>
      <c r="I573" s="302"/>
      <c r="J573" s="302"/>
      <c r="K573" s="302"/>
      <c r="L573" s="302"/>
      <c r="M573" s="302"/>
    </row>
    <row r="574" spans="3:13" s="35" customFormat="1" ht="14.25" customHeight="1" x14ac:dyDescent="0.25">
      <c r="C574" s="302" t="s">
        <v>1232</v>
      </c>
      <c r="D574" s="447"/>
      <c r="E574" s="448" t="s">
        <v>191</v>
      </c>
      <c r="F574" s="449"/>
      <c r="G574" s="302"/>
      <c r="H574" s="302"/>
      <c r="I574" s="302"/>
      <c r="J574" s="302"/>
      <c r="K574" s="302"/>
      <c r="L574" s="302"/>
      <c r="M574" s="302"/>
    </row>
    <row r="575" spans="3:13" s="35" customFormat="1" ht="14.25" customHeight="1" x14ac:dyDescent="0.25">
      <c r="C575" s="302" t="s">
        <v>1233</v>
      </c>
      <c r="D575" s="447"/>
      <c r="E575" s="448" t="s">
        <v>191</v>
      </c>
      <c r="F575" s="449"/>
      <c r="G575" s="302"/>
      <c r="H575" s="302"/>
      <c r="I575" s="302"/>
      <c r="J575" s="302"/>
      <c r="K575" s="302"/>
      <c r="L575" s="302"/>
      <c r="M575" s="302"/>
    </row>
    <row r="576" spans="3:13" s="35" customFormat="1" ht="14.25" customHeight="1" x14ac:dyDescent="0.25">
      <c r="C576" s="302" t="s">
        <v>1234</v>
      </c>
      <c r="D576" s="447"/>
      <c r="E576" s="448" t="s">
        <v>191</v>
      </c>
      <c r="F576" s="449"/>
      <c r="G576" s="302"/>
      <c r="H576" s="302"/>
      <c r="I576" s="302"/>
      <c r="J576" s="302"/>
      <c r="K576" s="302"/>
      <c r="L576" s="302"/>
      <c r="M576" s="302"/>
    </row>
    <row r="577" spans="2:18" s="35" customFormat="1" ht="14.25" customHeight="1" x14ac:dyDescent="0.25">
      <c r="C577" s="302" t="s">
        <v>1235</v>
      </c>
      <c r="D577" s="447"/>
      <c r="E577" s="448" t="s">
        <v>191</v>
      </c>
      <c r="F577" s="449"/>
      <c r="G577" s="302"/>
      <c r="H577" s="302"/>
      <c r="I577" s="302"/>
      <c r="J577" s="302"/>
      <c r="K577" s="302"/>
      <c r="L577" s="302"/>
      <c r="M577" s="302"/>
    </row>
    <row r="578" spans="2:18" s="35" customFormat="1" ht="14.25" customHeight="1" x14ac:dyDescent="0.25">
      <c r="C578" s="302" t="s">
        <v>1236</v>
      </c>
      <c r="D578" s="447"/>
      <c r="E578" s="448" t="s">
        <v>191</v>
      </c>
      <c r="F578" s="449"/>
      <c r="G578" s="302"/>
      <c r="H578" s="302"/>
      <c r="I578" s="302"/>
      <c r="J578" s="302"/>
      <c r="K578" s="302"/>
      <c r="L578" s="302"/>
      <c r="M578" s="302"/>
    </row>
    <row r="579" spans="2:18" s="35" customFormat="1" ht="14.25" customHeight="1" x14ac:dyDescent="0.25">
      <c r="C579" s="302" t="s">
        <v>1237</v>
      </c>
      <c r="D579" s="447"/>
      <c r="E579" s="448" t="s">
        <v>191</v>
      </c>
      <c r="F579" s="449"/>
      <c r="G579" s="302"/>
      <c r="H579" s="302"/>
      <c r="I579" s="302"/>
      <c r="J579" s="302"/>
      <c r="K579" s="302"/>
      <c r="L579" s="302"/>
      <c r="M579" s="302"/>
    </row>
    <row r="580" spans="2:18" s="35" customFormat="1" ht="14.25" customHeight="1" x14ac:dyDescent="0.25">
      <c r="C580" s="302" t="s">
        <v>1238</v>
      </c>
      <c r="D580" s="447"/>
      <c r="E580" s="448" t="s">
        <v>191</v>
      </c>
      <c r="F580" s="449"/>
      <c r="G580" s="302"/>
      <c r="H580" s="302"/>
      <c r="I580" s="302"/>
      <c r="J580" s="302"/>
      <c r="K580" s="302"/>
      <c r="L580" s="302"/>
      <c r="M580" s="302"/>
    </row>
    <row r="581" spans="2:18" s="35" customFormat="1" ht="14.25" customHeight="1" x14ac:dyDescent="0.25">
      <c r="C581" s="302" t="s">
        <v>1239</v>
      </c>
      <c r="D581" s="447"/>
      <c r="E581" s="448" t="s">
        <v>191</v>
      </c>
      <c r="F581" s="449"/>
      <c r="G581" s="302"/>
      <c r="H581" s="302"/>
      <c r="I581" s="302"/>
      <c r="J581" s="302"/>
      <c r="K581" s="302"/>
      <c r="L581" s="302"/>
      <c r="M581" s="302"/>
    </row>
    <row r="582" spans="2:18" s="35" customFormat="1" ht="14.25" customHeight="1" x14ac:dyDescent="0.25">
      <c r="C582" s="302" t="s">
        <v>1240</v>
      </c>
      <c r="D582" s="447"/>
      <c r="E582" s="448" t="s">
        <v>191</v>
      </c>
      <c r="F582" s="449"/>
      <c r="G582" s="302"/>
      <c r="H582" s="302"/>
      <c r="I582" s="302"/>
      <c r="J582" s="302"/>
      <c r="K582" s="302"/>
      <c r="L582" s="302"/>
      <c r="M582" s="302"/>
    </row>
    <row r="583" spans="2:18" s="35" customFormat="1" ht="14.25" customHeight="1" x14ac:dyDescent="0.25">
      <c r="C583" s="302" t="s">
        <v>1241</v>
      </c>
      <c r="D583" s="447"/>
      <c r="E583" s="448" t="s">
        <v>191</v>
      </c>
      <c r="F583" s="449"/>
      <c r="G583" s="302"/>
      <c r="H583" s="302"/>
      <c r="I583" s="302"/>
      <c r="J583" s="302"/>
      <c r="K583" s="302"/>
      <c r="L583" s="302"/>
      <c r="M583" s="302"/>
    </row>
    <row r="584" spans="2:18" s="35" customFormat="1" ht="14.25" customHeight="1" x14ac:dyDescent="0.25">
      <c r="C584" s="302" t="s">
        <v>1242</v>
      </c>
      <c r="D584" s="447"/>
      <c r="E584" s="448" t="s">
        <v>191</v>
      </c>
      <c r="F584" s="449"/>
      <c r="G584" s="302"/>
      <c r="H584" s="302"/>
      <c r="I584" s="302"/>
      <c r="J584" s="302"/>
      <c r="K584" s="302"/>
      <c r="L584" s="302"/>
      <c r="M584" s="302"/>
    </row>
    <row r="585" spans="2:18" s="35" customFormat="1" ht="14.25" customHeight="1" x14ac:dyDescent="0.25">
      <c r="C585" s="302" t="s">
        <v>1243</v>
      </c>
      <c r="D585" s="447"/>
      <c r="E585" s="448" t="s">
        <v>191</v>
      </c>
      <c r="F585" s="449"/>
      <c r="G585" s="302"/>
      <c r="H585" s="302"/>
      <c r="I585" s="302"/>
      <c r="J585" s="302"/>
      <c r="K585" s="302"/>
      <c r="L585" s="302"/>
      <c r="M585" s="302"/>
    </row>
    <row r="586" spans="2:18" s="35" customFormat="1" ht="14.25" customHeight="1" x14ac:dyDescent="0.25">
      <c r="C586" s="302" t="s">
        <v>1244</v>
      </c>
      <c r="D586" s="447"/>
      <c r="E586" s="448" t="s">
        <v>191</v>
      </c>
      <c r="F586" s="449"/>
      <c r="G586" s="302"/>
      <c r="H586" s="302"/>
      <c r="I586" s="302"/>
      <c r="J586" s="302"/>
      <c r="K586" s="302"/>
      <c r="L586" s="302"/>
      <c r="M586" s="302"/>
    </row>
    <row r="587" spans="2:18" s="35" customFormat="1" ht="14.25" customHeight="1" x14ac:dyDescent="0.25">
      <c r="M587" s="36" t="s">
        <v>511</v>
      </c>
    </row>
    <row r="588" spans="2:18" ht="14.25" customHeight="1" x14ac:dyDescent="0.25">
      <c r="R588" s="34"/>
    </row>
    <row r="589" spans="2:18" s="35" customFormat="1" ht="14.25" customHeight="1" x14ac:dyDescent="0.25">
      <c r="B589" s="4" t="s">
        <v>638</v>
      </c>
      <c r="M589" s="95" t="str">
        <f>IF(C277&lt;&gt;"","","**Hide this section, no Nexus switches exist**")</f>
        <v/>
      </c>
    </row>
    <row r="590" spans="2:18" s="35" customFormat="1" ht="6" customHeight="1" x14ac:dyDescent="0.25">
      <c r="B590" s="4"/>
      <c r="G590" s="6"/>
    </row>
    <row r="591" spans="2:18" s="35" customFormat="1" ht="14.25" customHeight="1" x14ac:dyDescent="0.25">
      <c r="C591" s="4" t="str">
        <f>IF(Inventory!C97&lt;&gt;0,Inventory!C97,"")</f>
        <v>-3048-a</v>
      </c>
    </row>
    <row r="592" spans="2:18" s="35" customFormat="1" ht="14.25" customHeight="1" thickBot="1" x14ac:dyDescent="0.3">
      <c r="C592" s="311" t="s">
        <v>186</v>
      </c>
      <c r="D592" s="450"/>
      <c r="E592" s="313" t="s">
        <v>187</v>
      </c>
      <c r="F592" s="311"/>
      <c r="G592" s="311" t="s">
        <v>188</v>
      </c>
      <c r="H592" s="311"/>
      <c r="I592" s="311"/>
      <c r="J592" s="311"/>
      <c r="K592" s="311"/>
      <c r="L592" s="311" t="s">
        <v>189</v>
      </c>
      <c r="M592" s="311"/>
    </row>
    <row r="593" spans="3:13" s="35" customFormat="1" ht="14.25" customHeight="1" x14ac:dyDescent="0.25">
      <c r="C593" s="302" t="s">
        <v>510</v>
      </c>
      <c r="D593" s="447"/>
      <c r="E593" s="448" t="s">
        <v>192</v>
      </c>
      <c r="F593" s="449"/>
      <c r="G593" s="302" t="s">
        <v>512</v>
      </c>
      <c r="H593" s="302"/>
      <c r="I593" s="302"/>
      <c r="J593" s="302"/>
      <c r="K593" s="302"/>
      <c r="L593" s="302"/>
      <c r="M593" s="302"/>
    </row>
    <row r="594" spans="3:13" s="35" customFormat="1" ht="14.25" customHeight="1" x14ac:dyDescent="0.25">
      <c r="C594" s="302" t="s">
        <v>193</v>
      </c>
      <c r="D594" s="447"/>
      <c r="E594" s="448" t="s">
        <v>192</v>
      </c>
      <c r="F594" s="449"/>
      <c r="G594" s="302" t="str">
        <f>$C$13</f>
        <v>shpsan-01</v>
      </c>
      <c r="H594" s="302"/>
      <c r="I594" s="302"/>
      <c r="J594" s="302"/>
      <c r="K594" s="302"/>
      <c r="L594" s="302" t="s">
        <v>485</v>
      </c>
      <c r="M594" s="302"/>
    </row>
    <row r="595" spans="3:13" s="35" customFormat="1" ht="14.25" customHeight="1" x14ac:dyDescent="0.25">
      <c r="C595" s="302" t="s">
        <v>194</v>
      </c>
      <c r="D595" s="447"/>
      <c r="E595" s="448" t="s">
        <v>192</v>
      </c>
      <c r="F595" s="449"/>
      <c r="G595" s="302" t="str">
        <f>$C$33</f>
        <v>shpsan-02</v>
      </c>
      <c r="H595" s="302"/>
      <c r="I595" s="302"/>
      <c r="J595" s="302"/>
      <c r="K595" s="302"/>
      <c r="L595" s="302" t="s">
        <v>485</v>
      </c>
      <c r="M595" s="302"/>
    </row>
    <row r="596" spans="3:13" s="35" customFormat="1" ht="14.25" customHeight="1" x14ac:dyDescent="0.25">
      <c r="C596" s="302" t="s">
        <v>206</v>
      </c>
      <c r="D596" s="447"/>
      <c r="E596" s="448" t="s">
        <v>192</v>
      </c>
      <c r="F596" s="449"/>
      <c r="G596" s="302" t="str">
        <f>$C$13</f>
        <v>shpsan-01</v>
      </c>
      <c r="H596" s="302"/>
      <c r="I596" s="302"/>
      <c r="J596" s="302"/>
      <c r="K596" s="302"/>
      <c r="L596" s="302" t="s">
        <v>610</v>
      </c>
      <c r="M596" s="302"/>
    </row>
    <row r="597" spans="3:13" s="35" customFormat="1" ht="14.25" customHeight="1" x14ac:dyDescent="0.25">
      <c r="C597" s="302" t="s">
        <v>207</v>
      </c>
      <c r="D597" s="447"/>
      <c r="E597" s="448" t="s">
        <v>192</v>
      </c>
      <c r="F597" s="449"/>
      <c r="G597" s="302" t="str">
        <f>$C$33</f>
        <v>shpsan-02</v>
      </c>
      <c r="H597" s="302"/>
      <c r="I597" s="302"/>
      <c r="J597" s="302"/>
      <c r="K597" s="302"/>
      <c r="L597" s="302" t="s">
        <v>610</v>
      </c>
      <c r="M597" s="302"/>
    </row>
    <row r="598" spans="3:13" s="35" customFormat="1" ht="14.25" customHeight="1" x14ac:dyDescent="0.25">
      <c r="C598" s="302" t="s">
        <v>514</v>
      </c>
      <c r="D598" s="447"/>
      <c r="E598" s="448" t="s">
        <v>192</v>
      </c>
      <c r="F598" s="449"/>
      <c r="G598" s="302"/>
      <c r="H598" s="302"/>
      <c r="I598" s="302"/>
      <c r="J598" s="302"/>
      <c r="K598" s="302"/>
      <c r="L598" s="446"/>
      <c r="M598" s="446"/>
    </row>
    <row r="599" spans="3:13" s="35" customFormat="1" ht="14.25" customHeight="1" x14ac:dyDescent="0.25">
      <c r="C599" s="302" t="s">
        <v>515</v>
      </c>
      <c r="D599" s="447"/>
      <c r="E599" s="448" t="s">
        <v>192</v>
      </c>
      <c r="F599" s="449"/>
      <c r="G599" s="302"/>
      <c r="H599" s="302"/>
      <c r="I599" s="302"/>
      <c r="J599" s="302"/>
      <c r="K599" s="302"/>
      <c r="L599" s="446"/>
      <c r="M599" s="446"/>
    </row>
    <row r="600" spans="3:13" s="35" customFormat="1" ht="14.25" customHeight="1" x14ac:dyDescent="0.25">
      <c r="C600" s="302" t="s">
        <v>516</v>
      </c>
      <c r="D600" s="447"/>
      <c r="E600" s="448" t="s">
        <v>192</v>
      </c>
      <c r="F600" s="449"/>
      <c r="G600" s="302"/>
      <c r="H600" s="302"/>
      <c r="I600" s="302"/>
      <c r="J600" s="302"/>
      <c r="K600" s="302"/>
      <c r="L600" s="446"/>
      <c r="M600" s="446"/>
    </row>
    <row r="601" spans="3:13" s="35" customFormat="1" ht="14.25" customHeight="1" x14ac:dyDescent="0.25">
      <c r="C601" s="302" t="s">
        <v>517</v>
      </c>
      <c r="D601" s="447"/>
      <c r="E601" s="448" t="s">
        <v>192</v>
      </c>
      <c r="F601" s="449"/>
      <c r="G601" s="302"/>
      <c r="H601" s="302"/>
      <c r="I601" s="302"/>
      <c r="J601" s="302"/>
      <c r="K601" s="302"/>
      <c r="L601" s="446"/>
      <c r="M601" s="446"/>
    </row>
    <row r="602" spans="3:13" s="35" customFormat="1" ht="14.25" customHeight="1" x14ac:dyDescent="0.25">
      <c r="C602" s="302" t="s">
        <v>518</v>
      </c>
      <c r="D602" s="447"/>
      <c r="E602" s="448" t="s">
        <v>192</v>
      </c>
      <c r="F602" s="449"/>
      <c r="G602" s="302"/>
      <c r="H602" s="302"/>
      <c r="I602" s="302"/>
      <c r="J602" s="302"/>
      <c r="K602" s="302"/>
      <c r="L602" s="446"/>
      <c r="M602" s="446"/>
    </row>
    <row r="603" spans="3:13" s="35" customFormat="1" ht="14.25" customHeight="1" x14ac:dyDescent="0.25">
      <c r="C603" s="302" t="s">
        <v>519</v>
      </c>
      <c r="D603" s="447"/>
      <c r="E603" s="448" t="s">
        <v>192</v>
      </c>
      <c r="F603" s="449"/>
      <c r="G603" s="302"/>
      <c r="H603" s="302"/>
      <c r="I603" s="302"/>
      <c r="J603" s="302"/>
      <c r="K603" s="302"/>
      <c r="L603" s="446"/>
      <c r="M603" s="446"/>
    </row>
    <row r="604" spans="3:13" s="35" customFormat="1" ht="14.25" customHeight="1" x14ac:dyDescent="0.25">
      <c r="C604" s="302" t="s">
        <v>520</v>
      </c>
      <c r="D604" s="447"/>
      <c r="E604" s="448" t="s">
        <v>192</v>
      </c>
      <c r="F604" s="449"/>
      <c r="G604" s="302"/>
      <c r="H604" s="302"/>
      <c r="I604" s="302"/>
      <c r="J604" s="302"/>
      <c r="K604" s="302"/>
      <c r="L604" s="446"/>
      <c r="M604" s="446"/>
    </row>
    <row r="605" spans="3:13" s="35" customFormat="1" ht="14.25" customHeight="1" x14ac:dyDescent="0.25">
      <c r="C605" s="302" t="s">
        <v>521</v>
      </c>
      <c r="D605" s="447"/>
      <c r="E605" s="448" t="s">
        <v>192</v>
      </c>
      <c r="F605" s="449"/>
      <c r="G605" s="302"/>
      <c r="H605" s="302"/>
      <c r="I605" s="302"/>
      <c r="J605" s="302"/>
      <c r="K605" s="302"/>
      <c r="L605" s="446"/>
      <c r="M605" s="446"/>
    </row>
    <row r="606" spans="3:13" s="35" customFormat="1" ht="14.25" customHeight="1" x14ac:dyDescent="0.25">
      <c r="C606" s="302" t="s">
        <v>195</v>
      </c>
      <c r="D606" s="447"/>
      <c r="E606" s="448" t="s">
        <v>192</v>
      </c>
      <c r="F606" s="449"/>
      <c r="G606" s="302">
        <f>VMware!$C$43</f>
        <v>0</v>
      </c>
      <c r="H606" s="302"/>
      <c r="I606" s="302"/>
      <c r="J606" s="302"/>
      <c r="K606" s="302"/>
      <c r="L606" s="446" t="s">
        <v>1005</v>
      </c>
      <c r="M606" s="446"/>
    </row>
    <row r="607" spans="3:13" s="35" customFormat="1" ht="14.25" customHeight="1" x14ac:dyDescent="0.25">
      <c r="C607" s="302" t="s">
        <v>196</v>
      </c>
      <c r="D607" s="447"/>
      <c r="E607" s="448" t="s">
        <v>192</v>
      </c>
      <c r="F607" s="449"/>
      <c r="G607" s="302">
        <f>VMware!$C$43</f>
        <v>0</v>
      </c>
      <c r="H607" s="302"/>
      <c r="I607" s="302"/>
      <c r="J607" s="302"/>
      <c r="K607" s="302"/>
      <c r="L607" s="446" t="s">
        <v>1005</v>
      </c>
      <c r="M607" s="446"/>
    </row>
    <row r="608" spans="3:13" s="35" customFormat="1" ht="14.25" customHeight="1" x14ac:dyDescent="0.25">
      <c r="C608" s="302" t="s">
        <v>197</v>
      </c>
      <c r="D608" s="447"/>
      <c r="E608" s="448" t="s">
        <v>192</v>
      </c>
      <c r="F608" s="449"/>
      <c r="G608" s="302">
        <f>VMware!$C$44</f>
        <v>0</v>
      </c>
      <c r="H608" s="302"/>
      <c r="I608" s="302"/>
      <c r="J608" s="302"/>
      <c r="K608" s="302"/>
      <c r="L608" s="446" t="s">
        <v>1005</v>
      </c>
      <c r="M608" s="446"/>
    </row>
    <row r="609" spans="3:13" s="35" customFormat="1" ht="14.25" customHeight="1" x14ac:dyDescent="0.25">
      <c r="C609" s="302" t="s">
        <v>198</v>
      </c>
      <c r="D609" s="447"/>
      <c r="E609" s="448" t="s">
        <v>192</v>
      </c>
      <c r="F609" s="449"/>
      <c r="G609" s="302">
        <f>VMware!$C$44</f>
        <v>0</v>
      </c>
      <c r="H609" s="302"/>
      <c r="I609" s="302"/>
      <c r="J609" s="302"/>
      <c r="K609" s="302"/>
      <c r="L609" s="446" t="s">
        <v>1005</v>
      </c>
      <c r="M609" s="446"/>
    </row>
    <row r="610" spans="3:13" s="35" customFormat="1" ht="14.25" customHeight="1" x14ac:dyDescent="0.25">
      <c r="C610" s="302" t="s">
        <v>199</v>
      </c>
      <c r="D610" s="447"/>
      <c r="E610" s="448" t="s">
        <v>192</v>
      </c>
      <c r="F610" s="449"/>
      <c r="G610" s="302">
        <f>VMware!$C$45</f>
        <v>0</v>
      </c>
      <c r="H610" s="302"/>
      <c r="I610" s="302"/>
      <c r="J610" s="302"/>
      <c r="K610" s="302"/>
      <c r="L610" s="446" t="s">
        <v>1005</v>
      </c>
      <c r="M610" s="446"/>
    </row>
    <row r="611" spans="3:13" s="35" customFormat="1" ht="14.25" customHeight="1" x14ac:dyDescent="0.25">
      <c r="C611" s="302" t="s">
        <v>200</v>
      </c>
      <c r="D611" s="447"/>
      <c r="E611" s="448" t="s">
        <v>192</v>
      </c>
      <c r="F611" s="449"/>
      <c r="G611" s="302">
        <f>VMware!$C$45</f>
        <v>0</v>
      </c>
      <c r="H611" s="302"/>
      <c r="I611" s="302"/>
      <c r="J611" s="302"/>
      <c r="K611" s="302"/>
      <c r="L611" s="446" t="s">
        <v>1005</v>
      </c>
      <c r="M611" s="446"/>
    </row>
    <row r="612" spans="3:13" s="35" customFormat="1" ht="14.25" customHeight="1" x14ac:dyDescent="0.25">
      <c r="C612" s="302" t="s">
        <v>522</v>
      </c>
      <c r="D612" s="447"/>
      <c r="E612" s="448" t="s">
        <v>192</v>
      </c>
      <c r="F612" s="449"/>
      <c r="G612" s="302">
        <f>VMware!$C$46</f>
        <v>0</v>
      </c>
      <c r="H612" s="302"/>
      <c r="I612" s="302"/>
      <c r="J612" s="302"/>
      <c r="K612" s="302"/>
      <c r="L612" s="446" t="s">
        <v>1005</v>
      </c>
      <c r="M612" s="446"/>
    </row>
    <row r="613" spans="3:13" s="35" customFormat="1" ht="14.25" customHeight="1" x14ac:dyDescent="0.25">
      <c r="C613" s="302" t="s">
        <v>611</v>
      </c>
      <c r="D613" s="447"/>
      <c r="E613" s="448" t="s">
        <v>192</v>
      </c>
      <c r="F613" s="449"/>
      <c r="G613" s="302">
        <f>VMware!$C$46</f>
        <v>0</v>
      </c>
      <c r="H613" s="302"/>
      <c r="I613" s="302"/>
      <c r="J613" s="302"/>
      <c r="K613" s="302"/>
      <c r="L613" s="446" t="s">
        <v>1005</v>
      </c>
      <c r="M613" s="446"/>
    </row>
    <row r="614" spans="3:13" s="35" customFormat="1" ht="14.25" customHeight="1" x14ac:dyDescent="0.25">
      <c r="C614" s="302" t="s">
        <v>612</v>
      </c>
      <c r="D614" s="447"/>
      <c r="E614" s="448" t="s">
        <v>192</v>
      </c>
      <c r="F614" s="449"/>
      <c r="G614" s="302"/>
      <c r="H614" s="302"/>
      <c r="I614" s="302"/>
      <c r="J614" s="302"/>
      <c r="K614" s="302"/>
      <c r="L614" s="446"/>
      <c r="M614" s="446"/>
    </row>
    <row r="615" spans="3:13" s="35" customFormat="1" ht="14.25" customHeight="1" x14ac:dyDescent="0.25">
      <c r="C615" s="302" t="s">
        <v>613</v>
      </c>
      <c r="D615" s="447"/>
      <c r="E615" s="448" t="s">
        <v>192</v>
      </c>
      <c r="F615" s="449"/>
      <c r="G615" s="302"/>
      <c r="H615" s="302"/>
      <c r="I615" s="302"/>
      <c r="J615" s="302"/>
      <c r="K615" s="302"/>
      <c r="L615" s="446"/>
      <c r="M615" s="446"/>
    </row>
    <row r="616" spans="3:13" s="35" customFormat="1" ht="14.25" customHeight="1" x14ac:dyDescent="0.25">
      <c r="C616" s="302" t="s">
        <v>614</v>
      </c>
      <c r="D616" s="447"/>
      <c r="E616" s="448" t="s">
        <v>192</v>
      </c>
      <c r="F616" s="449"/>
      <c r="G616" s="302"/>
      <c r="H616" s="302"/>
      <c r="I616" s="302"/>
      <c r="J616" s="302"/>
      <c r="K616" s="302"/>
      <c r="L616" s="446"/>
      <c r="M616" s="446"/>
    </row>
    <row r="617" spans="3:13" s="35" customFormat="1" ht="14.25" customHeight="1" x14ac:dyDescent="0.25">
      <c r="C617" s="302" t="s">
        <v>615</v>
      </c>
      <c r="D617" s="447"/>
      <c r="E617" s="448" t="s">
        <v>192</v>
      </c>
      <c r="F617" s="449"/>
      <c r="G617" s="302"/>
      <c r="H617" s="302"/>
      <c r="I617" s="302"/>
      <c r="J617" s="302"/>
      <c r="K617" s="302"/>
      <c r="L617" s="446"/>
      <c r="M617" s="446"/>
    </row>
    <row r="618" spans="3:13" s="35" customFormat="1" ht="14.25" customHeight="1" x14ac:dyDescent="0.25">
      <c r="C618" s="302" t="s">
        <v>616</v>
      </c>
      <c r="D618" s="447"/>
      <c r="E618" s="448" t="s">
        <v>192</v>
      </c>
      <c r="F618" s="449"/>
      <c r="G618" s="302" t="str">
        <f>Inventory!$C$98</f>
        <v>-3048-b</v>
      </c>
      <c r="H618" s="302"/>
      <c r="I618" s="302"/>
      <c r="J618" s="302"/>
      <c r="K618" s="302"/>
      <c r="L618" s="302" t="s">
        <v>616</v>
      </c>
      <c r="M618" s="302"/>
    </row>
    <row r="619" spans="3:13" s="35" customFormat="1" ht="14.25" customHeight="1" x14ac:dyDescent="0.25">
      <c r="C619" s="302" t="s">
        <v>617</v>
      </c>
      <c r="D619" s="447"/>
      <c r="E619" s="448" t="s">
        <v>192</v>
      </c>
      <c r="F619" s="449"/>
      <c r="G619" s="302" t="str">
        <f>Inventory!$C$98</f>
        <v>-3048-b</v>
      </c>
      <c r="H619" s="302"/>
      <c r="I619" s="302"/>
      <c r="J619" s="302"/>
      <c r="K619" s="302"/>
      <c r="L619" s="302" t="s">
        <v>617</v>
      </c>
      <c r="M619" s="302"/>
    </row>
    <row r="620" spans="3:13" s="35" customFormat="1" ht="14.25" customHeight="1" x14ac:dyDescent="0.25">
      <c r="C620" s="302" t="s">
        <v>618</v>
      </c>
      <c r="D620" s="447"/>
      <c r="E620" s="448" t="s">
        <v>192</v>
      </c>
      <c r="F620" s="449"/>
      <c r="G620" s="302"/>
      <c r="H620" s="302"/>
      <c r="I620" s="302"/>
      <c r="J620" s="302"/>
      <c r="K620" s="302"/>
      <c r="L620" s="446"/>
      <c r="M620" s="446"/>
    </row>
    <row r="621" spans="3:13" s="35" customFormat="1" ht="14.25" customHeight="1" x14ac:dyDescent="0.25">
      <c r="C621" s="302" t="s">
        <v>619</v>
      </c>
      <c r="D621" s="447"/>
      <c r="E621" s="448" t="s">
        <v>192</v>
      </c>
      <c r="F621" s="449"/>
      <c r="G621" s="288"/>
      <c r="H621" s="289"/>
      <c r="I621" s="289"/>
      <c r="J621" s="289"/>
      <c r="K621" s="290"/>
      <c r="L621" s="446"/>
      <c r="M621" s="446"/>
    </row>
    <row r="622" spans="3:13" s="35" customFormat="1" ht="14.25" customHeight="1" x14ac:dyDescent="0.25">
      <c r="C622" s="302" t="s">
        <v>620</v>
      </c>
      <c r="D622" s="447"/>
      <c r="E622" s="448" t="s">
        <v>192</v>
      </c>
      <c r="F622" s="449"/>
      <c r="G622" s="302"/>
      <c r="H622" s="302"/>
      <c r="I622" s="302"/>
      <c r="J622" s="302"/>
      <c r="K622" s="302"/>
      <c r="L622" s="446"/>
      <c r="M622" s="446"/>
    </row>
    <row r="623" spans="3:13" s="35" customFormat="1" ht="14.25" customHeight="1" x14ac:dyDescent="0.25">
      <c r="C623" s="302" t="s">
        <v>621</v>
      </c>
      <c r="D623" s="447"/>
      <c r="E623" s="448" t="s">
        <v>192</v>
      </c>
      <c r="F623" s="449"/>
      <c r="G623" s="302"/>
      <c r="H623" s="302"/>
      <c r="I623" s="302"/>
      <c r="J623" s="302"/>
      <c r="K623" s="302"/>
      <c r="L623" s="446"/>
      <c r="M623" s="446"/>
    </row>
    <row r="624" spans="3:13" s="35" customFormat="1" ht="14.25" customHeight="1" x14ac:dyDescent="0.25">
      <c r="C624" s="302" t="s">
        <v>622</v>
      </c>
      <c r="D624" s="447"/>
      <c r="E624" s="448" t="s">
        <v>192</v>
      </c>
      <c r="F624" s="449"/>
      <c r="G624" s="302"/>
      <c r="H624" s="302"/>
      <c r="I624" s="302"/>
      <c r="J624" s="302"/>
      <c r="K624" s="302"/>
      <c r="L624" s="446"/>
      <c r="M624" s="446"/>
    </row>
    <row r="625" spans="3:13" s="35" customFormat="1" ht="14.25" customHeight="1" x14ac:dyDescent="0.25">
      <c r="C625" s="302" t="s">
        <v>623</v>
      </c>
      <c r="D625" s="447"/>
      <c r="E625" s="448" t="s">
        <v>192</v>
      </c>
      <c r="F625" s="449"/>
      <c r="G625" s="302"/>
      <c r="H625" s="302"/>
      <c r="I625" s="302"/>
      <c r="J625" s="302"/>
      <c r="K625" s="302"/>
      <c r="L625" s="446"/>
      <c r="M625" s="446"/>
    </row>
    <row r="626" spans="3:13" s="35" customFormat="1" ht="14.25" customHeight="1" x14ac:dyDescent="0.25">
      <c r="C626" s="302" t="s">
        <v>624</v>
      </c>
      <c r="D626" s="447"/>
      <c r="E626" s="448" t="s">
        <v>192</v>
      </c>
      <c r="F626" s="449"/>
      <c r="G626" s="302"/>
      <c r="H626" s="302"/>
      <c r="I626" s="302"/>
      <c r="J626" s="302"/>
      <c r="K626" s="302"/>
      <c r="L626" s="446"/>
      <c r="M626" s="446"/>
    </row>
    <row r="627" spans="3:13" s="35" customFormat="1" ht="14.25" customHeight="1" x14ac:dyDescent="0.25">
      <c r="C627" s="302" t="s">
        <v>625</v>
      </c>
      <c r="D627" s="447"/>
      <c r="E627" s="448" t="s">
        <v>192</v>
      </c>
      <c r="F627" s="449"/>
      <c r="G627" s="302"/>
      <c r="H627" s="302"/>
      <c r="I627" s="302"/>
      <c r="J627" s="302"/>
      <c r="K627" s="302"/>
      <c r="L627" s="446"/>
      <c r="M627" s="446"/>
    </row>
    <row r="628" spans="3:13" s="35" customFormat="1" ht="14.25" customHeight="1" x14ac:dyDescent="0.25">
      <c r="C628" s="302" t="s">
        <v>626</v>
      </c>
      <c r="D628" s="447"/>
      <c r="E628" s="448" t="s">
        <v>192</v>
      </c>
      <c r="F628" s="449"/>
      <c r="G628" s="302"/>
      <c r="H628" s="302"/>
      <c r="I628" s="302"/>
      <c r="J628" s="302"/>
      <c r="K628" s="302"/>
      <c r="L628" s="446"/>
      <c r="M628" s="446"/>
    </row>
    <row r="629" spans="3:13" s="35" customFormat="1" ht="14.25" customHeight="1" x14ac:dyDescent="0.25">
      <c r="C629" s="302" t="s">
        <v>627</v>
      </c>
      <c r="D629" s="447"/>
      <c r="E629" s="448" t="s">
        <v>192</v>
      </c>
      <c r="F629" s="449"/>
      <c r="G629" s="302"/>
      <c r="H629" s="302"/>
      <c r="I629" s="302"/>
      <c r="J629" s="302"/>
      <c r="K629" s="302"/>
      <c r="L629" s="446"/>
      <c r="M629" s="446"/>
    </row>
    <row r="630" spans="3:13" s="35" customFormat="1" ht="14.25" customHeight="1" x14ac:dyDescent="0.25">
      <c r="C630" s="302" t="s">
        <v>628</v>
      </c>
      <c r="D630" s="447"/>
      <c r="E630" s="448" t="s">
        <v>192</v>
      </c>
      <c r="F630" s="449"/>
      <c r="G630" s="302"/>
      <c r="H630" s="302"/>
      <c r="I630" s="302"/>
      <c r="J630" s="302"/>
      <c r="K630" s="302"/>
      <c r="L630" s="446"/>
      <c r="M630" s="446"/>
    </row>
    <row r="631" spans="3:13" s="35" customFormat="1" ht="14.25" customHeight="1" x14ac:dyDescent="0.25">
      <c r="C631" s="302" t="s">
        <v>629</v>
      </c>
      <c r="D631" s="447"/>
      <c r="E631" s="448" t="s">
        <v>192</v>
      </c>
      <c r="F631" s="449"/>
      <c r="G631" s="302"/>
      <c r="H631" s="302"/>
      <c r="I631" s="302"/>
      <c r="J631" s="302"/>
      <c r="K631" s="302"/>
      <c r="L631" s="446"/>
      <c r="M631" s="446"/>
    </row>
    <row r="632" spans="3:13" s="35" customFormat="1" ht="14.25" customHeight="1" x14ac:dyDescent="0.25">
      <c r="C632" s="302" t="s">
        <v>630</v>
      </c>
      <c r="D632" s="447"/>
      <c r="E632" s="448" t="s">
        <v>190</v>
      </c>
      <c r="F632" s="449"/>
      <c r="G632" s="302"/>
      <c r="H632" s="302"/>
      <c r="I632" s="302"/>
      <c r="J632" s="302"/>
      <c r="K632" s="302"/>
      <c r="L632" s="446"/>
      <c r="M632" s="446"/>
    </row>
    <row r="633" spans="3:13" s="35" customFormat="1" ht="14.25" customHeight="1" x14ac:dyDescent="0.25">
      <c r="C633" s="302" t="s">
        <v>631</v>
      </c>
      <c r="D633" s="447"/>
      <c r="E633" s="448" t="s">
        <v>192</v>
      </c>
      <c r="F633" s="449"/>
      <c r="G633" s="302"/>
      <c r="H633" s="302"/>
      <c r="I633" s="302"/>
      <c r="J633" s="302"/>
      <c r="K633" s="302"/>
      <c r="L633" s="446"/>
      <c r="M633" s="446"/>
    </row>
    <row r="634" spans="3:13" s="35" customFormat="1" ht="14.25" customHeight="1" x14ac:dyDescent="0.25">
      <c r="C634" s="302" t="s">
        <v>632</v>
      </c>
      <c r="D634" s="447"/>
      <c r="E634" s="448" t="s">
        <v>192</v>
      </c>
      <c r="F634" s="449"/>
      <c r="G634" s="302"/>
      <c r="H634" s="302"/>
      <c r="I634" s="302"/>
      <c r="J634" s="302"/>
      <c r="K634" s="302"/>
      <c r="L634" s="446"/>
      <c r="M634" s="446"/>
    </row>
    <row r="635" spans="3:13" s="35" customFormat="1" ht="14.25" customHeight="1" x14ac:dyDescent="0.25">
      <c r="C635" s="302" t="s">
        <v>633</v>
      </c>
      <c r="D635" s="447"/>
      <c r="E635" s="448" t="s">
        <v>192</v>
      </c>
      <c r="F635" s="290"/>
      <c r="G635" s="302"/>
      <c r="H635" s="302"/>
      <c r="I635" s="302"/>
      <c r="J635" s="302"/>
      <c r="K635" s="302"/>
      <c r="L635" s="446"/>
      <c r="M635" s="446"/>
    </row>
    <row r="636" spans="3:13" s="35" customFormat="1" ht="14.25" customHeight="1" x14ac:dyDescent="0.25">
      <c r="C636" s="302" t="s">
        <v>634</v>
      </c>
      <c r="D636" s="447"/>
      <c r="E636" s="448" t="s">
        <v>192</v>
      </c>
      <c r="F636" s="290"/>
      <c r="G636" s="302"/>
      <c r="H636" s="302"/>
      <c r="I636" s="302"/>
      <c r="J636" s="302"/>
      <c r="K636" s="302"/>
      <c r="L636" s="446"/>
      <c r="M636" s="446"/>
    </row>
    <row r="637" spans="3:13" s="35" customFormat="1" ht="14.25" customHeight="1" x14ac:dyDescent="0.25">
      <c r="C637" s="302" t="s">
        <v>635</v>
      </c>
      <c r="D637" s="447"/>
      <c r="E637" s="448" t="s">
        <v>192</v>
      </c>
      <c r="F637" s="290"/>
      <c r="G637" s="302"/>
      <c r="H637" s="302"/>
      <c r="I637" s="302"/>
      <c r="J637" s="302"/>
      <c r="K637" s="302"/>
      <c r="L637" s="446"/>
      <c r="M637" s="446"/>
    </row>
    <row r="638" spans="3:13" s="35" customFormat="1" ht="14.25" customHeight="1" x14ac:dyDescent="0.25">
      <c r="C638" s="302" t="s">
        <v>636</v>
      </c>
      <c r="D638" s="447"/>
      <c r="E638" s="448" t="s">
        <v>192</v>
      </c>
      <c r="F638" s="290"/>
      <c r="G638" s="302"/>
      <c r="H638" s="302"/>
      <c r="I638" s="302"/>
      <c r="J638" s="302"/>
      <c r="K638" s="302"/>
      <c r="L638" s="446"/>
      <c r="M638" s="446"/>
    </row>
    <row r="639" spans="3:13" s="35" customFormat="1" ht="14.25" customHeight="1" x14ac:dyDescent="0.25">
      <c r="C639" s="302" t="s">
        <v>998</v>
      </c>
      <c r="D639" s="447"/>
      <c r="E639" s="448" t="s">
        <v>192</v>
      </c>
      <c r="F639" s="290"/>
      <c r="G639" s="302"/>
      <c r="H639" s="302"/>
      <c r="I639" s="302"/>
      <c r="J639" s="302"/>
      <c r="K639" s="302"/>
      <c r="L639" s="446"/>
      <c r="M639" s="446"/>
    </row>
    <row r="640" spans="3:13" s="35" customFormat="1" ht="14.25" customHeight="1" x14ac:dyDescent="0.25">
      <c r="C640" s="302" t="s">
        <v>999</v>
      </c>
      <c r="D640" s="447"/>
      <c r="E640" s="448" t="s">
        <v>192</v>
      </c>
      <c r="F640" s="290"/>
      <c r="G640" s="302" t="s">
        <v>1007</v>
      </c>
      <c r="H640" s="302"/>
      <c r="I640" s="302"/>
      <c r="J640" s="302"/>
      <c r="K640" s="302"/>
      <c r="L640" s="446"/>
      <c r="M640" s="446"/>
    </row>
    <row r="641" spans="3:13" s="35" customFormat="1" ht="14.25" customHeight="1" x14ac:dyDescent="0.25">
      <c r="C641" s="302" t="s">
        <v>1000</v>
      </c>
      <c r="D641" s="447"/>
      <c r="E641" s="448" t="s">
        <v>192</v>
      </c>
      <c r="F641" s="290"/>
      <c r="G641" s="302" t="s">
        <v>1007</v>
      </c>
      <c r="H641" s="302"/>
      <c r="I641" s="302"/>
      <c r="J641" s="302"/>
      <c r="K641" s="302"/>
      <c r="L641" s="446"/>
      <c r="M641" s="446"/>
    </row>
    <row r="642" spans="3:13" s="35" customFormat="1" ht="14.25" customHeight="1" x14ac:dyDescent="0.25">
      <c r="C642" s="302" t="s">
        <v>1001</v>
      </c>
      <c r="D642" s="447"/>
      <c r="E642" s="448" t="s">
        <v>192</v>
      </c>
      <c r="F642" s="290"/>
      <c r="G642" s="302"/>
      <c r="H642" s="302"/>
      <c r="I642" s="302"/>
      <c r="J642" s="302"/>
      <c r="K642" s="302"/>
      <c r="L642" s="446"/>
      <c r="M642" s="446"/>
    </row>
    <row r="643" spans="3:13" s="35" customFormat="1" ht="14.25" customHeight="1" x14ac:dyDescent="0.25">
      <c r="C643" s="302" t="s">
        <v>1002</v>
      </c>
      <c r="D643" s="447"/>
      <c r="E643" s="448" t="s">
        <v>192</v>
      </c>
      <c r="F643" s="290"/>
      <c r="G643" s="302"/>
      <c r="H643" s="302"/>
      <c r="I643" s="302"/>
      <c r="J643" s="302"/>
      <c r="K643" s="302"/>
      <c r="L643" s="446"/>
      <c r="M643" s="446"/>
    </row>
    <row r="644" spans="3:13" s="35" customFormat="1" ht="14.25" customHeight="1" x14ac:dyDescent="0.25">
      <c r="C644" s="302" t="s">
        <v>1003</v>
      </c>
      <c r="D644" s="447"/>
      <c r="E644" s="448" t="s">
        <v>192</v>
      </c>
      <c r="F644" s="290"/>
      <c r="G644" s="302"/>
      <c r="H644" s="302"/>
      <c r="I644" s="302"/>
      <c r="J644" s="302"/>
      <c r="K644" s="302"/>
      <c r="L644" s="446"/>
      <c r="M644" s="446"/>
    </row>
    <row r="645" spans="3:13" s="35" customFormat="1" ht="14.25" customHeight="1" x14ac:dyDescent="0.25">
      <c r="C645" s="302" t="s">
        <v>1004</v>
      </c>
      <c r="D645" s="447"/>
      <c r="E645" s="448" t="s">
        <v>192</v>
      </c>
      <c r="F645" s="290"/>
      <c r="G645" s="302"/>
      <c r="H645" s="302"/>
      <c r="I645" s="302"/>
      <c r="J645" s="302"/>
      <c r="K645" s="302"/>
      <c r="L645" s="446"/>
      <c r="M645" s="446"/>
    </row>
    <row r="646" spans="3:13" s="35" customFormat="1" ht="14.25" customHeight="1" x14ac:dyDescent="0.25">
      <c r="M646" s="36" t="s">
        <v>511</v>
      </c>
    </row>
    <row r="647" spans="3:13" s="35" customFormat="1" ht="14.25" customHeight="1" x14ac:dyDescent="0.25">
      <c r="C647" s="4" t="str">
        <f>IF(Inventory!C98&lt;&gt;0,Inventory!C98,"")</f>
        <v>-3048-b</v>
      </c>
    </row>
    <row r="648" spans="3:13" s="35" customFormat="1" ht="14.25" customHeight="1" thickBot="1" x14ac:dyDescent="0.3">
      <c r="C648" s="311" t="s">
        <v>186</v>
      </c>
      <c r="D648" s="450"/>
      <c r="E648" s="313" t="s">
        <v>187</v>
      </c>
      <c r="F648" s="311"/>
      <c r="G648" s="311" t="s">
        <v>188</v>
      </c>
      <c r="H648" s="311"/>
      <c r="I648" s="311"/>
      <c r="J648" s="311"/>
      <c r="K648" s="311"/>
      <c r="L648" s="311" t="s">
        <v>189</v>
      </c>
      <c r="M648" s="311"/>
    </row>
    <row r="649" spans="3:13" s="35" customFormat="1" ht="14.25" customHeight="1" x14ac:dyDescent="0.25">
      <c r="C649" s="302" t="s">
        <v>510</v>
      </c>
      <c r="D649" s="447"/>
      <c r="E649" s="448" t="s">
        <v>192</v>
      </c>
      <c r="F649" s="449"/>
      <c r="G649" s="302" t="s">
        <v>512</v>
      </c>
      <c r="H649" s="302"/>
      <c r="I649" s="302"/>
      <c r="J649" s="302"/>
      <c r="K649" s="302"/>
      <c r="L649" s="302"/>
      <c r="M649" s="302"/>
    </row>
    <row r="650" spans="3:13" s="35" customFormat="1" ht="14.25" customHeight="1" x14ac:dyDescent="0.25">
      <c r="C650" s="302" t="s">
        <v>193</v>
      </c>
      <c r="D650" s="447"/>
      <c r="E650" s="448" t="s">
        <v>192</v>
      </c>
      <c r="F650" s="449"/>
      <c r="G650" s="302" t="str">
        <f>$C$13</f>
        <v>shpsan-01</v>
      </c>
      <c r="H650" s="302"/>
      <c r="I650" s="302"/>
      <c r="J650" s="302"/>
      <c r="K650" s="302"/>
      <c r="L650" s="302" t="s">
        <v>486</v>
      </c>
      <c r="M650" s="302"/>
    </row>
    <row r="651" spans="3:13" s="35" customFormat="1" ht="14.25" customHeight="1" x14ac:dyDescent="0.25">
      <c r="C651" s="302" t="s">
        <v>194</v>
      </c>
      <c r="D651" s="447"/>
      <c r="E651" s="448" t="s">
        <v>192</v>
      </c>
      <c r="F651" s="449"/>
      <c r="G651" s="302" t="str">
        <f>$C$33</f>
        <v>shpsan-02</v>
      </c>
      <c r="H651" s="302"/>
      <c r="I651" s="302"/>
      <c r="J651" s="302"/>
      <c r="K651" s="302"/>
      <c r="L651" s="302" t="s">
        <v>486</v>
      </c>
      <c r="M651" s="302"/>
    </row>
    <row r="652" spans="3:13" s="35" customFormat="1" ht="14.25" customHeight="1" x14ac:dyDescent="0.25">
      <c r="C652" s="302" t="s">
        <v>206</v>
      </c>
      <c r="D652" s="447"/>
      <c r="E652" s="448" t="s">
        <v>192</v>
      </c>
      <c r="F652" s="449"/>
      <c r="G652" s="302" t="str">
        <f>$C$13</f>
        <v>shpsan-01</v>
      </c>
      <c r="H652" s="302"/>
      <c r="I652" s="302"/>
      <c r="J652" s="302"/>
      <c r="K652" s="302"/>
      <c r="L652" s="302" t="s">
        <v>637</v>
      </c>
      <c r="M652" s="302"/>
    </row>
    <row r="653" spans="3:13" s="35" customFormat="1" ht="14.25" customHeight="1" x14ac:dyDescent="0.25">
      <c r="C653" s="302" t="s">
        <v>207</v>
      </c>
      <c r="D653" s="447"/>
      <c r="E653" s="448" t="s">
        <v>192</v>
      </c>
      <c r="F653" s="449"/>
      <c r="G653" s="302" t="str">
        <f>$C$33</f>
        <v>shpsan-02</v>
      </c>
      <c r="H653" s="302"/>
      <c r="I653" s="302"/>
      <c r="J653" s="302"/>
      <c r="K653" s="302"/>
      <c r="L653" s="302" t="s">
        <v>637</v>
      </c>
      <c r="M653" s="302"/>
    </row>
    <row r="654" spans="3:13" s="35" customFormat="1" ht="14.25" customHeight="1" x14ac:dyDescent="0.25">
      <c r="C654" s="302" t="s">
        <v>514</v>
      </c>
      <c r="D654" s="447"/>
      <c r="E654" s="448" t="s">
        <v>192</v>
      </c>
      <c r="F654" s="449"/>
      <c r="G654" s="302"/>
      <c r="H654" s="302"/>
      <c r="I654" s="302"/>
      <c r="J654" s="302"/>
      <c r="K654" s="302"/>
      <c r="L654" s="446"/>
      <c r="M654" s="446"/>
    </row>
    <row r="655" spans="3:13" s="35" customFormat="1" ht="14.25" customHeight="1" x14ac:dyDescent="0.25">
      <c r="C655" s="302" t="s">
        <v>515</v>
      </c>
      <c r="D655" s="447"/>
      <c r="E655" s="448" t="s">
        <v>192</v>
      </c>
      <c r="F655" s="449"/>
      <c r="G655" s="302"/>
      <c r="H655" s="302"/>
      <c r="I655" s="302"/>
      <c r="J655" s="302"/>
      <c r="K655" s="302"/>
      <c r="L655" s="446"/>
      <c r="M655" s="446"/>
    </row>
    <row r="656" spans="3:13" s="35" customFormat="1" ht="14.25" customHeight="1" x14ac:dyDescent="0.25">
      <c r="C656" s="302" t="s">
        <v>516</v>
      </c>
      <c r="D656" s="447"/>
      <c r="E656" s="448" t="s">
        <v>192</v>
      </c>
      <c r="F656" s="449"/>
      <c r="G656" s="302"/>
      <c r="H656" s="302"/>
      <c r="I656" s="302"/>
      <c r="J656" s="302"/>
      <c r="K656" s="302"/>
      <c r="L656" s="446"/>
      <c r="M656" s="446"/>
    </row>
    <row r="657" spans="3:13" s="35" customFormat="1" ht="14.25" customHeight="1" x14ac:dyDescent="0.25">
      <c r="C657" s="302" t="s">
        <v>517</v>
      </c>
      <c r="D657" s="447"/>
      <c r="E657" s="448" t="s">
        <v>192</v>
      </c>
      <c r="F657" s="449"/>
      <c r="G657" s="302"/>
      <c r="H657" s="302"/>
      <c r="I657" s="302"/>
      <c r="J657" s="302"/>
      <c r="K657" s="302"/>
      <c r="L657" s="446"/>
      <c r="M657" s="446"/>
    </row>
    <row r="658" spans="3:13" s="35" customFormat="1" ht="14.25" customHeight="1" x14ac:dyDescent="0.25">
      <c r="C658" s="302" t="s">
        <v>518</v>
      </c>
      <c r="D658" s="447"/>
      <c r="E658" s="448" t="s">
        <v>192</v>
      </c>
      <c r="F658" s="449"/>
      <c r="G658" s="302"/>
      <c r="H658" s="302"/>
      <c r="I658" s="302"/>
      <c r="J658" s="302"/>
      <c r="K658" s="302"/>
      <c r="L658" s="446"/>
      <c r="M658" s="446"/>
    </row>
    <row r="659" spans="3:13" s="35" customFormat="1" ht="14.25" customHeight="1" x14ac:dyDescent="0.25">
      <c r="C659" s="302" t="s">
        <v>519</v>
      </c>
      <c r="D659" s="447"/>
      <c r="E659" s="448" t="s">
        <v>192</v>
      </c>
      <c r="F659" s="449"/>
      <c r="G659" s="302"/>
      <c r="H659" s="302"/>
      <c r="I659" s="302"/>
      <c r="J659" s="302"/>
      <c r="K659" s="302"/>
      <c r="L659" s="446"/>
      <c r="M659" s="446"/>
    </row>
    <row r="660" spans="3:13" s="35" customFormat="1" ht="14.25" customHeight="1" x14ac:dyDescent="0.25">
      <c r="C660" s="302" t="s">
        <v>520</v>
      </c>
      <c r="D660" s="447"/>
      <c r="E660" s="448" t="s">
        <v>192</v>
      </c>
      <c r="F660" s="449"/>
      <c r="G660" s="302"/>
      <c r="H660" s="302"/>
      <c r="I660" s="302"/>
      <c r="J660" s="302"/>
      <c r="K660" s="302"/>
      <c r="L660" s="446"/>
      <c r="M660" s="446"/>
    </row>
    <row r="661" spans="3:13" s="35" customFormat="1" ht="14.25" customHeight="1" x14ac:dyDescent="0.25">
      <c r="C661" s="302" t="s">
        <v>521</v>
      </c>
      <c r="D661" s="447"/>
      <c r="E661" s="448" t="s">
        <v>192</v>
      </c>
      <c r="F661" s="449"/>
      <c r="G661" s="302"/>
      <c r="H661" s="302"/>
      <c r="I661" s="302"/>
      <c r="J661" s="302"/>
      <c r="K661" s="302"/>
      <c r="L661" s="446"/>
      <c r="M661" s="446"/>
    </row>
    <row r="662" spans="3:13" s="35" customFormat="1" ht="14.25" customHeight="1" x14ac:dyDescent="0.25">
      <c r="C662" s="302" t="s">
        <v>195</v>
      </c>
      <c r="D662" s="447"/>
      <c r="E662" s="448" t="s">
        <v>192</v>
      </c>
      <c r="F662" s="449"/>
      <c r="G662" s="302">
        <f>VMware!$C$43</f>
        <v>0</v>
      </c>
      <c r="H662" s="302"/>
      <c r="I662" s="302"/>
      <c r="J662" s="302"/>
      <c r="K662" s="302"/>
      <c r="L662" s="446" t="s">
        <v>1006</v>
      </c>
      <c r="M662" s="446"/>
    </row>
    <row r="663" spans="3:13" s="35" customFormat="1" ht="14.25" customHeight="1" x14ac:dyDescent="0.25">
      <c r="C663" s="302" t="s">
        <v>196</v>
      </c>
      <c r="D663" s="447"/>
      <c r="E663" s="448" t="s">
        <v>192</v>
      </c>
      <c r="F663" s="449"/>
      <c r="G663" s="302">
        <f>VMware!$C$43</f>
        <v>0</v>
      </c>
      <c r="H663" s="302"/>
      <c r="I663" s="302"/>
      <c r="J663" s="302"/>
      <c r="K663" s="302"/>
      <c r="L663" s="446" t="s">
        <v>1006</v>
      </c>
      <c r="M663" s="446"/>
    </row>
    <row r="664" spans="3:13" s="35" customFormat="1" ht="14.25" customHeight="1" x14ac:dyDescent="0.25">
      <c r="C664" s="302" t="s">
        <v>197</v>
      </c>
      <c r="D664" s="447"/>
      <c r="E664" s="448" t="s">
        <v>192</v>
      </c>
      <c r="F664" s="449"/>
      <c r="G664" s="302">
        <f>VMware!$C$44</f>
        <v>0</v>
      </c>
      <c r="H664" s="302"/>
      <c r="I664" s="302"/>
      <c r="J664" s="302"/>
      <c r="K664" s="302"/>
      <c r="L664" s="446" t="s">
        <v>1006</v>
      </c>
      <c r="M664" s="446"/>
    </row>
    <row r="665" spans="3:13" s="35" customFormat="1" ht="14.25" customHeight="1" x14ac:dyDescent="0.25">
      <c r="C665" s="302" t="s">
        <v>198</v>
      </c>
      <c r="D665" s="447"/>
      <c r="E665" s="448" t="s">
        <v>192</v>
      </c>
      <c r="F665" s="449"/>
      <c r="G665" s="302">
        <f>VMware!$C$44</f>
        <v>0</v>
      </c>
      <c r="H665" s="302"/>
      <c r="I665" s="302"/>
      <c r="J665" s="302"/>
      <c r="K665" s="302"/>
      <c r="L665" s="446" t="s">
        <v>1006</v>
      </c>
      <c r="M665" s="446"/>
    </row>
    <row r="666" spans="3:13" s="35" customFormat="1" ht="14.25" customHeight="1" x14ac:dyDescent="0.25">
      <c r="C666" s="302" t="s">
        <v>199</v>
      </c>
      <c r="D666" s="447"/>
      <c r="E666" s="448" t="s">
        <v>192</v>
      </c>
      <c r="F666" s="449"/>
      <c r="G666" s="302">
        <f>VMware!$C$45</f>
        <v>0</v>
      </c>
      <c r="H666" s="302"/>
      <c r="I666" s="302"/>
      <c r="J666" s="302"/>
      <c r="K666" s="302"/>
      <c r="L666" s="446" t="s">
        <v>1006</v>
      </c>
      <c r="M666" s="446"/>
    </row>
    <row r="667" spans="3:13" s="35" customFormat="1" ht="14.25" customHeight="1" x14ac:dyDescent="0.25">
      <c r="C667" s="302" t="s">
        <v>200</v>
      </c>
      <c r="D667" s="447"/>
      <c r="E667" s="448" t="s">
        <v>192</v>
      </c>
      <c r="F667" s="449"/>
      <c r="G667" s="302">
        <f>VMware!$C$45</f>
        <v>0</v>
      </c>
      <c r="H667" s="302"/>
      <c r="I667" s="302"/>
      <c r="J667" s="302"/>
      <c r="K667" s="302"/>
      <c r="L667" s="446" t="s">
        <v>1006</v>
      </c>
      <c r="M667" s="446"/>
    </row>
    <row r="668" spans="3:13" s="35" customFormat="1" ht="14.25" customHeight="1" x14ac:dyDescent="0.25">
      <c r="C668" s="302" t="s">
        <v>522</v>
      </c>
      <c r="D668" s="447"/>
      <c r="E668" s="448" t="s">
        <v>192</v>
      </c>
      <c r="F668" s="449"/>
      <c r="G668" s="302">
        <f>VMware!$C$46</f>
        <v>0</v>
      </c>
      <c r="H668" s="302"/>
      <c r="I668" s="302"/>
      <c r="J668" s="302"/>
      <c r="K668" s="302"/>
      <c r="L668" s="446" t="s">
        <v>1006</v>
      </c>
      <c r="M668" s="446"/>
    </row>
    <row r="669" spans="3:13" s="35" customFormat="1" ht="14.25" customHeight="1" x14ac:dyDescent="0.25">
      <c r="C669" s="302" t="s">
        <v>611</v>
      </c>
      <c r="D669" s="447"/>
      <c r="E669" s="448" t="s">
        <v>192</v>
      </c>
      <c r="F669" s="449"/>
      <c r="G669" s="302">
        <f>VMware!$C$46</f>
        <v>0</v>
      </c>
      <c r="H669" s="302"/>
      <c r="I669" s="302"/>
      <c r="J669" s="302"/>
      <c r="K669" s="302"/>
      <c r="L669" s="446" t="s">
        <v>1006</v>
      </c>
      <c r="M669" s="446"/>
    </row>
    <row r="670" spans="3:13" s="35" customFormat="1" ht="14.25" customHeight="1" x14ac:dyDescent="0.25">
      <c r="C670" s="302" t="s">
        <v>612</v>
      </c>
      <c r="D670" s="447"/>
      <c r="E670" s="448" t="s">
        <v>192</v>
      </c>
      <c r="F670" s="449"/>
      <c r="G670" s="302"/>
      <c r="H670" s="302"/>
      <c r="I670" s="302"/>
      <c r="J670" s="302"/>
      <c r="K670" s="302"/>
      <c r="L670" s="446"/>
      <c r="M670" s="446"/>
    </row>
    <row r="671" spans="3:13" s="35" customFormat="1" ht="14.25" customHeight="1" x14ac:dyDescent="0.25">
      <c r="C671" s="302" t="s">
        <v>613</v>
      </c>
      <c r="D671" s="447"/>
      <c r="E671" s="448" t="s">
        <v>192</v>
      </c>
      <c r="F671" s="449"/>
      <c r="G671" s="302"/>
      <c r="H671" s="302"/>
      <c r="I671" s="302"/>
      <c r="J671" s="302"/>
      <c r="K671" s="302"/>
      <c r="L671" s="446"/>
      <c r="M671" s="446"/>
    </row>
    <row r="672" spans="3:13" s="35" customFormat="1" ht="14.25" customHeight="1" x14ac:dyDescent="0.25">
      <c r="C672" s="302" t="s">
        <v>614</v>
      </c>
      <c r="D672" s="447"/>
      <c r="E672" s="448" t="s">
        <v>192</v>
      </c>
      <c r="F672" s="449"/>
      <c r="G672" s="302"/>
      <c r="H672" s="302"/>
      <c r="I672" s="302"/>
      <c r="J672" s="302"/>
      <c r="K672" s="302"/>
      <c r="L672" s="446"/>
      <c r="M672" s="446"/>
    </row>
    <row r="673" spans="3:13" s="35" customFormat="1" ht="14.25" customHeight="1" x14ac:dyDescent="0.25">
      <c r="C673" s="302" t="s">
        <v>615</v>
      </c>
      <c r="D673" s="447"/>
      <c r="E673" s="448" t="s">
        <v>192</v>
      </c>
      <c r="F673" s="449"/>
      <c r="G673" s="302"/>
      <c r="H673" s="302"/>
      <c r="I673" s="302"/>
      <c r="J673" s="302"/>
      <c r="K673" s="302"/>
      <c r="L673" s="446"/>
      <c r="M673" s="446"/>
    </row>
    <row r="674" spans="3:13" s="35" customFormat="1" ht="14.25" customHeight="1" x14ac:dyDescent="0.25">
      <c r="C674" s="302" t="s">
        <v>616</v>
      </c>
      <c r="D674" s="447"/>
      <c r="E674" s="448" t="s">
        <v>192</v>
      </c>
      <c r="F674" s="449"/>
      <c r="G674" s="302" t="str">
        <f>Inventory!$C$97</f>
        <v>-3048-a</v>
      </c>
      <c r="H674" s="302"/>
      <c r="I674" s="302"/>
      <c r="J674" s="302"/>
      <c r="K674" s="302"/>
      <c r="L674" s="302" t="s">
        <v>616</v>
      </c>
      <c r="M674" s="302"/>
    </row>
    <row r="675" spans="3:13" s="35" customFormat="1" ht="14.25" customHeight="1" x14ac:dyDescent="0.25">
      <c r="C675" s="302" t="s">
        <v>617</v>
      </c>
      <c r="D675" s="447"/>
      <c r="E675" s="448" t="s">
        <v>192</v>
      </c>
      <c r="F675" s="449"/>
      <c r="G675" s="302" t="str">
        <f>Inventory!$C$97</f>
        <v>-3048-a</v>
      </c>
      <c r="H675" s="302"/>
      <c r="I675" s="302"/>
      <c r="J675" s="302"/>
      <c r="K675" s="302"/>
      <c r="L675" s="302" t="s">
        <v>617</v>
      </c>
      <c r="M675" s="302"/>
    </row>
    <row r="676" spans="3:13" s="35" customFormat="1" ht="14.25" customHeight="1" x14ac:dyDescent="0.25">
      <c r="C676" s="302" t="s">
        <v>618</v>
      </c>
      <c r="D676" s="447"/>
      <c r="E676" s="448" t="s">
        <v>192</v>
      </c>
      <c r="F676" s="449"/>
      <c r="G676" s="302"/>
      <c r="H676" s="302"/>
      <c r="I676" s="302"/>
      <c r="J676" s="302"/>
      <c r="K676" s="302"/>
      <c r="L676" s="446"/>
      <c r="M676" s="446"/>
    </row>
    <row r="677" spans="3:13" s="35" customFormat="1" ht="14.25" customHeight="1" x14ac:dyDescent="0.25">
      <c r="C677" s="302" t="s">
        <v>619</v>
      </c>
      <c r="D677" s="447"/>
      <c r="E677" s="448" t="s">
        <v>192</v>
      </c>
      <c r="F677" s="449"/>
      <c r="G677" s="288"/>
      <c r="H677" s="289"/>
      <c r="I677" s="289"/>
      <c r="J677" s="289"/>
      <c r="K677" s="290"/>
      <c r="L677" s="446"/>
      <c r="M677" s="446"/>
    </row>
    <row r="678" spans="3:13" s="35" customFormat="1" ht="14.25" customHeight="1" x14ac:dyDescent="0.25">
      <c r="C678" s="302" t="s">
        <v>620</v>
      </c>
      <c r="D678" s="447"/>
      <c r="E678" s="448" t="s">
        <v>192</v>
      </c>
      <c r="F678" s="449"/>
      <c r="G678" s="302"/>
      <c r="H678" s="302"/>
      <c r="I678" s="302"/>
      <c r="J678" s="302"/>
      <c r="K678" s="302"/>
      <c r="L678" s="446"/>
      <c r="M678" s="446"/>
    </row>
    <row r="679" spans="3:13" s="35" customFormat="1" ht="14.25" customHeight="1" x14ac:dyDescent="0.25">
      <c r="C679" s="302" t="s">
        <v>621</v>
      </c>
      <c r="D679" s="447"/>
      <c r="E679" s="448" t="s">
        <v>192</v>
      </c>
      <c r="F679" s="449"/>
      <c r="G679" s="302"/>
      <c r="H679" s="302"/>
      <c r="I679" s="302"/>
      <c r="J679" s="302"/>
      <c r="K679" s="302"/>
      <c r="L679" s="446"/>
      <c r="M679" s="446"/>
    </row>
    <row r="680" spans="3:13" s="35" customFormat="1" ht="14.25" customHeight="1" x14ac:dyDescent="0.25">
      <c r="C680" s="302" t="s">
        <v>622</v>
      </c>
      <c r="D680" s="447"/>
      <c r="E680" s="448" t="s">
        <v>192</v>
      </c>
      <c r="F680" s="449"/>
      <c r="G680" s="302"/>
      <c r="H680" s="302"/>
      <c r="I680" s="302"/>
      <c r="J680" s="302"/>
      <c r="K680" s="302"/>
      <c r="L680" s="446"/>
      <c r="M680" s="446"/>
    </row>
    <row r="681" spans="3:13" s="35" customFormat="1" ht="14.25" customHeight="1" x14ac:dyDescent="0.25">
      <c r="C681" s="302" t="s">
        <v>623</v>
      </c>
      <c r="D681" s="447"/>
      <c r="E681" s="448" t="s">
        <v>192</v>
      </c>
      <c r="F681" s="449"/>
      <c r="G681" s="302"/>
      <c r="H681" s="302"/>
      <c r="I681" s="302"/>
      <c r="J681" s="302"/>
      <c r="K681" s="302"/>
      <c r="L681" s="446"/>
      <c r="M681" s="446"/>
    </row>
    <row r="682" spans="3:13" s="35" customFormat="1" ht="14.25" customHeight="1" x14ac:dyDescent="0.25">
      <c r="C682" s="302" t="s">
        <v>624</v>
      </c>
      <c r="D682" s="447"/>
      <c r="E682" s="448" t="s">
        <v>192</v>
      </c>
      <c r="F682" s="449"/>
      <c r="G682" s="302"/>
      <c r="H682" s="302"/>
      <c r="I682" s="302"/>
      <c r="J682" s="302"/>
      <c r="K682" s="302"/>
      <c r="L682" s="446"/>
      <c r="M682" s="446"/>
    </row>
    <row r="683" spans="3:13" s="35" customFormat="1" ht="14.25" customHeight="1" x14ac:dyDescent="0.25">
      <c r="C683" s="302" t="s">
        <v>625</v>
      </c>
      <c r="D683" s="447"/>
      <c r="E683" s="448" t="s">
        <v>192</v>
      </c>
      <c r="F683" s="449"/>
      <c r="G683" s="302"/>
      <c r="H683" s="302"/>
      <c r="I683" s="302"/>
      <c r="J683" s="302"/>
      <c r="K683" s="302"/>
      <c r="L683" s="446"/>
      <c r="M683" s="446"/>
    </row>
    <row r="684" spans="3:13" s="35" customFormat="1" ht="14.25" customHeight="1" x14ac:dyDescent="0.25">
      <c r="C684" s="302" t="s">
        <v>626</v>
      </c>
      <c r="D684" s="447"/>
      <c r="E684" s="448" t="s">
        <v>192</v>
      </c>
      <c r="F684" s="449"/>
      <c r="G684" s="302"/>
      <c r="H684" s="302"/>
      <c r="I684" s="302"/>
      <c r="J684" s="302"/>
      <c r="K684" s="302"/>
      <c r="L684" s="446"/>
      <c r="M684" s="446"/>
    </row>
    <row r="685" spans="3:13" s="35" customFormat="1" ht="14.25" customHeight="1" x14ac:dyDescent="0.25">
      <c r="C685" s="302" t="s">
        <v>627</v>
      </c>
      <c r="D685" s="447"/>
      <c r="E685" s="448" t="s">
        <v>192</v>
      </c>
      <c r="F685" s="449"/>
      <c r="G685" s="302"/>
      <c r="H685" s="302"/>
      <c r="I685" s="302"/>
      <c r="J685" s="302"/>
      <c r="K685" s="302"/>
      <c r="L685" s="446"/>
      <c r="M685" s="446"/>
    </row>
    <row r="686" spans="3:13" s="35" customFormat="1" ht="14.25" customHeight="1" x14ac:dyDescent="0.25">
      <c r="C686" s="302" t="s">
        <v>628</v>
      </c>
      <c r="D686" s="447"/>
      <c r="E686" s="448" t="s">
        <v>192</v>
      </c>
      <c r="F686" s="449"/>
      <c r="G686" s="302"/>
      <c r="H686" s="302"/>
      <c r="I686" s="302"/>
      <c r="J686" s="302"/>
      <c r="K686" s="302"/>
      <c r="L686" s="446"/>
      <c r="M686" s="446"/>
    </row>
    <row r="687" spans="3:13" s="35" customFormat="1" ht="14.25" customHeight="1" x14ac:dyDescent="0.25">
      <c r="C687" s="302" t="s">
        <v>629</v>
      </c>
      <c r="D687" s="447"/>
      <c r="E687" s="448" t="s">
        <v>192</v>
      </c>
      <c r="F687" s="449"/>
      <c r="G687" s="302"/>
      <c r="H687" s="302"/>
      <c r="I687" s="302"/>
      <c r="J687" s="302"/>
      <c r="K687" s="302"/>
      <c r="L687" s="446"/>
      <c r="M687" s="446"/>
    </row>
    <row r="688" spans="3:13" s="35" customFormat="1" ht="14.25" customHeight="1" x14ac:dyDescent="0.25">
      <c r="C688" s="302" t="s">
        <v>630</v>
      </c>
      <c r="D688" s="447"/>
      <c r="E688" s="448" t="s">
        <v>190</v>
      </c>
      <c r="F688" s="449"/>
      <c r="G688" s="302"/>
      <c r="H688" s="302"/>
      <c r="I688" s="302"/>
      <c r="J688" s="302"/>
      <c r="K688" s="302"/>
      <c r="L688" s="446"/>
      <c r="M688" s="446"/>
    </row>
    <row r="689" spans="3:18" s="35" customFormat="1" ht="14.25" customHeight="1" x14ac:dyDescent="0.25">
      <c r="C689" s="302" t="s">
        <v>631</v>
      </c>
      <c r="D689" s="447"/>
      <c r="E689" s="448" t="s">
        <v>192</v>
      </c>
      <c r="F689" s="449"/>
      <c r="G689" s="302"/>
      <c r="H689" s="302"/>
      <c r="I689" s="302"/>
      <c r="J689" s="302"/>
      <c r="K689" s="302"/>
      <c r="L689" s="446"/>
      <c r="M689" s="446"/>
    </row>
    <row r="690" spans="3:18" s="35" customFormat="1" ht="14.25" customHeight="1" x14ac:dyDescent="0.25">
      <c r="C690" s="302" t="s">
        <v>632</v>
      </c>
      <c r="D690" s="447"/>
      <c r="E690" s="448" t="s">
        <v>192</v>
      </c>
      <c r="F690" s="449"/>
      <c r="G690" s="302"/>
      <c r="H690" s="302"/>
      <c r="I690" s="302"/>
      <c r="J690" s="302"/>
      <c r="K690" s="302"/>
      <c r="L690" s="446"/>
      <c r="M690" s="446"/>
    </row>
    <row r="691" spans="3:18" s="35" customFormat="1" ht="14.25" customHeight="1" x14ac:dyDescent="0.25">
      <c r="C691" s="302" t="s">
        <v>633</v>
      </c>
      <c r="D691" s="447"/>
      <c r="E691" s="448" t="s">
        <v>192</v>
      </c>
      <c r="F691" s="290"/>
      <c r="G691" s="302"/>
      <c r="H691" s="302"/>
      <c r="I691" s="302"/>
      <c r="J691" s="302"/>
      <c r="K691" s="302"/>
      <c r="L691" s="446"/>
      <c r="M691" s="446"/>
    </row>
    <row r="692" spans="3:18" s="35" customFormat="1" ht="14.25" customHeight="1" x14ac:dyDescent="0.25">
      <c r="C692" s="302" t="s">
        <v>634</v>
      </c>
      <c r="D692" s="447"/>
      <c r="E692" s="448" t="s">
        <v>192</v>
      </c>
      <c r="F692" s="290"/>
      <c r="G692" s="302"/>
      <c r="H692" s="302"/>
      <c r="I692" s="302"/>
      <c r="J692" s="302"/>
      <c r="K692" s="302"/>
      <c r="L692" s="446"/>
      <c r="M692" s="446"/>
    </row>
    <row r="693" spans="3:18" s="35" customFormat="1" ht="14.25" customHeight="1" x14ac:dyDescent="0.25">
      <c r="C693" s="302" t="s">
        <v>635</v>
      </c>
      <c r="D693" s="447"/>
      <c r="E693" s="448" t="s">
        <v>192</v>
      </c>
      <c r="F693" s="290"/>
      <c r="G693" s="302"/>
      <c r="H693" s="302"/>
      <c r="I693" s="302"/>
      <c r="J693" s="302"/>
      <c r="K693" s="302"/>
      <c r="L693" s="446"/>
      <c r="M693" s="446"/>
    </row>
    <row r="694" spans="3:18" s="35" customFormat="1" ht="14.25" customHeight="1" x14ac:dyDescent="0.25">
      <c r="C694" s="302" t="s">
        <v>636</v>
      </c>
      <c r="D694" s="447"/>
      <c r="E694" s="448" t="s">
        <v>192</v>
      </c>
      <c r="F694" s="290"/>
      <c r="G694" s="302" t="s">
        <v>1007</v>
      </c>
      <c r="H694" s="302"/>
      <c r="I694" s="302"/>
      <c r="J694" s="302"/>
      <c r="K694" s="302"/>
      <c r="L694" s="446"/>
      <c r="M694" s="446"/>
    </row>
    <row r="695" spans="3:18" s="35" customFormat="1" ht="14.25" customHeight="1" x14ac:dyDescent="0.25">
      <c r="C695" s="302" t="s">
        <v>998</v>
      </c>
      <c r="D695" s="447"/>
      <c r="E695" s="448" t="s">
        <v>192</v>
      </c>
      <c r="F695" s="290"/>
      <c r="G695" s="302" t="s">
        <v>1007</v>
      </c>
      <c r="H695" s="302"/>
      <c r="I695" s="302"/>
      <c r="J695" s="302"/>
      <c r="K695" s="302"/>
      <c r="L695" s="446"/>
      <c r="M695" s="446"/>
    </row>
    <row r="696" spans="3:18" ht="14.25" customHeight="1" x14ac:dyDescent="0.25">
      <c r="C696" s="302" t="s">
        <v>999</v>
      </c>
      <c r="D696" s="447"/>
      <c r="E696" s="448" t="s">
        <v>192</v>
      </c>
      <c r="F696" s="290"/>
      <c r="G696" s="302"/>
      <c r="H696" s="302"/>
      <c r="I696" s="302"/>
      <c r="J696" s="302"/>
      <c r="K696" s="302"/>
      <c r="L696" s="446"/>
      <c r="M696" s="446"/>
      <c r="R696" s="34"/>
    </row>
    <row r="697" spans="3:18" ht="14.25" customHeight="1" x14ac:dyDescent="0.25">
      <c r="C697" s="302" t="s">
        <v>1000</v>
      </c>
      <c r="D697" s="447"/>
      <c r="E697" s="448" t="s">
        <v>192</v>
      </c>
      <c r="F697" s="290"/>
      <c r="G697" s="302"/>
      <c r="H697" s="302"/>
      <c r="I697" s="302"/>
      <c r="J697" s="302"/>
      <c r="K697" s="302"/>
      <c r="L697" s="446"/>
      <c r="M697" s="446"/>
      <c r="R697" s="34"/>
    </row>
    <row r="698" spans="3:18" ht="14.25" customHeight="1" x14ac:dyDescent="0.25">
      <c r="C698" s="302" t="s">
        <v>1001</v>
      </c>
      <c r="D698" s="447"/>
      <c r="E698" s="448" t="s">
        <v>192</v>
      </c>
      <c r="F698" s="290"/>
      <c r="G698" s="302"/>
      <c r="H698" s="302"/>
      <c r="I698" s="302"/>
      <c r="J698" s="302"/>
      <c r="K698" s="302"/>
      <c r="L698" s="446"/>
      <c r="M698" s="446"/>
      <c r="R698" s="34"/>
    </row>
    <row r="699" spans="3:18" ht="14.25" customHeight="1" x14ac:dyDescent="0.25">
      <c r="C699" s="302" t="s">
        <v>1002</v>
      </c>
      <c r="D699" s="447"/>
      <c r="E699" s="448" t="s">
        <v>192</v>
      </c>
      <c r="F699" s="290"/>
      <c r="G699" s="302"/>
      <c r="H699" s="302"/>
      <c r="I699" s="302"/>
      <c r="J699" s="302"/>
      <c r="K699" s="302"/>
      <c r="L699" s="446"/>
      <c r="M699" s="446"/>
      <c r="R699" s="34"/>
    </row>
    <row r="700" spans="3:18" s="35" customFormat="1" ht="14.25" customHeight="1" x14ac:dyDescent="0.25">
      <c r="C700" s="302" t="s">
        <v>1003</v>
      </c>
      <c r="D700" s="447"/>
      <c r="E700" s="448" t="s">
        <v>192</v>
      </c>
      <c r="F700" s="290"/>
      <c r="G700" s="302"/>
      <c r="H700" s="302"/>
      <c r="I700" s="302"/>
      <c r="J700" s="302"/>
      <c r="K700" s="302"/>
      <c r="L700" s="446"/>
      <c r="M700" s="446"/>
    </row>
    <row r="701" spans="3:18" ht="14.25" customHeight="1" x14ac:dyDescent="0.25">
      <c r="C701" s="302" t="s">
        <v>1003</v>
      </c>
      <c r="D701" s="447"/>
      <c r="E701" s="448" t="s">
        <v>192</v>
      </c>
      <c r="F701" s="290"/>
      <c r="G701" s="302"/>
      <c r="H701" s="302"/>
      <c r="I701" s="302"/>
      <c r="J701" s="302"/>
      <c r="K701" s="302"/>
      <c r="L701" s="446"/>
      <c r="M701" s="446"/>
      <c r="R701" s="34"/>
    </row>
    <row r="702" spans="3:18" ht="14.25" customHeight="1" x14ac:dyDescent="0.25">
      <c r="C702" s="35"/>
      <c r="D702" s="35"/>
      <c r="E702" s="35"/>
      <c r="F702" s="35"/>
      <c r="G702" s="35"/>
      <c r="H702" s="35"/>
      <c r="I702" s="35"/>
      <c r="J702" s="35"/>
      <c r="K702" s="35"/>
      <c r="L702" s="35"/>
      <c r="M702" s="36" t="s">
        <v>511</v>
      </c>
      <c r="R702" s="34"/>
    </row>
    <row r="703" spans="3:18" ht="14.25" customHeight="1" x14ac:dyDescent="0.25">
      <c r="R703" s="34"/>
    </row>
    <row r="704" spans="3:18" ht="14.25" customHeight="1" x14ac:dyDescent="0.25">
      <c r="R704" s="34"/>
    </row>
    <row r="705" spans="18:18" ht="14.25" customHeight="1" x14ac:dyDescent="0.25">
      <c r="R705" s="34"/>
    </row>
    <row r="706" spans="18:18" ht="14.25" customHeight="1" x14ac:dyDescent="0.25">
      <c r="R706" s="34"/>
    </row>
    <row r="707" spans="18:18" ht="14.25" customHeight="1" x14ac:dyDescent="0.25">
      <c r="R707" s="34"/>
    </row>
    <row r="708" spans="18:18" ht="14.25" customHeight="1" x14ac:dyDescent="0.25">
      <c r="R708" s="34"/>
    </row>
    <row r="709" spans="18:18" ht="14.25" customHeight="1" x14ac:dyDescent="0.25">
      <c r="R709" s="34"/>
    </row>
    <row r="710" spans="18:18" ht="14.25" customHeight="1" x14ac:dyDescent="0.25">
      <c r="R710" s="34"/>
    </row>
    <row r="711" spans="18:18" ht="14.25" customHeight="1" x14ac:dyDescent="0.25">
      <c r="R711" s="34"/>
    </row>
    <row r="712" spans="18:18" ht="14.25" customHeight="1" x14ac:dyDescent="0.25">
      <c r="R712" s="34"/>
    </row>
    <row r="713" spans="18:18" ht="14.25" customHeight="1" x14ac:dyDescent="0.25">
      <c r="R713" s="34"/>
    </row>
    <row r="714" spans="18:18" ht="14.25" customHeight="1" x14ac:dyDescent="0.25">
      <c r="R714" s="34"/>
    </row>
    <row r="715" spans="18:18" ht="14.25" customHeight="1" x14ac:dyDescent="0.25">
      <c r="R715" s="34"/>
    </row>
    <row r="716" spans="18:18" ht="14.25" customHeight="1" x14ac:dyDescent="0.25">
      <c r="R716" s="34"/>
    </row>
    <row r="717" spans="18:18" ht="14.25" customHeight="1" x14ac:dyDescent="0.25">
      <c r="R717" s="34"/>
    </row>
    <row r="718" spans="18:18" ht="14.25" customHeight="1" x14ac:dyDescent="0.25">
      <c r="R718" s="34"/>
    </row>
    <row r="719" spans="18:18" ht="14.25" customHeight="1" x14ac:dyDescent="0.25">
      <c r="R719" s="34"/>
    </row>
    <row r="720" spans="18:18" ht="14.25" customHeight="1" x14ac:dyDescent="0.25">
      <c r="R720" s="34"/>
    </row>
    <row r="721" spans="18:18" ht="14.25" customHeight="1" x14ac:dyDescent="0.25">
      <c r="R721" s="34"/>
    </row>
    <row r="722" spans="18:18" ht="14.25" customHeight="1" x14ac:dyDescent="0.25">
      <c r="R722" s="34"/>
    </row>
    <row r="723" spans="18:18" ht="14.25" customHeight="1" x14ac:dyDescent="0.25">
      <c r="R723" s="34"/>
    </row>
    <row r="724" spans="18:18" ht="14.25" customHeight="1" x14ac:dyDescent="0.25">
      <c r="R724" s="34"/>
    </row>
    <row r="725" spans="18:18" ht="14.25" customHeight="1" x14ac:dyDescent="0.25">
      <c r="R725" s="34"/>
    </row>
    <row r="726" spans="18:18" ht="14.25" customHeight="1" x14ac:dyDescent="0.25">
      <c r="R726" s="34"/>
    </row>
    <row r="727" spans="18:18" ht="14.25" customHeight="1" x14ac:dyDescent="0.25">
      <c r="R727" s="34"/>
    </row>
    <row r="728" spans="18:18" ht="14.25" customHeight="1" x14ac:dyDescent="0.25">
      <c r="R728" s="34"/>
    </row>
    <row r="729" spans="18:18" ht="14.25" customHeight="1" x14ac:dyDescent="0.25">
      <c r="R729" s="34"/>
    </row>
    <row r="730" spans="18:18" ht="14.25" customHeight="1" x14ac:dyDescent="0.25">
      <c r="R730" s="34"/>
    </row>
    <row r="731" spans="18:18" ht="14.25" customHeight="1" x14ac:dyDescent="0.25">
      <c r="R731" s="34"/>
    </row>
    <row r="732" spans="18:18" ht="14.25" customHeight="1" x14ac:dyDescent="0.25">
      <c r="R732" s="34"/>
    </row>
    <row r="733" spans="18:18" ht="14.25" customHeight="1" x14ac:dyDescent="0.25">
      <c r="R733" s="34"/>
    </row>
    <row r="734" spans="18:18" ht="14.25" customHeight="1" x14ac:dyDescent="0.25">
      <c r="R734" s="34"/>
    </row>
    <row r="735" spans="18:18" ht="14.25" customHeight="1" x14ac:dyDescent="0.25">
      <c r="R735" s="34"/>
    </row>
    <row r="736" spans="18:18" ht="14.25" customHeight="1" x14ac:dyDescent="0.25">
      <c r="R736" s="34"/>
    </row>
    <row r="737" spans="18:18" ht="14.25" customHeight="1" x14ac:dyDescent="0.25">
      <c r="R737" s="34"/>
    </row>
    <row r="738" spans="18:18" ht="14.25" customHeight="1" x14ac:dyDescent="0.25">
      <c r="R738" s="34"/>
    </row>
    <row r="739" spans="18:18" ht="14.25" customHeight="1" x14ac:dyDescent="0.25">
      <c r="R739" s="34"/>
    </row>
    <row r="740" spans="18:18" ht="14.25" customHeight="1" x14ac:dyDescent="0.25">
      <c r="R740" s="34"/>
    </row>
    <row r="741" spans="18:18" ht="14.25" customHeight="1" x14ac:dyDescent="0.25">
      <c r="R741" s="34"/>
    </row>
    <row r="742" spans="18:18" ht="14.25" customHeight="1" x14ac:dyDescent="0.25">
      <c r="R742" s="34"/>
    </row>
    <row r="743" spans="18:18" ht="14.25" customHeight="1" x14ac:dyDescent="0.25"/>
    <row r="744" spans="18:18" ht="14.25" customHeight="1" x14ac:dyDescent="0.25"/>
    <row r="745" spans="18:18" ht="14.25" customHeight="1" x14ac:dyDescent="0.25"/>
    <row r="746" spans="18:18" ht="14.25" customHeight="1" x14ac:dyDescent="0.25"/>
    <row r="747" spans="18:18" ht="14.25" customHeight="1" x14ac:dyDescent="0.25"/>
    <row r="748" spans="18:18" ht="14.25" customHeight="1" x14ac:dyDescent="0.25"/>
    <row r="749" spans="18:18" ht="14.25" customHeight="1" x14ac:dyDescent="0.25"/>
    <row r="750" spans="18:18" ht="14.25" customHeight="1" x14ac:dyDescent="0.25"/>
    <row r="751" spans="18:18" ht="14.25" customHeight="1" x14ac:dyDescent="0.25"/>
  </sheetData>
  <mergeCells count="2546">
    <mergeCell ref="G324:K324"/>
    <mergeCell ref="L324:M324"/>
    <mergeCell ref="C325:D325"/>
    <mergeCell ref="E325:F325"/>
    <mergeCell ref="G325:K325"/>
    <mergeCell ref="L325:M325"/>
    <mergeCell ref="C326:D326"/>
    <mergeCell ref="E326:F326"/>
    <mergeCell ref="G326:K326"/>
    <mergeCell ref="L326:M326"/>
    <mergeCell ref="G327:K327"/>
    <mergeCell ref="L327:M327"/>
    <mergeCell ref="C319:D319"/>
    <mergeCell ref="E319:F319"/>
    <mergeCell ref="G319:K319"/>
    <mergeCell ref="L319:M319"/>
    <mergeCell ref="C320:D320"/>
    <mergeCell ref="E320:F320"/>
    <mergeCell ref="G320:K320"/>
    <mergeCell ref="L320:M320"/>
    <mergeCell ref="C321:D321"/>
    <mergeCell ref="E321:F321"/>
    <mergeCell ref="G321:K321"/>
    <mergeCell ref="L321:M321"/>
    <mergeCell ref="C322:D322"/>
    <mergeCell ref="E322:F322"/>
    <mergeCell ref="G322:K322"/>
    <mergeCell ref="L322:M322"/>
    <mergeCell ref="L318:M318"/>
    <mergeCell ref="G189:K189"/>
    <mergeCell ref="L189:M189"/>
    <mergeCell ref="G310:K310"/>
    <mergeCell ref="L297:M297"/>
    <mergeCell ref="L298:M298"/>
    <mergeCell ref="L299:M299"/>
    <mergeCell ref="L300:M300"/>
    <mergeCell ref="L301:M301"/>
    <mergeCell ref="L302:M302"/>
    <mergeCell ref="L303:M303"/>
    <mergeCell ref="L304:M304"/>
    <mergeCell ref="L305:M305"/>
    <mergeCell ref="L310:M310"/>
    <mergeCell ref="G306:K306"/>
    <mergeCell ref="G323:K323"/>
    <mergeCell ref="L323:M323"/>
    <mergeCell ref="G307:K307"/>
    <mergeCell ref="G308:K308"/>
    <mergeCell ref="G309:K309"/>
    <mergeCell ref="L306:M306"/>
    <mergeCell ref="L307:M307"/>
    <mergeCell ref="L308:M308"/>
    <mergeCell ref="L309:M309"/>
    <mergeCell ref="G302:K302"/>
    <mergeCell ref="G303:K303"/>
    <mergeCell ref="G304:K304"/>
    <mergeCell ref="G305:K305"/>
    <mergeCell ref="G219:K219"/>
    <mergeCell ref="L219:M219"/>
    <mergeCell ref="G194:K194"/>
    <mergeCell ref="L194:M194"/>
    <mergeCell ref="L378:M378"/>
    <mergeCell ref="C311:D311"/>
    <mergeCell ref="E311:F311"/>
    <mergeCell ref="C312:D312"/>
    <mergeCell ref="E312:F312"/>
    <mergeCell ref="G312:K312"/>
    <mergeCell ref="L312:M312"/>
    <mergeCell ref="C313:D313"/>
    <mergeCell ref="E313:F313"/>
    <mergeCell ref="G313:K313"/>
    <mergeCell ref="L313:M313"/>
    <mergeCell ref="C314:D314"/>
    <mergeCell ref="E314:F314"/>
    <mergeCell ref="G314:K314"/>
    <mergeCell ref="L314:M314"/>
    <mergeCell ref="C315:D315"/>
    <mergeCell ref="E315:F315"/>
    <mergeCell ref="G315:K315"/>
    <mergeCell ref="L315:M315"/>
    <mergeCell ref="C316:D316"/>
    <mergeCell ref="E316:F316"/>
    <mergeCell ref="G316:K316"/>
    <mergeCell ref="L316:M316"/>
    <mergeCell ref="C317:D317"/>
    <mergeCell ref="E317:F317"/>
    <mergeCell ref="G317:K317"/>
    <mergeCell ref="L317:M317"/>
    <mergeCell ref="C373:D373"/>
    <mergeCell ref="E373:F373"/>
    <mergeCell ref="C318:D318"/>
    <mergeCell ref="E318:F318"/>
    <mergeCell ref="G318:K318"/>
    <mergeCell ref="L373:M373"/>
    <mergeCell ref="C374:D374"/>
    <mergeCell ref="E374:F374"/>
    <mergeCell ref="G374:K374"/>
    <mergeCell ref="L374:M374"/>
    <mergeCell ref="C375:D375"/>
    <mergeCell ref="E375:F375"/>
    <mergeCell ref="G375:K375"/>
    <mergeCell ref="L375:M375"/>
    <mergeCell ref="C376:D376"/>
    <mergeCell ref="E376:F376"/>
    <mergeCell ref="G376:K376"/>
    <mergeCell ref="L376:M376"/>
    <mergeCell ref="C377:D377"/>
    <mergeCell ref="E377:F377"/>
    <mergeCell ref="G377:K377"/>
    <mergeCell ref="L377:M377"/>
    <mergeCell ref="L368:M368"/>
    <mergeCell ref="C369:D369"/>
    <mergeCell ref="E369:F369"/>
    <mergeCell ref="G369:K369"/>
    <mergeCell ref="L369:M369"/>
    <mergeCell ref="C370:D370"/>
    <mergeCell ref="E370:F370"/>
    <mergeCell ref="G370:K370"/>
    <mergeCell ref="L370:M370"/>
    <mergeCell ref="C371:D371"/>
    <mergeCell ref="E371:F371"/>
    <mergeCell ref="L372:M372"/>
    <mergeCell ref="G363:K363"/>
    <mergeCell ref="L363:M363"/>
    <mergeCell ref="C364:D364"/>
    <mergeCell ref="E364:F364"/>
    <mergeCell ref="G364:K364"/>
    <mergeCell ref="L364:M364"/>
    <mergeCell ref="C365:D365"/>
    <mergeCell ref="E365:F365"/>
    <mergeCell ref="G365:K365"/>
    <mergeCell ref="L365:M365"/>
    <mergeCell ref="C366:D366"/>
    <mergeCell ref="E366:F366"/>
    <mergeCell ref="G366:K366"/>
    <mergeCell ref="L366:M366"/>
    <mergeCell ref="C367:D367"/>
    <mergeCell ref="E367:F367"/>
    <mergeCell ref="G367:K367"/>
    <mergeCell ref="L367:M367"/>
    <mergeCell ref="C582:D582"/>
    <mergeCell ref="E582:F582"/>
    <mergeCell ref="G582:K582"/>
    <mergeCell ref="L582:M582"/>
    <mergeCell ref="C583:D583"/>
    <mergeCell ref="E583:F583"/>
    <mergeCell ref="G583:K583"/>
    <mergeCell ref="L583:M583"/>
    <mergeCell ref="C584:D584"/>
    <mergeCell ref="E584:F584"/>
    <mergeCell ref="G584:K584"/>
    <mergeCell ref="L584:M584"/>
    <mergeCell ref="C585:D585"/>
    <mergeCell ref="E585:F585"/>
    <mergeCell ref="G585:K585"/>
    <mergeCell ref="L585:M585"/>
    <mergeCell ref="C577:D577"/>
    <mergeCell ref="E577:F577"/>
    <mergeCell ref="G577:K577"/>
    <mergeCell ref="L577:M577"/>
    <mergeCell ref="C578:D578"/>
    <mergeCell ref="E578:F578"/>
    <mergeCell ref="G578:K578"/>
    <mergeCell ref="L578:M578"/>
    <mergeCell ref="C579:D579"/>
    <mergeCell ref="E579:F579"/>
    <mergeCell ref="G579:K579"/>
    <mergeCell ref="L579:M579"/>
    <mergeCell ref="C580:D580"/>
    <mergeCell ref="E580:F580"/>
    <mergeCell ref="G580:K580"/>
    <mergeCell ref="L580:M580"/>
    <mergeCell ref="C581:D581"/>
    <mergeCell ref="E581:F581"/>
    <mergeCell ref="G581:K581"/>
    <mergeCell ref="L581:M581"/>
    <mergeCell ref="C572:D572"/>
    <mergeCell ref="E572:F572"/>
    <mergeCell ref="G572:K572"/>
    <mergeCell ref="L572:M572"/>
    <mergeCell ref="C573:D573"/>
    <mergeCell ref="E573:F573"/>
    <mergeCell ref="G573:K573"/>
    <mergeCell ref="L573:M573"/>
    <mergeCell ref="C574:D574"/>
    <mergeCell ref="E574:F574"/>
    <mergeCell ref="G574:K574"/>
    <mergeCell ref="L574:M574"/>
    <mergeCell ref="C575:D575"/>
    <mergeCell ref="E575:F575"/>
    <mergeCell ref="G575:K575"/>
    <mergeCell ref="L575:M575"/>
    <mergeCell ref="C576:D576"/>
    <mergeCell ref="E576:F576"/>
    <mergeCell ref="G576:K576"/>
    <mergeCell ref="L576:M576"/>
    <mergeCell ref="C567:D567"/>
    <mergeCell ref="E567:F567"/>
    <mergeCell ref="G567:K567"/>
    <mergeCell ref="L567:M567"/>
    <mergeCell ref="C568:D568"/>
    <mergeCell ref="E568:F568"/>
    <mergeCell ref="G568:K568"/>
    <mergeCell ref="L568:M568"/>
    <mergeCell ref="C569:D569"/>
    <mergeCell ref="E569:F569"/>
    <mergeCell ref="G569:K569"/>
    <mergeCell ref="L569:M569"/>
    <mergeCell ref="C570:D570"/>
    <mergeCell ref="E570:F570"/>
    <mergeCell ref="G570:K570"/>
    <mergeCell ref="L570:M570"/>
    <mergeCell ref="C571:D571"/>
    <mergeCell ref="E571:F571"/>
    <mergeCell ref="G571:K571"/>
    <mergeCell ref="L571:M571"/>
    <mergeCell ref="C562:D562"/>
    <mergeCell ref="E562:F562"/>
    <mergeCell ref="G562:K562"/>
    <mergeCell ref="L562:M562"/>
    <mergeCell ref="C563:D563"/>
    <mergeCell ref="E563:F563"/>
    <mergeCell ref="G563:K563"/>
    <mergeCell ref="L563:M563"/>
    <mergeCell ref="C564:D564"/>
    <mergeCell ref="E564:F564"/>
    <mergeCell ref="G564:K564"/>
    <mergeCell ref="L564:M564"/>
    <mergeCell ref="C565:D565"/>
    <mergeCell ref="E565:F565"/>
    <mergeCell ref="G565:K565"/>
    <mergeCell ref="L565:M565"/>
    <mergeCell ref="C566:D566"/>
    <mergeCell ref="E566:F566"/>
    <mergeCell ref="G566:K566"/>
    <mergeCell ref="L566:M566"/>
    <mergeCell ref="C557:D557"/>
    <mergeCell ref="E557:F557"/>
    <mergeCell ref="G557:K557"/>
    <mergeCell ref="L557:M557"/>
    <mergeCell ref="C558:D558"/>
    <mergeCell ref="E558:F558"/>
    <mergeCell ref="G558:K558"/>
    <mergeCell ref="L558:M558"/>
    <mergeCell ref="C559:D559"/>
    <mergeCell ref="E559:F559"/>
    <mergeCell ref="G559:K559"/>
    <mergeCell ref="L559:M559"/>
    <mergeCell ref="C560:D560"/>
    <mergeCell ref="E560:F560"/>
    <mergeCell ref="G560:K560"/>
    <mergeCell ref="L560:M560"/>
    <mergeCell ref="C561:D561"/>
    <mergeCell ref="E561:F561"/>
    <mergeCell ref="G561:K561"/>
    <mergeCell ref="L561:M561"/>
    <mergeCell ref="C552:D552"/>
    <mergeCell ref="E552:F552"/>
    <mergeCell ref="G552:K552"/>
    <mergeCell ref="L552:M552"/>
    <mergeCell ref="C553:D553"/>
    <mergeCell ref="E553:F553"/>
    <mergeCell ref="G553:K553"/>
    <mergeCell ref="L553:M553"/>
    <mergeCell ref="C554:D554"/>
    <mergeCell ref="E554:F554"/>
    <mergeCell ref="G554:K554"/>
    <mergeCell ref="L554:M554"/>
    <mergeCell ref="C555:D555"/>
    <mergeCell ref="E555:F555"/>
    <mergeCell ref="G555:K555"/>
    <mergeCell ref="L555:M555"/>
    <mergeCell ref="C556:D556"/>
    <mergeCell ref="E556:F556"/>
    <mergeCell ref="G556:K556"/>
    <mergeCell ref="L556:M556"/>
    <mergeCell ref="C547:D547"/>
    <mergeCell ref="E547:F547"/>
    <mergeCell ref="G547:K547"/>
    <mergeCell ref="L547:M547"/>
    <mergeCell ref="C548:D548"/>
    <mergeCell ref="E548:F548"/>
    <mergeCell ref="G548:K548"/>
    <mergeCell ref="L548:M548"/>
    <mergeCell ref="C549:D549"/>
    <mergeCell ref="E549:F549"/>
    <mergeCell ref="G549:K549"/>
    <mergeCell ref="L549:M549"/>
    <mergeCell ref="C550:D550"/>
    <mergeCell ref="E550:F550"/>
    <mergeCell ref="G550:K550"/>
    <mergeCell ref="L550:M550"/>
    <mergeCell ref="C551:D551"/>
    <mergeCell ref="E551:F551"/>
    <mergeCell ref="G551:K551"/>
    <mergeCell ref="L551:M551"/>
    <mergeCell ref="C542:D542"/>
    <mergeCell ref="E542:F542"/>
    <mergeCell ref="G542:K542"/>
    <mergeCell ref="L542:M542"/>
    <mergeCell ref="C543:D543"/>
    <mergeCell ref="E543:F543"/>
    <mergeCell ref="G543:K543"/>
    <mergeCell ref="L543:M543"/>
    <mergeCell ref="C544:D544"/>
    <mergeCell ref="E544:F544"/>
    <mergeCell ref="G544:K544"/>
    <mergeCell ref="L544:M544"/>
    <mergeCell ref="C545:D545"/>
    <mergeCell ref="E545:F545"/>
    <mergeCell ref="G545:K545"/>
    <mergeCell ref="L545:M545"/>
    <mergeCell ref="C546:D546"/>
    <mergeCell ref="E546:F546"/>
    <mergeCell ref="G546:K546"/>
    <mergeCell ref="L546:M546"/>
    <mergeCell ref="C537:D537"/>
    <mergeCell ref="E537:F537"/>
    <mergeCell ref="G537:K537"/>
    <mergeCell ref="L537:M537"/>
    <mergeCell ref="C538:D538"/>
    <mergeCell ref="E538:F538"/>
    <mergeCell ref="G538:K538"/>
    <mergeCell ref="L538:M538"/>
    <mergeCell ref="C539:D539"/>
    <mergeCell ref="E539:F539"/>
    <mergeCell ref="G539:K539"/>
    <mergeCell ref="L539:M539"/>
    <mergeCell ref="C540:D540"/>
    <mergeCell ref="E540:F540"/>
    <mergeCell ref="G540:K540"/>
    <mergeCell ref="L540:M540"/>
    <mergeCell ref="C541:D541"/>
    <mergeCell ref="E541:F541"/>
    <mergeCell ref="G541:K541"/>
    <mergeCell ref="L541:M541"/>
    <mergeCell ref="C532:D532"/>
    <mergeCell ref="E532:F532"/>
    <mergeCell ref="G532:K532"/>
    <mergeCell ref="L532:M532"/>
    <mergeCell ref="C533:D533"/>
    <mergeCell ref="E533:F533"/>
    <mergeCell ref="G533:K533"/>
    <mergeCell ref="L533:M533"/>
    <mergeCell ref="C534:D534"/>
    <mergeCell ref="E534:F534"/>
    <mergeCell ref="G534:K534"/>
    <mergeCell ref="L534:M534"/>
    <mergeCell ref="C535:D535"/>
    <mergeCell ref="E535:F535"/>
    <mergeCell ref="G535:K535"/>
    <mergeCell ref="L535:M535"/>
    <mergeCell ref="C536:D536"/>
    <mergeCell ref="E536:F536"/>
    <mergeCell ref="G536:K536"/>
    <mergeCell ref="L536:M536"/>
    <mergeCell ref="C527:D527"/>
    <mergeCell ref="E527:F527"/>
    <mergeCell ref="G527:K527"/>
    <mergeCell ref="L527:M527"/>
    <mergeCell ref="C528:D528"/>
    <mergeCell ref="E528:F528"/>
    <mergeCell ref="G528:K528"/>
    <mergeCell ref="L528:M528"/>
    <mergeCell ref="C529:D529"/>
    <mergeCell ref="E529:F529"/>
    <mergeCell ref="G529:K529"/>
    <mergeCell ref="L529:M529"/>
    <mergeCell ref="C530:D530"/>
    <mergeCell ref="E530:F530"/>
    <mergeCell ref="G530:K530"/>
    <mergeCell ref="L530:M530"/>
    <mergeCell ref="C531:D531"/>
    <mergeCell ref="E531:F531"/>
    <mergeCell ref="G531:K531"/>
    <mergeCell ref="L531:M531"/>
    <mergeCell ref="C522:D522"/>
    <mergeCell ref="E522:F522"/>
    <mergeCell ref="G522:K522"/>
    <mergeCell ref="L522:M522"/>
    <mergeCell ref="C523:D523"/>
    <mergeCell ref="E523:F523"/>
    <mergeCell ref="G523:K523"/>
    <mergeCell ref="L523:M523"/>
    <mergeCell ref="C524:D524"/>
    <mergeCell ref="E524:F524"/>
    <mergeCell ref="G524:K524"/>
    <mergeCell ref="L524:M524"/>
    <mergeCell ref="C525:D525"/>
    <mergeCell ref="E525:F525"/>
    <mergeCell ref="G525:K525"/>
    <mergeCell ref="L525:M525"/>
    <mergeCell ref="C526:D526"/>
    <mergeCell ref="E526:F526"/>
    <mergeCell ref="G526:K526"/>
    <mergeCell ref="L526:M526"/>
    <mergeCell ref="G481:K481"/>
    <mergeCell ref="G482:K482"/>
    <mergeCell ref="G483:K483"/>
    <mergeCell ref="L464:M464"/>
    <mergeCell ref="L465:M465"/>
    <mergeCell ref="L466:M466"/>
    <mergeCell ref="L467:M467"/>
    <mergeCell ref="L468:M468"/>
    <mergeCell ref="L469:M469"/>
    <mergeCell ref="L470:M470"/>
    <mergeCell ref="L471:M471"/>
    <mergeCell ref="L472:M472"/>
    <mergeCell ref="L473:M473"/>
    <mergeCell ref="L474:M474"/>
    <mergeCell ref="L475:M475"/>
    <mergeCell ref="L476:M476"/>
    <mergeCell ref="L477:M477"/>
    <mergeCell ref="L478:M478"/>
    <mergeCell ref="L479:M479"/>
    <mergeCell ref="L480:M480"/>
    <mergeCell ref="L481:M481"/>
    <mergeCell ref="L482:M482"/>
    <mergeCell ref="L483:M483"/>
    <mergeCell ref="G464:K464"/>
    <mergeCell ref="G465:K465"/>
    <mergeCell ref="G466:K466"/>
    <mergeCell ref="G467:K467"/>
    <mergeCell ref="G468:K468"/>
    <mergeCell ref="G469:K469"/>
    <mergeCell ref="G470:K470"/>
    <mergeCell ref="G471:K471"/>
    <mergeCell ref="G472:K472"/>
    <mergeCell ref="G473:K473"/>
    <mergeCell ref="G474:K474"/>
    <mergeCell ref="G475:K475"/>
    <mergeCell ref="G476:K476"/>
    <mergeCell ref="G477:K477"/>
    <mergeCell ref="G478:K478"/>
    <mergeCell ref="G479:K479"/>
    <mergeCell ref="G480:K480"/>
    <mergeCell ref="C479:D479"/>
    <mergeCell ref="C480:D480"/>
    <mergeCell ref="C481:D481"/>
    <mergeCell ref="C482:D482"/>
    <mergeCell ref="C483:D483"/>
    <mergeCell ref="E464:F464"/>
    <mergeCell ref="E465:F465"/>
    <mergeCell ref="E466:F466"/>
    <mergeCell ref="E467:F467"/>
    <mergeCell ref="E468:F468"/>
    <mergeCell ref="E469:F469"/>
    <mergeCell ref="E470:F470"/>
    <mergeCell ref="E471:F471"/>
    <mergeCell ref="E472:F472"/>
    <mergeCell ref="E473:F473"/>
    <mergeCell ref="E474:F474"/>
    <mergeCell ref="E475:F475"/>
    <mergeCell ref="E476:F476"/>
    <mergeCell ref="E477:F477"/>
    <mergeCell ref="E478:F478"/>
    <mergeCell ref="E479:F479"/>
    <mergeCell ref="E480:F480"/>
    <mergeCell ref="E481:F481"/>
    <mergeCell ref="E482:F482"/>
    <mergeCell ref="E460:F460"/>
    <mergeCell ref="E461:F461"/>
    <mergeCell ref="E483:F483"/>
    <mergeCell ref="E462:F462"/>
    <mergeCell ref="E463:F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58:D458"/>
    <mergeCell ref="C459:D459"/>
    <mergeCell ref="C460:D460"/>
    <mergeCell ref="C461:D461"/>
    <mergeCell ref="C462:D462"/>
    <mergeCell ref="C463:D463"/>
    <mergeCell ref="E434:F434"/>
    <mergeCell ref="E435:F435"/>
    <mergeCell ref="E436:F436"/>
    <mergeCell ref="E437:F437"/>
    <mergeCell ref="E438:F438"/>
    <mergeCell ref="E439:F439"/>
    <mergeCell ref="E440:F440"/>
    <mergeCell ref="E441:F441"/>
    <mergeCell ref="E442:F442"/>
    <mergeCell ref="E443:F443"/>
    <mergeCell ref="E444:F444"/>
    <mergeCell ref="E445:F445"/>
    <mergeCell ref="E446:F446"/>
    <mergeCell ref="E447:F447"/>
    <mergeCell ref="E448:F448"/>
    <mergeCell ref="E449:F449"/>
    <mergeCell ref="E450:F450"/>
    <mergeCell ref="E451:F451"/>
    <mergeCell ref="E452:F452"/>
    <mergeCell ref="E453:F453"/>
    <mergeCell ref="E454:F454"/>
    <mergeCell ref="E455:F455"/>
    <mergeCell ref="E456:F456"/>
    <mergeCell ref="E457:F457"/>
    <mergeCell ref="E458:F458"/>
    <mergeCell ref="E459:F459"/>
    <mergeCell ref="L456:M456"/>
    <mergeCell ref="L457:M457"/>
    <mergeCell ref="L458:M458"/>
    <mergeCell ref="L459:M459"/>
    <mergeCell ref="L460:M460"/>
    <mergeCell ref="L461:M461"/>
    <mergeCell ref="L462:M462"/>
    <mergeCell ref="L463:M46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L439:M439"/>
    <mergeCell ref="L440:M440"/>
    <mergeCell ref="L441:M441"/>
    <mergeCell ref="L442:M442"/>
    <mergeCell ref="L443:M443"/>
    <mergeCell ref="L444:M444"/>
    <mergeCell ref="L445:M445"/>
    <mergeCell ref="L446:M446"/>
    <mergeCell ref="L447:M447"/>
    <mergeCell ref="L448:M448"/>
    <mergeCell ref="L449:M449"/>
    <mergeCell ref="L450:M450"/>
    <mergeCell ref="L451:M451"/>
    <mergeCell ref="L452:M452"/>
    <mergeCell ref="L453:M453"/>
    <mergeCell ref="L454:M454"/>
    <mergeCell ref="L455:M455"/>
    <mergeCell ref="G449:K449"/>
    <mergeCell ref="G450:K450"/>
    <mergeCell ref="G451:K451"/>
    <mergeCell ref="G452:K452"/>
    <mergeCell ref="G453:K453"/>
    <mergeCell ref="G454:K454"/>
    <mergeCell ref="G455:K455"/>
    <mergeCell ref="G456:K456"/>
    <mergeCell ref="G457:K457"/>
    <mergeCell ref="G458:K458"/>
    <mergeCell ref="G459:K459"/>
    <mergeCell ref="G460:K460"/>
    <mergeCell ref="G461:K461"/>
    <mergeCell ref="G462:K462"/>
    <mergeCell ref="G463:K463"/>
    <mergeCell ref="L422:M422"/>
    <mergeCell ref="L423:M423"/>
    <mergeCell ref="L424:M424"/>
    <mergeCell ref="L425:M425"/>
    <mergeCell ref="L426:M426"/>
    <mergeCell ref="L427:M427"/>
    <mergeCell ref="L428:M428"/>
    <mergeCell ref="L429:M429"/>
    <mergeCell ref="L430:M430"/>
    <mergeCell ref="L431:M431"/>
    <mergeCell ref="L432:M432"/>
    <mergeCell ref="L433:M433"/>
    <mergeCell ref="L434:M434"/>
    <mergeCell ref="L435:M435"/>
    <mergeCell ref="L436:M436"/>
    <mergeCell ref="L437:M437"/>
    <mergeCell ref="L438:M438"/>
    <mergeCell ref="G432:K432"/>
    <mergeCell ref="G433:K433"/>
    <mergeCell ref="G434:K434"/>
    <mergeCell ref="G435:K435"/>
    <mergeCell ref="G436:K436"/>
    <mergeCell ref="G437:K437"/>
    <mergeCell ref="G438:K438"/>
    <mergeCell ref="G439:K439"/>
    <mergeCell ref="G440:K440"/>
    <mergeCell ref="G441:K441"/>
    <mergeCell ref="G442:K442"/>
    <mergeCell ref="G443:K443"/>
    <mergeCell ref="G444:K444"/>
    <mergeCell ref="G445:K445"/>
    <mergeCell ref="G446:K446"/>
    <mergeCell ref="G447:K447"/>
    <mergeCell ref="G448:K448"/>
    <mergeCell ref="E140:F140"/>
    <mergeCell ref="E359:F359"/>
    <mergeCell ref="C348:D348"/>
    <mergeCell ref="C362:D362"/>
    <mergeCell ref="E348:F348"/>
    <mergeCell ref="E355:F355"/>
    <mergeCell ref="C306:D306"/>
    <mergeCell ref="G422:K422"/>
    <mergeCell ref="G423:K423"/>
    <mergeCell ref="G424:K424"/>
    <mergeCell ref="G425:K425"/>
    <mergeCell ref="G426:K426"/>
    <mergeCell ref="G427:K427"/>
    <mergeCell ref="G428:K428"/>
    <mergeCell ref="G429:K429"/>
    <mergeCell ref="G430:K430"/>
    <mergeCell ref="G431:K431"/>
    <mergeCell ref="G368:K368"/>
    <mergeCell ref="G373:K373"/>
    <mergeCell ref="G378:K378"/>
    <mergeCell ref="E184:F184"/>
    <mergeCell ref="G184:K184"/>
    <mergeCell ref="E185:F185"/>
    <mergeCell ref="G185:K185"/>
    <mergeCell ref="E186:F186"/>
    <mergeCell ref="G186:K186"/>
    <mergeCell ref="E187:F187"/>
    <mergeCell ref="G187:K187"/>
    <mergeCell ref="E188:F188"/>
    <mergeCell ref="G188:K188"/>
    <mergeCell ref="E189:F189"/>
    <mergeCell ref="C324:D324"/>
    <mergeCell ref="C148:D148"/>
    <mergeCell ref="E148:F148"/>
    <mergeCell ref="C149:D149"/>
    <mergeCell ref="E149:F149"/>
    <mergeCell ref="C168:D168"/>
    <mergeCell ref="E168:F168"/>
    <mergeCell ref="C169:D169"/>
    <mergeCell ref="E169:F169"/>
    <mergeCell ref="C363:D363"/>
    <mergeCell ref="E363:F363"/>
    <mergeCell ref="C427:D427"/>
    <mergeCell ref="E427:F427"/>
    <mergeCell ref="C428:D428"/>
    <mergeCell ref="E428:F428"/>
    <mergeCell ref="C368:D368"/>
    <mergeCell ref="E368:F368"/>
    <mergeCell ref="C378:D378"/>
    <mergeCell ref="E378:F378"/>
    <mergeCell ref="C323:D323"/>
    <mergeCell ref="E323:F323"/>
    <mergeCell ref="E324:F324"/>
    <mergeCell ref="E361:F361"/>
    <mergeCell ref="C219:D219"/>
    <mergeCell ref="E219:F219"/>
    <mergeCell ref="C167:D167"/>
    <mergeCell ref="E167:F167"/>
    <mergeCell ref="C194:D194"/>
    <mergeCell ref="E194:F194"/>
    <mergeCell ref="C187:D187"/>
    <mergeCell ref="C188:D188"/>
    <mergeCell ref="C189:D189"/>
    <mergeCell ref="C196:D196"/>
    <mergeCell ref="L141:M141"/>
    <mergeCell ref="C29:D29"/>
    <mergeCell ref="C30:D30"/>
    <mergeCell ref="E29:F29"/>
    <mergeCell ref="E30:F30"/>
    <mergeCell ref="G29:K29"/>
    <mergeCell ref="G30:K30"/>
    <mergeCell ref="L29:M29"/>
    <mergeCell ref="L30:M30"/>
    <mergeCell ref="C49:D49"/>
    <mergeCell ref="C50:D50"/>
    <mergeCell ref="E49:F49"/>
    <mergeCell ref="E50:F50"/>
    <mergeCell ref="G49:K49"/>
    <mergeCell ref="G50:K50"/>
    <mergeCell ref="L49:M49"/>
    <mergeCell ref="L50:M50"/>
    <mergeCell ref="C69:D69"/>
    <mergeCell ref="E69:F69"/>
    <mergeCell ref="C134:D134"/>
    <mergeCell ref="E134:F134"/>
    <mergeCell ref="G134:K134"/>
    <mergeCell ref="L134:M134"/>
    <mergeCell ref="L138:M138"/>
    <mergeCell ref="L139:M139"/>
    <mergeCell ref="L40:M40"/>
    <mergeCell ref="C37:D37"/>
    <mergeCell ref="C138:D138"/>
    <mergeCell ref="E138:F138"/>
    <mergeCell ref="C139:D139"/>
    <mergeCell ref="E139:F139"/>
    <mergeCell ref="C140:D140"/>
    <mergeCell ref="E516:F516"/>
    <mergeCell ref="E517:F517"/>
    <mergeCell ref="G509:K509"/>
    <mergeCell ref="G510:K510"/>
    <mergeCell ref="G511:K511"/>
    <mergeCell ref="G512:K512"/>
    <mergeCell ref="G513:K513"/>
    <mergeCell ref="G514:K514"/>
    <mergeCell ref="G515:K515"/>
    <mergeCell ref="G516:K516"/>
    <mergeCell ref="G517:K517"/>
    <mergeCell ref="L517:M517"/>
    <mergeCell ref="L419:M419"/>
    <mergeCell ref="E419:F419"/>
    <mergeCell ref="C509:D509"/>
    <mergeCell ref="C510:D510"/>
    <mergeCell ref="C511:D511"/>
    <mergeCell ref="C512:D512"/>
    <mergeCell ref="C420:D420"/>
    <mergeCell ref="E420:F420"/>
    <mergeCell ref="C421:D421"/>
    <mergeCell ref="E421:F421"/>
    <mergeCell ref="C422:D422"/>
    <mergeCell ref="E422:F422"/>
    <mergeCell ref="C423:D423"/>
    <mergeCell ref="E423:F423"/>
    <mergeCell ref="C424:D424"/>
    <mergeCell ref="E424:F424"/>
    <mergeCell ref="C425:D425"/>
    <mergeCell ref="E425:F425"/>
    <mergeCell ref="C426:D426"/>
    <mergeCell ref="E426:F426"/>
    <mergeCell ref="E501:F501"/>
    <mergeCell ref="G501:K501"/>
    <mergeCell ref="C500:D500"/>
    <mergeCell ref="E500:F500"/>
    <mergeCell ref="G500:K500"/>
    <mergeCell ref="C494:D494"/>
    <mergeCell ref="E494:F494"/>
    <mergeCell ref="G494:K494"/>
    <mergeCell ref="L494:M494"/>
    <mergeCell ref="L495:M495"/>
    <mergeCell ref="C496:D496"/>
    <mergeCell ref="E496:F496"/>
    <mergeCell ref="G496:K496"/>
    <mergeCell ref="L496:M496"/>
    <mergeCell ref="C35:D35"/>
    <mergeCell ref="E35:F35"/>
    <mergeCell ref="G35:K35"/>
    <mergeCell ref="L35:M35"/>
    <mergeCell ref="C36:D36"/>
    <mergeCell ref="E36:F36"/>
    <mergeCell ref="G36:K36"/>
    <mergeCell ref="L36:M36"/>
    <mergeCell ref="C54:D54"/>
    <mergeCell ref="E54:F54"/>
    <mergeCell ref="G54:K54"/>
    <mergeCell ref="L54:M54"/>
    <mergeCell ref="G138:K138"/>
    <mergeCell ref="G139:K139"/>
    <mergeCell ref="G148:K148"/>
    <mergeCell ref="G149:K149"/>
    <mergeCell ref="G168:K168"/>
    <mergeCell ref="G169:K169"/>
    <mergeCell ref="C518:D518"/>
    <mergeCell ref="C519:D519"/>
    <mergeCell ref="C520:D520"/>
    <mergeCell ref="C521:D521"/>
    <mergeCell ref="E518:F518"/>
    <mergeCell ref="G518:K518"/>
    <mergeCell ref="L518:M518"/>
    <mergeCell ref="E519:F519"/>
    <mergeCell ref="G519:K519"/>
    <mergeCell ref="L519:M519"/>
    <mergeCell ref="E520:F520"/>
    <mergeCell ref="G520:K520"/>
    <mergeCell ref="L520:M520"/>
    <mergeCell ref="E521:F521"/>
    <mergeCell ref="G521:K521"/>
    <mergeCell ref="L521:M521"/>
    <mergeCell ref="C517:D517"/>
    <mergeCell ref="C513:D513"/>
    <mergeCell ref="C514:D514"/>
    <mergeCell ref="C515:D515"/>
    <mergeCell ref="C516:D516"/>
    <mergeCell ref="L509:M509"/>
    <mergeCell ref="L510:M510"/>
    <mergeCell ref="L511:M511"/>
    <mergeCell ref="L512:M512"/>
    <mergeCell ref="L513:M513"/>
    <mergeCell ref="L514:M514"/>
    <mergeCell ref="L515:M515"/>
    <mergeCell ref="L516:M516"/>
    <mergeCell ref="C419:D419"/>
    <mergeCell ref="G419:K419"/>
    <mergeCell ref="C490:D490"/>
    <mergeCell ref="E490:F490"/>
    <mergeCell ref="G490:K490"/>
    <mergeCell ref="L490:M490"/>
    <mergeCell ref="C491:D491"/>
    <mergeCell ref="E509:F509"/>
    <mergeCell ref="E510:F510"/>
    <mergeCell ref="E511:F511"/>
    <mergeCell ref="E512:F512"/>
    <mergeCell ref="E513:F513"/>
    <mergeCell ref="E514:F514"/>
    <mergeCell ref="E515:F515"/>
    <mergeCell ref="E488:F488"/>
    <mergeCell ref="G488:K488"/>
    <mergeCell ref="L488:M488"/>
    <mergeCell ref="E489:F489"/>
    <mergeCell ref="G489:K489"/>
    <mergeCell ref="L489:M489"/>
    <mergeCell ref="G361:K361"/>
    <mergeCell ref="L361:M361"/>
    <mergeCell ref="E362:F362"/>
    <mergeCell ref="G362:K362"/>
    <mergeCell ref="L362:M362"/>
    <mergeCell ref="C407:D407"/>
    <mergeCell ref="C408:D408"/>
    <mergeCell ref="C409:D409"/>
    <mergeCell ref="C410:D410"/>
    <mergeCell ref="C411:D411"/>
    <mergeCell ref="L407:M407"/>
    <mergeCell ref="L408:M408"/>
    <mergeCell ref="L409:M409"/>
    <mergeCell ref="L410:M410"/>
    <mergeCell ref="L411:M411"/>
    <mergeCell ref="C388:D388"/>
    <mergeCell ref="E388:F388"/>
    <mergeCell ref="G388:K388"/>
    <mergeCell ref="L388:M388"/>
    <mergeCell ref="C389:D389"/>
    <mergeCell ref="E389:F389"/>
    <mergeCell ref="G389:K389"/>
    <mergeCell ref="L389:M389"/>
    <mergeCell ref="C390:D390"/>
    <mergeCell ref="E390:F390"/>
    <mergeCell ref="C361:D361"/>
    <mergeCell ref="G371:K371"/>
    <mergeCell ref="L371:M371"/>
    <mergeCell ref="C372:D372"/>
    <mergeCell ref="E372:F372"/>
    <mergeCell ref="G372:K372"/>
    <mergeCell ref="C395:D395"/>
    <mergeCell ref="G350:K350"/>
    <mergeCell ref="L350:M350"/>
    <mergeCell ref="E351:F351"/>
    <mergeCell ref="G351:K351"/>
    <mergeCell ref="L351:M351"/>
    <mergeCell ref="E352:F352"/>
    <mergeCell ref="G352:K352"/>
    <mergeCell ref="L352:M352"/>
    <mergeCell ref="E353:F353"/>
    <mergeCell ref="G353:K353"/>
    <mergeCell ref="L353:M353"/>
    <mergeCell ref="E354:F354"/>
    <mergeCell ref="G354:K354"/>
    <mergeCell ref="L354:M354"/>
    <mergeCell ref="G359:K359"/>
    <mergeCell ref="L359:M359"/>
    <mergeCell ref="E360:F360"/>
    <mergeCell ref="G360:K360"/>
    <mergeCell ref="L360:M360"/>
    <mergeCell ref="G355:K355"/>
    <mergeCell ref="L355:M355"/>
    <mergeCell ref="E356:F356"/>
    <mergeCell ref="G356:K356"/>
    <mergeCell ref="L356:M356"/>
    <mergeCell ref="E357:F357"/>
    <mergeCell ref="G357:K357"/>
    <mergeCell ref="L357:M357"/>
    <mergeCell ref="E358:F358"/>
    <mergeCell ref="G358:K358"/>
    <mergeCell ref="G348:K348"/>
    <mergeCell ref="L348:M348"/>
    <mergeCell ref="E350:F350"/>
    <mergeCell ref="C307:D307"/>
    <mergeCell ref="C308:D308"/>
    <mergeCell ref="C309:D309"/>
    <mergeCell ref="E306:F306"/>
    <mergeCell ref="E307:F307"/>
    <mergeCell ref="E308:F308"/>
    <mergeCell ref="E309:F309"/>
    <mergeCell ref="C337:D337"/>
    <mergeCell ref="E337:F337"/>
    <mergeCell ref="G337:K337"/>
    <mergeCell ref="L337:M337"/>
    <mergeCell ref="C332:D332"/>
    <mergeCell ref="E332:F332"/>
    <mergeCell ref="G332:K332"/>
    <mergeCell ref="L332:M332"/>
    <mergeCell ref="C334:D334"/>
    <mergeCell ref="E334:F334"/>
    <mergeCell ref="G334:K334"/>
    <mergeCell ref="L334:M334"/>
    <mergeCell ref="C335:D335"/>
    <mergeCell ref="E335:F335"/>
    <mergeCell ref="G335:K335"/>
    <mergeCell ref="L333:M333"/>
    <mergeCell ref="C330:D330"/>
    <mergeCell ref="E330:F330"/>
    <mergeCell ref="G330:K330"/>
    <mergeCell ref="L330:M330"/>
    <mergeCell ref="C333:D333"/>
    <mergeCell ref="E333:F333"/>
    <mergeCell ref="K9:R9"/>
    <mergeCell ref="L218:M218"/>
    <mergeCell ref="C216:D216"/>
    <mergeCell ref="E216:F216"/>
    <mergeCell ref="G216:K216"/>
    <mergeCell ref="C297:D297"/>
    <mergeCell ref="C298:D298"/>
    <mergeCell ref="C299:D299"/>
    <mergeCell ref="C300:D300"/>
    <mergeCell ref="C34:D34"/>
    <mergeCell ref="E34:F34"/>
    <mergeCell ref="G34:K34"/>
    <mergeCell ref="L34:M34"/>
    <mergeCell ref="C40:D40"/>
    <mergeCell ref="E40:F40"/>
    <mergeCell ref="G40:K40"/>
    <mergeCell ref="C213:D213"/>
    <mergeCell ref="E213:F213"/>
    <mergeCell ref="G213:K213"/>
    <mergeCell ref="L213:M213"/>
    <mergeCell ref="G14:K14"/>
    <mergeCell ref="L14:M14"/>
    <mergeCell ref="G15:K15"/>
    <mergeCell ref="G140:K140"/>
    <mergeCell ref="L140:M140"/>
    <mergeCell ref="C141:D141"/>
    <mergeCell ref="E141:F141"/>
    <mergeCell ref="G141:K141"/>
    <mergeCell ref="L217:M217"/>
    <mergeCell ref="C218:D218"/>
    <mergeCell ref="E218:F218"/>
    <mergeCell ref="G218:K218"/>
    <mergeCell ref="C701:D701"/>
    <mergeCell ref="E701:F701"/>
    <mergeCell ref="G701:K701"/>
    <mergeCell ref="L701:M701"/>
    <mergeCell ref="C691:D691"/>
    <mergeCell ref="E691:F691"/>
    <mergeCell ref="G691:K691"/>
    <mergeCell ref="L691:M691"/>
    <mergeCell ref="C692:D692"/>
    <mergeCell ref="E692:F692"/>
    <mergeCell ref="G692:K692"/>
    <mergeCell ref="L692:M692"/>
    <mergeCell ref="C693:D693"/>
    <mergeCell ref="E693:F693"/>
    <mergeCell ref="G693:K693"/>
    <mergeCell ref="L693:M693"/>
    <mergeCell ref="C688:D688"/>
    <mergeCell ref="E688:F688"/>
    <mergeCell ref="G688:K688"/>
    <mergeCell ref="L688:M688"/>
    <mergeCell ref="C689:D689"/>
    <mergeCell ref="E689:F689"/>
    <mergeCell ref="G689:K689"/>
    <mergeCell ref="L689:M689"/>
    <mergeCell ref="C690:D690"/>
    <mergeCell ref="E690:F690"/>
    <mergeCell ref="G690:K690"/>
    <mergeCell ref="L690:M690"/>
    <mergeCell ref="C700:D700"/>
    <mergeCell ref="E700:F700"/>
    <mergeCell ref="G700:K700"/>
    <mergeCell ref="L700:M700"/>
    <mergeCell ref="C685:D685"/>
    <mergeCell ref="E685:F685"/>
    <mergeCell ref="G685:K685"/>
    <mergeCell ref="L685:M685"/>
    <mergeCell ref="C686:D686"/>
    <mergeCell ref="E686:F686"/>
    <mergeCell ref="G686:K686"/>
    <mergeCell ref="L686:M686"/>
    <mergeCell ref="C687:D687"/>
    <mergeCell ref="E687:F687"/>
    <mergeCell ref="G687:K687"/>
    <mergeCell ref="L687:M687"/>
    <mergeCell ref="C682:D682"/>
    <mergeCell ref="E682:F682"/>
    <mergeCell ref="G682:K682"/>
    <mergeCell ref="L682:M682"/>
    <mergeCell ref="C683:D683"/>
    <mergeCell ref="E683:F683"/>
    <mergeCell ref="G683:K683"/>
    <mergeCell ref="L683:M683"/>
    <mergeCell ref="C684:D684"/>
    <mergeCell ref="E684:F684"/>
    <mergeCell ref="G684:K684"/>
    <mergeCell ref="L684:M684"/>
    <mergeCell ref="C679:D679"/>
    <mergeCell ref="E679:F679"/>
    <mergeCell ref="G679:K679"/>
    <mergeCell ref="L679:M679"/>
    <mergeCell ref="C680:D680"/>
    <mergeCell ref="E680:F680"/>
    <mergeCell ref="G680:K680"/>
    <mergeCell ref="L680:M680"/>
    <mergeCell ref="C681:D681"/>
    <mergeCell ref="E681:F681"/>
    <mergeCell ref="G681:K681"/>
    <mergeCell ref="L681:M681"/>
    <mergeCell ref="C676:D676"/>
    <mergeCell ref="E676:F676"/>
    <mergeCell ref="G676:K676"/>
    <mergeCell ref="L676:M676"/>
    <mergeCell ref="C677:D677"/>
    <mergeCell ref="E677:F677"/>
    <mergeCell ref="G677:K677"/>
    <mergeCell ref="L677:M677"/>
    <mergeCell ref="C678:D678"/>
    <mergeCell ref="E678:F678"/>
    <mergeCell ref="G678:K678"/>
    <mergeCell ref="L678:M678"/>
    <mergeCell ref="C673:D673"/>
    <mergeCell ref="E673:F673"/>
    <mergeCell ref="G673:K673"/>
    <mergeCell ref="L673:M673"/>
    <mergeCell ref="C674:D674"/>
    <mergeCell ref="E674:F674"/>
    <mergeCell ref="G674:K674"/>
    <mergeCell ref="L674:M674"/>
    <mergeCell ref="C675:D675"/>
    <mergeCell ref="E675:F675"/>
    <mergeCell ref="G675:K675"/>
    <mergeCell ref="L675:M675"/>
    <mergeCell ref="C670:D670"/>
    <mergeCell ref="E670:F670"/>
    <mergeCell ref="G670:K670"/>
    <mergeCell ref="L670:M670"/>
    <mergeCell ref="C671:D671"/>
    <mergeCell ref="E671:F671"/>
    <mergeCell ref="G671:K671"/>
    <mergeCell ref="L671:M671"/>
    <mergeCell ref="C672:D672"/>
    <mergeCell ref="E672:F672"/>
    <mergeCell ref="G672:K672"/>
    <mergeCell ref="L672:M672"/>
    <mergeCell ref="C667:D667"/>
    <mergeCell ref="E667:F667"/>
    <mergeCell ref="G667:K667"/>
    <mergeCell ref="L667:M667"/>
    <mergeCell ref="C668:D668"/>
    <mergeCell ref="E668:F668"/>
    <mergeCell ref="G668:K668"/>
    <mergeCell ref="L668:M668"/>
    <mergeCell ref="C669:D669"/>
    <mergeCell ref="E669:F669"/>
    <mergeCell ref="G669:K669"/>
    <mergeCell ref="L669:M669"/>
    <mergeCell ref="C664:D664"/>
    <mergeCell ref="E664:F664"/>
    <mergeCell ref="G664:K664"/>
    <mergeCell ref="L664:M664"/>
    <mergeCell ref="C665:D665"/>
    <mergeCell ref="E665:F665"/>
    <mergeCell ref="G665:K665"/>
    <mergeCell ref="L665:M665"/>
    <mergeCell ref="C666:D666"/>
    <mergeCell ref="E666:F666"/>
    <mergeCell ref="G666:K666"/>
    <mergeCell ref="L666:M666"/>
    <mergeCell ref="C661:D661"/>
    <mergeCell ref="E661:F661"/>
    <mergeCell ref="G661:K661"/>
    <mergeCell ref="L661:M661"/>
    <mergeCell ref="C662:D662"/>
    <mergeCell ref="E662:F662"/>
    <mergeCell ref="G662:K662"/>
    <mergeCell ref="L662:M662"/>
    <mergeCell ref="C663:D663"/>
    <mergeCell ref="E663:F663"/>
    <mergeCell ref="G663:K663"/>
    <mergeCell ref="L663:M663"/>
    <mergeCell ref="C658:D658"/>
    <mergeCell ref="E658:F658"/>
    <mergeCell ref="G658:K658"/>
    <mergeCell ref="L658:M658"/>
    <mergeCell ref="C659:D659"/>
    <mergeCell ref="E659:F659"/>
    <mergeCell ref="G659:K659"/>
    <mergeCell ref="L659:M659"/>
    <mergeCell ref="C660:D660"/>
    <mergeCell ref="E660:F660"/>
    <mergeCell ref="G660:K660"/>
    <mergeCell ref="L660:M660"/>
    <mergeCell ref="C655:D655"/>
    <mergeCell ref="E655:F655"/>
    <mergeCell ref="G655:K655"/>
    <mergeCell ref="L655:M655"/>
    <mergeCell ref="C656:D656"/>
    <mergeCell ref="E656:F656"/>
    <mergeCell ref="G656:K656"/>
    <mergeCell ref="L656:M656"/>
    <mergeCell ref="C657:D657"/>
    <mergeCell ref="E657:F657"/>
    <mergeCell ref="G657:K657"/>
    <mergeCell ref="L657:M657"/>
    <mergeCell ref="C652:D652"/>
    <mergeCell ref="E652:F652"/>
    <mergeCell ref="G652:K652"/>
    <mergeCell ref="L652:M652"/>
    <mergeCell ref="C653:D653"/>
    <mergeCell ref="E653:F653"/>
    <mergeCell ref="G653:K653"/>
    <mergeCell ref="L653:M653"/>
    <mergeCell ref="C654:D654"/>
    <mergeCell ref="E654:F654"/>
    <mergeCell ref="G654:K654"/>
    <mergeCell ref="L654:M654"/>
    <mergeCell ref="G651:K651"/>
    <mergeCell ref="L651:M651"/>
    <mergeCell ref="C637:D637"/>
    <mergeCell ref="E637:F637"/>
    <mergeCell ref="G637:K637"/>
    <mergeCell ref="L637:M637"/>
    <mergeCell ref="C645:D645"/>
    <mergeCell ref="E645:F645"/>
    <mergeCell ref="G645:K645"/>
    <mergeCell ref="L645:M645"/>
    <mergeCell ref="C648:D648"/>
    <mergeCell ref="E648:F648"/>
    <mergeCell ref="G648:K648"/>
    <mergeCell ref="L648:M648"/>
    <mergeCell ref="C638:D638"/>
    <mergeCell ref="C639:D639"/>
    <mergeCell ref="C640:D640"/>
    <mergeCell ref="C641:D641"/>
    <mergeCell ref="C642:D642"/>
    <mergeCell ref="C643:D643"/>
    <mergeCell ref="C644:D644"/>
    <mergeCell ref="E638:F638"/>
    <mergeCell ref="C649:D649"/>
    <mergeCell ref="E649:F649"/>
    <mergeCell ref="G649:K649"/>
    <mergeCell ref="L649:M649"/>
    <mergeCell ref="C650:D650"/>
    <mergeCell ref="E650:F650"/>
    <mergeCell ref="G650:K650"/>
    <mergeCell ref="L650:M650"/>
    <mergeCell ref="C651:D651"/>
    <mergeCell ref="E651:F651"/>
    <mergeCell ref="C634:D634"/>
    <mergeCell ref="E634:F634"/>
    <mergeCell ref="G634:K634"/>
    <mergeCell ref="L634:M634"/>
    <mergeCell ref="C635:D635"/>
    <mergeCell ref="E635:F635"/>
    <mergeCell ref="G635:K635"/>
    <mergeCell ref="L635:M635"/>
    <mergeCell ref="C636:D636"/>
    <mergeCell ref="E636:F636"/>
    <mergeCell ref="G636:K636"/>
    <mergeCell ref="L636:M636"/>
    <mergeCell ref="C631:D631"/>
    <mergeCell ref="E631:F631"/>
    <mergeCell ref="G631:K631"/>
    <mergeCell ref="L631:M631"/>
    <mergeCell ref="C632:D632"/>
    <mergeCell ref="E632:F632"/>
    <mergeCell ref="G632:K632"/>
    <mergeCell ref="L632:M632"/>
    <mergeCell ref="C633:D633"/>
    <mergeCell ref="E633:F633"/>
    <mergeCell ref="G633:K633"/>
    <mergeCell ref="L633:M633"/>
    <mergeCell ref="C628:D628"/>
    <mergeCell ref="E628:F628"/>
    <mergeCell ref="G628:K628"/>
    <mergeCell ref="L628:M628"/>
    <mergeCell ref="C629:D629"/>
    <mergeCell ref="E629:F629"/>
    <mergeCell ref="G629:K629"/>
    <mergeCell ref="L629:M629"/>
    <mergeCell ref="C630:D630"/>
    <mergeCell ref="E630:F630"/>
    <mergeCell ref="G630:K630"/>
    <mergeCell ref="L630:M630"/>
    <mergeCell ref="C625:D625"/>
    <mergeCell ref="E625:F625"/>
    <mergeCell ref="G625:K625"/>
    <mergeCell ref="L625:M625"/>
    <mergeCell ref="C626:D626"/>
    <mergeCell ref="E626:F626"/>
    <mergeCell ref="G626:K626"/>
    <mergeCell ref="L626:M626"/>
    <mergeCell ref="C627:D627"/>
    <mergeCell ref="E627:F627"/>
    <mergeCell ref="G627:K627"/>
    <mergeCell ref="L627:M627"/>
    <mergeCell ref="C622:D622"/>
    <mergeCell ref="E622:F622"/>
    <mergeCell ref="G622:K622"/>
    <mergeCell ref="L622:M622"/>
    <mergeCell ref="C623:D623"/>
    <mergeCell ref="E623:F623"/>
    <mergeCell ref="G623:K623"/>
    <mergeCell ref="L623:M623"/>
    <mergeCell ref="C624:D624"/>
    <mergeCell ref="E624:F624"/>
    <mergeCell ref="G624:K624"/>
    <mergeCell ref="L624:M624"/>
    <mergeCell ref="C619:D619"/>
    <mergeCell ref="E619:F619"/>
    <mergeCell ref="G619:K619"/>
    <mergeCell ref="L619:M619"/>
    <mergeCell ref="C620:D620"/>
    <mergeCell ref="E620:F620"/>
    <mergeCell ref="G620:K620"/>
    <mergeCell ref="L620:M620"/>
    <mergeCell ref="C621:D621"/>
    <mergeCell ref="E621:F621"/>
    <mergeCell ref="G621:K621"/>
    <mergeCell ref="L621:M621"/>
    <mergeCell ref="C616:D616"/>
    <mergeCell ref="E616:F616"/>
    <mergeCell ref="G616:K616"/>
    <mergeCell ref="L616:M616"/>
    <mergeCell ref="C617:D617"/>
    <mergeCell ref="E617:F617"/>
    <mergeCell ref="G617:K617"/>
    <mergeCell ref="L617:M617"/>
    <mergeCell ref="C618:D618"/>
    <mergeCell ref="E618:F618"/>
    <mergeCell ref="G618:K618"/>
    <mergeCell ref="L618:M618"/>
    <mergeCell ref="C613:D613"/>
    <mergeCell ref="E613:F613"/>
    <mergeCell ref="G613:K613"/>
    <mergeCell ref="L613:M613"/>
    <mergeCell ref="C614:D614"/>
    <mergeCell ref="E614:F614"/>
    <mergeCell ref="G614:K614"/>
    <mergeCell ref="L614:M614"/>
    <mergeCell ref="C615:D615"/>
    <mergeCell ref="E615:F615"/>
    <mergeCell ref="G615:K615"/>
    <mergeCell ref="L615:M615"/>
    <mergeCell ref="C610:D610"/>
    <mergeCell ref="E610:F610"/>
    <mergeCell ref="G610:K610"/>
    <mergeCell ref="L610:M610"/>
    <mergeCell ref="C611:D611"/>
    <mergeCell ref="E611:F611"/>
    <mergeCell ref="G611:K611"/>
    <mergeCell ref="L611:M611"/>
    <mergeCell ref="C612:D612"/>
    <mergeCell ref="E612:F612"/>
    <mergeCell ref="G612:K612"/>
    <mergeCell ref="L612:M612"/>
    <mergeCell ref="C607:D607"/>
    <mergeCell ref="E607:F607"/>
    <mergeCell ref="G607:K607"/>
    <mergeCell ref="L607:M607"/>
    <mergeCell ref="C608:D608"/>
    <mergeCell ref="E608:F608"/>
    <mergeCell ref="G608:K608"/>
    <mergeCell ref="L608:M608"/>
    <mergeCell ref="C609:D609"/>
    <mergeCell ref="E609:F609"/>
    <mergeCell ref="G609:K609"/>
    <mergeCell ref="L609:M609"/>
    <mergeCell ref="C604:D604"/>
    <mergeCell ref="E604:F604"/>
    <mergeCell ref="G604:K604"/>
    <mergeCell ref="L604:M604"/>
    <mergeCell ref="C605:D605"/>
    <mergeCell ref="E605:F605"/>
    <mergeCell ref="G605:K605"/>
    <mergeCell ref="L605:M605"/>
    <mergeCell ref="C606:D606"/>
    <mergeCell ref="E606:F606"/>
    <mergeCell ref="G606:K606"/>
    <mergeCell ref="L606:M606"/>
    <mergeCell ref="C601:D601"/>
    <mergeCell ref="E601:F601"/>
    <mergeCell ref="G601:K601"/>
    <mergeCell ref="L601:M601"/>
    <mergeCell ref="C602:D602"/>
    <mergeCell ref="E602:F602"/>
    <mergeCell ref="G602:K602"/>
    <mergeCell ref="L602:M602"/>
    <mergeCell ref="C603:D603"/>
    <mergeCell ref="E603:F603"/>
    <mergeCell ref="G603:K603"/>
    <mergeCell ref="L603:M603"/>
    <mergeCell ref="C598:D598"/>
    <mergeCell ref="E598:F598"/>
    <mergeCell ref="G598:K598"/>
    <mergeCell ref="L598:M598"/>
    <mergeCell ref="C599:D599"/>
    <mergeCell ref="E599:F599"/>
    <mergeCell ref="G599:K599"/>
    <mergeCell ref="L599:M599"/>
    <mergeCell ref="C600:D600"/>
    <mergeCell ref="E600:F600"/>
    <mergeCell ref="G600:K600"/>
    <mergeCell ref="L600:M600"/>
    <mergeCell ref="C595:D595"/>
    <mergeCell ref="E595:F595"/>
    <mergeCell ref="G595:K595"/>
    <mergeCell ref="L595:M595"/>
    <mergeCell ref="C596:D596"/>
    <mergeCell ref="E596:F596"/>
    <mergeCell ref="G596:K596"/>
    <mergeCell ref="L596:M596"/>
    <mergeCell ref="C597:D597"/>
    <mergeCell ref="E597:F597"/>
    <mergeCell ref="G597:K597"/>
    <mergeCell ref="L597:M597"/>
    <mergeCell ref="L19:M19"/>
    <mergeCell ref="C20:D20"/>
    <mergeCell ref="E20:F20"/>
    <mergeCell ref="G20:K20"/>
    <mergeCell ref="L20:M20"/>
    <mergeCell ref="C21:D21"/>
    <mergeCell ref="E21:F21"/>
    <mergeCell ref="G21:K21"/>
    <mergeCell ref="C592:D592"/>
    <mergeCell ref="E592:F592"/>
    <mergeCell ref="G592:K592"/>
    <mergeCell ref="L592:M592"/>
    <mergeCell ref="C593:D593"/>
    <mergeCell ref="E593:F593"/>
    <mergeCell ref="G593:K593"/>
    <mergeCell ref="L593:M593"/>
    <mergeCell ref="C594:D594"/>
    <mergeCell ref="E594:F594"/>
    <mergeCell ref="G594:K594"/>
    <mergeCell ref="L594:M594"/>
    <mergeCell ref="C214:D214"/>
    <mergeCell ref="E214:F214"/>
    <mergeCell ref="G214:K214"/>
    <mergeCell ref="L214:M214"/>
    <mergeCell ref="C215:D215"/>
    <mergeCell ref="E215:F215"/>
    <mergeCell ref="G215:K215"/>
    <mergeCell ref="L215:M215"/>
    <mergeCell ref="L216:M216"/>
    <mergeCell ref="C217:D217"/>
    <mergeCell ref="E217:F217"/>
    <mergeCell ref="G217:K217"/>
    <mergeCell ref="E56:F56"/>
    <mergeCell ref="G56:K56"/>
    <mergeCell ref="L56:M56"/>
    <mergeCell ref="C38:D38"/>
    <mergeCell ref="E38:F38"/>
    <mergeCell ref="G38:K38"/>
    <mergeCell ref="L38:M38"/>
    <mergeCell ref="C39:D39"/>
    <mergeCell ref="L15:M15"/>
    <mergeCell ref="C15:D15"/>
    <mergeCell ref="C14:D14"/>
    <mergeCell ref="E15:F15"/>
    <mergeCell ref="E14:F14"/>
    <mergeCell ref="C17:D17"/>
    <mergeCell ref="E17:F17"/>
    <mergeCell ref="G17:K17"/>
    <mergeCell ref="L17:M17"/>
    <mergeCell ref="C28:D28"/>
    <mergeCell ref="E28:F28"/>
    <mergeCell ref="G28:K28"/>
    <mergeCell ref="L28:M28"/>
    <mergeCell ref="C16:D16"/>
    <mergeCell ref="E16:F16"/>
    <mergeCell ref="G16:K16"/>
    <mergeCell ref="L16:M16"/>
    <mergeCell ref="C18:D18"/>
    <mergeCell ref="E18:F18"/>
    <mergeCell ref="G18:K18"/>
    <mergeCell ref="L18:M18"/>
    <mergeCell ref="C19:D19"/>
    <mergeCell ref="E19:F19"/>
    <mergeCell ref="G19:K19"/>
    <mergeCell ref="C68:D68"/>
    <mergeCell ref="E68:F68"/>
    <mergeCell ref="G68:K68"/>
    <mergeCell ref="L68:M68"/>
    <mergeCell ref="C71:D71"/>
    <mergeCell ref="E71:F71"/>
    <mergeCell ref="G71:K71"/>
    <mergeCell ref="L71:M71"/>
    <mergeCell ref="C70:D70"/>
    <mergeCell ref="E70:F70"/>
    <mergeCell ref="G70:K70"/>
    <mergeCell ref="L70:M70"/>
    <mergeCell ref="C74:D74"/>
    <mergeCell ref="E74:F74"/>
    <mergeCell ref="G74:K74"/>
    <mergeCell ref="L74:M74"/>
    <mergeCell ref="C31:D31"/>
    <mergeCell ref="E31:F31"/>
    <mergeCell ref="G31:K31"/>
    <mergeCell ref="L31:M31"/>
    <mergeCell ref="C63:D63"/>
    <mergeCell ref="E63:F63"/>
    <mergeCell ref="G63:K63"/>
    <mergeCell ref="L63:M63"/>
    <mergeCell ref="E37:F37"/>
    <mergeCell ref="G37:K37"/>
    <mergeCell ref="L37:M37"/>
    <mergeCell ref="C48:D48"/>
    <mergeCell ref="E48:F48"/>
    <mergeCell ref="G48:K48"/>
    <mergeCell ref="L48:M48"/>
    <mergeCell ref="C51:D51"/>
    <mergeCell ref="C104:D104"/>
    <mergeCell ref="E104:F104"/>
    <mergeCell ref="G104:K104"/>
    <mergeCell ref="L104:M104"/>
    <mergeCell ref="C88:D88"/>
    <mergeCell ref="E88:F88"/>
    <mergeCell ref="G88:K88"/>
    <mergeCell ref="L88:M88"/>
    <mergeCell ref="C91:D91"/>
    <mergeCell ref="E91:F91"/>
    <mergeCell ref="G91:K91"/>
    <mergeCell ref="L91:M91"/>
    <mergeCell ref="C75:D75"/>
    <mergeCell ref="E75:F75"/>
    <mergeCell ref="G75:K75"/>
    <mergeCell ref="L75:M75"/>
    <mergeCell ref="C76:D76"/>
    <mergeCell ref="E76:F76"/>
    <mergeCell ref="G76:K76"/>
    <mergeCell ref="L76:M76"/>
    <mergeCell ref="C77:D77"/>
    <mergeCell ref="E77:F77"/>
    <mergeCell ref="G77:K77"/>
    <mergeCell ref="L77:M77"/>
    <mergeCell ref="C79:D79"/>
    <mergeCell ref="E79:F79"/>
    <mergeCell ref="G79:K79"/>
    <mergeCell ref="L79:M79"/>
    <mergeCell ref="C89:D89"/>
    <mergeCell ref="C90:D90"/>
    <mergeCell ref="E89:F89"/>
    <mergeCell ref="E90:F90"/>
    <mergeCell ref="G89:K89"/>
    <mergeCell ref="G90:K90"/>
    <mergeCell ref="L89:M89"/>
    <mergeCell ref="L90:M90"/>
    <mergeCell ref="C117:D117"/>
    <mergeCell ref="E117:F117"/>
    <mergeCell ref="G117:K117"/>
    <mergeCell ref="L117:M117"/>
    <mergeCell ref="C94:D94"/>
    <mergeCell ref="E94:F94"/>
    <mergeCell ref="G94:K94"/>
    <mergeCell ref="L94:M94"/>
    <mergeCell ref="C95:D95"/>
    <mergeCell ref="E95:F95"/>
    <mergeCell ref="G95:K95"/>
    <mergeCell ref="L95:M95"/>
    <mergeCell ref="C96:D96"/>
    <mergeCell ref="E96:F96"/>
    <mergeCell ref="G96:K96"/>
    <mergeCell ref="L96:M96"/>
    <mergeCell ref="C97:D97"/>
    <mergeCell ref="E97:F97"/>
    <mergeCell ref="G97:K97"/>
    <mergeCell ref="L97:M97"/>
    <mergeCell ref="C110:D110"/>
    <mergeCell ref="E110:F110"/>
    <mergeCell ref="G110:K110"/>
    <mergeCell ref="L110:M110"/>
    <mergeCell ref="C108:D108"/>
    <mergeCell ref="C109:D109"/>
    <mergeCell ref="E108:F108"/>
    <mergeCell ref="E109:F109"/>
    <mergeCell ref="G108:K108"/>
    <mergeCell ref="G109:K109"/>
    <mergeCell ref="L108:M108"/>
    <mergeCell ref="L109:M109"/>
    <mergeCell ref="C135:D135"/>
    <mergeCell ref="E135:F135"/>
    <mergeCell ref="G135:K135"/>
    <mergeCell ref="L135:M135"/>
    <mergeCell ref="C136:D136"/>
    <mergeCell ref="E136:F136"/>
    <mergeCell ref="G136:K136"/>
    <mergeCell ref="L136:M136"/>
    <mergeCell ref="C137:D137"/>
    <mergeCell ref="E137:F137"/>
    <mergeCell ref="G137:K137"/>
    <mergeCell ref="L137:M137"/>
    <mergeCell ref="G129:K129"/>
    <mergeCell ref="L129:M129"/>
    <mergeCell ref="C123:D123"/>
    <mergeCell ref="E123:F123"/>
    <mergeCell ref="G123:K123"/>
    <mergeCell ref="L123:M123"/>
    <mergeCell ref="G167:K167"/>
    <mergeCell ref="L167:M167"/>
    <mergeCell ref="C162:D162"/>
    <mergeCell ref="E162:F162"/>
    <mergeCell ref="C150:D150"/>
    <mergeCell ref="E150:F150"/>
    <mergeCell ref="G150:K150"/>
    <mergeCell ref="L150:M150"/>
    <mergeCell ref="C151:D151"/>
    <mergeCell ref="E151:F151"/>
    <mergeCell ref="G151:K151"/>
    <mergeCell ref="L151:M151"/>
    <mergeCell ref="C144:D144"/>
    <mergeCell ref="E144:F144"/>
    <mergeCell ref="G144:K144"/>
    <mergeCell ref="L144:M144"/>
    <mergeCell ref="C145:D145"/>
    <mergeCell ref="E145:F145"/>
    <mergeCell ref="G145:K145"/>
    <mergeCell ref="L145:M145"/>
    <mergeCell ref="C146:D146"/>
    <mergeCell ref="E146:F146"/>
    <mergeCell ref="G146:K146"/>
    <mergeCell ref="L146:M146"/>
    <mergeCell ref="C147:D147"/>
    <mergeCell ref="E147:F147"/>
    <mergeCell ref="G147:K147"/>
    <mergeCell ref="L147:M147"/>
    <mergeCell ref="L148:M148"/>
    <mergeCell ref="L149:M149"/>
    <mergeCell ref="C158:D158"/>
    <mergeCell ref="E158:F158"/>
    <mergeCell ref="G180:K180"/>
    <mergeCell ref="L180:M180"/>
    <mergeCell ref="C181:D181"/>
    <mergeCell ref="E181:F181"/>
    <mergeCell ref="G181:K181"/>
    <mergeCell ref="L181:M181"/>
    <mergeCell ref="C182:D182"/>
    <mergeCell ref="E182:F182"/>
    <mergeCell ref="G182:K182"/>
    <mergeCell ref="L182:M182"/>
    <mergeCell ref="C183:D183"/>
    <mergeCell ref="E183:F183"/>
    <mergeCell ref="G183:K183"/>
    <mergeCell ref="L183:M183"/>
    <mergeCell ref="C184:D184"/>
    <mergeCell ref="C185:D185"/>
    <mergeCell ref="C186:D186"/>
    <mergeCell ref="L184:M184"/>
    <mergeCell ref="L185:M185"/>
    <mergeCell ref="L186:M186"/>
    <mergeCell ref="C180:D180"/>
    <mergeCell ref="E180:F180"/>
    <mergeCell ref="L187:M187"/>
    <mergeCell ref="L188:M188"/>
    <mergeCell ref="C195:D195"/>
    <mergeCell ref="E195:F195"/>
    <mergeCell ref="G195:K195"/>
    <mergeCell ref="L195:M195"/>
    <mergeCell ref="C157:D157"/>
    <mergeCell ref="E157:F157"/>
    <mergeCell ref="G157:K157"/>
    <mergeCell ref="L157:M157"/>
    <mergeCell ref="C170:D170"/>
    <mergeCell ref="E170:F170"/>
    <mergeCell ref="G170:K170"/>
    <mergeCell ref="L170:M170"/>
    <mergeCell ref="C171:D171"/>
    <mergeCell ref="E171:F171"/>
    <mergeCell ref="G171:K171"/>
    <mergeCell ref="L171:M171"/>
    <mergeCell ref="L168:M168"/>
    <mergeCell ref="L169:M169"/>
    <mergeCell ref="C177:D177"/>
    <mergeCell ref="E177:F177"/>
    <mergeCell ref="G177:K177"/>
    <mergeCell ref="L177:M177"/>
    <mergeCell ref="C178:D178"/>
    <mergeCell ref="E178:F178"/>
    <mergeCell ref="G178:K178"/>
    <mergeCell ref="L178:M178"/>
    <mergeCell ref="C179:D179"/>
    <mergeCell ref="E179:F179"/>
    <mergeCell ref="G179:K179"/>
    <mergeCell ref="L179:M179"/>
    <mergeCell ref="E196:F196"/>
    <mergeCell ref="G196:K196"/>
    <mergeCell ref="L196:M196"/>
    <mergeCell ref="C197:D197"/>
    <mergeCell ref="E197:F197"/>
    <mergeCell ref="G197:K197"/>
    <mergeCell ref="L197:M197"/>
    <mergeCell ref="C198:D198"/>
    <mergeCell ref="E198:F198"/>
    <mergeCell ref="G198:K198"/>
    <mergeCell ref="L198:M198"/>
    <mergeCell ref="C199:D199"/>
    <mergeCell ref="E199:F199"/>
    <mergeCell ref="G199:K199"/>
    <mergeCell ref="L199:M199"/>
    <mergeCell ref="C200:D200"/>
    <mergeCell ref="E200:F200"/>
    <mergeCell ref="G200:K200"/>
    <mergeCell ref="L200:M200"/>
    <mergeCell ref="C201:D201"/>
    <mergeCell ref="E201:F201"/>
    <mergeCell ref="G201:K201"/>
    <mergeCell ref="L201:M201"/>
    <mergeCell ref="C202:D202"/>
    <mergeCell ref="E202:F202"/>
    <mergeCell ref="G202:K202"/>
    <mergeCell ref="L202:M202"/>
    <mergeCell ref="C203:D203"/>
    <mergeCell ref="E203:F203"/>
    <mergeCell ref="G203:K203"/>
    <mergeCell ref="L203:M203"/>
    <mergeCell ref="C204:D204"/>
    <mergeCell ref="E204:F204"/>
    <mergeCell ref="G204:K204"/>
    <mergeCell ref="L204:M204"/>
    <mergeCell ref="C205:D205"/>
    <mergeCell ref="E205:F205"/>
    <mergeCell ref="G205:K205"/>
    <mergeCell ref="L205:M205"/>
    <mergeCell ref="C206:D206"/>
    <mergeCell ref="E206:F206"/>
    <mergeCell ref="G206:K206"/>
    <mergeCell ref="L206:M206"/>
    <mergeCell ref="C207:D207"/>
    <mergeCell ref="E207:F207"/>
    <mergeCell ref="G207:K207"/>
    <mergeCell ref="L207:M207"/>
    <mergeCell ref="C208:D208"/>
    <mergeCell ref="E208:F208"/>
    <mergeCell ref="G208:K208"/>
    <mergeCell ref="L208:M208"/>
    <mergeCell ref="C209:D209"/>
    <mergeCell ref="E209:F209"/>
    <mergeCell ref="G209:K209"/>
    <mergeCell ref="L209:M209"/>
    <mergeCell ref="C210:D210"/>
    <mergeCell ref="E210:F210"/>
    <mergeCell ref="G210:K210"/>
    <mergeCell ref="L210:M210"/>
    <mergeCell ref="C220:D220"/>
    <mergeCell ref="E220:F220"/>
    <mergeCell ref="G220:K220"/>
    <mergeCell ref="L220:M220"/>
    <mergeCell ref="C221:D221"/>
    <mergeCell ref="E221:F221"/>
    <mergeCell ref="G221:K221"/>
    <mergeCell ref="L221:M221"/>
    <mergeCell ref="C222:D222"/>
    <mergeCell ref="E222:F222"/>
    <mergeCell ref="G222:K222"/>
    <mergeCell ref="L222:M222"/>
    <mergeCell ref="C223:D223"/>
    <mergeCell ref="E223:F223"/>
    <mergeCell ref="G223:K223"/>
    <mergeCell ref="L223:M223"/>
    <mergeCell ref="C224:D224"/>
    <mergeCell ref="E224:F224"/>
    <mergeCell ref="G224:K224"/>
    <mergeCell ref="L224:M224"/>
    <mergeCell ref="C225:D225"/>
    <mergeCell ref="E225:F225"/>
    <mergeCell ref="G225:K225"/>
    <mergeCell ref="L225:M225"/>
    <mergeCell ref="C226:D226"/>
    <mergeCell ref="E226:F226"/>
    <mergeCell ref="G226:K226"/>
    <mergeCell ref="L226:M226"/>
    <mergeCell ref="C227:D227"/>
    <mergeCell ref="E227:F227"/>
    <mergeCell ref="G227:K227"/>
    <mergeCell ref="L227:M227"/>
    <mergeCell ref="C228:D228"/>
    <mergeCell ref="E228:F228"/>
    <mergeCell ref="G228:K228"/>
    <mergeCell ref="L228:M228"/>
    <mergeCell ref="C229:D229"/>
    <mergeCell ref="E229:F229"/>
    <mergeCell ref="G229:K229"/>
    <mergeCell ref="L229:M229"/>
    <mergeCell ref="C235:D235"/>
    <mergeCell ref="E235:F235"/>
    <mergeCell ref="G235:K235"/>
    <mergeCell ref="L235:M235"/>
    <mergeCell ref="C237:D237"/>
    <mergeCell ref="E237:F237"/>
    <mergeCell ref="G237:K237"/>
    <mergeCell ref="L237:M237"/>
    <mergeCell ref="C238:D238"/>
    <mergeCell ref="E238:F238"/>
    <mergeCell ref="G238:K238"/>
    <mergeCell ref="L238:M238"/>
    <mergeCell ref="C239:D239"/>
    <mergeCell ref="E239:F239"/>
    <mergeCell ref="G239:K239"/>
    <mergeCell ref="L239:M239"/>
    <mergeCell ref="C240:D240"/>
    <mergeCell ref="E240:F240"/>
    <mergeCell ref="G240:K240"/>
    <mergeCell ref="L240:M240"/>
    <mergeCell ref="C241:D241"/>
    <mergeCell ref="E241:F241"/>
    <mergeCell ref="G241:K241"/>
    <mergeCell ref="L241:M241"/>
    <mergeCell ref="C242:D242"/>
    <mergeCell ref="E242:F242"/>
    <mergeCell ref="G242:K242"/>
    <mergeCell ref="L242:M242"/>
    <mergeCell ref="C243:D243"/>
    <mergeCell ref="E243:F243"/>
    <mergeCell ref="G243:K243"/>
    <mergeCell ref="L243:M243"/>
    <mergeCell ref="C244:D244"/>
    <mergeCell ref="E244:F244"/>
    <mergeCell ref="G244:K244"/>
    <mergeCell ref="L244:M244"/>
    <mergeCell ref="C245:D245"/>
    <mergeCell ref="E245:F245"/>
    <mergeCell ref="G245:K245"/>
    <mergeCell ref="L245:M245"/>
    <mergeCell ref="C246:D246"/>
    <mergeCell ref="E246:F246"/>
    <mergeCell ref="G246:K246"/>
    <mergeCell ref="L246:M246"/>
    <mergeCell ref="C247:D247"/>
    <mergeCell ref="E247:F247"/>
    <mergeCell ref="G247:K247"/>
    <mergeCell ref="L247:M247"/>
    <mergeCell ref="C248:D248"/>
    <mergeCell ref="E248:F248"/>
    <mergeCell ref="G248:K248"/>
    <mergeCell ref="L248:M248"/>
    <mergeCell ref="C249:D249"/>
    <mergeCell ref="E249:F249"/>
    <mergeCell ref="G249:K249"/>
    <mergeCell ref="L249:M249"/>
    <mergeCell ref="C250:D250"/>
    <mergeCell ref="E250:F250"/>
    <mergeCell ref="G250:K250"/>
    <mergeCell ref="L250:M250"/>
    <mergeCell ref="C251:D251"/>
    <mergeCell ref="E251:F251"/>
    <mergeCell ref="G251:K251"/>
    <mergeCell ref="L251:M251"/>
    <mergeCell ref="C252:D252"/>
    <mergeCell ref="E252:F252"/>
    <mergeCell ref="G252:K252"/>
    <mergeCell ref="L252:M252"/>
    <mergeCell ref="C255:D255"/>
    <mergeCell ref="E255:F255"/>
    <mergeCell ref="G255:K255"/>
    <mergeCell ref="L255:M255"/>
    <mergeCell ref="C257:D257"/>
    <mergeCell ref="E257:F257"/>
    <mergeCell ref="G257:K257"/>
    <mergeCell ref="L257:M257"/>
    <mergeCell ref="C258:D258"/>
    <mergeCell ref="E258:F258"/>
    <mergeCell ref="G258:K258"/>
    <mergeCell ref="L258:M258"/>
    <mergeCell ref="C259:D259"/>
    <mergeCell ref="E259:F259"/>
    <mergeCell ref="G259:K259"/>
    <mergeCell ref="L259:M259"/>
    <mergeCell ref="C267:D267"/>
    <mergeCell ref="E267:F267"/>
    <mergeCell ref="G267:K267"/>
    <mergeCell ref="L267:M267"/>
    <mergeCell ref="C268:D268"/>
    <mergeCell ref="E268:F268"/>
    <mergeCell ref="G268:K268"/>
    <mergeCell ref="L268:M268"/>
    <mergeCell ref="C269:D269"/>
    <mergeCell ref="E269:F269"/>
    <mergeCell ref="G269:K269"/>
    <mergeCell ref="L269:M269"/>
    <mergeCell ref="C260:D260"/>
    <mergeCell ref="E260:F260"/>
    <mergeCell ref="G260:K260"/>
    <mergeCell ref="L260:M260"/>
    <mergeCell ref="C261:D261"/>
    <mergeCell ref="E261:F261"/>
    <mergeCell ref="G261:K261"/>
    <mergeCell ref="L261:M261"/>
    <mergeCell ref="C262:D262"/>
    <mergeCell ref="E262:F262"/>
    <mergeCell ref="G262:K262"/>
    <mergeCell ref="L262:M262"/>
    <mergeCell ref="C263:D263"/>
    <mergeCell ref="E263:F263"/>
    <mergeCell ref="G263:K263"/>
    <mergeCell ref="L263:M263"/>
    <mergeCell ref="C264:D264"/>
    <mergeCell ref="E264:F264"/>
    <mergeCell ref="G264:K264"/>
    <mergeCell ref="L264:M264"/>
    <mergeCell ref="C236:D236"/>
    <mergeCell ref="E236:F236"/>
    <mergeCell ref="G236:K236"/>
    <mergeCell ref="L236:M236"/>
    <mergeCell ref="C256:D256"/>
    <mergeCell ref="E256:F256"/>
    <mergeCell ref="G256:K256"/>
    <mergeCell ref="L256:M256"/>
    <mergeCell ref="C278:D278"/>
    <mergeCell ref="E278:F278"/>
    <mergeCell ref="G278:K278"/>
    <mergeCell ref="L278:M278"/>
    <mergeCell ref="C270:D270"/>
    <mergeCell ref="E270:F270"/>
    <mergeCell ref="G270:K270"/>
    <mergeCell ref="L270:M270"/>
    <mergeCell ref="C271:D271"/>
    <mergeCell ref="E271:F271"/>
    <mergeCell ref="G271:K271"/>
    <mergeCell ref="L271:M271"/>
    <mergeCell ref="C272:D272"/>
    <mergeCell ref="E272:F272"/>
    <mergeCell ref="G272:K272"/>
    <mergeCell ref="L272:M272"/>
    <mergeCell ref="C265:D265"/>
    <mergeCell ref="E265:F265"/>
    <mergeCell ref="G265:K265"/>
    <mergeCell ref="L265:M265"/>
    <mergeCell ref="C266:D266"/>
    <mergeCell ref="E266:F266"/>
    <mergeCell ref="G266:K266"/>
    <mergeCell ref="L266:M266"/>
    <mergeCell ref="C279:D279"/>
    <mergeCell ref="E279:F279"/>
    <mergeCell ref="G279:K279"/>
    <mergeCell ref="L279:M279"/>
    <mergeCell ref="C280:D280"/>
    <mergeCell ref="E280:F280"/>
    <mergeCell ref="G280:K280"/>
    <mergeCell ref="L280:M280"/>
    <mergeCell ref="C281:D281"/>
    <mergeCell ref="E281:F281"/>
    <mergeCell ref="G281:K281"/>
    <mergeCell ref="L281:M281"/>
    <mergeCell ref="C282:D282"/>
    <mergeCell ref="E282:F282"/>
    <mergeCell ref="G282:K282"/>
    <mergeCell ref="L282:M282"/>
    <mergeCell ref="C283:D283"/>
    <mergeCell ref="E283:F283"/>
    <mergeCell ref="G283:K283"/>
    <mergeCell ref="L283:M283"/>
    <mergeCell ref="C284:D284"/>
    <mergeCell ref="E284:F284"/>
    <mergeCell ref="G284:K284"/>
    <mergeCell ref="L284:M284"/>
    <mergeCell ref="C285:D285"/>
    <mergeCell ref="E285:F285"/>
    <mergeCell ref="G285:K285"/>
    <mergeCell ref="L285:M285"/>
    <mergeCell ref="C286:D286"/>
    <mergeCell ref="E286:F286"/>
    <mergeCell ref="G286:K286"/>
    <mergeCell ref="L286:M286"/>
    <mergeCell ref="C301:D301"/>
    <mergeCell ref="C287:D287"/>
    <mergeCell ref="E287:F287"/>
    <mergeCell ref="G287:K287"/>
    <mergeCell ref="L287:M287"/>
    <mergeCell ref="G297:K297"/>
    <mergeCell ref="G298:K298"/>
    <mergeCell ref="G299:K299"/>
    <mergeCell ref="G300:K300"/>
    <mergeCell ref="G301:K301"/>
    <mergeCell ref="C288:D288"/>
    <mergeCell ref="E288:F288"/>
    <mergeCell ref="G288:K288"/>
    <mergeCell ref="L288:M288"/>
    <mergeCell ref="C289:D289"/>
    <mergeCell ref="E289:F289"/>
    <mergeCell ref="G289:K289"/>
    <mergeCell ref="L289:M289"/>
    <mergeCell ref="C290:D290"/>
    <mergeCell ref="E290:F290"/>
    <mergeCell ref="G290:K290"/>
    <mergeCell ref="L290:M290"/>
    <mergeCell ref="C291:D291"/>
    <mergeCell ref="E291:F291"/>
    <mergeCell ref="G291:K291"/>
    <mergeCell ref="L291:M291"/>
    <mergeCell ref="C294:D294"/>
    <mergeCell ref="E294:F294"/>
    <mergeCell ref="G294:K294"/>
    <mergeCell ref="L294:M294"/>
    <mergeCell ref="C295:D295"/>
    <mergeCell ref="E295:F295"/>
    <mergeCell ref="G295:K295"/>
    <mergeCell ref="L295:M295"/>
    <mergeCell ref="C302:D302"/>
    <mergeCell ref="C303:D303"/>
    <mergeCell ref="C304:D304"/>
    <mergeCell ref="L335:M335"/>
    <mergeCell ref="C336:D336"/>
    <mergeCell ref="E336:F336"/>
    <mergeCell ref="G336:K336"/>
    <mergeCell ref="L336:M336"/>
    <mergeCell ref="C292:D292"/>
    <mergeCell ref="E292:F292"/>
    <mergeCell ref="G292:K292"/>
    <mergeCell ref="L292:M292"/>
    <mergeCell ref="C293:D293"/>
    <mergeCell ref="E293:F293"/>
    <mergeCell ref="G293:K293"/>
    <mergeCell ref="L293:M293"/>
    <mergeCell ref="E299:F299"/>
    <mergeCell ref="E300:F300"/>
    <mergeCell ref="E301:F301"/>
    <mergeCell ref="E302:F302"/>
    <mergeCell ref="E303:F303"/>
    <mergeCell ref="E304:F304"/>
    <mergeCell ref="E305:F305"/>
    <mergeCell ref="E310:F310"/>
    <mergeCell ref="C331:D331"/>
    <mergeCell ref="E331:F331"/>
    <mergeCell ref="G331:K331"/>
    <mergeCell ref="L331:M331"/>
    <mergeCell ref="C305:D305"/>
    <mergeCell ref="C310:D310"/>
    <mergeCell ref="E297:F297"/>
    <mergeCell ref="E298:F298"/>
    <mergeCell ref="G333:K333"/>
    <mergeCell ref="C339:D339"/>
    <mergeCell ref="E339:F339"/>
    <mergeCell ref="G339:K339"/>
    <mergeCell ref="L339:M339"/>
    <mergeCell ref="C345:D345"/>
    <mergeCell ref="E345:F345"/>
    <mergeCell ref="G345:K345"/>
    <mergeCell ref="L345:M345"/>
    <mergeCell ref="C340:D340"/>
    <mergeCell ref="E340:F340"/>
    <mergeCell ref="G340:K340"/>
    <mergeCell ref="L340:M340"/>
    <mergeCell ref="C341:D341"/>
    <mergeCell ref="E341:F341"/>
    <mergeCell ref="G341:K341"/>
    <mergeCell ref="L341:M341"/>
    <mergeCell ref="C342:D342"/>
    <mergeCell ref="E342:F342"/>
    <mergeCell ref="G342:K342"/>
    <mergeCell ref="L342:M342"/>
    <mergeCell ref="C358:D358"/>
    <mergeCell ref="C359:D359"/>
    <mergeCell ref="C360:D360"/>
    <mergeCell ref="L358:M358"/>
    <mergeCell ref="C346:D346"/>
    <mergeCell ref="E346:F346"/>
    <mergeCell ref="G346:K346"/>
    <mergeCell ref="L346:M346"/>
    <mergeCell ref="C347:D347"/>
    <mergeCell ref="E347:F347"/>
    <mergeCell ref="G347:K347"/>
    <mergeCell ref="L347:M347"/>
    <mergeCell ref="C296:D296"/>
    <mergeCell ref="E296:F296"/>
    <mergeCell ref="G296:K296"/>
    <mergeCell ref="L296:M296"/>
    <mergeCell ref="C327:D327"/>
    <mergeCell ref="E327:F327"/>
    <mergeCell ref="G311:K311"/>
    <mergeCell ref="L311:M311"/>
    <mergeCell ref="C343:D343"/>
    <mergeCell ref="E343:F343"/>
    <mergeCell ref="G343:K343"/>
    <mergeCell ref="L343:M343"/>
    <mergeCell ref="C344:D344"/>
    <mergeCell ref="E344:F344"/>
    <mergeCell ref="G344:K344"/>
    <mergeCell ref="L344:M344"/>
    <mergeCell ref="C338:D338"/>
    <mergeCell ref="E338:F338"/>
    <mergeCell ref="G338:K338"/>
    <mergeCell ref="L338:M338"/>
    <mergeCell ref="E395:F395"/>
    <mergeCell ref="G395:K395"/>
    <mergeCell ref="L395:M395"/>
    <mergeCell ref="C349:D349"/>
    <mergeCell ref="E349:F349"/>
    <mergeCell ref="G349:K349"/>
    <mergeCell ref="L349:M349"/>
    <mergeCell ref="C379:D379"/>
    <mergeCell ref="E379:F379"/>
    <mergeCell ref="G379:K379"/>
    <mergeCell ref="L379:M379"/>
    <mergeCell ref="C385:D385"/>
    <mergeCell ref="E385:F385"/>
    <mergeCell ref="G385:K385"/>
    <mergeCell ref="L385:M385"/>
    <mergeCell ref="C386:D386"/>
    <mergeCell ref="E386:F386"/>
    <mergeCell ref="G386:K386"/>
    <mergeCell ref="L386:M386"/>
    <mergeCell ref="C387:D387"/>
    <mergeCell ref="E387:F387"/>
    <mergeCell ref="G387:K387"/>
    <mergeCell ref="L387:M387"/>
    <mergeCell ref="C350:D350"/>
    <mergeCell ref="C351:D351"/>
    <mergeCell ref="C352:D352"/>
    <mergeCell ref="C353:D353"/>
    <mergeCell ref="C354:D354"/>
    <mergeCell ref="C355:D355"/>
    <mergeCell ref="C356:D356"/>
    <mergeCell ref="C357:D357"/>
    <mergeCell ref="G390:K390"/>
    <mergeCell ref="L390:M390"/>
    <mergeCell ref="C391:D391"/>
    <mergeCell ref="E391:F391"/>
    <mergeCell ref="G391:K391"/>
    <mergeCell ref="L391:M391"/>
    <mergeCell ref="C392:D392"/>
    <mergeCell ref="E392:F392"/>
    <mergeCell ref="G392:K392"/>
    <mergeCell ref="L392:M392"/>
    <mergeCell ref="C393:D393"/>
    <mergeCell ref="E393:F393"/>
    <mergeCell ref="G393:K393"/>
    <mergeCell ref="L393:M393"/>
    <mergeCell ref="C394:D394"/>
    <mergeCell ref="E394:F394"/>
    <mergeCell ref="G394:K394"/>
    <mergeCell ref="L394:M394"/>
    <mergeCell ref="C498:D498"/>
    <mergeCell ref="G402:K402"/>
    <mergeCell ref="L402:M402"/>
    <mergeCell ref="C493:D493"/>
    <mergeCell ref="E493:F493"/>
    <mergeCell ref="G493:K493"/>
    <mergeCell ref="L493:M493"/>
    <mergeCell ref="C403:D403"/>
    <mergeCell ref="E403:F403"/>
    <mergeCell ref="G403:K403"/>
    <mergeCell ref="L403:M403"/>
    <mergeCell ref="C404:D404"/>
    <mergeCell ref="E404:F404"/>
    <mergeCell ref="G404:K404"/>
    <mergeCell ref="L404:M404"/>
    <mergeCell ref="C487:D487"/>
    <mergeCell ref="C400:D400"/>
    <mergeCell ref="E400:F400"/>
    <mergeCell ref="G400:K400"/>
    <mergeCell ref="L400:M400"/>
    <mergeCell ref="C401:D401"/>
    <mergeCell ref="E401:F401"/>
    <mergeCell ref="G401:K401"/>
    <mergeCell ref="L401:M401"/>
    <mergeCell ref="C402:D402"/>
    <mergeCell ref="E402:F402"/>
    <mergeCell ref="E415:F415"/>
    <mergeCell ref="C429:D429"/>
    <mergeCell ref="E429:F429"/>
    <mergeCell ref="C430:D430"/>
    <mergeCell ref="E430:F430"/>
    <mergeCell ref="C431:D431"/>
    <mergeCell ref="E407:F407"/>
    <mergeCell ref="E408:F408"/>
    <mergeCell ref="E409:F409"/>
    <mergeCell ref="E410:F410"/>
    <mergeCell ref="E411:F411"/>
    <mergeCell ref="E412:F412"/>
    <mergeCell ref="C489:D489"/>
    <mergeCell ref="C396:D396"/>
    <mergeCell ref="E396:F396"/>
    <mergeCell ref="G396:K396"/>
    <mergeCell ref="L396:M396"/>
    <mergeCell ref="C397:D397"/>
    <mergeCell ref="E397:F397"/>
    <mergeCell ref="G397:K397"/>
    <mergeCell ref="L397:M397"/>
    <mergeCell ref="C398:D398"/>
    <mergeCell ref="E398:F398"/>
    <mergeCell ref="G398:K398"/>
    <mergeCell ref="L398:M398"/>
    <mergeCell ref="C399:D399"/>
    <mergeCell ref="E399:F399"/>
    <mergeCell ref="G399:K399"/>
    <mergeCell ref="L399:M399"/>
    <mergeCell ref="E431:F431"/>
    <mergeCell ref="C432:D432"/>
    <mergeCell ref="E432:F432"/>
    <mergeCell ref="C433:D433"/>
    <mergeCell ref="E433:F433"/>
    <mergeCell ref="G420:K420"/>
    <mergeCell ref="L420:M420"/>
    <mergeCell ref="G421:K421"/>
    <mergeCell ref="L421:M421"/>
    <mergeCell ref="C497:D497"/>
    <mergeCell ref="E497:F497"/>
    <mergeCell ref="G497:K497"/>
    <mergeCell ref="L497:M497"/>
    <mergeCell ref="L405:M405"/>
    <mergeCell ref="C406:D406"/>
    <mergeCell ref="E406:F406"/>
    <mergeCell ref="G406:K406"/>
    <mergeCell ref="L406:M406"/>
    <mergeCell ref="C412:D412"/>
    <mergeCell ref="C413:D413"/>
    <mergeCell ref="C414:D414"/>
    <mergeCell ref="C415:D415"/>
    <mergeCell ref="C416:D416"/>
    <mergeCell ref="C417:D417"/>
    <mergeCell ref="C418:D418"/>
    <mergeCell ref="G407:K407"/>
    <mergeCell ref="G408:K408"/>
    <mergeCell ref="G409:K409"/>
    <mergeCell ref="G410:K410"/>
    <mergeCell ref="E413:F413"/>
    <mergeCell ref="E414:F414"/>
    <mergeCell ref="E487:F487"/>
    <mergeCell ref="G487:K487"/>
    <mergeCell ref="L487:M487"/>
    <mergeCell ref="C488:D488"/>
    <mergeCell ref="E416:F416"/>
    <mergeCell ref="G412:K412"/>
    <mergeCell ref="L484:M484"/>
    <mergeCell ref="G413:K413"/>
    <mergeCell ref="G411:K411"/>
    <mergeCell ref="L418:M418"/>
    <mergeCell ref="C507:D507"/>
    <mergeCell ref="E507:F507"/>
    <mergeCell ref="G507:K507"/>
    <mergeCell ref="L507:M507"/>
    <mergeCell ref="C508:D508"/>
    <mergeCell ref="E508:F508"/>
    <mergeCell ref="G508:K508"/>
    <mergeCell ref="L508:M508"/>
    <mergeCell ref="C405:D405"/>
    <mergeCell ref="E405:F405"/>
    <mergeCell ref="G405:K405"/>
    <mergeCell ref="C506:D506"/>
    <mergeCell ref="E506:F506"/>
    <mergeCell ref="G506:K506"/>
    <mergeCell ref="L506:M506"/>
    <mergeCell ref="C501:D501"/>
    <mergeCell ref="E491:F491"/>
    <mergeCell ref="G491:K491"/>
    <mergeCell ref="L491:M491"/>
    <mergeCell ref="C492:D492"/>
    <mergeCell ref="E492:F492"/>
    <mergeCell ref="G492:K492"/>
    <mergeCell ref="L492:M492"/>
    <mergeCell ref="L501:M501"/>
    <mergeCell ref="C495:D495"/>
    <mergeCell ref="E495:F495"/>
    <mergeCell ref="G495:K495"/>
    <mergeCell ref="E417:F417"/>
    <mergeCell ref="E418:F418"/>
    <mergeCell ref="G414:K414"/>
    <mergeCell ref="G415:K415"/>
    <mergeCell ref="G416:K416"/>
    <mergeCell ref="E502:F502"/>
    <mergeCell ref="G502:K502"/>
    <mergeCell ref="L502:M502"/>
    <mergeCell ref="C503:D503"/>
    <mergeCell ref="E503:F503"/>
    <mergeCell ref="G503:K503"/>
    <mergeCell ref="L503:M503"/>
    <mergeCell ref="C504:D504"/>
    <mergeCell ref="E504:F504"/>
    <mergeCell ref="G504:K504"/>
    <mergeCell ref="L504:M504"/>
    <mergeCell ref="C505:D505"/>
    <mergeCell ref="E505:F505"/>
    <mergeCell ref="G505:K505"/>
    <mergeCell ref="L505:M505"/>
    <mergeCell ref="C7:J7"/>
    <mergeCell ref="C8:J8"/>
    <mergeCell ref="C9:J9"/>
    <mergeCell ref="K7:R7"/>
    <mergeCell ref="K8:R8"/>
    <mergeCell ref="G417:K417"/>
    <mergeCell ref="G418:K418"/>
    <mergeCell ref="L412:M412"/>
    <mergeCell ref="L413:M413"/>
    <mergeCell ref="L414:M414"/>
    <mergeCell ref="L415:M415"/>
    <mergeCell ref="L416:M416"/>
    <mergeCell ref="L417:M417"/>
    <mergeCell ref="C484:D484"/>
    <mergeCell ref="E484:F484"/>
    <mergeCell ref="G484:K484"/>
    <mergeCell ref="L500:M500"/>
    <mergeCell ref="E498:F498"/>
    <mergeCell ref="G498:K498"/>
    <mergeCell ref="L498:M498"/>
    <mergeCell ref="C499:D499"/>
    <mergeCell ref="E499:F499"/>
    <mergeCell ref="G499:K499"/>
    <mergeCell ref="L499:M499"/>
    <mergeCell ref="E639:F639"/>
    <mergeCell ref="E640:F640"/>
    <mergeCell ref="E641:F641"/>
    <mergeCell ref="E642:F642"/>
    <mergeCell ref="E643:F643"/>
    <mergeCell ref="E644:F644"/>
    <mergeCell ref="G638:K638"/>
    <mergeCell ref="G639:K639"/>
    <mergeCell ref="G640:K640"/>
    <mergeCell ref="G641:K641"/>
    <mergeCell ref="G642:K642"/>
    <mergeCell ref="G643:K643"/>
    <mergeCell ref="G644:K644"/>
    <mergeCell ref="L638:M638"/>
    <mergeCell ref="L639:M639"/>
    <mergeCell ref="L640:M640"/>
    <mergeCell ref="L641:M641"/>
    <mergeCell ref="L642:M642"/>
    <mergeCell ref="L643:M643"/>
    <mergeCell ref="L644:M644"/>
    <mergeCell ref="C586:D586"/>
    <mergeCell ref="E586:F586"/>
    <mergeCell ref="G586:K586"/>
    <mergeCell ref="L586:M586"/>
    <mergeCell ref="C502:D502"/>
    <mergeCell ref="C699:D699"/>
    <mergeCell ref="E694:F694"/>
    <mergeCell ref="G694:K694"/>
    <mergeCell ref="L694:M694"/>
    <mergeCell ref="E695:F695"/>
    <mergeCell ref="G695:K695"/>
    <mergeCell ref="L695:M695"/>
    <mergeCell ref="E696:F696"/>
    <mergeCell ref="G696:K696"/>
    <mergeCell ref="L696:M696"/>
    <mergeCell ref="E697:F697"/>
    <mergeCell ref="G697:K697"/>
    <mergeCell ref="L697:M697"/>
    <mergeCell ref="E698:F698"/>
    <mergeCell ref="G698:K698"/>
    <mergeCell ref="L698:M698"/>
    <mergeCell ref="E699:F699"/>
    <mergeCell ref="G699:K699"/>
    <mergeCell ref="L699:M699"/>
    <mergeCell ref="C694:D694"/>
    <mergeCell ref="C695:D695"/>
    <mergeCell ref="C696:D696"/>
    <mergeCell ref="C697:D697"/>
    <mergeCell ref="C698:D698"/>
    <mergeCell ref="L21:M21"/>
    <mergeCell ref="C22:D22"/>
    <mergeCell ref="E22:F22"/>
    <mergeCell ref="G22:K22"/>
    <mergeCell ref="L22:M22"/>
    <mergeCell ref="C23:D23"/>
    <mergeCell ref="E23:F23"/>
    <mergeCell ref="G23:K23"/>
    <mergeCell ref="L23:M23"/>
    <mergeCell ref="C24:D24"/>
    <mergeCell ref="E24:F24"/>
    <mergeCell ref="G24:K24"/>
    <mergeCell ref="L24:M24"/>
    <mergeCell ref="C25:D25"/>
    <mergeCell ref="E25:F25"/>
    <mergeCell ref="G25:K25"/>
    <mergeCell ref="L25:M25"/>
    <mergeCell ref="C26:D26"/>
    <mergeCell ref="E26:F26"/>
    <mergeCell ref="G26:K26"/>
    <mergeCell ref="L26:M26"/>
    <mergeCell ref="C27:D27"/>
    <mergeCell ref="E27:F27"/>
    <mergeCell ref="G27:K27"/>
    <mergeCell ref="L27:M27"/>
    <mergeCell ref="E42:F42"/>
    <mergeCell ref="G42:K42"/>
    <mergeCell ref="L42:M42"/>
    <mergeCell ref="C43:D43"/>
    <mergeCell ref="E43:F43"/>
    <mergeCell ref="G43:K43"/>
    <mergeCell ref="L43:M43"/>
    <mergeCell ref="C44:D44"/>
    <mergeCell ref="E44:F44"/>
    <mergeCell ref="G44:K44"/>
    <mergeCell ref="L44:M44"/>
    <mergeCell ref="E39:F39"/>
    <mergeCell ref="G39:K39"/>
    <mergeCell ref="L39:M39"/>
    <mergeCell ref="C41:D41"/>
    <mergeCell ref="E41:F41"/>
    <mergeCell ref="G41:K41"/>
    <mergeCell ref="L41:M41"/>
    <mergeCell ref="C42:D42"/>
    <mergeCell ref="C45:D45"/>
    <mergeCell ref="E45:F45"/>
    <mergeCell ref="G45:K45"/>
    <mergeCell ref="L45:M45"/>
    <mergeCell ref="C46:D46"/>
    <mergeCell ref="E46:F46"/>
    <mergeCell ref="G46:K46"/>
    <mergeCell ref="L46:M46"/>
    <mergeCell ref="C47:D47"/>
    <mergeCell ref="E47:F47"/>
    <mergeCell ref="G47:K47"/>
    <mergeCell ref="L47:M47"/>
    <mergeCell ref="C58:D58"/>
    <mergeCell ref="E58:F58"/>
    <mergeCell ref="G58:K58"/>
    <mergeCell ref="L58:M58"/>
    <mergeCell ref="C59:D59"/>
    <mergeCell ref="E59:F59"/>
    <mergeCell ref="G59:K59"/>
    <mergeCell ref="L59:M59"/>
    <mergeCell ref="C57:D57"/>
    <mergeCell ref="E57:F57"/>
    <mergeCell ref="G57:K57"/>
    <mergeCell ref="L57:M57"/>
    <mergeCell ref="E51:F51"/>
    <mergeCell ref="G51:K51"/>
    <mergeCell ref="L51:M51"/>
    <mergeCell ref="C55:D55"/>
    <mergeCell ref="E55:F55"/>
    <mergeCell ref="G55:K55"/>
    <mergeCell ref="L55:M55"/>
    <mergeCell ref="C56:D56"/>
    <mergeCell ref="C60:D60"/>
    <mergeCell ref="E60:F60"/>
    <mergeCell ref="G60:K60"/>
    <mergeCell ref="L60:M60"/>
    <mergeCell ref="C64:D64"/>
    <mergeCell ref="E64:F64"/>
    <mergeCell ref="G64:K64"/>
    <mergeCell ref="L64:M64"/>
    <mergeCell ref="C65:D65"/>
    <mergeCell ref="E65:F65"/>
    <mergeCell ref="G65:K65"/>
    <mergeCell ref="L65:M65"/>
    <mergeCell ref="C66:D66"/>
    <mergeCell ref="E66:F66"/>
    <mergeCell ref="G66:K66"/>
    <mergeCell ref="L66:M66"/>
    <mergeCell ref="C67:D67"/>
    <mergeCell ref="E67:F67"/>
    <mergeCell ref="G67:K67"/>
    <mergeCell ref="L67:M67"/>
    <mergeCell ref="C61:D61"/>
    <mergeCell ref="E61:F61"/>
    <mergeCell ref="G61:K61"/>
    <mergeCell ref="L61:M61"/>
    <mergeCell ref="C62:D62"/>
    <mergeCell ref="E62:F62"/>
    <mergeCell ref="G62:K62"/>
    <mergeCell ref="L62:M62"/>
    <mergeCell ref="C78:D78"/>
    <mergeCell ref="E78:F78"/>
    <mergeCell ref="G78:K78"/>
    <mergeCell ref="L78:M78"/>
    <mergeCell ref="G69:K69"/>
    <mergeCell ref="L69:M69"/>
    <mergeCell ref="C124:D124"/>
    <mergeCell ref="E124:F124"/>
    <mergeCell ref="G124:K124"/>
    <mergeCell ref="L124:M124"/>
    <mergeCell ref="C125:D125"/>
    <mergeCell ref="E125:F125"/>
    <mergeCell ref="G125:K125"/>
    <mergeCell ref="L125:M125"/>
    <mergeCell ref="C80:D80"/>
    <mergeCell ref="E80:F80"/>
    <mergeCell ref="G80:K80"/>
    <mergeCell ref="L80:M80"/>
    <mergeCell ref="C81:D81"/>
    <mergeCell ref="E81:F81"/>
    <mergeCell ref="G81:K81"/>
    <mergeCell ref="L81:M81"/>
    <mergeCell ref="C82:D82"/>
    <mergeCell ref="E82:F82"/>
    <mergeCell ref="G82:K82"/>
    <mergeCell ref="L82:M82"/>
    <mergeCell ref="C83:D83"/>
    <mergeCell ref="E83:F83"/>
    <mergeCell ref="G83:K83"/>
    <mergeCell ref="L83:M83"/>
    <mergeCell ref="C84:D84"/>
    <mergeCell ref="E84:F84"/>
    <mergeCell ref="G84:K84"/>
    <mergeCell ref="L84:M84"/>
    <mergeCell ref="C111:D111"/>
    <mergeCell ref="E111:F111"/>
    <mergeCell ref="G111:K111"/>
    <mergeCell ref="L111:M111"/>
    <mergeCell ref="C130:D130"/>
    <mergeCell ref="E130:F130"/>
    <mergeCell ref="G130:K130"/>
    <mergeCell ref="L130:M130"/>
    <mergeCell ref="C131:D131"/>
    <mergeCell ref="E131:F131"/>
    <mergeCell ref="G131:K131"/>
    <mergeCell ref="L131:M131"/>
    <mergeCell ref="C85:D85"/>
    <mergeCell ref="E85:F85"/>
    <mergeCell ref="G85:K85"/>
    <mergeCell ref="L85:M85"/>
    <mergeCell ref="C86:D86"/>
    <mergeCell ref="E86:F86"/>
    <mergeCell ref="G86:K86"/>
    <mergeCell ref="L86:M86"/>
    <mergeCell ref="C87:D87"/>
    <mergeCell ref="E87:F87"/>
    <mergeCell ref="G87:K87"/>
    <mergeCell ref="L87:M87"/>
    <mergeCell ref="C128:D128"/>
    <mergeCell ref="E128:F128"/>
    <mergeCell ref="G128:K128"/>
    <mergeCell ref="L128:M128"/>
    <mergeCell ref="C129:D129"/>
    <mergeCell ref="E129:F129"/>
    <mergeCell ref="C103:D103"/>
    <mergeCell ref="E103:F103"/>
    <mergeCell ref="G103:K103"/>
    <mergeCell ref="L103:M103"/>
    <mergeCell ref="C118:D118"/>
    <mergeCell ref="E118:F118"/>
    <mergeCell ref="G118:K118"/>
    <mergeCell ref="L118:M118"/>
    <mergeCell ref="C119:D119"/>
    <mergeCell ref="E119:F119"/>
    <mergeCell ref="G119:K119"/>
    <mergeCell ref="L119:M119"/>
    <mergeCell ref="C120:D120"/>
    <mergeCell ref="E120:F120"/>
    <mergeCell ref="G120:K120"/>
    <mergeCell ref="L120:M120"/>
    <mergeCell ref="C121:D121"/>
    <mergeCell ref="E121:F121"/>
    <mergeCell ref="G121:K121"/>
    <mergeCell ref="L121:M121"/>
    <mergeCell ref="C114:D114"/>
    <mergeCell ref="E114:F114"/>
    <mergeCell ref="G114:K114"/>
    <mergeCell ref="L114:M114"/>
    <mergeCell ref="C115:D115"/>
    <mergeCell ref="E115:F115"/>
    <mergeCell ref="G115:K115"/>
    <mergeCell ref="L115:M115"/>
    <mergeCell ref="C116:D116"/>
    <mergeCell ref="E116:F116"/>
    <mergeCell ref="G116:K116"/>
    <mergeCell ref="L116:M116"/>
    <mergeCell ref="C98:D98"/>
    <mergeCell ref="E98:F98"/>
    <mergeCell ref="G98:K98"/>
    <mergeCell ref="L98:M98"/>
    <mergeCell ref="C99:D99"/>
    <mergeCell ref="E99:F99"/>
    <mergeCell ref="G99:K99"/>
    <mergeCell ref="L99:M99"/>
    <mergeCell ref="C100:D100"/>
    <mergeCell ref="E100:F100"/>
    <mergeCell ref="G100:K100"/>
    <mergeCell ref="L100:M100"/>
    <mergeCell ref="C101:D101"/>
    <mergeCell ref="E101:F101"/>
    <mergeCell ref="G101:K101"/>
    <mergeCell ref="L101:M101"/>
    <mergeCell ref="C102:D102"/>
    <mergeCell ref="E102:F102"/>
    <mergeCell ref="G102:K102"/>
    <mergeCell ref="L102:M102"/>
    <mergeCell ref="C105:D105"/>
    <mergeCell ref="E105:F105"/>
    <mergeCell ref="G105:K105"/>
    <mergeCell ref="L105:M105"/>
    <mergeCell ref="C106:D106"/>
    <mergeCell ref="E106:F106"/>
    <mergeCell ref="G106:K106"/>
    <mergeCell ref="L106:M106"/>
    <mergeCell ref="C107:D107"/>
    <mergeCell ref="E107:F107"/>
    <mergeCell ref="G107:K107"/>
    <mergeCell ref="L107:M107"/>
    <mergeCell ref="C142:D142"/>
    <mergeCell ref="E142:F142"/>
    <mergeCell ref="G142:K142"/>
    <mergeCell ref="L142:M142"/>
    <mergeCell ref="C143:D143"/>
    <mergeCell ref="E143:F143"/>
    <mergeCell ref="G143:K143"/>
    <mergeCell ref="L143:M143"/>
    <mergeCell ref="C126:D126"/>
    <mergeCell ref="E126:F126"/>
    <mergeCell ref="G126:K126"/>
    <mergeCell ref="L126:M126"/>
    <mergeCell ref="C127:D127"/>
    <mergeCell ref="E127:F127"/>
    <mergeCell ref="G127:K127"/>
    <mergeCell ref="L127:M127"/>
    <mergeCell ref="C122:D122"/>
    <mergeCell ref="E122:F122"/>
    <mergeCell ref="G122:K122"/>
    <mergeCell ref="L122:M122"/>
    <mergeCell ref="G158:K158"/>
    <mergeCell ref="L158:M158"/>
    <mergeCell ref="C159:D159"/>
    <mergeCell ref="E159:F159"/>
    <mergeCell ref="G159:K159"/>
    <mergeCell ref="L159:M159"/>
    <mergeCell ref="C160:D160"/>
    <mergeCell ref="E160:F160"/>
    <mergeCell ref="G160:K160"/>
    <mergeCell ref="L160:M160"/>
    <mergeCell ref="C161:D161"/>
    <mergeCell ref="E161:F161"/>
    <mergeCell ref="G161:K161"/>
    <mergeCell ref="L161:M161"/>
    <mergeCell ref="C154:D154"/>
    <mergeCell ref="E154:F154"/>
    <mergeCell ref="G154:K154"/>
    <mergeCell ref="L154:M154"/>
    <mergeCell ref="C155:D155"/>
    <mergeCell ref="E155:F155"/>
    <mergeCell ref="G155:K155"/>
    <mergeCell ref="L155:M155"/>
    <mergeCell ref="C156:D156"/>
    <mergeCell ref="E156:F156"/>
    <mergeCell ref="G156:K156"/>
    <mergeCell ref="L156:M156"/>
    <mergeCell ref="G162:K162"/>
    <mergeCell ref="L162:M162"/>
    <mergeCell ref="C163:D163"/>
    <mergeCell ref="E163:F163"/>
    <mergeCell ref="G163:K163"/>
    <mergeCell ref="L163:M163"/>
    <mergeCell ref="C164:D164"/>
    <mergeCell ref="E164:F164"/>
    <mergeCell ref="G164:K164"/>
    <mergeCell ref="L164:M164"/>
    <mergeCell ref="C165:D165"/>
    <mergeCell ref="E165:F165"/>
    <mergeCell ref="G165:K165"/>
    <mergeCell ref="L165:M165"/>
    <mergeCell ref="C166:D166"/>
    <mergeCell ref="E166:F166"/>
    <mergeCell ref="G166:K166"/>
    <mergeCell ref="L166:M166"/>
  </mergeCells>
  <hyperlinks>
    <hyperlink ref="C7" location="'Cabling Info'!B11" display="='Cabling Info'!B11" xr:uid="{00000000-0004-0000-0F00-000000000000}"/>
    <hyperlink ref="C8" location="'Cabling Info'!B78" display="='Cabling Info'!B78" xr:uid="{00000000-0004-0000-0F00-000001000000}"/>
    <hyperlink ref="C9" location="'Cabling Info'!B119" display="='Cabling Info'!B119" xr:uid="{00000000-0004-0000-0F00-000002000000}"/>
    <hyperlink ref="K7" location="'Cabling Info'!B162" display="='Cabling Info'!b162" xr:uid="{00000000-0004-0000-0F00-000003000000}"/>
    <hyperlink ref="K8" location="'Cabling Info'!B209" display="='Cabling Info'!B209" xr:uid="{00000000-0004-0000-0F00-000004000000}"/>
    <hyperlink ref="K9" location="'Cabling Info'!B262" display="='Cabling Info'!B262" xr:uid="{00000000-0004-0000-0F00-000005000000}"/>
  </hyperlinks>
  <printOptions gridLines="1"/>
  <pageMargins left="0.75" right="0.25" top="0.25" bottom="0.75" header="0.3" footer="0.3"/>
  <pageSetup paperSize="3" fitToHeight="0" orientation="landscape" r:id="rId1"/>
  <headerFooter>
    <oddFooter>&amp;R&amp;A
&amp;P</oddFooter>
  </headerFooter>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F00-000000000000}">
          <x14:formula1>
            <xm:f>Dropdowns!$G$3:$G$9</xm:f>
          </x14:formula1>
          <xm:sqref>E214:F229 E279:F327 E135:F151 E593:F634 E155:F171 E488:F586 E331:F379 E649:F690 E256:F272 E236:F252 E386:F484 E195:F210 E15:F31 E55:F71 E95:F111 E75:F91 E115:F131 E35:F51 E178:F189</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70C0"/>
    <pageSetUpPr fitToPage="1"/>
  </sheetPr>
  <dimension ref="A2:V170"/>
  <sheetViews>
    <sheetView workbookViewId="0">
      <pane ySplit="4" topLeftCell="A46" activePane="bottomLeft" state="frozenSplit"/>
      <selection activeCell="N65" sqref="N65:P65"/>
      <selection pane="bottomLeft" activeCell="N65" sqref="N65:P65"/>
    </sheetView>
  </sheetViews>
  <sheetFormatPr defaultColWidth="7.140625" defaultRowHeight="10.5" x14ac:dyDescent="0.25"/>
  <cols>
    <col min="1" max="1" width="1.42578125" style="35" customWidth="1"/>
    <col min="2" max="2" width="35.7109375" style="35" customWidth="1"/>
    <col min="3" max="3" width="23" style="35" customWidth="1"/>
    <col min="4" max="4" width="10.140625" style="35" customWidth="1"/>
    <col min="5" max="5" width="7.140625" style="35"/>
    <col min="6" max="6" width="7.140625" style="35" customWidth="1"/>
    <col min="7" max="13" width="7.140625" style="35"/>
    <col min="14" max="14" width="7.140625" style="35" customWidth="1"/>
    <col min="15" max="16384" width="7.140625" style="35"/>
  </cols>
  <sheetData>
    <row r="2" spans="1:22" ht="30.75" customHeight="1" x14ac:dyDescent="0.25">
      <c r="A2" s="2" t="s">
        <v>1</v>
      </c>
      <c r="B2"/>
      <c r="P2" s="1" t="s">
        <v>459</v>
      </c>
    </row>
    <row r="3" spans="1:22" ht="9" customHeight="1" x14ac:dyDescent="0.25"/>
    <row r="4" spans="1:22" ht="15" x14ac:dyDescent="0.25">
      <c r="A4" s="5" t="s">
        <v>460</v>
      </c>
      <c r="T4" s="35" t="s">
        <v>0</v>
      </c>
    </row>
    <row r="5" spans="1:22" ht="14.25" customHeight="1" x14ac:dyDescent="0.25"/>
    <row r="6" spans="1:22" ht="14.25" hidden="1" customHeight="1" x14ac:dyDescent="0.25">
      <c r="B6" s="4" t="s">
        <v>461</v>
      </c>
    </row>
    <row r="7" spans="1:22" ht="6" hidden="1" customHeight="1" x14ac:dyDescent="0.25">
      <c r="B7" s="4"/>
      <c r="C7" s="6"/>
    </row>
    <row r="8" spans="1:22" ht="14.25" hidden="1" customHeight="1" thickBot="1" x14ac:dyDescent="0.3">
      <c r="B8" s="71" t="s">
        <v>229</v>
      </c>
      <c r="C8" s="71" t="s">
        <v>71</v>
      </c>
      <c r="D8" s="78"/>
      <c r="E8" s="79"/>
      <c r="F8" s="79"/>
      <c r="G8" s="79"/>
    </row>
    <row r="9" spans="1:22" ht="14.25" hidden="1" customHeight="1" x14ac:dyDescent="0.25">
      <c r="B9" s="77" t="str">
        <f>LOWER(CONCATENATE('7-Info'!$F$27,".",'Site Info'!$F$25))</f>
        <v>shpsan-01.speedcast.com</v>
      </c>
      <c r="C9" s="70">
        <f>'7-Info'!M30</f>
        <v>0</v>
      </c>
      <c r="D9" s="357" t="s">
        <v>466</v>
      </c>
      <c r="E9" s="358"/>
      <c r="F9" s="358"/>
      <c r="G9" s="358"/>
    </row>
    <row r="10" spans="1:22" ht="14.25" hidden="1" customHeight="1" thickBot="1" x14ac:dyDescent="0.3">
      <c r="B10" s="77" t="str">
        <f>LOWER(CONCATENATE('7-Info'!$F$36,".",'Site Info'!$F$25))</f>
        <v>shpsan-02.speedcast.com</v>
      </c>
      <c r="C10" s="70">
        <f>'7-Info'!M39</f>
        <v>0</v>
      </c>
      <c r="D10" s="78"/>
      <c r="E10" s="79"/>
      <c r="F10" s="79"/>
      <c r="G10" s="79"/>
    </row>
    <row r="11" spans="1:22" ht="14.25" hidden="1" customHeight="1" x14ac:dyDescent="0.25">
      <c r="B11" s="77" t="str">
        <f>LOWER(CONCATENATE('7-Info'!$F$27,"-sp.",'Site Info'!$F$25))</f>
        <v>shpsan-01-sp.speedcast.com</v>
      </c>
      <c r="C11" s="69" t="str">
        <f>Inventory!R15</f>
        <v>10.126.131.169</v>
      </c>
      <c r="D11" s="357" t="s">
        <v>465</v>
      </c>
      <c r="E11" s="358"/>
      <c r="F11" s="358"/>
      <c r="G11" s="358"/>
    </row>
    <row r="12" spans="1:22" ht="14.25" hidden="1" customHeight="1" thickBot="1" x14ac:dyDescent="0.3">
      <c r="B12" s="77" t="str">
        <f>LOWER(CONCATENATE('7-Info'!$F$36,"-sp.",'Site Info'!$F$25))</f>
        <v>shpsan-02-sp.speedcast.com</v>
      </c>
      <c r="C12" s="69" t="str">
        <f>Inventory!R16</f>
        <v>10.126.131.170</v>
      </c>
      <c r="F12" s="35" t="s">
        <v>1366</v>
      </c>
      <c r="O12" s="35" t="s">
        <v>1367</v>
      </c>
    </row>
    <row r="13" spans="1:22" ht="14.25" hidden="1" customHeight="1" x14ac:dyDescent="0.25">
      <c r="B13" s="77" t="str">
        <f>LOWER(CONCATENATE(MetroCluster!$G$9,".",'Site Info'!$F$25))</f>
        <v>.speedcast.com</v>
      </c>
      <c r="C13" s="169">
        <f>MetroCluster!J9</f>
        <v>0</v>
      </c>
      <c r="D13" s="357" t="s">
        <v>906</v>
      </c>
      <c r="E13" s="358"/>
      <c r="F13" s="358"/>
      <c r="G13" s="358"/>
      <c r="O13" s="35" t="s">
        <v>1368</v>
      </c>
    </row>
    <row r="14" spans="1:22" ht="14.25" hidden="1" customHeight="1" x14ac:dyDescent="0.25">
      <c r="B14" s="77" t="str">
        <f>LOWER(CONCATENATE(MetroCluster!$G$10,".",'Site Info'!$F$25))</f>
        <v>.speedcast.com</v>
      </c>
      <c r="C14" s="169">
        <f>MetroCluster!J10</f>
        <v>0</v>
      </c>
      <c r="V14" s="35">
        <v>77048</v>
      </c>
    </row>
    <row r="15" spans="1:22" ht="14.25" hidden="1" customHeight="1" x14ac:dyDescent="0.25">
      <c r="B15" s="77" t="str">
        <f>LOWER(CONCATENATE(MetroCluster!$G$11,".",'Site Info'!$F$25))</f>
        <v>.speedcast.com</v>
      </c>
      <c r="C15" s="169">
        <f>MetroCluster!J11</f>
        <v>0</v>
      </c>
    </row>
    <row r="16" spans="1:22" ht="14.25" hidden="1" customHeight="1" thickBot="1" x14ac:dyDescent="0.3">
      <c r="B16" s="77" t="str">
        <f>LOWER(CONCATENATE(MetroCluster!$G$12,".",'Site Info'!$F$25))</f>
        <v>.speedcast.com</v>
      </c>
      <c r="C16" s="169">
        <f>MetroCluster!J12</f>
        <v>0</v>
      </c>
    </row>
    <row r="17" spans="2:17" ht="14.25" hidden="1" customHeight="1" x14ac:dyDescent="0.25">
      <c r="B17" s="77" t="str">
        <f>LOWER(CONCATENATE(MetroCluster!$I$16,".",'Site Info'!$F$25))</f>
        <v>.speedcast.com</v>
      </c>
      <c r="C17" s="169">
        <f>MetroCluster!L16</f>
        <v>0</v>
      </c>
      <c r="D17" s="357" t="s">
        <v>907</v>
      </c>
      <c r="E17" s="358"/>
      <c r="F17" s="358"/>
      <c r="G17" s="358"/>
    </row>
    <row r="18" spans="2:17" ht="14.25" hidden="1" customHeight="1" x14ac:dyDescent="0.25">
      <c r="B18" s="77" t="str">
        <f>LOWER(CONCATENATE(MetroCluster!$I$17,".",'Site Info'!$F$25))</f>
        <v>.speedcast.com</v>
      </c>
      <c r="C18" s="169">
        <f>MetroCluster!L17</f>
        <v>0</v>
      </c>
      <c r="F18" s="35" t="s">
        <v>1371</v>
      </c>
      <c r="Q18" s="35" t="s">
        <v>1370</v>
      </c>
    </row>
    <row r="19" spans="2:17" ht="14.25" hidden="1" customHeight="1" x14ac:dyDescent="0.25">
      <c r="B19" s="77" t="str">
        <f>LOWER(CONCATENATE(MetroCluster!$I$18,".",'Site Info'!$F$25))</f>
        <v>.speedcast.com</v>
      </c>
      <c r="C19" s="169">
        <f>MetroCluster!L18</f>
        <v>0</v>
      </c>
      <c r="F19" s="35" t="s">
        <v>1372</v>
      </c>
      <c r="Q19" s="35" t="s">
        <v>1373</v>
      </c>
    </row>
    <row r="20" spans="2:17" ht="14.25" hidden="1" customHeight="1" x14ac:dyDescent="0.25">
      <c r="B20" s="77" t="str">
        <f>LOWER(CONCATENATE(MetroCluster!$I$19,".",'Site Info'!$F$25))</f>
        <v>.speedcast.com</v>
      </c>
      <c r="C20" s="169">
        <f>MetroCluster!L19</f>
        <v>0</v>
      </c>
    </row>
    <row r="21" spans="2:17" ht="14.25" hidden="1" customHeight="1" x14ac:dyDescent="0.25">
      <c r="B21" s="77" t="str">
        <f>LOWER(CONCATENATE(MetroCluster!$I$20,".",'Site Info'!$F$25))</f>
        <v>.speedcast.com</v>
      </c>
      <c r="C21" s="169">
        <f>MetroCluster!L20</f>
        <v>0</v>
      </c>
    </row>
    <row r="22" spans="2:17" ht="14.25" hidden="1" customHeight="1" x14ac:dyDescent="0.25">
      <c r="B22" s="77" t="str">
        <f>LOWER(CONCATENATE(MetroCluster!$I$21,".",'Site Info'!$F$25))</f>
        <v>.speedcast.com</v>
      </c>
      <c r="C22" s="169">
        <f>MetroCluster!L21</f>
        <v>0</v>
      </c>
    </row>
    <row r="23" spans="2:17" ht="14.25" hidden="1" customHeight="1" x14ac:dyDescent="0.25">
      <c r="B23" s="77" t="str">
        <f>LOWER(CONCATENATE(MetroCluster!$I$22,".",'Site Info'!$F$25))</f>
        <v>.speedcast.com</v>
      </c>
      <c r="C23" s="169">
        <f>MetroCluster!L22</f>
        <v>0</v>
      </c>
    </row>
    <row r="24" spans="2:17" ht="14.25" hidden="1" customHeight="1" x14ac:dyDescent="0.25">
      <c r="B24" s="77" t="str">
        <f>LOWER(CONCATENATE(MetroCluster!$I$23,".",'Site Info'!$F$25))</f>
        <v>.speedcast.com</v>
      </c>
      <c r="C24" s="169">
        <f>MetroCluster!L23</f>
        <v>0</v>
      </c>
    </row>
    <row r="25" spans="2:17" ht="14.25" hidden="1" customHeight="1" x14ac:dyDescent="0.25">
      <c r="C25" s="36" t="s">
        <v>462</v>
      </c>
      <c r="F25" s="35" t="s">
        <v>1372</v>
      </c>
    </row>
    <row r="26" spans="2:17" ht="14.25" customHeight="1" x14ac:dyDescent="0.25">
      <c r="C26" s="36"/>
      <c r="F26" s="35" t="s">
        <v>1374</v>
      </c>
      <c r="I26" s="35" t="s">
        <v>1375</v>
      </c>
    </row>
    <row r="27" spans="2:17" ht="14.25" customHeight="1" x14ac:dyDescent="0.25">
      <c r="B27" s="4" t="s">
        <v>467</v>
      </c>
    </row>
    <row r="28" spans="2:17" ht="6" customHeight="1" x14ac:dyDescent="0.25">
      <c r="B28" s="4"/>
      <c r="C28" s="6"/>
      <c r="F28" s="35" t="s">
        <v>1374</v>
      </c>
      <c r="I28" s="35" t="s">
        <v>1376</v>
      </c>
      <c r="Q28" s="35" t="s">
        <v>1374</v>
      </c>
    </row>
    <row r="29" spans="2:17" ht="14.25" customHeight="1" thickBot="1" x14ac:dyDescent="0.3">
      <c r="B29" s="71" t="s">
        <v>229</v>
      </c>
      <c r="C29" s="71" t="s">
        <v>71</v>
      </c>
      <c r="D29" s="78"/>
      <c r="E29" s="79"/>
      <c r="F29" s="79"/>
      <c r="G29" s="79"/>
    </row>
    <row r="30" spans="2:17" ht="14.25" customHeight="1" thickBot="1" x14ac:dyDescent="0.3">
      <c r="B30" s="77" t="str">
        <f>LOWER('c-Cluster'!E34)</f>
        <v>shpsan.speedcast.com</v>
      </c>
      <c r="C30" s="70" t="str">
        <f>'c-Cluster'!J34</f>
        <v>10.126.131.173</v>
      </c>
      <c r="D30" s="357" t="s">
        <v>360</v>
      </c>
      <c r="E30" s="358"/>
      <c r="F30" s="358"/>
      <c r="G30" s="358"/>
    </row>
    <row r="31" spans="2:17" ht="14.25" customHeight="1" x14ac:dyDescent="0.25">
      <c r="B31" s="77" t="str">
        <f>LOWER('c-Cluster'!E43)</f>
        <v>shpsan-01.speedcast.com</v>
      </c>
      <c r="C31" s="69" t="str">
        <f>'c-Cluster'!J43</f>
        <v>10.126.131.171</v>
      </c>
      <c r="D31" s="357" t="s">
        <v>466</v>
      </c>
      <c r="E31" s="358"/>
      <c r="F31" s="358"/>
      <c r="G31" s="358"/>
    </row>
    <row r="32" spans="2:17" ht="14.25" customHeight="1" x14ac:dyDescent="0.25">
      <c r="B32" s="77" t="str">
        <f>LOWER('c-Cluster'!E44)</f>
        <v>shpsan-02.speedcast.com</v>
      </c>
      <c r="C32" s="69" t="str">
        <f>'c-Cluster'!J44</f>
        <v>10.126.131.172</v>
      </c>
    </row>
    <row r="33" spans="2:14" ht="14.25" customHeight="1" x14ac:dyDescent="0.25">
      <c r="B33" s="77" t="str">
        <f>LOWER('c-Cluster'!E45)</f>
        <v/>
      </c>
      <c r="C33" s="69">
        <f>'c-Cluster'!J45</f>
        <v>0</v>
      </c>
    </row>
    <row r="34" spans="2:14" ht="14.25" customHeight="1" x14ac:dyDescent="0.25">
      <c r="B34" s="77" t="str">
        <f>LOWER('c-Cluster'!E46)</f>
        <v/>
      </c>
      <c r="C34" s="69">
        <f>'c-Cluster'!J46</f>
        <v>0</v>
      </c>
    </row>
    <row r="35" spans="2:14" ht="14.25" customHeight="1" x14ac:dyDescent="0.25">
      <c r="B35" s="77" t="str">
        <f>LOWER('c-Cluster'!E47)</f>
        <v/>
      </c>
      <c r="C35" s="69">
        <f>'c-Cluster'!J47</f>
        <v>0</v>
      </c>
      <c r="G35" s="35">
        <v>1852</v>
      </c>
      <c r="H35" s="35" t="s">
        <v>1377</v>
      </c>
      <c r="N35" s="35" t="s">
        <v>1378</v>
      </c>
    </row>
    <row r="36" spans="2:14" ht="14.25" customHeight="1" x14ac:dyDescent="0.25">
      <c r="B36" s="77" t="str">
        <f>LOWER('c-Cluster'!E48)</f>
        <v/>
      </c>
      <c r="C36" s="69">
        <f>'c-Cluster'!J48</f>
        <v>0</v>
      </c>
      <c r="G36" s="35">
        <v>1852</v>
      </c>
      <c r="H36" s="35" t="s">
        <v>1377</v>
      </c>
      <c r="N36" s="35" t="s">
        <v>1378</v>
      </c>
    </row>
    <row r="37" spans="2:14" ht="14.25" customHeight="1" x14ac:dyDescent="0.25">
      <c r="B37" s="77" t="str">
        <f>LOWER('c-Cluster'!E49)</f>
        <v/>
      </c>
      <c r="C37" s="69">
        <f>'c-Cluster'!J49</f>
        <v>0</v>
      </c>
    </row>
    <row r="38" spans="2:14" ht="14.25" customHeight="1" thickBot="1" x14ac:dyDescent="0.3">
      <c r="B38" s="77" t="str">
        <f>LOWER('c-Cluster'!E50)</f>
        <v/>
      </c>
      <c r="C38" s="69">
        <f>'c-Cluster'!J50</f>
        <v>0</v>
      </c>
      <c r="D38" s="78"/>
      <c r="E38" s="79"/>
      <c r="F38" s="79"/>
      <c r="G38" s="79"/>
    </row>
    <row r="39" spans="2:14" ht="14.25" customHeight="1" x14ac:dyDescent="0.25">
      <c r="B39" s="77" t="str">
        <f>IF(Inventory!C15&lt;&gt;"",LOWER(CONCATENATE(Inventory!C15,"-sp.",'Site Info'!$F$25)),"")</f>
        <v>shpsan-01-sp.speedcast.com</v>
      </c>
      <c r="C39" s="69" t="str">
        <f>Inventory!R15</f>
        <v>10.126.131.169</v>
      </c>
      <c r="D39" s="357" t="s">
        <v>465</v>
      </c>
      <c r="E39" s="358"/>
      <c r="F39" s="358"/>
      <c r="G39" s="358"/>
      <c r="H39" s="35" t="s">
        <v>1377</v>
      </c>
      <c r="N39" s="35" t="s">
        <v>1378</v>
      </c>
    </row>
    <row r="40" spans="2:14" ht="14.25" customHeight="1" x14ac:dyDescent="0.25">
      <c r="B40" s="77" t="str">
        <f>IF(Inventory!C16&lt;&gt;"",LOWER(CONCATENATE(Inventory!C16,"-sp.",'Site Info'!$F$25)),"")</f>
        <v>shpsan-02-sp.speedcast.com</v>
      </c>
      <c r="C40" s="69" t="str">
        <f>Inventory!R16</f>
        <v>10.126.131.170</v>
      </c>
    </row>
    <row r="41" spans="2:14" ht="14.25" customHeight="1" x14ac:dyDescent="0.25">
      <c r="B41" s="77" t="str">
        <f>IF(Inventory!C17&lt;&gt;"",LOWER(CONCATENATE(Inventory!C17,"-sp.",'Site Info'!$F$25)),"")</f>
        <v/>
      </c>
      <c r="C41" s="69">
        <f>Inventory!R17</f>
        <v>0</v>
      </c>
    </row>
    <row r="42" spans="2:14" ht="14.25" customHeight="1" x14ac:dyDescent="0.25">
      <c r="B42" s="77" t="str">
        <f>IF(Inventory!C18&lt;&gt;"",LOWER(CONCATENATE(Inventory!C18,"-sp.",'Site Info'!$F$25)),"")</f>
        <v/>
      </c>
      <c r="C42" s="69">
        <f>Inventory!R18</f>
        <v>0</v>
      </c>
    </row>
    <row r="43" spans="2:14" ht="14.25" customHeight="1" x14ac:dyDescent="0.25">
      <c r="B43" s="77" t="str">
        <f>IF(Inventory!C19&lt;&gt;"",LOWER(CONCATENATE(Inventory!C19,"-sp.",'Site Info'!$F$25)),"")</f>
        <v/>
      </c>
      <c r="C43" s="69">
        <f>Inventory!R19</f>
        <v>0</v>
      </c>
    </row>
    <row r="44" spans="2:14" ht="14.25" customHeight="1" x14ac:dyDescent="0.25">
      <c r="B44" s="77" t="str">
        <f>IF(Inventory!C20&lt;&gt;"",LOWER(CONCATENATE(Inventory!C20,"-sp.",'Site Info'!$F$25)),"")</f>
        <v/>
      </c>
      <c r="C44" s="69">
        <f>Inventory!R20</f>
        <v>0</v>
      </c>
    </row>
    <row r="45" spans="2:14" ht="14.25" customHeight="1" x14ac:dyDescent="0.25">
      <c r="B45" s="77" t="str">
        <f>IF(Inventory!C21&lt;&gt;"",LOWER(CONCATENATE(Inventory!C21,"-sp.",'Site Info'!$F$25)),"")</f>
        <v/>
      </c>
      <c r="C45" s="69">
        <f>Inventory!R21</f>
        <v>0</v>
      </c>
    </row>
    <row r="46" spans="2:14" ht="14.25" customHeight="1" thickBot="1" x14ac:dyDescent="0.3">
      <c r="B46" s="77" t="str">
        <f>IF(Inventory!C22&lt;&gt;"",LOWER(CONCATENATE(Inventory!C22,"-sp.",'Site Info'!$F$25)),"")</f>
        <v/>
      </c>
      <c r="C46" s="69">
        <f>Inventory!R22</f>
        <v>0</v>
      </c>
      <c r="D46" s="78"/>
      <c r="E46" s="79"/>
      <c r="F46" s="79"/>
      <c r="G46" s="79"/>
    </row>
    <row r="47" spans="2:14" ht="14.25" customHeight="1" x14ac:dyDescent="0.25">
      <c r="B47" s="8" t="str">
        <f>IF(Inventory!C80&lt;&gt;"",LOWER(CONCATENATE(Inventory!C80,".",'Site Info'!$F$25)),"")</f>
        <v>shpsan-sw-ci-01.speedcast.com</v>
      </c>
      <c r="C47" s="69">
        <f>Inventory!Q80</f>
        <v>0</v>
      </c>
      <c r="D47" s="357" t="s">
        <v>463</v>
      </c>
      <c r="E47" s="358"/>
      <c r="F47" s="358"/>
      <c r="G47" s="358"/>
    </row>
    <row r="48" spans="2:14" ht="14.25" customHeight="1" thickBot="1" x14ac:dyDescent="0.3">
      <c r="B48" s="8" t="str">
        <f>IF(Inventory!C81&lt;&gt;"",LOWER(CONCATENATE(Inventory!C81,".",'Site Info'!$F$25)),"")</f>
        <v>shpsan-sw-ci-02.speedcast.com</v>
      </c>
      <c r="C48" s="69">
        <f>Inventory!Q81</f>
        <v>0</v>
      </c>
      <c r="D48" s="78"/>
      <c r="E48" s="79"/>
      <c r="F48" s="79"/>
      <c r="G48" s="79"/>
    </row>
    <row r="49" spans="2:14" ht="14.25" customHeight="1" x14ac:dyDescent="0.25">
      <c r="B49" s="8" t="str">
        <f>IF(Inventory!C82&lt;&gt;"",LOWER(CONCATENATE(Inventory!C82,".",'Site Info'!$F$25)),"")</f>
        <v>shpsan-sw-mgt-01.speedcast.com</v>
      </c>
      <c r="C49" s="69">
        <f>Inventory!Q82</f>
        <v>0</v>
      </c>
      <c r="D49" s="357" t="s">
        <v>464</v>
      </c>
      <c r="E49" s="358"/>
      <c r="F49" s="358"/>
      <c r="G49" s="358"/>
      <c r="H49" s="35" t="s">
        <v>1377</v>
      </c>
      <c r="K49" s="35" t="s">
        <v>1349</v>
      </c>
      <c r="N49" s="35" t="s">
        <v>1378</v>
      </c>
    </row>
    <row r="50" spans="2:14" ht="14.25" customHeight="1" thickBot="1" x14ac:dyDescent="0.3">
      <c r="B50" s="187" t="str">
        <f>IF(Inventory!C83&lt;&gt;"",LOWER(CONCATENATE(Inventory!C83,".",'Site Info'!$F$25)),"")</f>
        <v>shpsan-sw-mgt-02.speedcast.com</v>
      </c>
      <c r="C50" s="186">
        <f>Inventory!Q83</f>
        <v>0</v>
      </c>
      <c r="D50" s="461"/>
      <c r="E50" s="462"/>
      <c r="F50" s="462"/>
      <c r="G50" s="462"/>
    </row>
    <row r="51" spans="2:14" ht="14.25" customHeight="1" x14ac:dyDescent="0.25">
      <c r="B51" s="191" t="str">
        <f>CONCATENATE('c-SVM-CIFS'!M25,".",'c-SVM-CIFS'!F11)</f>
        <v>shpsan-nas-01-admin.speedcast.com</v>
      </c>
      <c r="C51" s="189">
        <f>'c-SVM-CIFS'!J25</f>
        <v>0</v>
      </c>
      <c r="D51" s="458" t="s">
        <v>994</v>
      </c>
      <c r="E51" s="381"/>
      <c r="F51" s="381"/>
      <c r="G51" s="381"/>
      <c r="H51" s="381"/>
    </row>
    <row r="52" spans="2:14" ht="14.25" customHeight="1" x14ac:dyDescent="0.25">
      <c r="B52" s="191" t="str">
        <f>CONCATENATE('c-SVM-NFS'!M25,".",'c-SVM-CIFS'!F11)</f>
        <v>shpsan-nfs-01-admin.speedcast.com</v>
      </c>
      <c r="C52" s="189" t="str">
        <f>'c-SVM-NFS'!J25</f>
        <v>192.168.12.13</v>
      </c>
      <c r="D52" s="458"/>
      <c r="E52" s="381"/>
      <c r="F52" s="381"/>
      <c r="G52" s="381"/>
    </row>
    <row r="53" spans="2:14" ht="14.25" customHeight="1" x14ac:dyDescent="0.25">
      <c r="B53" s="199" t="str">
        <f>CONCATENATE('c-SVM-Block'!K9,".",'c-SVM-CIFS'!F11)</f>
        <v>shpsan-block-01.speedcast.com</v>
      </c>
      <c r="C53" s="200" t="str">
        <f>'c-SVM-Block'!J25</f>
        <v>10.126.131.179</v>
      </c>
      <c r="D53" s="459" t="s">
        <v>995</v>
      </c>
      <c r="E53" s="460"/>
      <c r="F53" s="460"/>
      <c r="G53" s="460"/>
      <c r="H53" s="460"/>
      <c r="I53" s="460"/>
      <c r="K53" s="35" t="s">
        <v>1349</v>
      </c>
      <c r="N53" s="35" t="s">
        <v>1380</v>
      </c>
    </row>
    <row r="54" spans="2:14" ht="14.25" customHeight="1" x14ac:dyDescent="0.25">
      <c r="B54" s="191" t="str">
        <f>CONCATENATE('c-SVM-HyperV'!M25,".",'c-SVM-CIFS'!F11)</f>
        <v>shpsan-hyperv-01-admin.speedcast.com</v>
      </c>
      <c r="C54" s="189">
        <f>'c-SVM-HyperV'!J25</f>
        <v>0</v>
      </c>
      <c r="D54" s="198"/>
      <c r="E54" s="193"/>
      <c r="F54" s="193"/>
      <c r="G54" s="193"/>
    </row>
    <row r="55" spans="2:14" ht="14.25" customHeight="1" thickBot="1" x14ac:dyDescent="0.3">
      <c r="B55" s="191" t="str">
        <f>CONCATENATE('c-SVM-InfiniteVol'!M25,".",'c-SVM-CIFS'!F11)</f>
        <v>shpsan-infinitevol-01-admin.speedcast.com</v>
      </c>
      <c r="C55" s="189">
        <f>'c-SVM-InfiniteVol'!J25</f>
        <v>0</v>
      </c>
      <c r="D55" s="461"/>
      <c r="E55" s="462"/>
      <c r="F55" s="462"/>
      <c r="G55" s="462"/>
    </row>
    <row r="56" spans="2:14" ht="14.25" customHeight="1" x14ac:dyDescent="0.25">
      <c r="B56" s="187" t="str">
        <f>CONCATENATE('c-SVM-CIFS'!$X$9,".",'c-SVM-CIFS'!$F$11)</f>
        <v>svmnas01.speedcast.com</v>
      </c>
      <c r="C56" s="186" t="str">
        <f>'c-SVM-CIFS'!J35</f>
        <v>10.126.131.177</v>
      </c>
      <c r="D56" s="357" t="s">
        <v>971</v>
      </c>
      <c r="E56" s="358"/>
      <c r="F56" s="358"/>
      <c r="G56" s="358"/>
    </row>
    <row r="57" spans="2:14" ht="14.25" customHeight="1" x14ac:dyDescent="0.25">
      <c r="B57" s="223" t="str">
        <f>CONCATENATE('c-SVM-CIFS'!$X$9,".",'c-SVM-CIFS'!$F$11)</f>
        <v>svmnas01.speedcast.com</v>
      </c>
      <c r="C57" s="186" t="str">
        <f>'c-SVM-CIFS'!J36</f>
        <v>10.126.131.178</v>
      </c>
      <c r="D57" s="188"/>
      <c r="E57" s="188"/>
      <c r="F57" s="188"/>
      <c r="G57" s="188"/>
    </row>
    <row r="58" spans="2:14" ht="14.25" customHeight="1" x14ac:dyDescent="0.25">
      <c r="B58" s="223" t="str">
        <f>CONCATENATE('c-SVM-CIFS'!$X$9,".",'c-SVM-CIFS'!$F$11)</f>
        <v>svmnas01.speedcast.com</v>
      </c>
      <c r="C58" s="201">
        <f>'c-SVM-CIFS'!J37</f>
        <v>0</v>
      </c>
      <c r="D58" s="188"/>
      <c r="E58" s="188"/>
      <c r="F58" s="188"/>
      <c r="G58" s="188"/>
    </row>
    <row r="59" spans="2:14" ht="14.25" customHeight="1" x14ac:dyDescent="0.25">
      <c r="B59" s="223" t="str">
        <f>CONCATENATE('c-SVM-CIFS'!$X$9,".",'c-SVM-CIFS'!$F$11)</f>
        <v>svmnas01.speedcast.com</v>
      </c>
      <c r="C59" s="201">
        <f>'c-SVM-CIFS'!J38</f>
        <v>0</v>
      </c>
      <c r="D59" s="202"/>
      <c r="E59" s="202"/>
      <c r="F59" s="202"/>
      <c r="G59" s="202"/>
    </row>
    <row r="60" spans="2:14" ht="14.25" customHeight="1" x14ac:dyDescent="0.25">
      <c r="B60" s="223" t="str">
        <f>CONCATENATE('c-SVM-CIFS'!$X$9,".",'c-SVM-CIFS'!$F$11)</f>
        <v>svmnas01.speedcast.com</v>
      </c>
      <c r="C60" s="201">
        <f>'c-SVM-CIFS'!J39</f>
        <v>0</v>
      </c>
      <c r="D60" s="202"/>
      <c r="E60" s="202"/>
      <c r="F60" s="202"/>
      <c r="G60" s="202"/>
    </row>
    <row r="61" spans="2:14" ht="14.25" customHeight="1" x14ac:dyDescent="0.25">
      <c r="B61" s="223" t="str">
        <f>CONCATENATE('c-SVM-CIFS'!$X$9,".",'c-SVM-CIFS'!$F$11)</f>
        <v>svmnas01.speedcast.com</v>
      </c>
      <c r="C61" s="201">
        <f>'c-SVM-CIFS'!J40</f>
        <v>0</v>
      </c>
      <c r="D61" s="202"/>
      <c r="E61" s="202"/>
      <c r="F61" s="202"/>
      <c r="G61" s="202"/>
    </row>
    <row r="62" spans="2:14" ht="14.25" customHeight="1" x14ac:dyDescent="0.25">
      <c r="B62" s="223" t="str">
        <f>CONCATENATE('c-SVM-CIFS'!$X$9,".",'c-SVM-CIFS'!$F$11)</f>
        <v>svmnas01.speedcast.com</v>
      </c>
      <c r="C62" s="209">
        <f>'c-SVM-CIFS'!J41</f>
        <v>0</v>
      </c>
      <c r="D62" s="381"/>
      <c r="E62" s="381"/>
      <c r="F62" s="381"/>
      <c r="G62" s="381"/>
    </row>
    <row r="63" spans="2:14" ht="14.25" customHeight="1" thickBot="1" x14ac:dyDescent="0.3">
      <c r="B63" s="223" t="str">
        <f>CONCATENATE('c-SVM-CIFS'!$X$9,".",'c-SVM-CIFS'!$F$11)</f>
        <v>svmnas01.speedcast.com</v>
      </c>
      <c r="C63" s="201">
        <f>'c-SVM-CIFS'!J42</f>
        <v>0</v>
      </c>
      <c r="D63" s="461"/>
      <c r="E63" s="462"/>
      <c r="F63" s="462"/>
      <c r="G63" s="462"/>
    </row>
    <row r="64" spans="2:14" ht="14.25" customHeight="1" x14ac:dyDescent="0.25">
      <c r="B64" s="210" t="str">
        <f>CONCATENATE('c-SVM-HyperV'!$S$9,".",'c-SVM-HyperV'!$F$11)</f>
        <v>.speedcast.com</v>
      </c>
      <c r="C64" s="209">
        <f>'c-SVM-HyperV'!J35</f>
        <v>0</v>
      </c>
      <c r="D64" s="458" t="s">
        <v>1061</v>
      </c>
      <c r="E64" s="381"/>
      <c r="F64" s="381"/>
      <c r="G64" s="381"/>
      <c r="H64" s="381"/>
      <c r="I64" s="381"/>
      <c r="K64" s="35" t="s">
        <v>1349</v>
      </c>
      <c r="N64" s="35" t="s">
        <v>1378</v>
      </c>
    </row>
    <row r="65" spans="2:7" ht="14.25" customHeight="1" x14ac:dyDescent="0.25">
      <c r="B65" s="223" t="str">
        <f>CONCATENATE('c-SVM-HyperV'!$S$9,".",'c-SVM-HyperV'!$F$11)</f>
        <v>.speedcast.com</v>
      </c>
      <c r="C65" s="209">
        <f>'c-SVM-HyperV'!J36</f>
        <v>0</v>
      </c>
      <c r="D65" s="211"/>
      <c r="E65" s="211"/>
      <c r="F65" s="211"/>
      <c r="G65" s="211"/>
    </row>
    <row r="66" spans="2:7" ht="14.25" customHeight="1" x14ac:dyDescent="0.25">
      <c r="B66" s="223" t="str">
        <f>CONCATENATE('c-SVM-HyperV'!$S$9,".",'c-SVM-HyperV'!$F$11)</f>
        <v>.speedcast.com</v>
      </c>
      <c r="C66" s="209">
        <f>'c-SVM-HyperV'!J37</f>
        <v>0</v>
      </c>
      <c r="D66" s="211"/>
      <c r="E66" s="211"/>
      <c r="F66" s="211"/>
      <c r="G66" s="211"/>
    </row>
    <row r="67" spans="2:7" ht="14.25" customHeight="1" x14ac:dyDescent="0.25">
      <c r="B67" s="223" t="str">
        <f>CONCATENATE('c-SVM-HyperV'!$S$9,".",'c-SVM-HyperV'!$F$11)</f>
        <v>.speedcast.com</v>
      </c>
      <c r="C67" s="209">
        <f>'c-SVM-HyperV'!J38</f>
        <v>0</v>
      </c>
      <c r="D67" s="211"/>
      <c r="E67" s="211"/>
      <c r="F67" s="211"/>
      <c r="G67" s="211"/>
    </row>
    <row r="68" spans="2:7" ht="14.25" customHeight="1" x14ac:dyDescent="0.25">
      <c r="B68" s="223" t="str">
        <f>CONCATENATE('c-SVM-HyperV'!$S$9,".",'c-SVM-HyperV'!$F$11)</f>
        <v>.speedcast.com</v>
      </c>
      <c r="C68" s="209">
        <f>'c-SVM-HyperV'!J39</f>
        <v>0</v>
      </c>
      <c r="D68" s="211"/>
      <c r="E68" s="211"/>
      <c r="F68" s="211"/>
      <c r="G68" s="211"/>
    </row>
    <row r="69" spans="2:7" ht="14.25" customHeight="1" x14ac:dyDescent="0.25">
      <c r="B69" s="223" t="str">
        <f>CONCATENATE('c-SVM-HyperV'!$S$9,".",'c-SVM-HyperV'!$F$11)</f>
        <v>.speedcast.com</v>
      </c>
      <c r="C69" s="209">
        <f>'c-SVM-HyperV'!J40</f>
        <v>0</v>
      </c>
      <c r="D69" s="211"/>
      <c r="E69" s="211"/>
      <c r="F69" s="211"/>
      <c r="G69" s="211"/>
    </row>
    <row r="70" spans="2:7" ht="14.25" customHeight="1" x14ac:dyDescent="0.25">
      <c r="B70" s="223" t="str">
        <f>CONCATENATE('c-SVM-HyperV'!$S$9,".",'c-SVM-HyperV'!$F$11)</f>
        <v>.speedcast.com</v>
      </c>
      <c r="C70" s="209">
        <f>'c-SVM-HyperV'!J41</f>
        <v>0</v>
      </c>
      <c r="D70" s="211"/>
      <c r="E70" s="211"/>
      <c r="F70" s="211"/>
      <c r="G70" s="211"/>
    </row>
    <row r="71" spans="2:7" ht="14.25" customHeight="1" x14ac:dyDescent="0.25">
      <c r="B71" s="223" t="str">
        <f>CONCATENATE('c-SVM-HyperV'!$S$9,".",'c-SVM-HyperV'!$F$11)</f>
        <v>.speedcast.com</v>
      </c>
      <c r="C71" s="209">
        <f>'c-SVM-HyperV'!J42</f>
        <v>0</v>
      </c>
    </row>
    <row r="72" spans="2:7" ht="14.25" customHeight="1" x14ac:dyDescent="0.25">
      <c r="C72" s="36" t="s">
        <v>462</v>
      </c>
    </row>
    <row r="73" spans="2:7" ht="14.25" customHeight="1" x14ac:dyDescent="0.25">
      <c r="C73" s="36"/>
    </row>
    <row r="74" spans="2:7" ht="14.25" hidden="1" customHeight="1" x14ac:dyDescent="0.25">
      <c r="B74" s="216" t="s">
        <v>1078</v>
      </c>
    </row>
    <row r="75" spans="2:7" ht="14.25" hidden="1" customHeight="1" x14ac:dyDescent="0.25">
      <c r="B75" s="216"/>
      <c r="C75" s="6"/>
    </row>
    <row r="76" spans="2:7" ht="14.25" hidden="1" customHeight="1" thickBot="1" x14ac:dyDescent="0.3">
      <c r="B76" s="214" t="s">
        <v>229</v>
      </c>
      <c r="C76" s="214" t="s">
        <v>71</v>
      </c>
      <c r="D76" s="78"/>
      <c r="E76" s="79"/>
      <c r="F76" s="79"/>
      <c r="G76" s="79"/>
    </row>
    <row r="77" spans="2:7" ht="14.25" hidden="1" customHeight="1" x14ac:dyDescent="0.25">
      <c r="B77" s="208" t="str">
        <f>LOWER(CONCATENATE(Inventory!$C$27,".",'Site Info'!$F$25))</f>
        <v>.speedcast.com</v>
      </c>
      <c r="C77" s="213">
        <f>Inventory!O27</f>
        <v>0</v>
      </c>
      <c r="D77" s="357" t="s">
        <v>1064</v>
      </c>
      <c r="E77" s="358"/>
      <c r="F77" s="358"/>
      <c r="G77" s="358"/>
    </row>
    <row r="78" spans="2:7" ht="14.25" hidden="1" customHeight="1" thickBot="1" x14ac:dyDescent="0.3">
      <c r="B78" s="222" t="str">
        <f>LOWER(CONCATENATE(Inventory!$C$27,".",'Site Info'!$F$25))</f>
        <v>.speedcast.com</v>
      </c>
      <c r="C78" s="221">
        <f>Inventory!R27</f>
        <v>0</v>
      </c>
      <c r="E78" s="83"/>
      <c r="F78" s="83"/>
      <c r="G78" s="83"/>
    </row>
    <row r="79" spans="2:7" ht="14.25" hidden="1" customHeight="1" x14ac:dyDescent="0.25">
      <c r="B79" s="208" t="str">
        <f>LOWER(CONCATENATE(Inventory!$C$28,".",'Site Info'!$F$25))</f>
        <v>.speedcast.com</v>
      </c>
      <c r="C79" s="213">
        <f>Inventory!O28</f>
        <v>0</v>
      </c>
      <c r="D79" s="83" t="s">
        <v>1102</v>
      </c>
      <c r="E79" s="83"/>
      <c r="F79" s="83"/>
      <c r="G79" s="83"/>
    </row>
    <row r="80" spans="2:7" ht="14.25" hidden="1" customHeight="1" thickBot="1" x14ac:dyDescent="0.3">
      <c r="B80" s="222" t="str">
        <f>LOWER(CONCATENATE(Inventory!$C$28,".",'Site Info'!$F$25))</f>
        <v>.speedcast.com</v>
      </c>
      <c r="C80" s="221">
        <f>Inventory!R28</f>
        <v>0</v>
      </c>
      <c r="D80" s="83"/>
      <c r="E80" s="83"/>
      <c r="F80" s="83"/>
      <c r="G80" s="83"/>
    </row>
    <row r="81" spans="2:7" ht="14.25" hidden="1" customHeight="1" x14ac:dyDescent="0.25">
      <c r="B81" s="208" t="str">
        <f>LOWER(CONCATENATE(Inventory!$C$29,".",'Site Info'!$F$25))</f>
        <v>.speedcast.com</v>
      </c>
      <c r="C81" s="213">
        <f>Inventory!O29</f>
        <v>0</v>
      </c>
      <c r="D81" s="83"/>
      <c r="E81" s="83"/>
      <c r="F81" s="83"/>
      <c r="G81" s="83"/>
    </row>
    <row r="82" spans="2:7" ht="14.25" hidden="1" customHeight="1" thickBot="1" x14ac:dyDescent="0.3">
      <c r="B82" s="222" t="str">
        <f>LOWER(CONCATENATE(Inventory!$C$29,".",'Site Info'!$F$25))</f>
        <v>.speedcast.com</v>
      </c>
      <c r="C82" s="221">
        <f>Inventory!R29</f>
        <v>0</v>
      </c>
      <c r="D82" s="83"/>
      <c r="E82" s="83"/>
      <c r="F82" s="83"/>
      <c r="G82" s="83"/>
    </row>
    <row r="83" spans="2:7" ht="14.25" hidden="1" customHeight="1" x14ac:dyDescent="0.25">
      <c r="B83" s="208" t="str">
        <f>LOWER(CONCATENATE(Inventory!$C$30,".",'Site Info'!$F$25))</f>
        <v>.speedcast.com</v>
      </c>
      <c r="C83" s="213">
        <f>Inventory!O30</f>
        <v>0</v>
      </c>
      <c r="D83" s="83"/>
      <c r="E83" s="83"/>
      <c r="F83" s="83"/>
      <c r="G83" s="83"/>
    </row>
    <row r="84" spans="2:7" ht="14.25" hidden="1" customHeight="1" x14ac:dyDescent="0.25">
      <c r="B84" s="208" t="str">
        <f>LOWER(CONCATENATE(Inventory!$C$30,".",'Site Info'!$F$25))</f>
        <v>.speedcast.com</v>
      </c>
      <c r="C84" s="213">
        <f>Inventory!R30</f>
        <v>0</v>
      </c>
      <c r="D84" s="83"/>
      <c r="E84" s="83"/>
      <c r="F84" s="83"/>
      <c r="G84" s="83"/>
    </row>
    <row r="85" spans="2:7" ht="14.25" hidden="1" customHeight="1" x14ac:dyDescent="0.25">
      <c r="B85" s="51"/>
      <c r="C85" s="36" t="s">
        <v>462</v>
      </c>
      <c r="D85" s="83"/>
      <c r="E85" s="83"/>
      <c r="F85" s="83"/>
      <c r="G85" s="83"/>
    </row>
    <row r="86" spans="2:7" ht="14.25" customHeight="1" x14ac:dyDescent="0.25">
      <c r="B86" s="51"/>
      <c r="C86" s="217"/>
      <c r="D86" s="83"/>
      <c r="E86" s="83"/>
      <c r="F86" s="83"/>
      <c r="G86" s="83"/>
    </row>
    <row r="87" spans="2:7" ht="14.25" hidden="1" customHeight="1" x14ac:dyDescent="0.25">
      <c r="B87" s="4" t="s">
        <v>468</v>
      </c>
    </row>
    <row r="88" spans="2:7" ht="6" hidden="1" customHeight="1" x14ac:dyDescent="0.25">
      <c r="B88" s="4"/>
      <c r="C88" s="6"/>
    </row>
    <row r="89" spans="2:7" ht="14.25" hidden="1" customHeight="1" thickBot="1" x14ac:dyDescent="0.3">
      <c r="B89" s="71" t="s">
        <v>229</v>
      </c>
      <c r="C89" s="71" t="s">
        <v>71</v>
      </c>
    </row>
    <row r="90" spans="2:7" ht="14.25" hidden="1" customHeight="1" x14ac:dyDescent="0.25">
      <c r="B90" s="77" t="str">
        <f>IF(VMware!C43&lt;&gt;0,LOWER(CONCATENATE(VMware!C43,".",VMware!$N$21)),"")</f>
        <v/>
      </c>
      <c r="C90" s="70">
        <f>VMware!K43</f>
        <v>0</v>
      </c>
    </row>
    <row r="91" spans="2:7" ht="14.25" hidden="1" customHeight="1" x14ac:dyDescent="0.25">
      <c r="B91" s="77" t="str">
        <f>IF(VMware!C44&lt;&gt;0,LOWER(CONCATENATE(VMware!C44,".",VMware!$N$21)),"")</f>
        <v/>
      </c>
      <c r="C91" s="70">
        <f>VMware!K44</f>
        <v>0</v>
      </c>
    </row>
    <row r="92" spans="2:7" ht="14.25" hidden="1" customHeight="1" x14ac:dyDescent="0.25">
      <c r="B92" s="77" t="str">
        <f>IF(VMware!C45&lt;&gt;0,LOWER(CONCATENATE(VMware!C45,".",VMware!$N$21)),"")</f>
        <v/>
      </c>
      <c r="C92" s="70">
        <f>VMware!K45</f>
        <v>0</v>
      </c>
    </row>
    <row r="93" spans="2:7" ht="14.25" hidden="1" customHeight="1" x14ac:dyDescent="0.25">
      <c r="B93" s="77" t="str">
        <f>IF(VMware!C46&lt;&gt;0,LOWER(CONCATENATE(VMware!C46,".",VMware!$N$21)),"")</f>
        <v/>
      </c>
      <c r="C93" s="70">
        <f>VMware!K46</f>
        <v>0</v>
      </c>
    </row>
    <row r="94" spans="2:7" ht="14.25" hidden="1" customHeight="1" x14ac:dyDescent="0.25">
      <c r="B94" s="77" t="str">
        <f>IF(VMware!C47&lt;&gt;0,LOWER(CONCATENATE(VMware!C47,".",VMware!$N$21)),"")</f>
        <v/>
      </c>
      <c r="C94" s="70">
        <f>VMware!K47</f>
        <v>0</v>
      </c>
    </row>
    <row r="95" spans="2:7" ht="14.25" hidden="1" customHeight="1" x14ac:dyDescent="0.25">
      <c r="B95" s="77" t="str">
        <f>IF(VMware!C48&lt;&gt;0,LOWER(CONCATENATE(VMware!C48,".",VMware!$N$21)),"")</f>
        <v/>
      </c>
      <c r="C95" s="70">
        <f>VMware!K48</f>
        <v>0</v>
      </c>
    </row>
    <row r="96" spans="2:7" ht="14.25" hidden="1" customHeight="1" x14ac:dyDescent="0.25">
      <c r="B96" s="77" t="str">
        <f>IF(VMware!C49&lt;&gt;0,LOWER(CONCATENATE(VMware!C49,".",VMware!$N$21)),"")</f>
        <v/>
      </c>
      <c r="C96" s="70" t="str">
        <f>VMware!K49</f>
        <v>255.255.255.0</v>
      </c>
    </row>
    <row r="97" spans="2:8" ht="14.25" hidden="1" customHeight="1" x14ac:dyDescent="0.25">
      <c r="B97" s="77" t="str">
        <f>IF(VMware!C50&lt;&gt;0,LOWER(CONCATENATE(VMware!C50,".",VMware!$N$21)),"")</f>
        <v/>
      </c>
      <c r="C97" s="70">
        <f>VMware!K50</f>
        <v>0</v>
      </c>
    </row>
    <row r="98" spans="2:8" ht="14.25" hidden="1" customHeight="1" x14ac:dyDescent="0.25">
      <c r="C98" s="36" t="s">
        <v>462</v>
      </c>
    </row>
    <row r="99" spans="2:8" ht="14.25" hidden="1" customHeight="1" x14ac:dyDescent="0.25">
      <c r="C99" s="36"/>
    </row>
    <row r="100" spans="2:8" ht="14.25" hidden="1" customHeight="1" x14ac:dyDescent="0.25">
      <c r="B100" s="4" t="s">
        <v>469</v>
      </c>
    </row>
    <row r="101" spans="2:8" ht="6" hidden="1" customHeight="1" x14ac:dyDescent="0.25">
      <c r="B101" s="4"/>
      <c r="C101" s="6"/>
    </row>
    <row r="102" spans="2:8" ht="14.25" hidden="1" customHeight="1" thickBot="1" x14ac:dyDescent="0.3">
      <c r="B102" s="71" t="s">
        <v>229</v>
      </c>
      <c r="C102" s="71" t="s">
        <v>71</v>
      </c>
      <c r="D102" s="78"/>
      <c r="E102" s="79"/>
      <c r="F102" s="79"/>
      <c r="G102" s="79"/>
    </row>
    <row r="103" spans="2:8" ht="14.25" hidden="1" customHeight="1" x14ac:dyDescent="0.25">
      <c r="B103" s="77" t="str">
        <f>LOWER(CONCATENATE(UCS!F39,".",UCS!$F$21))</f>
        <v>-9k-a.speedcast.com</v>
      </c>
      <c r="C103" s="70">
        <f>UCS!O40</f>
        <v>0</v>
      </c>
      <c r="D103" s="357" t="s">
        <v>471</v>
      </c>
      <c r="E103" s="358"/>
      <c r="F103" s="358"/>
      <c r="G103" s="358"/>
    </row>
    <row r="104" spans="2:8" ht="14.25" hidden="1" customHeight="1" thickBot="1" x14ac:dyDescent="0.3">
      <c r="B104" s="77" t="str">
        <f>LOWER(CONCATENATE(UCS!F40,".",UCS!$F$21))</f>
        <v>-9k-b.speedcast.com</v>
      </c>
      <c r="C104" s="70">
        <f>UCS!O41</f>
        <v>0</v>
      </c>
      <c r="D104" s="78"/>
      <c r="E104" s="79"/>
      <c r="F104" s="79"/>
      <c r="G104" s="79"/>
    </row>
    <row r="105" spans="2:8" ht="14.25" hidden="1" customHeight="1" thickBot="1" x14ac:dyDescent="0.3">
      <c r="B105" s="77" t="str">
        <f>LOWER(CONCATENATE(UCS!F46,".",UCS!$F$21))</f>
        <v>0.speedcast.com</v>
      </c>
      <c r="C105" s="70">
        <f>UCS!O47</f>
        <v>0</v>
      </c>
      <c r="D105" s="463" t="s">
        <v>112</v>
      </c>
      <c r="E105" s="464"/>
      <c r="F105" s="464"/>
      <c r="G105" s="464"/>
    </row>
    <row r="106" spans="2:8" ht="14.25" hidden="1" customHeight="1" x14ac:dyDescent="0.25">
      <c r="B106" s="77" t="str">
        <f>LOWER(CONCATENATE(UCS!F47,".",UCS!$F$21))</f>
        <v>-a.speedcast.com</v>
      </c>
      <c r="C106" s="70">
        <f>UCS!O48</f>
        <v>0</v>
      </c>
      <c r="D106" s="357" t="s">
        <v>80</v>
      </c>
      <c r="E106" s="358"/>
      <c r="F106" s="358"/>
      <c r="G106" s="358"/>
    </row>
    <row r="107" spans="2:8" ht="14.25" hidden="1" customHeight="1" thickBot="1" x14ac:dyDescent="0.3">
      <c r="B107" s="77" t="str">
        <f>LOWER(CONCATENATE(UCS!F48,".",UCS!$F$21))</f>
        <v>-b.speedcast.com</v>
      </c>
      <c r="C107" s="190">
        <f>UCS!O49</f>
        <v>0</v>
      </c>
      <c r="D107" s="194"/>
      <c r="E107" s="195"/>
      <c r="F107" s="195"/>
      <c r="G107" s="195"/>
    </row>
    <row r="108" spans="2:8" ht="14.25" hidden="1" customHeight="1" x14ac:dyDescent="0.25">
      <c r="B108" s="77" t="str">
        <f>LOWER(CONCATENATE(Inventory!C97,".",UCS!$F$21))</f>
        <v>-3048-a.speedcast.com</v>
      </c>
      <c r="C108" s="190">
        <f>Inventory!Q97</f>
        <v>0</v>
      </c>
      <c r="D108" s="458" t="s">
        <v>1009</v>
      </c>
      <c r="E108" s="381"/>
      <c r="F108" s="381"/>
      <c r="G108" s="381"/>
      <c r="H108" s="381"/>
    </row>
    <row r="109" spans="2:8" ht="14.25" hidden="1" customHeight="1" thickBot="1" x14ac:dyDescent="0.3">
      <c r="B109" s="208" t="str">
        <f>LOWER(CONCATENATE(Inventory!C98,".",UCS!$F$21))</f>
        <v>-3048-b.speedcast.com</v>
      </c>
      <c r="C109" s="282">
        <f>Inventory!Q97</f>
        <v>0</v>
      </c>
      <c r="D109" s="78"/>
      <c r="E109" s="79"/>
      <c r="F109" s="79"/>
      <c r="G109" s="79"/>
    </row>
    <row r="110" spans="2:8" ht="14.25" hidden="1" customHeight="1" x14ac:dyDescent="0.25">
      <c r="B110" s="77" t="str">
        <f>LOWER(CONCATENATE(UCS!B138,".",UCS!$F$21))</f>
        <v>.speedcast.com</v>
      </c>
      <c r="C110" s="190">
        <f>UCS!E138</f>
        <v>0</v>
      </c>
      <c r="D110" s="458" t="s">
        <v>1329</v>
      </c>
      <c r="E110" s="381"/>
      <c r="F110" s="381"/>
      <c r="G110" s="381"/>
      <c r="H110" s="381"/>
    </row>
    <row r="111" spans="2:8" ht="14.25" hidden="1" customHeight="1" x14ac:dyDescent="0.25">
      <c r="B111" s="208" t="str">
        <f>LOWER(CONCATENATE(UCS!B139,".",UCS!$F$21))</f>
        <v>.speedcast.com</v>
      </c>
      <c r="C111" s="282">
        <f>UCS!E139</f>
        <v>0</v>
      </c>
    </row>
    <row r="112" spans="2:8" ht="14.25" hidden="1" customHeight="1" x14ac:dyDescent="0.25">
      <c r="B112" s="208" t="str">
        <f>LOWER(CONCATENATE(UCS!B140,".",UCS!$F$21))</f>
        <v>.speedcast.com</v>
      </c>
      <c r="C112" s="282">
        <f>UCS!E140</f>
        <v>0</v>
      </c>
    </row>
    <row r="113" spans="2:10" ht="14.25" hidden="1" customHeight="1" x14ac:dyDescent="0.25">
      <c r="B113" s="208" t="str">
        <f>LOWER(CONCATENATE(UCS!B141,".",UCS!$F$21))</f>
        <v>.speedcast.com</v>
      </c>
      <c r="C113" s="282">
        <f>UCS!E141</f>
        <v>0</v>
      </c>
    </row>
    <row r="114" spans="2:10" ht="14.25" hidden="1" customHeight="1" x14ac:dyDescent="0.25">
      <c r="B114" s="208" t="str">
        <f>LOWER(CONCATENATE(UCS!B142,".",UCS!$F$21))</f>
        <v>.speedcast.com</v>
      </c>
      <c r="C114" s="282">
        <f>UCS!E142</f>
        <v>0</v>
      </c>
    </row>
    <row r="115" spans="2:10" ht="14.25" hidden="1" customHeight="1" x14ac:dyDescent="0.25">
      <c r="C115" s="36"/>
    </row>
    <row r="116" spans="2:10" ht="14.25" hidden="1" customHeight="1" x14ac:dyDescent="0.25">
      <c r="C116" s="36" t="s">
        <v>462</v>
      </c>
    </row>
    <row r="117" spans="2:10" ht="14.25" hidden="1" customHeight="1" x14ac:dyDescent="0.25"/>
    <row r="118" spans="2:10" ht="14.25" hidden="1" customHeight="1" x14ac:dyDescent="0.25"/>
    <row r="119" spans="2:10" ht="14.25" hidden="1" customHeight="1" x14ac:dyDescent="0.25">
      <c r="B119" s="205" t="s">
        <v>1035</v>
      </c>
    </row>
    <row r="120" spans="2:10" ht="5.0999999999999996" hidden="1" customHeight="1" x14ac:dyDescent="0.25">
      <c r="B120" s="205"/>
      <c r="C120" s="6"/>
    </row>
    <row r="121" spans="2:10" ht="14.25" hidden="1" customHeight="1" thickBot="1" x14ac:dyDescent="0.3">
      <c r="B121" s="204" t="s">
        <v>229</v>
      </c>
      <c r="C121" s="311" t="s">
        <v>1036</v>
      </c>
      <c r="D121" s="311"/>
      <c r="E121" s="311"/>
      <c r="F121" s="311"/>
      <c r="G121" s="311"/>
      <c r="H121" s="311" t="s">
        <v>71</v>
      </c>
      <c r="I121" s="311"/>
      <c r="J121" s="311"/>
    </row>
    <row r="122" spans="2:10" ht="14.25" hidden="1" customHeight="1" x14ac:dyDescent="0.25">
      <c r="B122" s="77" t="str">
        <f>LOWER(CONCATENATE(Inventory!$C$39,".",'Site Info'!$F$25))</f>
        <v>.speedcast.com</v>
      </c>
      <c r="C122" s="465" t="str">
        <f>CONCATENATE(Inventory!$G$39)</f>
        <v>1852</v>
      </c>
      <c r="D122" s="465"/>
      <c r="E122" s="465"/>
      <c r="F122" s="465"/>
      <c r="G122" s="465"/>
      <c r="H122" s="302">
        <f>Inventory!$T$39</f>
        <v>0</v>
      </c>
      <c r="I122" s="302"/>
      <c r="J122" s="302"/>
    </row>
    <row r="123" spans="2:10" ht="14.25" hidden="1" customHeight="1" x14ac:dyDescent="0.25">
      <c r="B123" s="208" t="str">
        <f>LOWER(CONCATENATE(Inventory!$C$40,".",'Site Info'!$F$25))</f>
        <v>.speedcast.com</v>
      </c>
      <c r="C123" s="305" t="str">
        <f>CONCATENATE(Inventory!$G$40)</f>
        <v/>
      </c>
      <c r="D123" s="305"/>
      <c r="E123" s="305"/>
      <c r="F123" s="305"/>
      <c r="G123" s="305"/>
      <c r="H123" s="291">
        <f>Inventory!$T$40</f>
        <v>0</v>
      </c>
      <c r="I123" s="291"/>
      <c r="J123" s="291"/>
    </row>
    <row r="124" spans="2:10" ht="14.25" hidden="1" customHeight="1" x14ac:dyDescent="0.25">
      <c r="B124" s="208" t="str">
        <f>LOWER(CONCATENATE(Inventory!$C$41,".",'Site Info'!$F$25))</f>
        <v>.speedcast.com</v>
      </c>
      <c r="C124" s="305" t="str">
        <f>CONCATENATE(Inventory!$G$41)</f>
        <v>NetApp VSC Plugin Server</v>
      </c>
      <c r="D124" s="305"/>
      <c r="E124" s="305"/>
      <c r="F124" s="305"/>
      <c r="G124" s="305"/>
      <c r="H124" s="291">
        <f>Inventory!$T$41</f>
        <v>0</v>
      </c>
      <c r="I124" s="291"/>
      <c r="J124" s="291"/>
    </row>
    <row r="125" spans="2:10" ht="14.25" hidden="1" customHeight="1" x14ac:dyDescent="0.25">
      <c r="B125" s="208" t="str">
        <f>LOWER(CONCATENATE(Inventory!$C$42,".",'Site Info'!$F$25))</f>
        <v>.speedcast.com</v>
      </c>
      <c r="C125" s="305" t="str">
        <f>CONCATENATE(Inventory!$G$42)</f>
        <v>Vmware vCenter Server (PCS role) Appliance</v>
      </c>
      <c r="D125" s="305"/>
      <c r="E125" s="305"/>
      <c r="F125" s="305"/>
      <c r="G125" s="305"/>
      <c r="H125" s="291">
        <f>Inventory!$T$42</f>
        <v>0</v>
      </c>
      <c r="I125" s="291"/>
      <c r="J125" s="291"/>
    </row>
    <row r="126" spans="2:10" ht="14.25" hidden="1" customHeight="1" x14ac:dyDescent="0.25">
      <c r="B126" s="208" t="str">
        <f>LOWER(CONCATENATE(Inventory!$C$43,".",'Site Info'!$F$25))</f>
        <v>.speedcast.com</v>
      </c>
      <c r="C126" s="352" t="str">
        <f>CONCATENATE(Inventory!$G$43)</f>
        <v>Vmware vCenter Server Appliance</v>
      </c>
      <c r="D126" s="352"/>
      <c r="E126" s="352"/>
      <c r="F126" s="352"/>
      <c r="G126" s="352"/>
      <c r="H126" s="291">
        <f>Inventory!$T$43</f>
        <v>0</v>
      </c>
      <c r="I126" s="291"/>
      <c r="J126" s="291"/>
    </row>
    <row r="127" spans="2:10" ht="14.25" hidden="1" customHeight="1" x14ac:dyDescent="0.25">
      <c r="B127" s="208" t="str">
        <f>LOWER(CONCATENATE(Inventory!$C$44,".",'Site Info'!$F$25))</f>
        <v>.speedcast.com</v>
      </c>
      <c r="C127" s="352" t="str">
        <f>CONCATENATE(Inventory!$G$44)</f>
        <v>Vmware Update Manager</v>
      </c>
      <c r="D127" s="352"/>
      <c r="E127" s="352"/>
      <c r="F127" s="352"/>
      <c r="G127" s="352"/>
      <c r="H127" s="291">
        <f>Inventory!$T$44</f>
        <v>0</v>
      </c>
      <c r="I127" s="291"/>
      <c r="J127" s="291"/>
    </row>
    <row r="128" spans="2:10" ht="14.25" hidden="1" customHeight="1" x14ac:dyDescent="0.25">
      <c r="B128" s="208" t="str">
        <f>LOWER(CONCATENATE(Inventory!$C$45,".",'Site Info'!$F$25))</f>
        <v>.speedcast.com</v>
      </c>
      <c r="C128" s="352" t="str">
        <f>CONCATENATE(Inventory!$G$45)</f>
        <v>Cisco UCS Performance Manager</v>
      </c>
      <c r="D128" s="352"/>
      <c r="E128" s="352"/>
      <c r="F128" s="352"/>
      <c r="G128" s="352"/>
      <c r="H128" s="291">
        <f>Inventory!$T$45</f>
        <v>0</v>
      </c>
      <c r="I128" s="291"/>
      <c r="J128" s="291"/>
    </row>
    <row r="129" spans="2:10" ht="14.25" hidden="1" customHeight="1" x14ac:dyDescent="0.25">
      <c r="B129" s="208" t="str">
        <f>LOWER(CONCATENATE(Inventory!$C$46,".",'Site Info'!$F$25))</f>
        <v>.speedcast.com</v>
      </c>
      <c r="C129" s="352" t="str">
        <f>CONCATENATE(Inventory!$G$46)</f>
        <v>NetApp VASA Provider Virtual Appliance</v>
      </c>
      <c r="D129" s="352"/>
      <c r="E129" s="352"/>
      <c r="F129" s="352"/>
      <c r="G129" s="352"/>
      <c r="H129" s="291">
        <f>Inventory!$T$45</f>
        <v>0</v>
      </c>
      <c r="I129" s="291"/>
      <c r="J129" s="291"/>
    </row>
    <row r="130" spans="2:10" ht="14.25" hidden="1" customHeight="1" x14ac:dyDescent="0.25">
      <c r="B130" s="208" t="str">
        <f>LOWER(CONCATENATE(Inventory!$C$47,".",'Site Info'!$F$25))</f>
        <v>vcops analytics (no host name).speedcast.com</v>
      </c>
      <c r="C130" s="352" t="str">
        <f>CONCATENATE(Inventory!$G$47)</f>
        <v>VMware vCenter Operations Analytics VM</v>
      </c>
      <c r="D130" s="352"/>
      <c r="E130" s="352"/>
      <c r="F130" s="352"/>
      <c r="G130" s="352"/>
      <c r="H130" s="291">
        <f>Inventory!$T$47</f>
        <v>0</v>
      </c>
      <c r="I130" s="291"/>
      <c r="J130" s="291"/>
    </row>
    <row r="131" spans="2:10" ht="14.25" hidden="1" customHeight="1" x14ac:dyDescent="0.25">
      <c r="B131" s="208" t="e">
        <f>LOWER(CONCATENATE(Inventory!#REF!,".",'Site Info'!$F$25))</f>
        <v>#REF!</v>
      </c>
      <c r="C131" s="352" t="e">
        <f>CONCATENATE(Inventory!#REF!)</f>
        <v>#REF!</v>
      </c>
      <c r="D131" s="352"/>
      <c r="E131" s="352"/>
      <c r="F131" s="352"/>
      <c r="G131" s="352"/>
      <c r="H131" s="291" t="e">
        <f>Inventory!#REF!</f>
        <v>#REF!</v>
      </c>
      <c r="I131" s="291"/>
      <c r="J131" s="291"/>
    </row>
    <row r="132" spans="2:10" ht="14.25" hidden="1" customHeight="1" x14ac:dyDescent="0.25">
      <c r="B132" s="208" t="str">
        <f>LOWER(CONCATENATE(Inventory!$C$48,".",'Site Info'!$F$25))</f>
        <v>.speedcast.com</v>
      </c>
      <c r="C132" s="352" t="str">
        <f>CONCATENATE(Inventory!$G$48)</f>
        <v>VMware vCenter Operations Manager</v>
      </c>
      <c r="D132" s="352"/>
      <c r="E132" s="352"/>
      <c r="F132" s="352"/>
      <c r="G132" s="352"/>
      <c r="H132" s="291">
        <f>Inventory!$T$48</f>
        <v>0</v>
      </c>
      <c r="I132" s="291"/>
      <c r="J132" s="291"/>
    </row>
    <row r="133" spans="2:10" ht="14.25" hidden="1" customHeight="1" x14ac:dyDescent="0.25">
      <c r="B133" s="208" t="str">
        <f>LOWER(CONCATENATE(Inventory!$C$49,".",'Site Info'!$F$25))</f>
        <v>.speedcast.com</v>
      </c>
      <c r="C133" s="352" t="str">
        <f>CONCATENATE(Inventory!$G$49)</f>
        <v>1852</v>
      </c>
      <c r="D133" s="352"/>
      <c r="E133" s="352"/>
      <c r="F133" s="352"/>
      <c r="G133" s="352"/>
      <c r="H133" s="291">
        <f>Inventory!$T$49</f>
        <v>0</v>
      </c>
      <c r="I133" s="291"/>
      <c r="J133" s="291"/>
    </row>
    <row r="134" spans="2:10" ht="14.25" hidden="1" customHeight="1" x14ac:dyDescent="0.25">
      <c r="B134" s="208" t="s">
        <v>1267</v>
      </c>
      <c r="C134" s="352" t="str">
        <f>CONCATENATE(Inventory!$G$50)</f>
        <v/>
      </c>
      <c r="D134" s="352"/>
      <c r="E134" s="352"/>
      <c r="F134" s="352"/>
      <c r="G134" s="352"/>
      <c r="H134" s="291">
        <f>Inventory!$T$50</f>
        <v>0</v>
      </c>
      <c r="I134" s="291"/>
      <c r="J134" s="291"/>
    </row>
    <row r="135" spans="2:10" ht="14.25" hidden="1" customHeight="1" x14ac:dyDescent="0.25">
      <c r="B135" s="208" t="str">
        <f>LOWER(CONCATENATE(Inventory!$C$51,".",'Site Info'!$F$25))</f>
        <v>.speedcast.com</v>
      </c>
      <c r="C135" s="352" t="str">
        <f>CONCATENATE(Inventory!$G$51)</f>
        <v/>
      </c>
      <c r="D135" s="352"/>
      <c r="E135" s="352"/>
      <c r="F135" s="352"/>
      <c r="G135" s="352"/>
      <c r="H135" s="291">
        <f>Inventory!$T$51</f>
        <v>0</v>
      </c>
      <c r="I135" s="291"/>
      <c r="J135" s="291"/>
    </row>
    <row r="136" spans="2:10" ht="14.25" hidden="1" customHeight="1" x14ac:dyDescent="0.25">
      <c r="B136" s="208" t="str">
        <f>LOWER(CONCATENATE(Inventory!$C$52,".",'Site Info'!$F$25))</f>
        <v>.speedcast.com</v>
      </c>
      <c r="C136" s="352" t="str">
        <f>CONCATENATE(Inventory!$G$52)</f>
        <v/>
      </c>
      <c r="D136" s="352"/>
      <c r="E136" s="352"/>
      <c r="F136" s="352"/>
      <c r="G136" s="352"/>
      <c r="H136" s="291">
        <f>Inventory!$T$52</f>
        <v>0</v>
      </c>
      <c r="I136" s="291"/>
      <c r="J136" s="291"/>
    </row>
    <row r="137" spans="2:10" ht="14.25" hidden="1" customHeight="1" x14ac:dyDescent="0.25">
      <c r="B137" s="208" t="str">
        <f>LOWER(CONCATENATE(Inventory!$C$53,".",'Site Info'!$F$25))</f>
        <v>.speedcast.com</v>
      </c>
      <c r="C137" s="352" t="str">
        <f>CONCATENATE(Inventory!$G$53)</f>
        <v>11</v>
      </c>
      <c r="D137" s="352"/>
      <c r="E137" s="352"/>
      <c r="F137" s="352"/>
      <c r="G137" s="352"/>
      <c r="H137" s="291">
        <f>Inventory!$T$53</f>
        <v>0</v>
      </c>
      <c r="I137" s="291"/>
      <c r="J137" s="291"/>
    </row>
    <row r="138" spans="2:10" ht="14.25" hidden="1" customHeight="1" x14ac:dyDescent="0.25">
      <c r="C138" s="36" t="s">
        <v>462</v>
      </c>
    </row>
    <row r="139" spans="2:10" ht="14.25" hidden="1" customHeight="1" x14ac:dyDescent="0.25"/>
    <row r="140" spans="2:10" ht="14.25" hidden="1" customHeight="1" x14ac:dyDescent="0.25"/>
    <row r="141" spans="2:10" ht="14.25" hidden="1" customHeight="1" x14ac:dyDescent="0.25"/>
    <row r="142" spans="2:10" ht="14.25" hidden="1" customHeight="1" x14ac:dyDescent="0.25"/>
    <row r="143" spans="2:10" ht="14.25" customHeight="1" x14ac:dyDescent="0.25"/>
    <row r="144" spans="2:10"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sheetData>
  <mergeCells count="58">
    <mergeCell ref="H122:J122"/>
    <mergeCell ref="D108:H108"/>
    <mergeCell ref="C121:G121"/>
    <mergeCell ref="H121:J121"/>
    <mergeCell ref="C122:G122"/>
    <mergeCell ref="D110:H110"/>
    <mergeCell ref="C130:G130"/>
    <mergeCell ref="D9:G9"/>
    <mergeCell ref="D103:G103"/>
    <mergeCell ref="D30:G30"/>
    <mergeCell ref="D39:G39"/>
    <mergeCell ref="D47:G47"/>
    <mergeCell ref="D49:G49"/>
    <mergeCell ref="D31:G31"/>
    <mergeCell ref="D13:G13"/>
    <mergeCell ref="D17:G17"/>
    <mergeCell ref="D50:G50"/>
    <mergeCell ref="D56:G56"/>
    <mergeCell ref="D52:G52"/>
    <mergeCell ref="D77:G77"/>
    <mergeCell ref="D106:G106"/>
    <mergeCell ref="D105:G105"/>
    <mergeCell ref="D51:H51"/>
    <mergeCell ref="D62:G62"/>
    <mergeCell ref="D53:I53"/>
    <mergeCell ref="D64:I64"/>
    <mergeCell ref="D11:G11"/>
    <mergeCell ref="D63:G63"/>
    <mergeCell ref="D55:G55"/>
    <mergeCell ref="H123:J123"/>
    <mergeCell ref="C129:G129"/>
    <mergeCell ref="H129:J129"/>
    <mergeCell ref="H127:J127"/>
    <mergeCell ref="C128:G128"/>
    <mergeCell ref="C127:G127"/>
    <mergeCell ref="C126:G126"/>
    <mergeCell ref="H125:J125"/>
    <mergeCell ref="C124:G124"/>
    <mergeCell ref="C123:G123"/>
    <mergeCell ref="H124:J124"/>
    <mergeCell ref="H126:J126"/>
    <mergeCell ref="C125:G125"/>
    <mergeCell ref="C137:G137"/>
    <mergeCell ref="C136:G136"/>
    <mergeCell ref="C133:G133"/>
    <mergeCell ref="C132:G132"/>
    <mergeCell ref="C131:G131"/>
    <mergeCell ref="C134:G134"/>
    <mergeCell ref="C135:G135"/>
    <mergeCell ref="H137:J137"/>
    <mergeCell ref="H136:J136"/>
    <mergeCell ref="H134:J134"/>
    <mergeCell ref="H135:J135"/>
    <mergeCell ref="H128:J128"/>
    <mergeCell ref="H133:J133"/>
    <mergeCell ref="H132:J132"/>
    <mergeCell ref="H131:J131"/>
    <mergeCell ref="H130:J130"/>
  </mergeCells>
  <printOptions gridLines="1"/>
  <pageMargins left="0.75" right="0.25" top="0.25" bottom="0.75" header="0.3" footer="0.3"/>
  <pageSetup paperSize="3" fitToHeight="0" orientation="landscape" r:id="rId1"/>
  <headerFooter>
    <oddFooter>&amp;R&amp;A
&amp;P</oddFooter>
  </headerFooter>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7030A0"/>
  </sheetPr>
  <dimension ref="A2:U122"/>
  <sheetViews>
    <sheetView workbookViewId="0">
      <pane ySplit="4" topLeftCell="A5" activePane="bottomLeft" state="frozen"/>
      <selection pane="bottomLeft" activeCell="A4" sqref="A4"/>
    </sheetView>
  </sheetViews>
  <sheetFormatPr defaultColWidth="7.140625" defaultRowHeight="10.5" x14ac:dyDescent="0.25"/>
  <cols>
    <col min="1" max="1" width="1.42578125" style="35" customWidth="1"/>
    <col min="2" max="15" width="7.140625" style="35"/>
    <col min="16" max="16" width="48.42578125" style="35" customWidth="1"/>
    <col min="17" max="17" width="2.28515625" style="35" customWidth="1"/>
    <col min="18" max="18" width="1.42578125" style="35" customWidth="1"/>
    <col min="19" max="19" width="48.42578125" style="35" customWidth="1"/>
    <col min="20" max="16384" width="7.140625" style="35"/>
  </cols>
  <sheetData>
    <row r="2" spans="1:21" ht="30.75" customHeight="1" x14ac:dyDescent="0.25">
      <c r="A2" s="2" t="s">
        <v>1</v>
      </c>
      <c r="B2"/>
      <c r="R2" s="1" t="s">
        <v>237</v>
      </c>
    </row>
    <row r="3" spans="1:21" ht="9" customHeight="1" x14ac:dyDescent="0.25"/>
    <row r="4" spans="1:21" ht="15" x14ac:dyDescent="0.25">
      <c r="A4" s="5"/>
      <c r="U4" s="35" t="s">
        <v>0</v>
      </c>
    </row>
    <row r="5" spans="1:21" ht="14.25" customHeight="1" x14ac:dyDescent="0.25">
      <c r="B5" s="4" t="s">
        <v>238</v>
      </c>
      <c r="P5" s="63" t="s">
        <v>357</v>
      </c>
    </row>
    <row r="6" spans="1:21" ht="6" customHeight="1" x14ac:dyDescent="0.25">
      <c r="B6" s="4"/>
      <c r="G6" s="6"/>
    </row>
    <row r="7" spans="1:21" ht="14.25" customHeight="1" x14ac:dyDescent="0.25">
      <c r="B7" s="6" t="s">
        <v>266</v>
      </c>
      <c r="C7" s="429" t="s">
        <v>239</v>
      </c>
      <c r="D7" s="429"/>
      <c r="E7" s="429"/>
      <c r="F7" s="429"/>
      <c r="G7" s="429"/>
      <c r="H7" s="429"/>
      <c r="I7" s="429"/>
      <c r="J7" s="429"/>
      <c r="K7" s="429"/>
      <c r="L7" s="429"/>
      <c r="M7" s="429"/>
      <c r="N7" s="429"/>
      <c r="O7" s="6"/>
      <c r="P7" s="46" t="s">
        <v>240</v>
      </c>
      <c r="Q7" s="45"/>
      <c r="S7" s="46" t="s">
        <v>241</v>
      </c>
    </row>
    <row r="8" spans="1:21" ht="14.25" customHeight="1" x14ac:dyDescent="0.25">
      <c r="B8" s="44">
        <v>3</v>
      </c>
      <c r="C8" s="428" t="s">
        <v>244</v>
      </c>
      <c r="D8" s="428"/>
      <c r="E8" s="428"/>
      <c r="F8" s="428"/>
      <c r="G8" s="428"/>
      <c r="H8" s="428"/>
      <c r="I8" s="428"/>
      <c r="J8" s="428"/>
      <c r="K8" s="428"/>
      <c r="L8" s="428"/>
      <c r="M8" s="428"/>
      <c r="N8" s="428"/>
      <c r="O8" s="39"/>
      <c r="P8" s="52" t="str">
        <f>Inventory!C15</f>
        <v>shpsan-01</v>
      </c>
      <c r="Q8" s="50"/>
      <c r="R8" s="49"/>
      <c r="S8" s="52" t="str">
        <f>Inventory!C16</f>
        <v>shpsan-02</v>
      </c>
    </row>
    <row r="9" spans="1:21" ht="14.25" customHeight="1" x14ac:dyDescent="0.25">
      <c r="B9" s="44">
        <v>3</v>
      </c>
      <c r="C9" s="428" t="s">
        <v>242</v>
      </c>
      <c r="D9" s="428"/>
      <c r="E9" s="428"/>
      <c r="F9" s="428"/>
      <c r="G9" s="428"/>
      <c r="H9" s="428"/>
      <c r="I9" s="428"/>
      <c r="J9" s="428"/>
      <c r="K9" s="428"/>
      <c r="L9" s="428"/>
      <c r="M9" s="428"/>
      <c r="N9" s="428"/>
      <c r="O9" s="39"/>
      <c r="P9" s="53" t="s">
        <v>243</v>
      </c>
      <c r="Q9" s="50"/>
      <c r="R9" s="49"/>
      <c r="S9" s="53" t="str">
        <f>P9</f>
        <v>y</v>
      </c>
    </row>
    <row r="10" spans="1:21" ht="14.25" customHeight="1" x14ac:dyDescent="0.25">
      <c r="B10" s="44">
        <v>3</v>
      </c>
      <c r="C10" s="466" t="s">
        <v>273</v>
      </c>
      <c r="D10" s="466"/>
      <c r="E10" s="466"/>
      <c r="F10" s="466"/>
      <c r="G10" s="466"/>
      <c r="H10" s="466"/>
      <c r="I10" s="466"/>
      <c r="J10" s="466"/>
      <c r="K10" s="466"/>
      <c r="L10" s="466"/>
      <c r="M10" s="466"/>
      <c r="N10" s="466"/>
      <c r="O10" s="39"/>
      <c r="P10" s="53"/>
      <c r="Q10" s="50"/>
      <c r="R10" s="49"/>
      <c r="S10" s="53"/>
    </row>
    <row r="11" spans="1:21" ht="14.25" customHeight="1" x14ac:dyDescent="0.25">
      <c r="B11" s="44">
        <v>3</v>
      </c>
      <c r="C11" s="428" t="s">
        <v>245</v>
      </c>
      <c r="D11" s="428"/>
      <c r="E11" s="428"/>
      <c r="F11" s="428"/>
      <c r="G11" s="428"/>
      <c r="H11" s="428"/>
      <c r="I11" s="428"/>
      <c r="J11" s="428"/>
      <c r="K11" s="428"/>
      <c r="L11" s="428"/>
      <c r="M11" s="428"/>
      <c r="N11" s="428"/>
      <c r="O11" s="39"/>
      <c r="P11" s="53" t="str">
        <f>'7-Info'!V30</f>
        <v/>
      </c>
      <c r="Q11" s="50"/>
      <c r="R11" s="49"/>
      <c r="S11" s="53" t="str">
        <f t="shared" ref="S11:S39" si="0">P11</f>
        <v/>
      </c>
    </row>
    <row r="12" spans="1:21" ht="14.25" customHeight="1" x14ac:dyDescent="0.25">
      <c r="B12" s="44">
        <v>3</v>
      </c>
      <c r="C12" s="428" t="s">
        <v>246</v>
      </c>
      <c r="D12" s="428"/>
      <c r="E12" s="428"/>
      <c r="F12" s="428"/>
      <c r="G12" s="428"/>
      <c r="H12" s="428"/>
      <c r="I12" s="428"/>
      <c r="J12" s="428"/>
      <c r="K12" s="428"/>
      <c r="L12" s="428"/>
      <c r="M12" s="428"/>
      <c r="N12" s="428"/>
      <c r="O12" s="39"/>
      <c r="P12" s="53" t="s">
        <v>264</v>
      </c>
      <c r="Q12" s="50"/>
      <c r="R12" s="49"/>
      <c r="S12" s="53" t="str">
        <f t="shared" si="0"/>
        <v>&lt;none&gt;</v>
      </c>
    </row>
    <row r="13" spans="1:21" ht="14.25" customHeight="1" x14ac:dyDescent="0.25">
      <c r="B13" s="44">
        <v>3</v>
      </c>
      <c r="C13" s="428" t="s">
        <v>442</v>
      </c>
      <c r="D13" s="428"/>
      <c r="E13" s="428"/>
      <c r="F13" s="428"/>
      <c r="G13" s="428"/>
      <c r="H13" s="428"/>
      <c r="I13" s="428"/>
      <c r="J13" s="428"/>
      <c r="K13" s="428"/>
      <c r="L13" s="428"/>
      <c r="M13" s="428"/>
      <c r="N13" s="428"/>
      <c r="O13" s="39"/>
      <c r="P13" s="53" t="str">
        <f>Dropdowns!L9</f>
        <v>America/Chicago</v>
      </c>
      <c r="Q13" s="50"/>
      <c r="R13" s="49"/>
      <c r="S13" s="53" t="str">
        <f t="shared" si="0"/>
        <v>America/Chicago</v>
      </c>
    </row>
    <row r="14" spans="1:21" ht="14.25" customHeight="1" x14ac:dyDescent="0.25">
      <c r="B14" s="44">
        <v>3</v>
      </c>
      <c r="C14" s="428" t="s">
        <v>247</v>
      </c>
      <c r="D14" s="428"/>
      <c r="E14" s="428"/>
      <c r="F14" s="428"/>
      <c r="G14" s="428"/>
      <c r="H14" s="428"/>
      <c r="I14" s="428"/>
      <c r="J14" s="428"/>
      <c r="K14" s="428"/>
      <c r="L14" s="428"/>
      <c r="M14" s="428"/>
      <c r="N14" s="428"/>
      <c r="O14" s="39"/>
      <c r="P14" s="53" t="str">
        <f>'Site Info'!F23</f>
        <v>4400 S Sam Houston Pkwy E, Houston, Texas 77048</v>
      </c>
      <c r="Q14" s="50"/>
      <c r="R14" s="49"/>
      <c r="S14" s="53" t="str">
        <f t="shared" si="0"/>
        <v>4400 S Sam Houston Pkwy E, Houston, Texas 77048</v>
      </c>
    </row>
    <row r="15" spans="1:21" ht="14.25" customHeight="1" x14ac:dyDescent="0.25">
      <c r="B15" s="44">
        <v>3</v>
      </c>
      <c r="C15" s="428" t="s">
        <v>248</v>
      </c>
      <c r="D15" s="428"/>
      <c r="E15" s="428"/>
      <c r="F15" s="428"/>
      <c r="G15" s="428"/>
      <c r="H15" s="428"/>
      <c r="I15" s="428"/>
      <c r="J15" s="428"/>
      <c r="K15" s="428"/>
      <c r="L15" s="428"/>
      <c r="M15" s="428"/>
      <c r="N15" s="428"/>
      <c r="O15" s="39"/>
      <c r="P15" s="53" t="str">
        <f>Inventory!P8</f>
        <v>en_US</v>
      </c>
      <c r="Q15" s="50"/>
      <c r="R15" s="49"/>
      <c r="S15" s="53" t="str">
        <f t="shared" si="0"/>
        <v>en_US</v>
      </c>
    </row>
    <row r="16" spans="1:21" ht="14.25" customHeight="1" x14ac:dyDescent="0.25">
      <c r="B16" s="44">
        <v>3</v>
      </c>
      <c r="C16" s="428" t="s">
        <v>249</v>
      </c>
      <c r="D16" s="428"/>
      <c r="E16" s="428"/>
      <c r="F16" s="428"/>
      <c r="G16" s="428"/>
      <c r="H16" s="428"/>
      <c r="I16" s="428"/>
      <c r="J16" s="428"/>
      <c r="K16" s="428"/>
      <c r="L16" s="428"/>
      <c r="M16" s="428"/>
      <c r="N16" s="428"/>
      <c r="O16" s="39"/>
      <c r="P16" s="53" t="s">
        <v>296</v>
      </c>
      <c r="Q16" s="50"/>
      <c r="R16" s="49"/>
      <c r="S16" s="53" t="str">
        <f t="shared" si="0"/>
        <v>/home/http</v>
      </c>
    </row>
    <row r="17" spans="2:19" ht="14.25" customHeight="1" x14ac:dyDescent="0.25">
      <c r="B17" s="44">
        <v>3</v>
      </c>
      <c r="C17" s="428" t="s">
        <v>250</v>
      </c>
      <c r="D17" s="428"/>
      <c r="E17" s="428"/>
      <c r="F17" s="428"/>
      <c r="G17" s="428"/>
      <c r="H17" s="428"/>
      <c r="I17" s="428"/>
      <c r="J17" s="428"/>
      <c r="K17" s="428"/>
      <c r="L17" s="428"/>
      <c r="M17" s="428"/>
      <c r="N17" s="428"/>
      <c r="O17" s="39"/>
      <c r="P17" s="53" t="s">
        <v>243</v>
      </c>
      <c r="Q17" s="50"/>
      <c r="R17" s="49"/>
      <c r="S17" s="53" t="str">
        <f t="shared" si="0"/>
        <v>y</v>
      </c>
    </row>
    <row r="18" spans="2:19" ht="14.25" customHeight="1" x14ac:dyDescent="0.25">
      <c r="B18" s="44">
        <v>3</v>
      </c>
      <c r="C18" s="428" t="s">
        <v>265</v>
      </c>
      <c r="D18" s="428"/>
      <c r="E18" s="428"/>
      <c r="F18" s="428"/>
      <c r="G18" s="428"/>
      <c r="H18" s="428"/>
      <c r="I18" s="428"/>
      <c r="J18" s="428"/>
      <c r="K18" s="428"/>
      <c r="L18" s="428"/>
      <c r="M18" s="428"/>
      <c r="N18" s="428"/>
      <c r="O18" s="39"/>
      <c r="P18" s="53" t="str">
        <f>'Site Info'!F25</f>
        <v>speedcast.com</v>
      </c>
      <c r="Q18" s="50"/>
      <c r="R18" s="49"/>
      <c r="S18" s="53" t="str">
        <f t="shared" si="0"/>
        <v>speedcast.com</v>
      </c>
    </row>
    <row r="19" spans="2:19" ht="14.25" customHeight="1" x14ac:dyDescent="0.25">
      <c r="B19" s="44">
        <v>3</v>
      </c>
      <c r="C19" s="428" t="s">
        <v>251</v>
      </c>
      <c r="D19" s="428"/>
      <c r="E19" s="428"/>
      <c r="F19" s="428"/>
      <c r="G19" s="428"/>
      <c r="H19" s="428"/>
      <c r="I19" s="428"/>
      <c r="J19" s="428"/>
      <c r="K19" s="428"/>
      <c r="L19" s="428"/>
      <c r="M19" s="428"/>
      <c r="N19" s="428"/>
      <c r="O19" s="39"/>
      <c r="P19" s="53" t="str">
        <f>'Site Info'!F26</f>
        <v>10.126.131.11</v>
      </c>
      <c r="Q19" s="50"/>
      <c r="R19" s="49"/>
      <c r="S19" s="53" t="str">
        <f t="shared" si="0"/>
        <v>10.126.131.11</v>
      </c>
    </row>
    <row r="20" spans="2:19" ht="14.25" customHeight="1" x14ac:dyDescent="0.25">
      <c r="B20" s="44">
        <v>3</v>
      </c>
      <c r="C20" s="428" t="s">
        <v>252</v>
      </c>
      <c r="D20" s="428"/>
      <c r="E20" s="428"/>
      <c r="F20" s="428"/>
      <c r="G20" s="428"/>
      <c r="H20" s="428"/>
      <c r="I20" s="428"/>
      <c r="J20" s="428"/>
      <c r="K20" s="428"/>
      <c r="L20" s="428"/>
      <c r="M20" s="428"/>
      <c r="N20" s="428"/>
      <c r="O20" s="39"/>
      <c r="P20" s="53" t="str">
        <f>IF('Site Info'!I26&lt;&gt;0,"y","n")</f>
        <v>y</v>
      </c>
      <c r="Q20" s="50"/>
      <c r="R20" s="49"/>
      <c r="S20" s="53" t="str">
        <f t="shared" si="0"/>
        <v>y</v>
      </c>
    </row>
    <row r="21" spans="2:19" ht="14.25" customHeight="1" x14ac:dyDescent="0.25">
      <c r="B21" s="44">
        <v>3</v>
      </c>
      <c r="C21" s="428" t="s">
        <v>253</v>
      </c>
      <c r="D21" s="428"/>
      <c r="E21" s="428"/>
      <c r="F21" s="428"/>
      <c r="G21" s="428"/>
      <c r="H21" s="428"/>
      <c r="I21" s="428"/>
      <c r="J21" s="428"/>
      <c r="K21" s="428"/>
      <c r="L21" s="428"/>
      <c r="M21" s="428"/>
      <c r="N21" s="428"/>
      <c r="O21" s="39"/>
      <c r="P21" s="53" t="str">
        <f>'Site Info'!I26</f>
        <v>175.176.252.8</v>
      </c>
      <c r="Q21" s="50"/>
      <c r="R21" s="49"/>
      <c r="S21" s="53" t="str">
        <f t="shared" si="0"/>
        <v>175.176.252.8</v>
      </c>
    </row>
    <row r="22" spans="2:19" ht="14.25" customHeight="1" x14ac:dyDescent="0.25">
      <c r="B22" s="44">
        <v>3</v>
      </c>
      <c r="C22" s="428" t="s">
        <v>252</v>
      </c>
      <c r="D22" s="428"/>
      <c r="E22" s="428"/>
      <c r="F22" s="428"/>
      <c r="G22" s="428"/>
      <c r="H22" s="428"/>
      <c r="I22" s="428"/>
      <c r="J22" s="428"/>
      <c r="K22" s="428"/>
      <c r="L22" s="428"/>
      <c r="M22" s="428"/>
      <c r="N22" s="428"/>
      <c r="O22" s="39"/>
      <c r="P22" s="53" t="str">
        <f>IF('Site Info'!L26&lt;&gt;0,"y","n")</f>
        <v>n</v>
      </c>
      <c r="Q22" s="50"/>
      <c r="R22" s="49"/>
      <c r="S22" s="53" t="str">
        <f t="shared" si="0"/>
        <v>n</v>
      </c>
    </row>
    <row r="23" spans="2:19" ht="14.25" customHeight="1" x14ac:dyDescent="0.25">
      <c r="B23" s="44">
        <v>3</v>
      </c>
      <c r="C23" s="428" t="s">
        <v>253</v>
      </c>
      <c r="D23" s="428"/>
      <c r="E23" s="428"/>
      <c r="F23" s="428"/>
      <c r="G23" s="428"/>
      <c r="H23" s="428"/>
      <c r="I23" s="428"/>
      <c r="J23" s="428"/>
      <c r="K23" s="428"/>
      <c r="L23" s="428"/>
      <c r="M23" s="428"/>
      <c r="N23" s="428"/>
      <c r="O23" s="39"/>
      <c r="P23" s="53">
        <f>'Site Info'!L26</f>
        <v>0</v>
      </c>
      <c r="Q23" s="50"/>
      <c r="R23" s="49"/>
      <c r="S23" s="53">
        <f t="shared" si="0"/>
        <v>0</v>
      </c>
    </row>
    <row r="24" spans="2:19" ht="14.25" customHeight="1" x14ac:dyDescent="0.25">
      <c r="B24" s="44">
        <v>3</v>
      </c>
      <c r="C24" s="428" t="s">
        <v>254</v>
      </c>
      <c r="D24" s="428"/>
      <c r="E24" s="428"/>
      <c r="F24" s="428"/>
      <c r="G24" s="428"/>
      <c r="H24" s="428"/>
      <c r="I24" s="428"/>
      <c r="J24" s="428"/>
      <c r="K24" s="428"/>
      <c r="L24" s="428"/>
      <c r="M24" s="428"/>
      <c r="N24" s="428"/>
      <c r="O24" s="39"/>
      <c r="P24" s="53" t="s">
        <v>255</v>
      </c>
      <c r="Q24" s="50"/>
      <c r="R24" s="49"/>
      <c r="S24" s="53" t="str">
        <f t="shared" si="0"/>
        <v>n</v>
      </c>
    </row>
    <row r="25" spans="2:19" ht="14.25" customHeight="1" x14ac:dyDescent="0.25">
      <c r="B25" s="44">
        <v>3</v>
      </c>
      <c r="C25" s="428" t="s">
        <v>257</v>
      </c>
      <c r="D25" s="428"/>
      <c r="E25" s="428"/>
      <c r="F25" s="428"/>
      <c r="G25" s="428"/>
      <c r="H25" s="428"/>
      <c r="I25" s="428"/>
      <c r="J25" s="428"/>
      <c r="K25" s="428"/>
      <c r="L25" s="428"/>
      <c r="M25" s="428"/>
      <c r="N25" s="428"/>
      <c r="O25" s="39"/>
      <c r="P25" s="53" t="s">
        <v>243</v>
      </c>
      <c r="Q25" s="50"/>
      <c r="R25" s="49"/>
      <c r="S25" s="53" t="str">
        <f t="shared" si="0"/>
        <v>y</v>
      </c>
    </row>
    <row r="26" spans="2:19" ht="14.25" customHeight="1" x14ac:dyDescent="0.25">
      <c r="B26" s="44">
        <v>3</v>
      </c>
      <c r="C26" s="428" t="s">
        <v>256</v>
      </c>
      <c r="D26" s="428"/>
      <c r="E26" s="428"/>
      <c r="F26" s="428"/>
      <c r="G26" s="428"/>
      <c r="H26" s="428"/>
      <c r="I26" s="428"/>
      <c r="J26" s="428"/>
      <c r="K26" s="428"/>
      <c r="L26" s="428"/>
      <c r="M26" s="428"/>
      <c r="N26" s="428"/>
      <c r="O26" s="39"/>
      <c r="P26" s="53" t="s">
        <v>255</v>
      </c>
      <c r="Q26" s="50"/>
      <c r="R26" s="49"/>
      <c r="S26" s="53" t="str">
        <f t="shared" si="0"/>
        <v>n</v>
      </c>
    </row>
    <row r="27" spans="2:19" ht="14.25" customHeight="1" x14ac:dyDescent="0.25">
      <c r="B27" s="44">
        <v>3</v>
      </c>
      <c r="C27" s="428" t="s">
        <v>258</v>
      </c>
      <c r="D27" s="428"/>
      <c r="E27" s="428"/>
      <c r="F27" s="428"/>
      <c r="G27" s="428"/>
      <c r="H27" s="428"/>
      <c r="I27" s="428"/>
      <c r="J27" s="428"/>
      <c r="K27" s="428"/>
      <c r="L27" s="428"/>
      <c r="M27" s="428"/>
      <c r="N27" s="428"/>
      <c r="O27" s="39"/>
      <c r="P27" s="53" t="str">
        <f>Inventory!R15</f>
        <v>10.126.131.169</v>
      </c>
      <c r="Q27" s="50"/>
      <c r="R27" s="49"/>
      <c r="S27" s="53" t="str">
        <f>Inventory!R16</f>
        <v>10.126.131.170</v>
      </c>
    </row>
    <row r="28" spans="2:19" ht="14.25" customHeight="1" x14ac:dyDescent="0.25">
      <c r="B28" s="44">
        <v>3</v>
      </c>
      <c r="C28" s="428" t="s">
        <v>259</v>
      </c>
      <c r="D28" s="428"/>
      <c r="E28" s="428"/>
      <c r="F28" s="428"/>
      <c r="G28" s="428"/>
      <c r="H28" s="428"/>
      <c r="I28" s="428"/>
      <c r="J28" s="428"/>
      <c r="K28" s="428"/>
      <c r="L28" s="428"/>
      <c r="M28" s="428"/>
      <c r="N28" s="428"/>
      <c r="O28" s="39"/>
      <c r="P28" s="53" t="str">
        <f>Inventory!U15</f>
        <v>255.255.255.0</v>
      </c>
      <c r="Q28" s="50"/>
      <c r="R28" s="49"/>
      <c r="S28" s="53" t="str">
        <f>Inventory!U16</f>
        <v>255.255.255.0</v>
      </c>
    </row>
    <row r="29" spans="2:19" ht="14.25" customHeight="1" x14ac:dyDescent="0.25">
      <c r="B29" s="44">
        <v>3</v>
      </c>
      <c r="C29" s="428" t="s">
        <v>260</v>
      </c>
      <c r="D29" s="428"/>
      <c r="E29" s="428"/>
      <c r="F29" s="428"/>
      <c r="G29" s="428"/>
      <c r="H29" s="428"/>
      <c r="I29" s="428"/>
      <c r="J29" s="428"/>
      <c r="K29" s="428"/>
      <c r="L29" s="428"/>
      <c r="M29" s="428"/>
      <c r="N29" s="428"/>
      <c r="O29" s="39"/>
      <c r="P29" s="53" t="str">
        <f>Inventory!X15</f>
        <v>10.126.131.1</v>
      </c>
      <c r="Q29" s="50"/>
      <c r="R29" s="49"/>
      <c r="S29" s="53" t="str">
        <f>Inventory!X16</f>
        <v>10.126.131.1</v>
      </c>
    </row>
    <row r="30" spans="2:19" ht="14.25" customHeight="1" x14ac:dyDescent="0.25">
      <c r="B30" s="44">
        <v>3</v>
      </c>
      <c r="C30" s="428" t="s">
        <v>261</v>
      </c>
      <c r="D30" s="428"/>
      <c r="E30" s="428"/>
      <c r="F30" s="428"/>
      <c r="G30" s="428"/>
      <c r="H30" s="428"/>
      <c r="I30" s="428"/>
      <c r="J30" s="428"/>
      <c r="K30" s="428"/>
      <c r="L30" s="428"/>
      <c r="M30" s="428"/>
      <c r="N30" s="428"/>
      <c r="O30" s="39"/>
      <c r="P30" s="53" t="str">
        <f>'Site Info'!Q18</f>
        <v>exchange.speedcast.com</v>
      </c>
      <c r="Q30" s="50"/>
      <c r="R30" s="49"/>
      <c r="S30" s="53" t="str">
        <f t="shared" si="0"/>
        <v>exchange.speedcast.com</v>
      </c>
    </row>
    <row r="31" spans="2:19" ht="14.25" customHeight="1" x14ac:dyDescent="0.25">
      <c r="B31" s="44">
        <v>3</v>
      </c>
      <c r="C31" s="428" t="str">
        <f>CONCATENATE("Please enter the IP address for ",'Site Info'!Q18,": ")</f>
        <v xml:space="preserve">Please enter the IP address for exchange.speedcast.com: </v>
      </c>
      <c r="D31" s="428"/>
      <c r="E31" s="428"/>
      <c r="F31" s="428"/>
      <c r="G31" s="428"/>
      <c r="H31" s="428"/>
      <c r="I31" s="428"/>
      <c r="J31" s="428"/>
      <c r="K31" s="428"/>
      <c r="L31" s="428"/>
      <c r="M31" s="428"/>
      <c r="N31" s="428"/>
      <c r="O31" s="39"/>
      <c r="P31" s="53" t="str">
        <f>'Site Info'!Q19</f>
        <v>175.176.252.12</v>
      </c>
      <c r="Q31" s="50"/>
      <c r="R31" s="49"/>
      <c r="S31" s="53" t="str">
        <f t="shared" si="0"/>
        <v>175.176.252.12</v>
      </c>
    </row>
    <row r="32" spans="2:19" ht="14.25" customHeight="1" x14ac:dyDescent="0.25">
      <c r="B32" s="44">
        <v>3</v>
      </c>
      <c r="C32" s="428" t="s">
        <v>262</v>
      </c>
      <c r="D32" s="428"/>
      <c r="E32" s="428"/>
      <c r="F32" s="428"/>
      <c r="G32" s="428"/>
      <c r="H32" s="428"/>
      <c r="I32" s="428"/>
      <c r="J32" s="428"/>
      <c r="K32" s="428"/>
      <c r="L32" s="428"/>
      <c r="M32" s="428"/>
      <c r="N32" s="428"/>
      <c r="O32" s="39"/>
      <c r="P32" s="53" t="s">
        <v>598</v>
      </c>
      <c r="Q32" s="50"/>
      <c r="R32" s="49"/>
      <c r="S32" s="53" t="str">
        <f t="shared" si="0"/>
        <v>netapp123 &lt;temp passwd as cifs setup requires a change&gt;</v>
      </c>
    </row>
    <row r="33" spans="2:19" ht="14.25" customHeight="1" x14ac:dyDescent="0.25">
      <c r="B33" s="44">
        <v>3</v>
      </c>
      <c r="C33" s="428" t="s">
        <v>263</v>
      </c>
      <c r="D33" s="428"/>
      <c r="E33" s="428"/>
      <c r="F33" s="428"/>
      <c r="G33" s="428"/>
      <c r="H33" s="428"/>
      <c r="I33" s="428"/>
      <c r="J33" s="428"/>
      <c r="K33" s="428"/>
      <c r="L33" s="428"/>
      <c r="M33" s="428"/>
      <c r="N33" s="428"/>
      <c r="O33" s="39"/>
      <c r="P33" s="53" t="s">
        <v>598</v>
      </c>
      <c r="Q33" s="50"/>
      <c r="R33" s="49"/>
      <c r="S33" s="53" t="str">
        <f t="shared" si="0"/>
        <v>netapp123 &lt;temp passwd as cifs setup requires a change&gt;</v>
      </c>
    </row>
    <row r="34" spans="2:19" ht="14.25" customHeight="1" x14ac:dyDescent="0.25">
      <c r="B34" s="44">
        <v>3</v>
      </c>
      <c r="C34" s="466" t="s">
        <v>271</v>
      </c>
      <c r="D34" s="466"/>
      <c r="E34" s="466"/>
      <c r="F34" s="466"/>
      <c r="G34" s="466"/>
      <c r="H34" s="466"/>
      <c r="I34" s="466"/>
      <c r="J34" s="466"/>
      <c r="K34" s="466"/>
      <c r="L34" s="466"/>
      <c r="M34" s="466"/>
      <c r="N34" s="466"/>
      <c r="O34" s="39"/>
      <c r="P34" s="53"/>
      <c r="Q34" s="50"/>
      <c r="R34" s="49"/>
      <c r="S34" s="53"/>
    </row>
    <row r="35" spans="2:19" ht="14.25" customHeight="1" x14ac:dyDescent="0.25">
      <c r="B35" s="44">
        <v>3</v>
      </c>
      <c r="C35" s="428" t="s">
        <v>267</v>
      </c>
      <c r="D35" s="428"/>
      <c r="E35" s="428"/>
      <c r="F35" s="428"/>
      <c r="G35" s="428"/>
      <c r="H35" s="428"/>
      <c r="I35" s="428"/>
      <c r="J35" s="428"/>
      <c r="K35" s="428"/>
      <c r="L35" s="428"/>
      <c r="M35" s="428"/>
      <c r="N35" s="428"/>
      <c r="O35" s="39"/>
      <c r="P35" s="53">
        <v>1</v>
      </c>
      <c r="Q35" s="50"/>
      <c r="R35" s="49"/>
      <c r="S35" s="53">
        <f t="shared" si="0"/>
        <v>1</v>
      </c>
    </row>
    <row r="36" spans="2:19" ht="14.25" customHeight="1" x14ac:dyDescent="0.25">
      <c r="B36" s="44">
        <v>3</v>
      </c>
      <c r="C36" s="428" t="s">
        <v>268</v>
      </c>
      <c r="D36" s="428"/>
      <c r="E36" s="428"/>
      <c r="F36" s="428"/>
      <c r="G36" s="428"/>
      <c r="H36" s="428"/>
      <c r="I36" s="428"/>
      <c r="J36" s="428"/>
      <c r="K36" s="428"/>
      <c r="L36" s="428"/>
      <c r="M36" s="428"/>
      <c r="N36" s="428"/>
      <c r="O36" s="39"/>
      <c r="P36" s="53" t="e">
        <f>'Site Info'!#REF!</f>
        <v>#REF!</v>
      </c>
      <c r="Q36" s="50"/>
      <c r="R36" s="49"/>
      <c r="S36" s="53" t="e">
        <f t="shared" si="0"/>
        <v>#REF!</v>
      </c>
    </row>
    <row r="37" spans="2:19" ht="14.25" customHeight="1" x14ac:dyDescent="0.25">
      <c r="B37" s="44">
        <v>3</v>
      </c>
      <c r="C37" s="428" t="s">
        <v>269</v>
      </c>
      <c r="D37" s="428"/>
      <c r="E37" s="428"/>
      <c r="F37" s="428"/>
      <c r="G37" s="428"/>
      <c r="H37" s="428"/>
      <c r="I37" s="428"/>
      <c r="J37" s="428"/>
      <c r="K37" s="428"/>
      <c r="L37" s="428"/>
      <c r="M37" s="428"/>
      <c r="N37" s="428"/>
      <c r="O37" s="39"/>
      <c r="P37" s="53" t="e">
        <f>'Site Info'!#REF!</f>
        <v>#REF!</v>
      </c>
      <c r="Q37" s="50"/>
      <c r="R37" s="49"/>
      <c r="S37" s="53" t="e">
        <f t="shared" si="0"/>
        <v>#REF!</v>
      </c>
    </row>
    <row r="38" spans="2:19" ht="14.25" customHeight="1" x14ac:dyDescent="0.25">
      <c r="B38" s="44">
        <v>3</v>
      </c>
      <c r="C38" s="428" t="s">
        <v>270</v>
      </c>
      <c r="D38" s="428"/>
      <c r="E38" s="428"/>
      <c r="F38" s="428"/>
      <c r="G38" s="428"/>
      <c r="H38" s="428"/>
      <c r="I38" s="428"/>
      <c r="J38" s="428"/>
      <c r="K38" s="428"/>
      <c r="L38" s="428"/>
      <c r="M38" s="428"/>
      <c r="N38" s="428"/>
      <c r="O38" s="39"/>
      <c r="P38" s="53" t="s">
        <v>255</v>
      </c>
      <c r="Q38" s="50"/>
      <c r="R38" s="49"/>
      <c r="S38" s="53" t="str">
        <f t="shared" si="0"/>
        <v>n</v>
      </c>
    </row>
    <row r="39" spans="2:19" ht="14.25" customHeight="1" x14ac:dyDescent="0.25">
      <c r="B39" s="44"/>
      <c r="C39" s="466" t="s">
        <v>272</v>
      </c>
      <c r="D39" s="466"/>
      <c r="E39" s="466"/>
      <c r="F39" s="466"/>
      <c r="G39" s="466"/>
      <c r="H39" s="466"/>
      <c r="I39" s="466"/>
      <c r="J39" s="466"/>
      <c r="K39" s="466"/>
      <c r="L39" s="466"/>
      <c r="M39" s="466"/>
      <c r="N39" s="466"/>
      <c r="O39" s="39"/>
      <c r="P39" s="53"/>
      <c r="Q39" s="50"/>
      <c r="R39" s="49"/>
      <c r="S39" s="53">
        <f t="shared" si="0"/>
        <v>0</v>
      </c>
    </row>
    <row r="40" spans="2:19" ht="14.25" customHeight="1" x14ac:dyDescent="0.25">
      <c r="B40" s="44">
        <v>15</v>
      </c>
      <c r="C40" s="428" t="s">
        <v>274</v>
      </c>
      <c r="D40" s="428"/>
      <c r="E40" s="428"/>
      <c r="F40" s="428"/>
      <c r="G40" s="428"/>
      <c r="H40" s="428"/>
      <c r="I40" s="428"/>
      <c r="J40" s="428"/>
      <c r="K40" s="428"/>
      <c r="L40" s="428"/>
      <c r="M40" s="428"/>
      <c r="N40" s="428"/>
      <c r="O40" s="39"/>
      <c r="P40" s="53" t="e">
        <f>CONCATENATE("license add ", '7-Info'!#REF!," ",'7-Info'!#REF!," ",'7-Info'!#REF!," ",'7-Info'!#REF!," ",'7-Info'!#REF!," ",'7-Info'!#REF!," ",'7-Info'!#REF!," ",'7-Info'!#REF!," ",'7-Info'!#REF!," ",'7-Info'!#REF!," ",'7-Info'!#REF!," ",'7-Info'!#REF!," ",'7-Info'!#REF!," ",'7-Info'!#REF!," ",'7-Info'!#REF!," ",'7-Info'!#REF!," ",'7-Info'!#REF!)</f>
        <v>#REF!</v>
      </c>
      <c r="Q40" s="50"/>
      <c r="R40" s="49"/>
      <c r="S40" s="53" t="e">
        <f>CONCATENATE("license add ", '7-Info'!#REF!," ",'7-Info'!#REF!," ",'7-Info'!#REF!," ",'7-Info'!#REF!," ",'7-Info'!#REF!," ",'7-Info'!#REF!," ",'7-Info'!#REF!," ",'7-Info'!#REF!," ",'7-Info'!#REF!," ",'7-Info'!#REF!," ",'7-Info'!#REF!," ",'7-Info'!#REF!," ",'7-Info'!#REF!," ",'7-Info'!#REF!," ",'7-Info'!#REF!," ",'7-Info'!#REF!," ",'7-Info'!#REF!)</f>
        <v>#REF!</v>
      </c>
    </row>
    <row r="41" spans="2:19" ht="14.25" customHeight="1" x14ac:dyDescent="0.25">
      <c r="B41" s="44">
        <v>18</v>
      </c>
      <c r="C41" s="428" t="s">
        <v>443</v>
      </c>
      <c r="D41" s="428"/>
      <c r="E41" s="428"/>
      <c r="F41" s="428"/>
      <c r="G41" s="428"/>
      <c r="H41" s="428"/>
      <c r="I41" s="428"/>
      <c r="J41" s="428"/>
      <c r="K41" s="428"/>
      <c r="L41" s="428"/>
      <c r="M41" s="428"/>
      <c r="N41" s="428"/>
      <c r="O41" s="39"/>
      <c r="P41" s="53" t="str">
        <f>CONCATENATE("timezone ", Dropdowns!L9)</f>
        <v>timezone America/Chicago</v>
      </c>
      <c r="Q41" s="50"/>
      <c r="R41" s="49"/>
      <c r="S41" s="53" t="str">
        <f t="shared" ref="S41:S64" si="1">P41</f>
        <v>timezone America/Chicago</v>
      </c>
    </row>
    <row r="42" spans="2:19" ht="14.25" customHeight="1" x14ac:dyDescent="0.25">
      <c r="B42" s="44">
        <v>19</v>
      </c>
      <c r="C42" s="428" t="s">
        <v>277</v>
      </c>
      <c r="D42" s="428"/>
      <c r="E42" s="428"/>
      <c r="F42" s="428"/>
      <c r="G42" s="428"/>
      <c r="H42" s="428"/>
      <c r="I42" s="428"/>
      <c r="J42" s="428"/>
      <c r="K42" s="428"/>
      <c r="L42" s="428"/>
      <c r="M42" s="428"/>
      <c r="N42" s="428"/>
      <c r="O42" s="39"/>
      <c r="P42" s="54" t="str">
        <f ca="1">"date "&amp; TEXT(Dropdowns!$L$4,"yyyymmddhhmm")</f>
        <v>date 202108060955</v>
      </c>
      <c r="Q42" s="50"/>
      <c r="R42" s="49"/>
      <c r="S42" s="54" t="str">
        <f ca="1">P42</f>
        <v>date 202108060955</v>
      </c>
    </row>
    <row r="43" spans="2:19" ht="14.25" customHeight="1" x14ac:dyDescent="0.25">
      <c r="B43" s="44">
        <v>19</v>
      </c>
      <c r="C43" s="428" t="s">
        <v>275</v>
      </c>
      <c r="D43" s="428"/>
      <c r="E43" s="428"/>
      <c r="F43" s="428"/>
      <c r="G43" s="428"/>
      <c r="H43" s="428"/>
      <c r="I43" s="428"/>
      <c r="J43" s="428"/>
      <c r="K43" s="428"/>
      <c r="L43" s="428"/>
      <c r="M43" s="428"/>
      <c r="N43" s="428"/>
      <c r="O43" s="39"/>
      <c r="P43" s="53" t="str">
        <f>CONCATENATE("options timed.servers ",'Site Info'!F28,",",'Site Info'!I28)</f>
        <v>options timed.servers 10.126.131.11,10.126.131.20</v>
      </c>
      <c r="Q43" s="50"/>
      <c r="R43" s="49"/>
      <c r="S43" s="53" t="str">
        <f t="shared" si="1"/>
        <v>options timed.servers 10.126.131.11,10.126.131.20</v>
      </c>
    </row>
    <row r="44" spans="2:19" ht="14.25" customHeight="1" x14ac:dyDescent="0.25">
      <c r="B44" s="44"/>
      <c r="C44" s="466" t="s">
        <v>276</v>
      </c>
      <c r="D44" s="466"/>
      <c r="E44" s="466"/>
      <c r="F44" s="466"/>
      <c r="G44" s="466"/>
      <c r="H44" s="466"/>
      <c r="I44" s="466"/>
      <c r="J44" s="466"/>
      <c r="K44" s="466"/>
      <c r="L44" s="466"/>
      <c r="M44" s="466"/>
      <c r="N44" s="466"/>
      <c r="O44" s="39"/>
      <c r="P44" s="53"/>
      <c r="Q44" s="50"/>
      <c r="R44" s="49"/>
      <c r="S44" s="53"/>
    </row>
    <row r="45" spans="2:19" ht="14.25" customHeight="1" x14ac:dyDescent="0.25">
      <c r="B45" s="44">
        <v>20</v>
      </c>
      <c r="C45" s="428" t="s">
        <v>267</v>
      </c>
      <c r="D45" s="428"/>
      <c r="E45" s="428"/>
      <c r="F45" s="428"/>
      <c r="G45" s="428"/>
      <c r="H45" s="428"/>
      <c r="I45" s="428"/>
      <c r="J45" s="428"/>
      <c r="K45" s="428"/>
      <c r="L45" s="428"/>
      <c r="M45" s="428"/>
      <c r="N45" s="428"/>
      <c r="O45" s="39"/>
      <c r="P45" s="53">
        <v>1</v>
      </c>
      <c r="Q45" s="50"/>
      <c r="R45" s="49"/>
      <c r="S45" s="53">
        <f t="shared" si="1"/>
        <v>1</v>
      </c>
    </row>
    <row r="46" spans="2:19" ht="14.25" customHeight="1" x14ac:dyDescent="0.25">
      <c r="B46" s="44">
        <v>20</v>
      </c>
      <c r="C46" s="428" t="s">
        <v>268</v>
      </c>
      <c r="D46" s="428"/>
      <c r="E46" s="428"/>
      <c r="F46" s="428"/>
      <c r="G46" s="428"/>
      <c r="H46" s="428"/>
      <c r="I46" s="428"/>
      <c r="J46" s="428"/>
      <c r="K46" s="428"/>
      <c r="L46" s="428"/>
      <c r="M46" s="428"/>
      <c r="N46" s="428"/>
      <c r="O46" s="39"/>
      <c r="P46" s="53" t="e">
        <f>'Site Info'!#REF!</f>
        <v>#REF!</v>
      </c>
      <c r="Q46" s="50"/>
      <c r="R46" s="49"/>
      <c r="S46" s="53" t="e">
        <f t="shared" si="1"/>
        <v>#REF!</v>
      </c>
    </row>
    <row r="47" spans="2:19" ht="14.25" customHeight="1" x14ac:dyDescent="0.25">
      <c r="B47" s="44">
        <v>20</v>
      </c>
      <c r="C47" s="428" t="s">
        <v>269</v>
      </c>
      <c r="D47" s="428"/>
      <c r="E47" s="428"/>
      <c r="F47" s="428"/>
      <c r="G47" s="428"/>
      <c r="H47" s="428"/>
      <c r="I47" s="428"/>
      <c r="J47" s="428"/>
      <c r="K47" s="428"/>
      <c r="L47" s="428"/>
      <c r="M47" s="428"/>
      <c r="N47" s="428"/>
      <c r="O47" s="39"/>
      <c r="P47" s="53" t="e">
        <f>'Site Info'!#REF!</f>
        <v>#REF!</v>
      </c>
      <c r="Q47" s="50"/>
      <c r="R47" s="49"/>
      <c r="S47" s="53" t="e">
        <f t="shared" si="1"/>
        <v>#REF!</v>
      </c>
    </row>
    <row r="48" spans="2:19" ht="14.25" customHeight="1" x14ac:dyDescent="0.25">
      <c r="B48" s="44">
        <v>20</v>
      </c>
      <c r="C48" s="428" t="s">
        <v>270</v>
      </c>
      <c r="D48" s="428"/>
      <c r="E48" s="428"/>
      <c r="F48" s="428"/>
      <c r="G48" s="428"/>
      <c r="H48" s="428"/>
      <c r="I48" s="428"/>
      <c r="J48" s="428"/>
      <c r="K48" s="428"/>
      <c r="L48" s="428"/>
      <c r="M48" s="428"/>
      <c r="N48" s="428"/>
      <c r="O48" s="39"/>
      <c r="P48" s="53" t="s">
        <v>255</v>
      </c>
      <c r="Q48" s="50"/>
      <c r="R48" s="49"/>
      <c r="S48" s="53" t="str">
        <f t="shared" si="1"/>
        <v>n</v>
      </c>
    </row>
    <row r="49" spans="2:19" ht="14.25" customHeight="1" x14ac:dyDescent="0.25">
      <c r="B49" s="44"/>
      <c r="C49" s="466" t="s">
        <v>597</v>
      </c>
      <c r="D49" s="466"/>
      <c r="E49" s="466"/>
      <c r="F49" s="466"/>
      <c r="G49" s="466"/>
      <c r="H49" s="466"/>
      <c r="I49" s="466"/>
      <c r="J49" s="466"/>
      <c r="K49" s="466"/>
      <c r="L49" s="466"/>
      <c r="M49" s="466"/>
      <c r="N49" s="466"/>
      <c r="O49" s="39"/>
      <c r="P49" s="53"/>
      <c r="Q49" s="50"/>
      <c r="R49" s="49"/>
      <c r="S49" s="53"/>
    </row>
    <row r="50" spans="2:19" ht="14.25" customHeight="1" x14ac:dyDescent="0.25">
      <c r="B50" s="99">
        <v>45</v>
      </c>
      <c r="C50" s="428" t="s">
        <v>606</v>
      </c>
      <c r="D50" s="428"/>
      <c r="E50" s="428"/>
      <c r="F50" s="428"/>
      <c r="G50" s="428"/>
      <c r="H50" s="428"/>
      <c r="I50" s="428"/>
      <c r="J50" s="428"/>
      <c r="K50" s="428"/>
      <c r="L50" s="428"/>
      <c r="M50" s="428"/>
      <c r="N50" s="428"/>
      <c r="O50" s="39"/>
      <c r="P50" s="53" t="str">
        <f>CONCATENATE("secureadmin setup –f -q ssl t US """,'Site Info'!O14,""" """,'Site Info'!O13,""" """,'Site Info'!F12,""" ""IT"" """,CONCATENATE(Inventory!C15,".",'Site Info'!F25),""" """,'Site Info'!F18,""" 2048")</f>
        <v>secureadmin setup –f -q ssl t US "Texas" "Houston" "Speedcast" "IT" "shpsan-01.speedcast.com" "dl-it-alerts@speedcast.com" 2048</v>
      </c>
      <c r="Q50" s="50"/>
      <c r="R50" s="100"/>
      <c r="S50" s="53" t="str">
        <f>CONCATENATE("secureadmin setup –f -q ssl t US """,'Site Info'!O14,""" """,'Site Info'!O13,""" """,'Site Info'!F12,""" ""IT"" """,CONCATENATE(Inventory!C16,".",'Site Info'!F25),""" """,'Site Info'!F18,""" 2048")</f>
        <v>secureadmin setup –f -q ssl t US "Texas" "Houston" "Speedcast" "IT" "shpsan-02.speedcast.com" "dl-it-alerts@speedcast.com" 2048</v>
      </c>
    </row>
    <row r="51" spans="2:19" ht="14.25" customHeight="1" x14ac:dyDescent="0.25">
      <c r="B51" s="44">
        <v>45</v>
      </c>
      <c r="C51" s="428" t="s">
        <v>278</v>
      </c>
      <c r="D51" s="428"/>
      <c r="E51" s="428"/>
      <c r="F51" s="428"/>
      <c r="G51" s="428"/>
      <c r="H51" s="428"/>
      <c r="I51" s="428"/>
      <c r="J51" s="428"/>
      <c r="K51" s="428"/>
      <c r="L51" s="428"/>
      <c r="M51" s="428"/>
      <c r="N51" s="428"/>
      <c r="O51" s="39"/>
      <c r="P51" s="53" t="s">
        <v>243</v>
      </c>
      <c r="Q51" s="50"/>
      <c r="R51" s="49"/>
      <c r="S51" s="53" t="str">
        <f t="shared" si="1"/>
        <v>y</v>
      </c>
    </row>
    <row r="52" spans="2:19" ht="14.25" customHeight="1" x14ac:dyDescent="0.25">
      <c r="B52" s="44">
        <v>45</v>
      </c>
      <c r="C52" s="428" t="s">
        <v>279</v>
      </c>
      <c r="D52" s="428"/>
      <c r="E52" s="428"/>
      <c r="F52" s="428"/>
      <c r="G52" s="428"/>
      <c r="H52" s="428"/>
      <c r="I52" s="428"/>
      <c r="J52" s="428"/>
      <c r="K52" s="428"/>
      <c r="L52" s="428"/>
      <c r="M52" s="428"/>
      <c r="N52" s="428"/>
      <c r="O52" s="39"/>
      <c r="P52" s="53" t="s">
        <v>292</v>
      </c>
      <c r="Q52" s="50"/>
      <c r="R52" s="49"/>
      <c r="S52" s="53" t="str">
        <f t="shared" si="1"/>
        <v>US</v>
      </c>
    </row>
    <row r="53" spans="2:19" ht="14.25" customHeight="1" x14ac:dyDescent="0.25">
      <c r="B53" s="44">
        <v>45</v>
      </c>
      <c r="C53" s="428" t="s">
        <v>280</v>
      </c>
      <c r="D53" s="428"/>
      <c r="E53" s="428"/>
      <c r="F53" s="428"/>
      <c r="G53" s="428"/>
      <c r="H53" s="428"/>
      <c r="I53" s="428"/>
      <c r="J53" s="428"/>
      <c r="K53" s="428"/>
      <c r="L53" s="428"/>
      <c r="M53" s="428"/>
      <c r="N53" s="428"/>
      <c r="O53" s="39"/>
      <c r="P53" s="53" t="str">
        <f>'Site Info'!O14</f>
        <v>Texas</v>
      </c>
      <c r="Q53" s="50"/>
      <c r="R53" s="49"/>
      <c r="S53" s="53" t="str">
        <f t="shared" si="1"/>
        <v>Texas</v>
      </c>
    </row>
    <row r="54" spans="2:19" ht="14.25" customHeight="1" x14ac:dyDescent="0.25">
      <c r="B54" s="44">
        <v>45</v>
      </c>
      <c r="C54" s="428" t="s">
        <v>281</v>
      </c>
      <c r="D54" s="428"/>
      <c r="E54" s="428"/>
      <c r="F54" s="428"/>
      <c r="G54" s="428"/>
      <c r="H54" s="428"/>
      <c r="I54" s="428"/>
      <c r="J54" s="428"/>
      <c r="K54" s="428"/>
      <c r="L54" s="428"/>
      <c r="M54" s="428"/>
      <c r="N54" s="428"/>
      <c r="O54" s="39"/>
      <c r="P54" s="53" t="str">
        <f>'Site Info'!O13</f>
        <v>Houston</v>
      </c>
      <c r="Q54" s="50"/>
      <c r="R54" s="49"/>
      <c r="S54" s="53" t="str">
        <f t="shared" si="1"/>
        <v>Houston</v>
      </c>
    </row>
    <row r="55" spans="2:19" ht="14.25" customHeight="1" x14ac:dyDescent="0.25">
      <c r="B55" s="44">
        <v>45</v>
      </c>
      <c r="C55" s="428" t="s">
        <v>282</v>
      </c>
      <c r="D55" s="428"/>
      <c r="E55" s="428"/>
      <c r="F55" s="428"/>
      <c r="G55" s="428"/>
      <c r="H55" s="428"/>
      <c r="I55" s="428"/>
      <c r="J55" s="428"/>
      <c r="K55" s="428"/>
      <c r="L55" s="428"/>
      <c r="M55" s="428"/>
      <c r="N55" s="428"/>
      <c r="O55" s="39"/>
      <c r="P55" s="53" t="str">
        <f>'Site Info'!F12</f>
        <v>Speedcast</v>
      </c>
      <c r="Q55" s="50"/>
      <c r="R55" s="49"/>
      <c r="S55" s="53" t="str">
        <f t="shared" si="1"/>
        <v>Speedcast</v>
      </c>
    </row>
    <row r="56" spans="2:19" ht="14.25" customHeight="1" x14ac:dyDescent="0.25">
      <c r="B56" s="44">
        <v>45</v>
      </c>
      <c r="C56" s="428" t="s">
        <v>283</v>
      </c>
      <c r="D56" s="428"/>
      <c r="E56" s="428"/>
      <c r="F56" s="428"/>
      <c r="G56" s="428"/>
      <c r="H56" s="428"/>
      <c r="I56" s="428"/>
      <c r="J56" s="428"/>
      <c r="K56" s="428"/>
      <c r="L56" s="428"/>
      <c r="M56" s="428"/>
      <c r="N56" s="428"/>
      <c r="O56" s="39"/>
      <c r="P56" s="53" t="s">
        <v>288</v>
      </c>
      <c r="Q56" s="50"/>
      <c r="R56" s="49"/>
      <c r="S56" s="53" t="str">
        <f t="shared" si="1"/>
        <v>IT</v>
      </c>
    </row>
    <row r="57" spans="2:19" ht="14.25" customHeight="1" x14ac:dyDescent="0.25">
      <c r="B57" s="44">
        <v>45</v>
      </c>
      <c r="C57" s="428" t="s">
        <v>287</v>
      </c>
      <c r="D57" s="428"/>
      <c r="E57" s="428"/>
      <c r="F57" s="428"/>
      <c r="G57" s="428"/>
      <c r="H57" s="428"/>
      <c r="I57" s="428"/>
      <c r="J57" s="428"/>
      <c r="K57" s="428"/>
      <c r="L57" s="428"/>
      <c r="M57" s="428"/>
      <c r="N57" s="428"/>
      <c r="O57" s="39"/>
      <c r="P57" s="53" t="str">
        <f>CONCATENATE(Inventory!C15,".",'Site Info'!F25)</f>
        <v>shpsan-01.speedcast.com</v>
      </c>
      <c r="Q57" s="50"/>
      <c r="R57" s="49"/>
      <c r="S57" s="53" t="str">
        <f>CONCATENATE(Inventory!C16,".",'Site Info'!F25)</f>
        <v>shpsan-02.speedcast.com</v>
      </c>
    </row>
    <row r="58" spans="2:19" ht="14.25" customHeight="1" x14ac:dyDescent="0.25">
      <c r="B58" s="44">
        <v>45</v>
      </c>
      <c r="C58" s="428" t="s">
        <v>284</v>
      </c>
      <c r="D58" s="428"/>
      <c r="E58" s="428"/>
      <c r="F58" s="428"/>
      <c r="G58" s="428"/>
      <c r="H58" s="428"/>
      <c r="I58" s="428"/>
      <c r="J58" s="428"/>
      <c r="K58" s="428"/>
      <c r="L58" s="428"/>
      <c r="M58" s="428"/>
      <c r="N58" s="428"/>
      <c r="O58" s="39"/>
      <c r="P58" s="53" t="str">
        <f>'Site Info'!F18</f>
        <v>dl-it-alerts@speedcast.com</v>
      </c>
      <c r="Q58" s="50"/>
      <c r="R58" s="49"/>
      <c r="S58" s="53" t="str">
        <f t="shared" si="1"/>
        <v>dl-it-alerts@speedcast.com</v>
      </c>
    </row>
    <row r="59" spans="2:19" ht="14.25" customHeight="1" x14ac:dyDescent="0.25">
      <c r="B59" s="44">
        <v>45</v>
      </c>
      <c r="C59" s="428" t="s">
        <v>285</v>
      </c>
      <c r="D59" s="428"/>
      <c r="E59" s="428"/>
      <c r="F59" s="428"/>
      <c r="G59" s="428"/>
      <c r="H59" s="428"/>
      <c r="I59" s="428"/>
      <c r="J59" s="428"/>
      <c r="K59" s="428"/>
      <c r="L59" s="428"/>
      <c r="M59" s="428"/>
      <c r="N59" s="428"/>
      <c r="O59" s="39"/>
      <c r="P59" s="53">
        <v>5475</v>
      </c>
      <c r="Q59" s="50"/>
      <c r="R59" s="49"/>
      <c r="S59" s="53">
        <f t="shared" si="1"/>
        <v>5475</v>
      </c>
    </row>
    <row r="60" spans="2:19" ht="14.25" customHeight="1" x14ac:dyDescent="0.25">
      <c r="B60" s="44">
        <v>45</v>
      </c>
      <c r="C60" s="428" t="s">
        <v>286</v>
      </c>
      <c r="D60" s="428"/>
      <c r="E60" s="428"/>
      <c r="F60" s="428"/>
      <c r="G60" s="428"/>
      <c r="H60" s="428"/>
      <c r="I60" s="428"/>
      <c r="J60" s="428"/>
      <c r="K60" s="428"/>
      <c r="L60" s="428"/>
      <c r="M60" s="428"/>
      <c r="N60" s="428"/>
      <c r="O60" s="39"/>
      <c r="P60" s="53">
        <v>2048</v>
      </c>
      <c r="Q60" s="50"/>
      <c r="R60" s="49"/>
      <c r="S60" s="53">
        <f t="shared" si="1"/>
        <v>2048</v>
      </c>
    </row>
    <row r="61" spans="2:19" ht="14.25" customHeight="1" x14ac:dyDescent="0.25">
      <c r="B61" s="44"/>
      <c r="C61" s="466" t="s">
        <v>596</v>
      </c>
      <c r="D61" s="466"/>
      <c r="E61" s="466"/>
      <c r="F61" s="466"/>
      <c r="G61" s="466"/>
      <c r="H61" s="466"/>
      <c r="I61" s="466"/>
      <c r="J61" s="466"/>
      <c r="K61" s="466"/>
      <c r="L61" s="466"/>
      <c r="M61" s="466"/>
      <c r="N61" s="466"/>
      <c r="O61" s="39"/>
      <c r="P61" s="53"/>
      <c r="Q61" s="50"/>
      <c r="R61" s="49"/>
      <c r="S61" s="53">
        <f t="shared" si="1"/>
        <v>0</v>
      </c>
    </row>
    <row r="62" spans="2:19" ht="14.25" customHeight="1" x14ac:dyDescent="0.25">
      <c r="B62" s="44">
        <v>52</v>
      </c>
      <c r="C62" s="428" t="s">
        <v>293</v>
      </c>
      <c r="D62" s="428"/>
      <c r="E62" s="428"/>
      <c r="F62" s="428"/>
      <c r="G62" s="428"/>
      <c r="H62" s="428"/>
      <c r="I62" s="428"/>
      <c r="J62" s="428"/>
      <c r="K62" s="428"/>
      <c r="L62" s="428"/>
      <c r="M62" s="428"/>
      <c r="N62" s="428"/>
      <c r="O62" s="39"/>
      <c r="P62" s="53" t="str">
        <f>CONCATENATE("options autosupport.to ",'Site Info'!F18)</f>
        <v>options autosupport.to dl-it-alerts@speedcast.com</v>
      </c>
      <c r="Q62" s="50"/>
      <c r="R62" s="49"/>
      <c r="S62" s="53" t="str">
        <f t="shared" si="1"/>
        <v>options autosupport.to dl-it-alerts@speedcast.com</v>
      </c>
    </row>
    <row r="63" spans="2:19" ht="14.25" customHeight="1" x14ac:dyDescent="0.25">
      <c r="B63" s="44">
        <v>52</v>
      </c>
      <c r="C63" s="428" t="s">
        <v>294</v>
      </c>
      <c r="D63" s="428"/>
      <c r="E63" s="428"/>
      <c r="F63" s="428"/>
      <c r="G63" s="428"/>
      <c r="H63" s="428"/>
      <c r="I63" s="428"/>
      <c r="J63" s="428"/>
      <c r="K63" s="428"/>
      <c r="L63" s="428"/>
      <c r="M63" s="428"/>
      <c r="N63" s="428"/>
      <c r="O63" s="39"/>
      <c r="P63" s="53" t="str">
        <f>CONCATENATE("options autosupport.from ", Inventory!C15, "@", 'Site Info'!F19)</f>
        <v>options autosupport.from shpsan-01@speedcast.com</v>
      </c>
      <c r="Q63" s="50"/>
      <c r="R63" s="49"/>
      <c r="S63" s="53" t="str">
        <f>CONCATENATE("options autosupport.from ", Inventory!C16, "@", 'Site Info'!F19)</f>
        <v>options autosupport.from shpsan-02@speedcast.com</v>
      </c>
    </row>
    <row r="64" spans="2:19" ht="14.25" customHeight="1" x14ac:dyDescent="0.25">
      <c r="B64" s="44">
        <v>52</v>
      </c>
      <c r="C64" s="428" t="s">
        <v>295</v>
      </c>
      <c r="D64" s="428"/>
      <c r="E64" s="428"/>
      <c r="F64" s="428"/>
      <c r="G64" s="428"/>
      <c r="H64" s="428"/>
      <c r="I64" s="428"/>
      <c r="J64" s="428"/>
      <c r="K64" s="428"/>
      <c r="L64" s="428"/>
      <c r="M64" s="428"/>
      <c r="N64" s="428"/>
      <c r="O64" s="39"/>
      <c r="P64" s="53" t="str">
        <f>CONCATENATE("options autosupport.mailhost ", 'Site Info'!Q18)</f>
        <v>options autosupport.mailhost exchange.speedcast.com</v>
      </c>
      <c r="Q64" s="50"/>
      <c r="R64" s="49"/>
      <c r="S64" s="53" t="str">
        <f t="shared" si="1"/>
        <v>options autosupport.mailhost exchange.speedcast.com</v>
      </c>
    </row>
    <row r="65" spans="2:19" ht="14.25" customHeight="1" x14ac:dyDescent="0.25">
      <c r="B65" s="97">
        <v>54</v>
      </c>
      <c r="C65" s="466" t="s">
        <v>595</v>
      </c>
      <c r="D65" s="466"/>
      <c r="E65" s="466"/>
      <c r="F65" s="466"/>
      <c r="G65" s="466"/>
      <c r="H65" s="466"/>
      <c r="I65" s="466"/>
      <c r="J65" s="466"/>
      <c r="K65" s="466"/>
      <c r="L65" s="466"/>
      <c r="M65" s="466"/>
      <c r="N65" s="466"/>
      <c r="O65" s="39"/>
      <c r="P65" s="53"/>
      <c r="Q65" s="50"/>
      <c r="R65" s="98"/>
      <c r="S65" s="53"/>
    </row>
    <row r="66" spans="2:19" ht="14.25" customHeight="1" x14ac:dyDescent="0.25">
      <c r="B66" s="97">
        <v>54</v>
      </c>
      <c r="C66" s="428" t="s">
        <v>587</v>
      </c>
      <c r="D66" s="428"/>
      <c r="E66" s="428"/>
      <c r="F66" s="428"/>
      <c r="G66" s="428"/>
      <c r="H66" s="428"/>
      <c r="I66" s="428"/>
      <c r="J66" s="428"/>
      <c r="K66" s="428"/>
      <c r="L66" s="428"/>
      <c r="M66" s="428"/>
      <c r="N66" s="428"/>
      <c r="O66" s="39"/>
      <c r="P66" s="53" t="s">
        <v>588</v>
      </c>
      <c r="Q66" s="50"/>
      <c r="R66" s="98"/>
      <c r="S66" s="53" t="str">
        <f>P66</f>
        <v>useradmin user add rsa -g administrators</v>
      </c>
    </row>
    <row r="67" spans="2:19" ht="14.25" customHeight="1" x14ac:dyDescent="0.25">
      <c r="B67" s="97">
        <v>54</v>
      </c>
      <c r="C67" s="428" t="s">
        <v>589</v>
      </c>
      <c r="D67" s="428"/>
      <c r="E67" s="428"/>
      <c r="F67" s="428"/>
      <c r="G67" s="428"/>
      <c r="H67" s="428"/>
      <c r="I67" s="428"/>
      <c r="J67" s="428"/>
      <c r="K67" s="428"/>
      <c r="L67" s="428"/>
      <c r="M67" s="428"/>
      <c r="N67" s="428"/>
      <c r="O67" s="39"/>
      <c r="P67" s="53" t="e">
        <f>'Site Info'!#REF!</f>
        <v>#REF!</v>
      </c>
      <c r="Q67" s="50"/>
      <c r="R67" s="98"/>
      <c r="S67" s="53" t="e">
        <f>P67</f>
        <v>#REF!</v>
      </c>
    </row>
    <row r="68" spans="2:19" ht="14.25" customHeight="1" x14ac:dyDescent="0.25">
      <c r="B68" s="97">
        <v>54</v>
      </c>
      <c r="C68" s="428" t="s">
        <v>591</v>
      </c>
      <c r="D68" s="428"/>
      <c r="E68" s="428"/>
      <c r="F68" s="428"/>
      <c r="G68" s="428"/>
      <c r="H68" s="428"/>
      <c r="I68" s="428"/>
      <c r="J68" s="428"/>
      <c r="K68" s="428"/>
      <c r="L68" s="428"/>
      <c r="M68" s="428"/>
      <c r="N68" s="428"/>
      <c r="O68" s="39"/>
      <c r="P68" s="53" t="s">
        <v>590</v>
      </c>
      <c r="Q68" s="50"/>
      <c r="R68" s="98"/>
      <c r="S68" s="53" t="str">
        <f>P68</f>
        <v>&lt;ctrl+d&gt; to exit to sp prompt</v>
      </c>
    </row>
    <row r="69" spans="2:19" ht="14.25" customHeight="1" x14ac:dyDescent="0.25">
      <c r="B69" s="97">
        <v>54</v>
      </c>
      <c r="C69" s="428" t="s">
        <v>531</v>
      </c>
      <c r="D69" s="428"/>
      <c r="E69" s="428"/>
      <c r="F69" s="428"/>
      <c r="G69" s="428"/>
      <c r="H69" s="428"/>
      <c r="I69" s="428"/>
      <c r="J69" s="428"/>
      <c r="K69" s="428"/>
      <c r="L69" s="428"/>
      <c r="M69" s="428"/>
      <c r="N69" s="428"/>
      <c r="O69" s="39"/>
      <c r="P69" s="53" t="s">
        <v>341</v>
      </c>
      <c r="Q69" s="50"/>
      <c r="R69" s="98"/>
      <c r="S69" s="53" t="str">
        <f t="shared" ref="S69:S74" si="2">P69</f>
        <v>yes</v>
      </c>
    </row>
    <row r="70" spans="2:19" ht="14.25" customHeight="1" x14ac:dyDescent="0.25">
      <c r="B70" s="97">
        <v>54</v>
      </c>
      <c r="C70" s="428" t="s">
        <v>532</v>
      </c>
      <c r="D70" s="428"/>
      <c r="E70" s="428"/>
      <c r="F70" s="428"/>
      <c r="G70" s="428"/>
      <c r="H70" s="428"/>
      <c r="I70" s="428"/>
      <c r="J70" s="428"/>
      <c r="K70" s="428"/>
      <c r="L70" s="428"/>
      <c r="M70" s="428"/>
      <c r="N70" s="428"/>
      <c r="O70" s="39"/>
      <c r="P70" s="53" t="s">
        <v>594</v>
      </c>
      <c r="Q70" s="50"/>
      <c r="R70" s="98"/>
      <c r="S70" s="53" t="str">
        <f t="shared" si="2"/>
        <v>yes/no (usually no)</v>
      </c>
    </row>
    <row r="71" spans="2:19" ht="14.25" customHeight="1" x14ac:dyDescent="0.25">
      <c r="B71" s="97">
        <v>54</v>
      </c>
      <c r="C71" s="428" t="s">
        <v>593</v>
      </c>
      <c r="D71" s="428"/>
      <c r="E71" s="428"/>
      <c r="F71" s="428"/>
      <c r="G71" s="428"/>
      <c r="H71" s="428"/>
      <c r="I71" s="428"/>
      <c r="J71" s="428"/>
      <c r="K71" s="428"/>
      <c r="L71" s="428"/>
      <c r="M71" s="428"/>
      <c r="N71" s="428"/>
      <c r="O71" s="39"/>
      <c r="P71" s="53" t="str">
        <f>(CONCATENATE(Inventory!C15,".",'Site Info'!F25))</f>
        <v>shpsan-01.speedcast.com</v>
      </c>
      <c r="Q71" s="50"/>
      <c r="R71" s="98"/>
      <c r="S71" s="53" t="str">
        <f>(CONCATENATE(Inventory!C16,".",'Site Info'!F25))</f>
        <v>shpsan-02.speedcast.com</v>
      </c>
    </row>
    <row r="72" spans="2:19" ht="14.25" customHeight="1" x14ac:dyDescent="0.25">
      <c r="B72" s="97">
        <v>54</v>
      </c>
      <c r="C72" s="428" t="s">
        <v>535</v>
      </c>
      <c r="D72" s="428"/>
      <c r="E72" s="428"/>
      <c r="F72" s="428"/>
      <c r="G72" s="428"/>
      <c r="H72" s="428"/>
      <c r="I72" s="428"/>
      <c r="J72" s="428"/>
      <c r="K72" s="428"/>
      <c r="L72" s="428"/>
      <c r="M72" s="428"/>
      <c r="N72" s="428"/>
      <c r="O72" s="39"/>
      <c r="P72" s="53" t="s">
        <v>341</v>
      </c>
      <c r="Q72" s="50"/>
      <c r="R72" s="98"/>
      <c r="S72" s="53" t="str">
        <f t="shared" si="2"/>
        <v>yes</v>
      </c>
    </row>
    <row r="73" spans="2:19" ht="14.25" customHeight="1" x14ac:dyDescent="0.25">
      <c r="B73" s="97">
        <v>54</v>
      </c>
      <c r="C73" s="428" t="s">
        <v>536</v>
      </c>
      <c r="D73" s="428"/>
      <c r="E73" s="428"/>
      <c r="F73" s="428"/>
      <c r="G73" s="428"/>
      <c r="H73" s="428"/>
      <c r="I73" s="428"/>
      <c r="J73" s="428"/>
      <c r="K73" s="428"/>
      <c r="L73" s="428"/>
      <c r="M73" s="428"/>
      <c r="N73" s="428"/>
      <c r="O73" s="39"/>
      <c r="P73" s="53">
        <v>443</v>
      </c>
      <c r="Q73" s="50"/>
      <c r="R73" s="98"/>
      <c r="S73" s="53">
        <f t="shared" si="2"/>
        <v>443</v>
      </c>
    </row>
    <row r="74" spans="2:19" ht="14.25" customHeight="1" x14ac:dyDescent="0.25">
      <c r="B74" s="97">
        <v>54</v>
      </c>
      <c r="C74" s="428" t="s">
        <v>592</v>
      </c>
      <c r="D74" s="428"/>
      <c r="E74" s="428"/>
      <c r="F74" s="428"/>
      <c r="G74" s="428"/>
      <c r="H74" s="428"/>
      <c r="I74" s="428"/>
      <c r="J74" s="428"/>
      <c r="K74" s="428"/>
      <c r="L74" s="428"/>
      <c r="M74" s="428"/>
      <c r="N74" s="428"/>
      <c r="O74" s="39"/>
      <c r="P74" s="53" t="s">
        <v>539</v>
      </c>
      <c r="Q74" s="50"/>
      <c r="R74" s="98"/>
      <c r="S74" s="53" t="str">
        <f t="shared" si="2"/>
        <v>rsa</v>
      </c>
    </row>
    <row r="75" spans="2:19" ht="14.25" customHeight="1" x14ac:dyDescent="0.25">
      <c r="B75" s="97">
        <v>54</v>
      </c>
      <c r="C75" s="428" t="s">
        <v>538</v>
      </c>
      <c r="D75" s="428"/>
      <c r="E75" s="428"/>
      <c r="F75" s="428"/>
      <c r="G75" s="428"/>
      <c r="H75" s="428"/>
      <c r="I75" s="428"/>
      <c r="J75" s="428"/>
      <c r="K75" s="428"/>
      <c r="L75" s="428"/>
      <c r="M75" s="428"/>
      <c r="N75" s="428"/>
      <c r="O75" s="39"/>
      <c r="P75" s="53" t="e">
        <f>'Site Info'!#REF!</f>
        <v>#REF!</v>
      </c>
      <c r="Q75" s="50"/>
      <c r="R75" s="98"/>
      <c r="S75" s="53" t="e">
        <f>P75</f>
        <v>#REF!</v>
      </c>
    </row>
    <row r="76" spans="2:19" ht="14.25" customHeight="1" x14ac:dyDescent="0.25"/>
    <row r="77" spans="2:19" ht="14.25" customHeight="1" x14ac:dyDescent="0.25"/>
    <row r="78" spans="2:19" ht="14.25" customHeight="1" x14ac:dyDescent="0.25"/>
    <row r="79" spans="2:19" ht="14.25" customHeight="1" x14ac:dyDescent="0.25"/>
    <row r="80" spans="2:19"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sheetData>
  <mergeCells count="69">
    <mergeCell ref="C55:N55"/>
    <mergeCell ref="C62:N62"/>
    <mergeCell ref="C63:N63"/>
    <mergeCell ref="C64:N64"/>
    <mergeCell ref="C56:N56"/>
    <mergeCell ref="C57:N57"/>
    <mergeCell ref="C58:N58"/>
    <mergeCell ref="C59:N59"/>
    <mergeCell ref="C60:N60"/>
    <mergeCell ref="C61:N61"/>
    <mergeCell ref="C48:N48"/>
    <mergeCell ref="C51:N51"/>
    <mergeCell ref="C52:N52"/>
    <mergeCell ref="C53:N53"/>
    <mergeCell ref="C54:N54"/>
    <mergeCell ref="C49:N49"/>
    <mergeCell ref="C50:N50"/>
    <mergeCell ref="C47:N47"/>
    <mergeCell ref="C36:N36"/>
    <mergeCell ref="C37:N37"/>
    <mergeCell ref="C38:N38"/>
    <mergeCell ref="C39:N39"/>
    <mergeCell ref="C40:N40"/>
    <mergeCell ref="C41:N41"/>
    <mergeCell ref="C42:N42"/>
    <mergeCell ref="C43:N43"/>
    <mergeCell ref="C44:N44"/>
    <mergeCell ref="C45:N45"/>
    <mergeCell ref="C46:N46"/>
    <mergeCell ref="C35:N35"/>
    <mergeCell ref="C24:N24"/>
    <mergeCell ref="C25:N25"/>
    <mergeCell ref="C26:N26"/>
    <mergeCell ref="C27:N27"/>
    <mergeCell ref="C28:N28"/>
    <mergeCell ref="C29:N29"/>
    <mergeCell ref="C30:N30"/>
    <mergeCell ref="C31:N31"/>
    <mergeCell ref="C32:N32"/>
    <mergeCell ref="C33:N33"/>
    <mergeCell ref="C34:N34"/>
    <mergeCell ref="C23:N23"/>
    <mergeCell ref="C12:N12"/>
    <mergeCell ref="C13:N13"/>
    <mergeCell ref="C14:N14"/>
    <mergeCell ref="C15:N15"/>
    <mergeCell ref="C16:N16"/>
    <mergeCell ref="C17:N17"/>
    <mergeCell ref="C18:N18"/>
    <mergeCell ref="C19:N19"/>
    <mergeCell ref="C20:N20"/>
    <mergeCell ref="C21:N21"/>
    <mergeCell ref="C22:N22"/>
    <mergeCell ref="C7:N7"/>
    <mergeCell ref="C8:N8"/>
    <mergeCell ref="C9:N9"/>
    <mergeCell ref="C10:N10"/>
    <mergeCell ref="C11:N11"/>
    <mergeCell ref="C75:N75"/>
    <mergeCell ref="C66:N66"/>
    <mergeCell ref="C67:N67"/>
    <mergeCell ref="C68:N68"/>
    <mergeCell ref="C69:N69"/>
    <mergeCell ref="C70:N70"/>
    <mergeCell ref="C65:N65"/>
    <mergeCell ref="C71:N71"/>
    <mergeCell ref="C72:N72"/>
    <mergeCell ref="C73:N73"/>
    <mergeCell ref="C74:N74"/>
  </mergeCells>
  <pageMargins left="0.7" right="0.7" top="0.75" bottom="0.75" header="0.3" footer="0.3"/>
  <pageSetup orientation="portrait"/>
  <ignoredErrors>
    <ignoredError sqref="S57 S63 S40" formula="1"/>
  </ignoredErrors>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7030A0"/>
  </sheetPr>
  <dimension ref="A2:AK232"/>
  <sheetViews>
    <sheetView workbookViewId="0">
      <pane ySplit="4" topLeftCell="A5" activePane="bottomLeft" state="frozen"/>
      <selection pane="bottomLeft" activeCell="A4" sqref="A4"/>
    </sheetView>
  </sheetViews>
  <sheetFormatPr defaultColWidth="7.140625" defaultRowHeight="10.5" x14ac:dyDescent="0.25"/>
  <cols>
    <col min="1" max="1" width="1.42578125" style="35" customWidth="1"/>
    <col min="2" max="15" width="7.140625" style="35"/>
    <col min="16" max="16" width="48.42578125" style="35" customWidth="1"/>
    <col min="17" max="17" width="2.28515625" style="35" customWidth="1"/>
    <col min="18" max="18" width="1.42578125" style="35" customWidth="1"/>
    <col min="19" max="19" width="48.42578125" style="35" customWidth="1"/>
    <col min="20" max="20" width="2.28515625" style="35" customWidth="1"/>
    <col min="21" max="21" width="1.42578125" style="35" customWidth="1"/>
    <col min="22" max="22" width="48.42578125" style="35" customWidth="1"/>
    <col min="23" max="23" width="2.28515625" style="35" customWidth="1"/>
    <col min="24" max="24" width="1.42578125" style="35" customWidth="1"/>
    <col min="25" max="25" width="48.42578125" style="35" customWidth="1"/>
    <col min="26" max="26" width="2.28515625" style="35" customWidth="1"/>
    <col min="27" max="27" width="1.42578125" style="35" customWidth="1"/>
    <col min="28" max="28" width="48.42578125" style="35" customWidth="1"/>
    <col min="29" max="29" width="2.28515625" style="35" customWidth="1"/>
    <col min="30" max="30" width="1.42578125" style="35" customWidth="1"/>
    <col min="31" max="31" width="48.42578125" style="35" customWidth="1"/>
    <col min="32" max="32" width="2.28515625" style="35" customWidth="1"/>
    <col min="33" max="33" width="1.42578125" style="35" customWidth="1"/>
    <col min="34" max="34" width="48.42578125" style="35" customWidth="1"/>
    <col min="35" max="35" width="2.28515625" style="35" customWidth="1"/>
    <col min="36" max="36" width="1.42578125" style="35" customWidth="1"/>
    <col min="37" max="37" width="48.42578125" style="35" customWidth="1"/>
    <col min="38" max="16384" width="7.140625" style="35"/>
  </cols>
  <sheetData>
    <row r="2" spans="1:21" ht="30.75" customHeight="1" x14ac:dyDescent="0.25">
      <c r="A2" s="2" t="s">
        <v>1</v>
      </c>
      <c r="B2"/>
      <c r="R2" s="1" t="s">
        <v>297</v>
      </c>
    </row>
    <row r="3" spans="1:21" ht="9" customHeight="1" x14ac:dyDescent="0.25"/>
    <row r="4" spans="1:21" ht="15" x14ac:dyDescent="0.25">
      <c r="A4" s="5"/>
      <c r="P4" s="56"/>
      <c r="Q4" s="56"/>
      <c r="R4" s="56"/>
      <c r="S4" s="57"/>
      <c r="U4" s="35" t="s">
        <v>0</v>
      </c>
    </row>
    <row r="5" spans="1:21" ht="14.25" customHeight="1" x14ac:dyDescent="0.25">
      <c r="B5" s="4" t="s">
        <v>298</v>
      </c>
      <c r="P5" s="63" t="s">
        <v>357</v>
      </c>
      <c r="Q5" s="56"/>
      <c r="R5" s="56"/>
      <c r="S5" s="56"/>
    </row>
    <row r="6" spans="1:21" ht="6" customHeight="1" x14ac:dyDescent="0.25">
      <c r="B6" s="4"/>
      <c r="G6" s="6"/>
      <c r="P6" s="56"/>
      <c r="Q6" s="56"/>
      <c r="R6" s="56"/>
      <c r="S6" s="56"/>
    </row>
    <row r="7" spans="1:21" ht="14.25" customHeight="1" x14ac:dyDescent="0.25">
      <c r="B7" s="6" t="s">
        <v>266</v>
      </c>
      <c r="C7" s="429" t="s">
        <v>239</v>
      </c>
      <c r="D7" s="429"/>
      <c r="E7" s="429"/>
      <c r="F7" s="429"/>
      <c r="G7" s="429"/>
      <c r="H7" s="429"/>
      <c r="I7" s="429"/>
      <c r="J7" s="429"/>
      <c r="K7" s="429"/>
      <c r="L7" s="429"/>
      <c r="M7" s="429"/>
      <c r="N7" s="429"/>
      <c r="O7" s="6"/>
      <c r="P7" s="46" t="s">
        <v>300</v>
      </c>
      <c r="Q7" s="45"/>
      <c r="S7" s="46" t="s">
        <v>301</v>
      </c>
    </row>
    <row r="8" spans="1:21" ht="14.25" customHeight="1" x14ac:dyDescent="0.25">
      <c r="B8" s="44">
        <v>3</v>
      </c>
      <c r="C8" s="428" t="s">
        <v>299</v>
      </c>
      <c r="D8" s="428"/>
      <c r="E8" s="428"/>
      <c r="F8" s="428"/>
      <c r="G8" s="428"/>
      <c r="H8" s="428"/>
      <c r="I8" s="428"/>
      <c r="J8" s="428"/>
      <c r="K8" s="428"/>
      <c r="L8" s="428"/>
      <c r="M8" s="428"/>
      <c r="N8" s="428"/>
      <c r="O8" s="39"/>
      <c r="P8" s="52" t="str">
        <f>CONCATENATE("hostname ", Inventory!C82)</f>
        <v>hostname shpsan-sw-mgt-01</v>
      </c>
      <c r="Q8" s="50"/>
      <c r="R8" s="49"/>
      <c r="S8" s="52" t="str">
        <f>CONCATENATE("hostname ", Inventory!C83)</f>
        <v>hostname shpsan-sw-mgt-02</v>
      </c>
    </row>
    <row r="9" spans="1:21" ht="14.25" customHeight="1" x14ac:dyDescent="0.25">
      <c r="B9" s="44">
        <v>4</v>
      </c>
      <c r="C9" s="428" t="s">
        <v>302</v>
      </c>
      <c r="D9" s="428"/>
      <c r="E9" s="428"/>
      <c r="F9" s="428"/>
      <c r="G9" s="428"/>
      <c r="H9" s="428"/>
      <c r="I9" s="428"/>
      <c r="J9" s="428"/>
      <c r="K9" s="428"/>
      <c r="L9" s="428"/>
      <c r="M9" s="428"/>
      <c r="N9" s="428"/>
      <c r="O9" s="39"/>
      <c r="P9" s="53" t="str">
        <f>CONCATENATE("network parms ",Inventory!Q82," ",Inventory!T82, " ", Inventory!W82)</f>
        <v>network parms  enter VLAN enter VLAN</v>
      </c>
      <c r="Q9" s="50"/>
      <c r="R9" s="49"/>
      <c r="S9" s="52" t="str">
        <f>CONCATENATE("network parms ",Inventory!Q83," ",Inventory!T83, " ", Inventory!W83)</f>
        <v>network parms  enter VLAN enter VLAN</v>
      </c>
    </row>
    <row r="10" spans="1:21" ht="14.25" customHeight="1" x14ac:dyDescent="0.25">
      <c r="B10" s="44">
        <v>8</v>
      </c>
      <c r="C10" s="466" t="s">
        <v>305</v>
      </c>
      <c r="D10" s="466"/>
      <c r="E10" s="466"/>
      <c r="F10" s="466"/>
      <c r="G10" s="466"/>
      <c r="H10" s="466"/>
      <c r="I10" s="466"/>
      <c r="J10" s="466"/>
      <c r="K10" s="466"/>
      <c r="L10" s="466"/>
      <c r="M10" s="466"/>
      <c r="N10" s="466"/>
      <c r="O10" s="39"/>
      <c r="P10" s="55"/>
      <c r="Q10" s="50"/>
      <c r="R10" s="49"/>
      <c r="S10" s="52"/>
    </row>
    <row r="11" spans="1:21" ht="14.25" customHeight="1" x14ac:dyDescent="0.25">
      <c r="B11" s="44">
        <v>8</v>
      </c>
      <c r="C11" s="428" t="s">
        <v>303</v>
      </c>
      <c r="D11" s="428"/>
      <c r="E11" s="428"/>
      <c r="F11" s="428"/>
      <c r="G11" s="428"/>
      <c r="H11" s="428"/>
      <c r="I11" s="428"/>
      <c r="J11" s="428"/>
      <c r="K11" s="428"/>
      <c r="L11" s="428"/>
      <c r="M11" s="428"/>
      <c r="N11" s="428"/>
      <c r="O11" s="39"/>
      <c r="P11" s="55" t="str">
        <f ca="1">"clock set "&amp; TEXT(Dropdowns!$L$5,"hh:mm:ss")</f>
        <v>clock set 15:55:16</v>
      </c>
      <c r="Q11" s="50"/>
      <c r="R11" s="49"/>
      <c r="S11" s="52" t="str">
        <f t="shared" ref="S11:S37" ca="1" si="0">P11</f>
        <v>clock set 15:55:16</v>
      </c>
    </row>
    <row r="12" spans="1:21" ht="14.25" customHeight="1" x14ac:dyDescent="0.25">
      <c r="B12" s="44">
        <v>8</v>
      </c>
      <c r="C12" s="428" t="s">
        <v>304</v>
      </c>
      <c r="D12" s="428"/>
      <c r="E12" s="428"/>
      <c r="F12" s="428"/>
      <c r="G12" s="428"/>
      <c r="H12" s="428"/>
      <c r="I12" s="428"/>
      <c r="J12" s="428"/>
      <c r="K12" s="428"/>
      <c r="L12" s="428"/>
      <c r="M12" s="428"/>
      <c r="N12" s="428"/>
      <c r="O12" s="39"/>
      <c r="P12" s="55" t="str">
        <f ca="1">"clock set "&amp; TEXT(Dropdowns!$L$5,"mm/dd/yyy")</f>
        <v>clock set 08/06/2021</v>
      </c>
      <c r="Q12" s="50"/>
      <c r="R12" s="49"/>
      <c r="S12" s="52" t="str">
        <f t="shared" ca="1" si="0"/>
        <v>clock set 08/06/2021</v>
      </c>
    </row>
    <row r="13" spans="1:21" ht="14.25" customHeight="1" x14ac:dyDescent="0.25">
      <c r="B13" s="44">
        <v>8</v>
      </c>
      <c r="C13" s="428" t="s">
        <v>306</v>
      </c>
      <c r="D13" s="428"/>
      <c r="E13" s="428"/>
      <c r="F13" s="428"/>
      <c r="G13" s="428"/>
      <c r="H13" s="428"/>
      <c r="I13" s="428"/>
      <c r="J13" s="428"/>
      <c r="K13" s="428"/>
      <c r="L13" s="428"/>
      <c r="M13" s="428"/>
      <c r="N13" s="428"/>
      <c r="O13" s="39"/>
      <c r="P13" s="53" t="str">
        <f>CONCATENATE("clock timezone ", Dropdowns!$L$6, " zone ", Dropdowns!$L$8)</f>
        <v>clock timezone -6 zone CST</v>
      </c>
      <c r="Q13" s="50"/>
      <c r="R13" s="49"/>
      <c r="S13" s="52" t="str">
        <f t="shared" si="0"/>
        <v>clock timezone -6 zone CST</v>
      </c>
    </row>
    <row r="14" spans="1:21" ht="14.25" customHeight="1" x14ac:dyDescent="0.25">
      <c r="B14" s="44">
        <v>9</v>
      </c>
      <c r="C14" s="428" t="s">
        <v>307</v>
      </c>
      <c r="D14" s="428"/>
      <c r="E14" s="428"/>
      <c r="F14" s="428"/>
      <c r="G14" s="428"/>
      <c r="H14" s="428"/>
      <c r="I14" s="428"/>
      <c r="J14" s="428"/>
      <c r="K14" s="428"/>
      <c r="L14" s="428"/>
      <c r="M14" s="428"/>
      <c r="N14" s="428"/>
      <c r="O14" s="39"/>
      <c r="P14" s="53" t="str">
        <f>CONCATENATE("sntp server ", 'Site Info'!$F$28, " 1")</f>
        <v>sntp server 10.126.131.11 1</v>
      </c>
      <c r="Q14" s="50"/>
      <c r="R14" s="49"/>
      <c r="S14" s="52" t="str">
        <f t="shared" si="0"/>
        <v>sntp server 10.126.131.11 1</v>
      </c>
    </row>
    <row r="15" spans="1:21" ht="14.25" customHeight="1" x14ac:dyDescent="0.25">
      <c r="B15" s="44">
        <v>9</v>
      </c>
      <c r="C15" s="428" t="s">
        <v>308</v>
      </c>
      <c r="D15" s="428"/>
      <c r="E15" s="428"/>
      <c r="F15" s="428"/>
      <c r="G15" s="428"/>
      <c r="H15" s="428"/>
      <c r="I15" s="428"/>
      <c r="J15" s="428"/>
      <c r="K15" s="428"/>
      <c r="L15" s="428"/>
      <c r="M15" s="428"/>
      <c r="N15" s="428"/>
      <c r="O15" s="39"/>
      <c r="P15" s="53" t="str">
        <f>CONCATENATE("sntp server ", 'Site Info'!$I$28, " 2")</f>
        <v>sntp server 10.126.131.20 2</v>
      </c>
      <c r="Q15" s="50"/>
      <c r="R15" s="49"/>
      <c r="S15" s="52" t="str">
        <f t="shared" si="0"/>
        <v>sntp server 10.126.131.20 2</v>
      </c>
    </row>
    <row r="16" spans="1:21" ht="14.25" customHeight="1" x14ac:dyDescent="0.25">
      <c r="B16" s="44">
        <v>10</v>
      </c>
      <c r="C16" s="428" t="s">
        <v>309</v>
      </c>
      <c r="D16" s="428"/>
      <c r="E16" s="428"/>
      <c r="F16" s="428"/>
      <c r="G16" s="428"/>
      <c r="H16" s="428"/>
      <c r="I16" s="428"/>
      <c r="J16" s="428"/>
      <c r="K16" s="428"/>
      <c r="L16" s="428"/>
      <c r="M16" s="428"/>
      <c r="N16" s="428"/>
      <c r="O16" s="39"/>
      <c r="P16" s="53" t="str">
        <f>CONCATENATE("ip domain name ",'Site Info'!$F$25)</f>
        <v>ip domain name speedcast.com</v>
      </c>
      <c r="Q16" s="50"/>
      <c r="R16" s="49"/>
      <c r="S16" s="52" t="str">
        <f t="shared" si="0"/>
        <v>ip domain name speedcast.com</v>
      </c>
    </row>
    <row r="17" spans="2:22" ht="14.25" customHeight="1" x14ac:dyDescent="0.25">
      <c r="B17" s="44">
        <v>10</v>
      </c>
      <c r="C17" s="428" t="s">
        <v>310</v>
      </c>
      <c r="D17" s="428"/>
      <c r="E17" s="428"/>
      <c r="F17" s="428"/>
      <c r="G17" s="428"/>
      <c r="H17" s="428"/>
      <c r="I17" s="428"/>
      <c r="J17" s="428"/>
      <c r="K17" s="428"/>
      <c r="L17" s="428"/>
      <c r="M17" s="428"/>
      <c r="N17" s="428"/>
      <c r="O17" s="39"/>
      <c r="P17" s="53" t="str">
        <f>CONCATENATE("ip name server ",'Site Info'!$F$26, " ",'Site Info'!$I$26)</f>
        <v>ip name server 10.126.131.11 175.176.252.8</v>
      </c>
      <c r="Q17" s="50"/>
      <c r="R17" s="49"/>
      <c r="S17" s="52" t="str">
        <f t="shared" si="0"/>
        <v>ip name server 10.126.131.11 175.176.252.8</v>
      </c>
    </row>
    <row r="18" spans="2:22" ht="14.25" customHeight="1" x14ac:dyDescent="0.25">
      <c r="B18" s="44">
        <v>12</v>
      </c>
      <c r="C18" s="467" t="s">
        <v>313</v>
      </c>
      <c r="D18" s="468"/>
      <c r="E18" s="468"/>
      <c r="F18" s="468"/>
      <c r="G18" s="468"/>
      <c r="H18" s="468"/>
      <c r="I18" s="468"/>
      <c r="J18" s="468"/>
      <c r="K18" s="468"/>
      <c r="L18" s="468"/>
      <c r="M18" s="468"/>
      <c r="N18" s="469"/>
      <c r="O18" s="39"/>
      <c r="P18" s="53" t="str">
        <f>CONCATENATE("mail-server ",'Site Info'!$Q$19)</f>
        <v>mail-server 175.176.252.12</v>
      </c>
      <c r="Q18" s="50"/>
      <c r="R18" s="49"/>
      <c r="S18" s="52" t="str">
        <f t="shared" si="0"/>
        <v>mail-server 175.176.252.12</v>
      </c>
    </row>
    <row r="19" spans="2:22" ht="14.25" customHeight="1" x14ac:dyDescent="0.25">
      <c r="B19" s="44">
        <v>12</v>
      </c>
      <c r="C19" s="467" t="s">
        <v>315</v>
      </c>
      <c r="D19" s="468"/>
      <c r="E19" s="468"/>
      <c r="F19" s="468"/>
      <c r="G19" s="468"/>
      <c r="H19" s="468"/>
      <c r="I19" s="468"/>
      <c r="J19" s="468"/>
      <c r="K19" s="468"/>
      <c r="L19" s="468"/>
      <c r="M19" s="468"/>
      <c r="N19" s="469"/>
      <c r="O19" s="39"/>
      <c r="P19" s="53" t="str">
        <f>CONCATENATE("logging email message-type both to-addr ", 'Site Info'!$F$18)</f>
        <v>logging email message-type both to-addr dl-it-alerts@speedcast.com</v>
      </c>
      <c r="Q19" s="50"/>
      <c r="R19" s="49"/>
      <c r="S19" s="52" t="str">
        <f t="shared" ref="S19" si="1">P19</f>
        <v>logging email message-type both to-addr dl-it-alerts@speedcast.com</v>
      </c>
    </row>
    <row r="20" spans="2:22" ht="14.25" customHeight="1" x14ac:dyDescent="0.25">
      <c r="B20" s="44">
        <v>12</v>
      </c>
      <c r="C20" s="428" t="s">
        <v>311</v>
      </c>
      <c r="D20" s="428"/>
      <c r="E20" s="428"/>
      <c r="F20" s="428"/>
      <c r="G20" s="428"/>
      <c r="H20" s="428"/>
      <c r="I20" s="428"/>
      <c r="J20" s="428"/>
      <c r="K20" s="428"/>
      <c r="L20" s="428"/>
      <c r="M20" s="428"/>
      <c r="N20" s="428"/>
      <c r="O20" s="39"/>
      <c r="P20" s="53" t="str">
        <f>CONCATENATE("logging email from-addr ", SUBSTITUTE(Inventory!C82,"-",""),"@",'Site Info'!$F$19)</f>
        <v>logging email from-addr shpsanswmgt01@speedcast.com</v>
      </c>
      <c r="Q20" s="50"/>
      <c r="R20" s="49"/>
      <c r="S20" s="52" t="str">
        <f>CONCATENATE("logging email from-addr ", SUBSTITUTE(Inventory!C83,"-",""),"@",'Site Info'!$F$19)</f>
        <v>logging email from-addr shpsanswmgt02@speedcast.com</v>
      </c>
    </row>
    <row r="21" spans="2:22" ht="14.25" customHeight="1" x14ac:dyDescent="0.25">
      <c r="B21" s="44">
        <v>12</v>
      </c>
      <c r="C21" s="428" t="s">
        <v>312</v>
      </c>
      <c r="D21" s="428"/>
      <c r="E21" s="428"/>
      <c r="F21" s="428"/>
      <c r="G21" s="428"/>
      <c r="H21" s="428"/>
      <c r="I21" s="428"/>
      <c r="J21" s="428"/>
      <c r="K21" s="428"/>
      <c r="L21" s="428"/>
      <c r="M21" s="428"/>
      <c r="N21" s="428"/>
      <c r="O21" s="39"/>
      <c r="P21" s="53" t="str">
        <f>CONCATENATE("logging email message-type both subject ""","Alert from ",Inventory!C82,"""")</f>
        <v>logging email message-type both subject "Alert from shpsan-sw-mgt-01"</v>
      </c>
      <c r="Q21" s="50" t="s">
        <v>346</v>
      </c>
      <c r="R21" s="49"/>
      <c r="S21" s="52" t="str">
        <f>CONCATENATE("logging email message-type both subject ""","Alert from ",Inventory!C83,"""")</f>
        <v>logging email message-type both subject "Alert from shpsan-sw-mgt-02"</v>
      </c>
      <c r="T21" s="35" t="s">
        <v>346</v>
      </c>
    </row>
    <row r="22" spans="2:22" ht="14.25" customHeight="1" x14ac:dyDescent="0.25">
      <c r="P22" s="58"/>
      <c r="Q22" s="56"/>
      <c r="R22" s="56"/>
      <c r="S22" s="58"/>
      <c r="T22" s="6"/>
      <c r="U22" s="6"/>
      <c r="V22" s="6"/>
    </row>
    <row r="23" spans="2:22" ht="14.25" customHeight="1" x14ac:dyDescent="0.25">
      <c r="B23" s="4" t="s">
        <v>314</v>
      </c>
      <c r="P23" s="56"/>
      <c r="Q23" s="56"/>
      <c r="R23" s="56"/>
      <c r="S23" s="56"/>
    </row>
    <row r="24" spans="2:22" ht="6" customHeight="1" x14ac:dyDescent="0.25">
      <c r="B24" s="4"/>
      <c r="G24" s="6"/>
      <c r="P24" s="59"/>
      <c r="Q24" s="56"/>
      <c r="R24" s="56"/>
      <c r="S24" s="56"/>
    </row>
    <row r="25" spans="2:22" ht="14.25" customHeight="1" x14ac:dyDescent="0.25">
      <c r="B25" s="6" t="s">
        <v>266</v>
      </c>
      <c r="C25" s="429" t="s">
        <v>239</v>
      </c>
      <c r="D25" s="429"/>
      <c r="E25" s="429"/>
      <c r="F25" s="429"/>
      <c r="G25" s="429"/>
      <c r="H25" s="429"/>
      <c r="I25" s="429"/>
      <c r="J25" s="429"/>
      <c r="K25" s="429"/>
      <c r="L25" s="429"/>
      <c r="M25" s="429"/>
      <c r="N25" s="429"/>
      <c r="O25" s="6"/>
      <c r="P25" s="46" t="s">
        <v>300</v>
      </c>
      <c r="Q25" s="45"/>
      <c r="S25" s="46" t="s">
        <v>301</v>
      </c>
    </row>
    <row r="26" spans="2:22" ht="14.25" customHeight="1" x14ac:dyDescent="0.25">
      <c r="B26" s="44">
        <v>3</v>
      </c>
      <c r="C26" s="428" t="s">
        <v>299</v>
      </c>
      <c r="D26" s="428"/>
      <c r="E26" s="428"/>
      <c r="F26" s="428"/>
      <c r="G26" s="428"/>
      <c r="H26" s="428"/>
      <c r="I26" s="428"/>
      <c r="J26" s="428"/>
      <c r="K26" s="428"/>
      <c r="L26" s="428"/>
      <c r="M26" s="428"/>
      <c r="N26" s="428"/>
      <c r="O26" s="39"/>
      <c r="P26" s="52" t="str">
        <f>CONCATENATE("hostname ",Inventory!C80)</f>
        <v>hostname shpsan-sw-ci-01</v>
      </c>
      <c r="Q26" s="50"/>
      <c r="R26" s="49"/>
      <c r="S26" s="52" t="str">
        <f>CONCATENATE("hostname ",Inventory!C81)</f>
        <v>hostname shpsan-sw-ci-02</v>
      </c>
    </row>
    <row r="27" spans="2:22" ht="14.25" customHeight="1" x14ac:dyDescent="0.25">
      <c r="B27" s="44">
        <v>4</v>
      </c>
      <c r="C27" s="428" t="s">
        <v>302</v>
      </c>
      <c r="D27" s="428"/>
      <c r="E27" s="428"/>
      <c r="F27" s="428"/>
      <c r="G27" s="428"/>
      <c r="H27" s="428"/>
      <c r="I27" s="428"/>
      <c r="J27" s="428"/>
      <c r="K27" s="428"/>
      <c r="L27" s="428"/>
      <c r="M27" s="428"/>
      <c r="N27" s="428"/>
      <c r="O27" s="39"/>
      <c r="P27" s="53" t="str">
        <f>CONCATENATE("network parms ",Inventory!Q80," ",Inventory!T80, " ", Inventory!W80)</f>
        <v>network parms  enter VLAN enter VLAN</v>
      </c>
      <c r="Q27" s="50"/>
      <c r="R27" s="49"/>
      <c r="S27" s="52" t="str">
        <f>CONCATENATE("network parms ",Inventory!Q81," ",Inventory!T81, " ", Inventory!W81)</f>
        <v>network parms  enter VLAN enter VLAN</v>
      </c>
    </row>
    <row r="28" spans="2:22" ht="14.25" customHeight="1" x14ac:dyDescent="0.25">
      <c r="B28" s="44"/>
      <c r="C28" s="466" t="s">
        <v>305</v>
      </c>
      <c r="D28" s="466"/>
      <c r="E28" s="466"/>
      <c r="F28" s="466"/>
      <c r="G28" s="466"/>
      <c r="H28" s="466"/>
      <c r="I28" s="466"/>
      <c r="J28" s="466"/>
      <c r="K28" s="466"/>
      <c r="L28" s="466"/>
      <c r="M28" s="466"/>
      <c r="N28" s="466"/>
      <c r="O28" s="39"/>
      <c r="P28" s="55"/>
      <c r="Q28" s="50"/>
      <c r="R28" s="49"/>
      <c r="S28" s="52"/>
    </row>
    <row r="29" spans="2:22" ht="14.25" customHeight="1" x14ac:dyDescent="0.25">
      <c r="B29" s="44">
        <v>8</v>
      </c>
      <c r="C29" s="428" t="s">
        <v>303</v>
      </c>
      <c r="D29" s="428"/>
      <c r="E29" s="428"/>
      <c r="F29" s="428"/>
      <c r="G29" s="428"/>
      <c r="H29" s="428"/>
      <c r="I29" s="428"/>
      <c r="J29" s="428"/>
      <c r="K29" s="428"/>
      <c r="L29" s="428"/>
      <c r="M29" s="428"/>
      <c r="N29" s="428"/>
      <c r="O29" s="39"/>
      <c r="P29" s="55" t="str">
        <f ca="1">"clock set "&amp; TEXT(Dropdowns!$L$5,"hh:mm:ss")</f>
        <v>clock set 15:55:16</v>
      </c>
      <c r="Q29" s="50"/>
      <c r="R29" s="49"/>
      <c r="S29" s="52" t="str">
        <f t="shared" ca="1" si="0"/>
        <v>clock set 15:55:16</v>
      </c>
    </row>
    <row r="30" spans="2:22" ht="14.25" customHeight="1" x14ac:dyDescent="0.25">
      <c r="B30" s="44">
        <v>8</v>
      </c>
      <c r="C30" s="428" t="s">
        <v>304</v>
      </c>
      <c r="D30" s="428"/>
      <c r="E30" s="428"/>
      <c r="F30" s="428"/>
      <c r="G30" s="428"/>
      <c r="H30" s="428"/>
      <c r="I30" s="428"/>
      <c r="J30" s="428"/>
      <c r="K30" s="428"/>
      <c r="L30" s="428"/>
      <c r="M30" s="428"/>
      <c r="N30" s="428"/>
      <c r="O30" s="39"/>
      <c r="P30" s="55" t="str">
        <f ca="1">"clock set "&amp; TEXT(Dropdowns!$L$5,"mm/dd/yyy")</f>
        <v>clock set 08/06/2021</v>
      </c>
      <c r="Q30" s="50"/>
      <c r="R30" s="49"/>
      <c r="S30" s="52" t="str">
        <f t="shared" ca="1" si="0"/>
        <v>clock set 08/06/2021</v>
      </c>
    </row>
    <row r="31" spans="2:22" ht="14.25" customHeight="1" x14ac:dyDescent="0.25">
      <c r="B31" s="44">
        <v>8</v>
      </c>
      <c r="C31" s="428" t="s">
        <v>306</v>
      </c>
      <c r="D31" s="428"/>
      <c r="E31" s="428"/>
      <c r="F31" s="428"/>
      <c r="G31" s="428"/>
      <c r="H31" s="428"/>
      <c r="I31" s="428"/>
      <c r="J31" s="428"/>
      <c r="K31" s="428"/>
      <c r="L31" s="428"/>
      <c r="M31" s="428"/>
      <c r="N31" s="428"/>
      <c r="O31" s="39"/>
      <c r="P31" s="53" t="str">
        <f>CONCATENATE("clock timezone ", Dropdowns!$L$6, " zone ", Dropdowns!$L$8)</f>
        <v>clock timezone -6 zone CST</v>
      </c>
      <c r="Q31" s="50"/>
      <c r="R31" s="49"/>
      <c r="S31" s="52" t="str">
        <f t="shared" si="0"/>
        <v>clock timezone -6 zone CST</v>
      </c>
    </row>
    <row r="32" spans="2:22" ht="14.25" customHeight="1" x14ac:dyDescent="0.25">
      <c r="B32" s="44">
        <v>9</v>
      </c>
      <c r="C32" s="428" t="s">
        <v>307</v>
      </c>
      <c r="D32" s="428"/>
      <c r="E32" s="428"/>
      <c r="F32" s="428"/>
      <c r="G32" s="428"/>
      <c r="H32" s="428"/>
      <c r="I32" s="428"/>
      <c r="J32" s="428"/>
      <c r="K32" s="428"/>
      <c r="L32" s="428"/>
      <c r="M32" s="428"/>
      <c r="N32" s="428"/>
      <c r="O32" s="39"/>
      <c r="P32" s="53" t="str">
        <f>CONCATENATE("sntp server ", 'Site Info'!$F$28, " 1")</f>
        <v>sntp server 10.126.131.11 1</v>
      </c>
      <c r="Q32" s="50"/>
      <c r="R32" s="49"/>
      <c r="S32" s="52" t="str">
        <f t="shared" si="0"/>
        <v>sntp server 10.126.131.11 1</v>
      </c>
    </row>
    <row r="33" spans="2:22" ht="14.25" customHeight="1" x14ac:dyDescent="0.25">
      <c r="B33" s="44">
        <v>9</v>
      </c>
      <c r="C33" s="428" t="s">
        <v>308</v>
      </c>
      <c r="D33" s="428"/>
      <c r="E33" s="428"/>
      <c r="F33" s="428"/>
      <c r="G33" s="428"/>
      <c r="H33" s="428"/>
      <c r="I33" s="428"/>
      <c r="J33" s="428"/>
      <c r="K33" s="428"/>
      <c r="L33" s="428"/>
      <c r="M33" s="428"/>
      <c r="N33" s="428"/>
      <c r="O33" s="39"/>
      <c r="P33" s="53" t="str">
        <f>CONCATENATE("sntp server ", 'Site Info'!$I$28, " 2")</f>
        <v>sntp server 10.126.131.20 2</v>
      </c>
      <c r="Q33" s="50"/>
      <c r="R33" s="49"/>
      <c r="S33" s="52" t="str">
        <f t="shared" si="0"/>
        <v>sntp server 10.126.131.20 2</v>
      </c>
    </row>
    <row r="34" spans="2:22" ht="14.25" customHeight="1" x14ac:dyDescent="0.25">
      <c r="B34" s="44">
        <v>10</v>
      </c>
      <c r="C34" s="428" t="s">
        <v>309</v>
      </c>
      <c r="D34" s="428"/>
      <c r="E34" s="428"/>
      <c r="F34" s="428"/>
      <c r="G34" s="428"/>
      <c r="H34" s="428"/>
      <c r="I34" s="428"/>
      <c r="J34" s="428"/>
      <c r="K34" s="428"/>
      <c r="L34" s="428"/>
      <c r="M34" s="428"/>
      <c r="N34" s="428"/>
      <c r="O34" s="39"/>
      <c r="P34" s="53" t="str">
        <f>CONCATENATE("ip domain name ",'Site Info'!$F$25)</f>
        <v>ip domain name speedcast.com</v>
      </c>
      <c r="Q34" s="50"/>
      <c r="R34" s="49"/>
      <c r="S34" s="52" t="str">
        <f t="shared" si="0"/>
        <v>ip domain name speedcast.com</v>
      </c>
    </row>
    <row r="35" spans="2:22" ht="14.25" customHeight="1" x14ac:dyDescent="0.25">
      <c r="B35" s="44">
        <v>10</v>
      </c>
      <c r="C35" s="428" t="s">
        <v>310</v>
      </c>
      <c r="D35" s="428"/>
      <c r="E35" s="428"/>
      <c r="F35" s="428"/>
      <c r="G35" s="428"/>
      <c r="H35" s="428"/>
      <c r="I35" s="428"/>
      <c r="J35" s="428"/>
      <c r="K35" s="428"/>
      <c r="L35" s="428"/>
      <c r="M35" s="428"/>
      <c r="N35" s="428"/>
      <c r="O35" s="39"/>
      <c r="P35" s="53" t="str">
        <f>CONCATENATE("ip name server ",'Site Info'!$F$26, " ",'Site Info'!$I$26)</f>
        <v>ip name server 10.126.131.11 175.176.252.8</v>
      </c>
      <c r="Q35" s="50"/>
      <c r="R35" s="49"/>
      <c r="S35" s="52" t="str">
        <f t="shared" si="0"/>
        <v>ip name server 10.126.131.11 175.176.252.8</v>
      </c>
    </row>
    <row r="36" spans="2:22" ht="14.25" customHeight="1" x14ac:dyDescent="0.25">
      <c r="B36" s="44">
        <v>12</v>
      </c>
      <c r="C36" s="467" t="s">
        <v>313</v>
      </c>
      <c r="D36" s="468"/>
      <c r="E36" s="468"/>
      <c r="F36" s="468"/>
      <c r="G36" s="468"/>
      <c r="H36" s="468"/>
      <c r="I36" s="468"/>
      <c r="J36" s="468"/>
      <c r="K36" s="468"/>
      <c r="L36" s="468"/>
      <c r="M36" s="468"/>
      <c r="N36" s="469"/>
      <c r="O36" s="39"/>
      <c r="P36" s="53" t="str">
        <f>CONCATENATE("mail-server ",'Site Info'!$Q$19)</f>
        <v>mail-server 175.176.252.12</v>
      </c>
      <c r="Q36" s="50"/>
      <c r="R36" s="49"/>
      <c r="S36" s="52" t="str">
        <f t="shared" si="0"/>
        <v>mail-server 175.176.252.12</v>
      </c>
    </row>
    <row r="37" spans="2:22" ht="14.25" customHeight="1" x14ac:dyDescent="0.25">
      <c r="B37" s="44">
        <v>12</v>
      </c>
      <c r="C37" s="467" t="s">
        <v>315</v>
      </c>
      <c r="D37" s="468"/>
      <c r="E37" s="468"/>
      <c r="F37" s="468"/>
      <c r="G37" s="468"/>
      <c r="H37" s="468"/>
      <c r="I37" s="468"/>
      <c r="J37" s="468"/>
      <c r="K37" s="468"/>
      <c r="L37" s="468"/>
      <c r="M37" s="468"/>
      <c r="N37" s="469"/>
      <c r="O37" s="39"/>
      <c r="P37" s="53" t="str">
        <f>CONCATENATE("logging email message-type both to-addr ", 'Site Info'!$F$18)</f>
        <v>logging email message-type both to-addr dl-it-alerts@speedcast.com</v>
      </c>
      <c r="Q37" s="50"/>
      <c r="R37" s="49"/>
      <c r="S37" s="52" t="str">
        <f t="shared" si="0"/>
        <v>logging email message-type both to-addr dl-it-alerts@speedcast.com</v>
      </c>
    </row>
    <row r="38" spans="2:22" ht="14.25" customHeight="1" x14ac:dyDescent="0.25">
      <c r="B38" s="44">
        <v>12</v>
      </c>
      <c r="C38" s="428" t="s">
        <v>311</v>
      </c>
      <c r="D38" s="428"/>
      <c r="E38" s="428"/>
      <c r="F38" s="428"/>
      <c r="G38" s="428"/>
      <c r="H38" s="428"/>
      <c r="I38" s="428"/>
      <c r="J38" s="428"/>
      <c r="K38" s="428"/>
      <c r="L38" s="428"/>
      <c r="M38" s="428"/>
      <c r="N38" s="428"/>
      <c r="O38" s="39"/>
      <c r="P38" s="53" t="str">
        <f>CONCATENATE("logging email from-addr ", SUBSTITUTE(Inventory!C80,"-",""),"@",'Site Info'!$F$19)</f>
        <v>logging email from-addr shpsanswci01@speedcast.com</v>
      </c>
      <c r="Q38" s="50"/>
      <c r="R38" s="49"/>
      <c r="S38" s="52" t="str">
        <f>CONCATENATE("logging email from-addr ", SUBSTITUTE(Inventory!C81,"-",""),"@",'Site Info'!$F$19)</f>
        <v>logging email from-addr shpsanswci02@speedcast.com</v>
      </c>
    </row>
    <row r="39" spans="2:22" ht="14.25" customHeight="1" x14ac:dyDescent="0.25">
      <c r="P39" s="58"/>
      <c r="Q39" s="56"/>
      <c r="R39" s="56"/>
      <c r="S39" s="58"/>
      <c r="T39" s="6"/>
      <c r="U39" s="6"/>
      <c r="V39" s="6"/>
    </row>
    <row r="40" spans="2:22" ht="14.25" customHeight="1" x14ac:dyDescent="0.25">
      <c r="B40" s="4" t="s">
        <v>316</v>
      </c>
      <c r="P40" s="56"/>
      <c r="Q40" s="56"/>
      <c r="R40" s="56"/>
      <c r="S40" s="56"/>
    </row>
    <row r="41" spans="2:22" ht="6" customHeight="1" x14ac:dyDescent="0.25">
      <c r="B41" s="4"/>
      <c r="G41" s="6"/>
      <c r="P41" s="59"/>
      <c r="Q41" s="56"/>
      <c r="R41" s="56"/>
      <c r="S41" s="56"/>
    </row>
    <row r="42" spans="2:22" ht="14.25" customHeight="1" x14ac:dyDescent="0.25">
      <c r="B42" s="6" t="s">
        <v>266</v>
      </c>
      <c r="C42" s="429" t="s">
        <v>239</v>
      </c>
      <c r="D42" s="429"/>
      <c r="E42" s="429"/>
      <c r="F42" s="429"/>
      <c r="G42" s="429"/>
      <c r="H42" s="429"/>
      <c r="I42" s="429"/>
      <c r="J42" s="429"/>
      <c r="K42" s="429"/>
      <c r="L42" s="429"/>
      <c r="M42" s="429"/>
      <c r="N42" s="429"/>
      <c r="O42" s="6"/>
      <c r="P42" s="46" t="s">
        <v>319</v>
      </c>
    </row>
    <row r="43" spans="2:22" ht="14.25" customHeight="1" x14ac:dyDescent="0.25">
      <c r="B43" s="44">
        <v>2</v>
      </c>
      <c r="C43" s="428" t="s">
        <v>317</v>
      </c>
      <c r="D43" s="428"/>
      <c r="E43" s="428"/>
      <c r="F43" s="428"/>
      <c r="G43" s="428"/>
      <c r="H43" s="428"/>
      <c r="I43" s="428"/>
      <c r="J43" s="428"/>
      <c r="K43" s="428"/>
      <c r="L43" s="428"/>
      <c r="M43" s="428"/>
      <c r="N43" s="428"/>
      <c r="O43" s="39"/>
      <c r="P43" s="52" t="s">
        <v>318</v>
      </c>
    </row>
    <row r="44" spans="2:22" ht="14.25" customHeight="1" x14ac:dyDescent="0.25">
      <c r="B44" s="44">
        <v>2</v>
      </c>
      <c r="C44" s="428" t="s">
        <v>323</v>
      </c>
      <c r="D44" s="428"/>
      <c r="E44" s="428"/>
      <c r="F44" s="428"/>
      <c r="G44" s="428"/>
      <c r="H44" s="428"/>
      <c r="I44" s="428"/>
      <c r="J44" s="428"/>
      <c r="K44" s="428"/>
      <c r="L44" s="428"/>
      <c r="M44" s="428"/>
      <c r="N44" s="428"/>
      <c r="O44" s="39"/>
      <c r="P44" s="53" t="str">
        <f>Inventory!G12</f>
        <v>shpsan</v>
      </c>
    </row>
    <row r="45" spans="2:22" ht="14.25" customHeight="1" x14ac:dyDescent="0.25">
      <c r="B45" s="44">
        <v>2</v>
      </c>
      <c r="C45" s="428" t="s">
        <v>324</v>
      </c>
      <c r="D45" s="428"/>
      <c r="E45" s="428"/>
      <c r="F45" s="428"/>
      <c r="G45" s="428"/>
      <c r="H45" s="428"/>
      <c r="I45" s="428"/>
      <c r="J45" s="428"/>
      <c r="K45" s="428"/>
      <c r="L45" s="428"/>
      <c r="M45" s="428"/>
      <c r="N45" s="428"/>
      <c r="O45" s="39"/>
      <c r="P45" s="53" t="e">
        <f>IF('c-Cluster'!#REF!&lt;&gt;0,'c-Cluster'!#REF!,"ERROR : enter base license key on c-Cluster tab")</f>
        <v>#REF!</v>
      </c>
    </row>
    <row r="46" spans="2:22" ht="14.25" customHeight="1" x14ac:dyDescent="0.25">
      <c r="B46" s="44">
        <v>2</v>
      </c>
      <c r="C46" s="428" t="s">
        <v>325</v>
      </c>
      <c r="D46" s="428"/>
      <c r="E46" s="428"/>
      <c r="F46" s="428"/>
      <c r="G46" s="428"/>
      <c r="H46" s="428"/>
      <c r="I46" s="428"/>
      <c r="J46" s="428"/>
      <c r="K46" s="428"/>
      <c r="L46" s="428"/>
      <c r="M46" s="428"/>
      <c r="N46" s="428"/>
      <c r="O46" s="39"/>
      <c r="P46" s="53" t="e">
        <f>IF('c-Cluster'!#REF!&lt;&gt;0,'c-Cluster'!#REF!,"")</f>
        <v>#REF!</v>
      </c>
    </row>
    <row r="47" spans="2:22" ht="14.25" customHeight="1" x14ac:dyDescent="0.25">
      <c r="B47" s="44">
        <v>2</v>
      </c>
      <c r="C47" s="428" t="s">
        <v>325</v>
      </c>
      <c r="D47" s="428"/>
      <c r="E47" s="428"/>
      <c r="F47" s="428"/>
      <c r="G47" s="428"/>
      <c r="H47" s="428"/>
      <c r="I47" s="428"/>
      <c r="J47" s="428"/>
      <c r="K47" s="428"/>
      <c r="L47" s="428"/>
      <c r="M47" s="428"/>
      <c r="N47" s="428"/>
      <c r="O47" s="39"/>
      <c r="P47" s="53" t="e">
        <f>IF('c-Cluster'!#REF!&lt;&gt;0,'c-Cluster'!#REF!,"")</f>
        <v>#REF!</v>
      </c>
    </row>
    <row r="48" spans="2:22" ht="14.25" customHeight="1" x14ac:dyDescent="0.25">
      <c r="B48" s="44">
        <v>2</v>
      </c>
      <c r="C48" s="428" t="s">
        <v>325</v>
      </c>
      <c r="D48" s="428"/>
      <c r="E48" s="428"/>
      <c r="F48" s="428"/>
      <c r="G48" s="428"/>
      <c r="H48" s="428"/>
      <c r="I48" s="428"/>
      <c r="J48" s="428"/>
      <c r="K48" s="428"/>
      <c r="L48" s="428"/>
      <c r="M48" s="428"/>
      <c r="N48" s="428"/>
      <c r="O48" s="39"/>
      <c r="P48" s="53" t="e">
        <f>IF('c-Cluster'!#REF!&lt;&gt;0,'c-Cluster'!#REF!,"")</f>
        <v>#REF!</v>
      </c>
    </row>
    <row r="49" spans="2:19" ht="14.25" customHeight="1" x14ac:dyDescent="0.25">
      <c r="B49" s="44">
        <v>2</v>
      </c>
      <c r="C49" s="428" t="s">
        <v>325</v>
      </c>
      <c r="D49" s="428"/>
      <c r="E49" s="428"/>
      <c r="F49" s="428"/>
      <c r="G49" s="428"/>
      <c r="H49" s="428"/>
      <c r="I49" s="428"/>
      <c r="J49" s="428"/>
      <c r="K49" s="428"/>
      <c r="L49" s="428"/>
      <c r="M49" s="428"/>
      <c r="N49" s="428"/>
      <c r="O49" s="39"/>
      <c r="P49" s="53" t="e">
        <f>IF('c-Cluster'!#REF!&lt;&gt;0,'c-Cluster'!#REF!,"")</f>
        <v>#REF!</v>
      </c>
    </row>
    <row r="50" spans="2:19" ht="14.25" customHeight="1" x14ac:dyDescent="0.25">
      <c r="B50" s="44">
        <v>2</v>
      </c>
      <c r="C50" s="428" t="s">
        <v>325</v>
      </c>
      <c r="D50" s="428"/>
      <c r="E50" s="428"/>
      <c r="F50" s="428"/>
      <c r="G50" s="428"/>
      <c r="H50" s="428"/>
      <c r="I50" s="428"/>
      <c r="J50" s="428"/>
      <c r="K50" s="428"/>
      <c r="L50" s="428"/>
      <c r="M50" s="428"/>
      <c r="N50" s="428"/>
      <c r="O50" s="39"/>
      <c r="P50" s="53" t="e">
        <f>IF('c-Cluster'!#REF!&lt;&gt;0,'c-Cluster'!#REF!,"")</f>
        <v>#REF!</v>
      </c>
    </row>
    <row r="51" spans="2:19" ht="14.25" customHeight="1" x14ac:dyDescent="0.25">
      <c r="B51" s="91">
        <v>2</v>
      </c>
      <c r="C51" s="428" t="s">
        <v>325</v>
      </c>
      <c r="D51" s="428"/>
      <c r="E51" s="428"/>
      <c r="F51" s="428"/>
      <c r="G51" s="428"/>
      <c r="H51" s="428"/>
      <c r="I51" s="428"/>
      <c r="J51" s="428"/>
      <c r="K51" s="428"/>
      <c r="L51" s="428"/>
      <c r="M51" s="428"/>
      <c r="N51" s="428"/>
      <c r="O51" s="39"/>
      <c r="P51" s="53" t="e">
        <f>IF('c-Cluster'!#REF!&lt;&gt;0,'c-Cluster'!#REF!,"")</f>
        <v>#REF!</v>
      </c>
    </row>
    <row r="52" spans="2:19" ht="14.25" customHeight="1" x14ac:dyDescent="0.25">
      <c r="B52" s="91">
        <v>2</v>
      </c>
      <c r="C52" s="428" t="s">
        <v>325</v>
      </c>
      <c r="D52" s="428"/>
      <c r="E52" s="428"/>
      <c r="F52" s="428"/>
      <c r="G52" s="428"/>
      <c r="H52" s="428"/>
      <c r="I52" s="428"/>
      <c r="J52" s="428"/>
      <c r="K52" s="428"/>
      <c r="L52" s="428"/>
      <c r="M52" s="428"/>
      <c r="N52" s="428"/>
      <c r="O52" s="39"/>
      <c r="P52" s="53" t="e">
        <f>IF('c-Cluster'!#REF!&lt;&gt;0,'c-Cluster'!#REF!,"")</f>
        <v>#REF!</v>
      </c>
    </row>
    <row r="53" spans="2:19" ht="14.25" customHeight="1" x14ac:dyDescent="0.25">
      <c r="B53" s="91">
        <v>2</v>
      </c>
      <c r="C53" s="428" t="s">
        <v>325</v>
      </c>
      <c r="D53" s="428"/>
      <c r="E53" s="428"/>
      <c r="F53" s="428"/>
      <c r="G53" s="428"/>
      <c r="H53" s="428"/>
      <c r="I53" s="428"/>
      <c r="J53" s="428"/>
      <c r="K53" s="428"/>
      <c r="L53" s="428"/>
      <c r="M53" s="428"/>
      <c r="N53" s="428"/>
      <c r="O53" s="39"/>
      <c r="P53" s="53" t="e">
        <f>IF('c-Cluster'!#REF!&lt;&gt;0,'c-Cluster'!#REF!,"")</f>
        <v>#REF!</v>
      </c>
    </row>
    <row r="54" spans="2:19" ht="14.25" customHeight="1" x14ac:dyDescent="0.25">
      <c r="B54" s="44">
        <v>2</v>
      </c>
      <c r="C54" s="428" t="s">
        <v>326</v>
      </c>
      <c r="D54" s="428"/>
      <c r="E54" s="428"/>
      <c r="F54" s="428"/>
      <c r="G54" s="428"/>
      <c r="H54" s="428"/>
      <c r="I54" s="428"/>
      <c r="J54" s="428"/>
      <c r="K54" s="428"/>
      <c r="L54" s="428"/>
      <c r="M54" s="428"/>
      <c r="N54" s="428"/>
      <c r="O54" s="39"/>
      <c r="P54" s="53" t="e">
        <f>'Site Info'!#REF!</f>
        <v>#REF!</v>
      </c>
    </row>
    <row r="55" spans="2:19" ht="14.25" customHeight="1" x14ac:dyDescent="0.25">
      <c r="B55" s="44">
        <v>2</v>
      </c>
      <c r="C55" s="428" t="s">
        <v>269</v>
      </c>
      <c r="D55" s="428"/>
      <c r="E55" s="428"/>
      <c r="F55" s="428"/>
      <c r="G55" s="428"/>
      <c r="H55" s="428"/>
      <c r="I55" s="428"/>
      <c r="J55" s="428"/>
      <c r="K55" s="428"/>
      <c r="L55" s="428"/>
      <c r="M55" s="428"/>
      <c r="N55" s="428"/>
      <c r="O55" s="39"/>
      <c r="P55" s="53" t="e">
        <f>'Site Info'!#REF!</f>
        <v>#REF!</v>
      </c>
    </row>
    <row r="56" spans="2:19" ht="14.25" customHeight="1" x14ac:dyDescent="0.25">
      <c r="B56" s="44">
        <v>2</v>
      </c>
      <c r="C56" s="428" t="s">
        <v>330</v>
      </c>
      <c r="D56" s="428"/>
      <c r="E56" s="428"/>
      <c r="F56" s="428"/>
      <c r="G56" s="428"/>
      <c r="H56" s="428"/>
      <c r="I56" s="428"/>
      <c r="J56" s="428"/>
      <c r="K56" s="428"/>
      <c r="L56" s="428"/>
      <c r="M56" s="428"/>
      <c r="N56" s="428"/>
      <c r="O56" s="39"/>
      <c r="P56" s="53" t="str">
        <f>'c-Cluster'!$F$30</f>
        <v>e0M</v>
      </c>
    </row>
    <row r="57" spans="2:19" ht="14.25" customHeight="1" x14ac:dyDescent="0.25">
      <c r="B57" s="44">
        <v>2</v>
      </c>
      <c r="C57" s="428" t="s">
        <v>327</v>
      </c>
      <c r="D57" s="428"/>
      <c r="E57" s="428"/>
      <c r="F57" s="428"/>
      <c r="G57" s="428"/>
      <c r="H57" s="428"/>
      <c r="I57" s="428"/>
      <c r="J57" s="428"/>
      <c r="K57" s="428"/>
      <c r="L57" s="428"/>
      <c r="M57" s="428"/>
      <c r="N57" s="428"/>
      <c r="O57" s="39"/>
      <c r="P57" s="54" t="str">
        <f>'c-Cluster'!$J$34</f>
        <v>10.126.131.173</v>
      </c>
    </row>
    <row r="58" spans="2:19" ht="14.25" customHeight="1" x14ac:dyDescent="0.25">
      <c r="B58" s="44">
        <v>2</v>
      </c>
      <c r="C58" s="428" t="s">
        <v>328</v>
      </c>
      <c r="D58" s="428"/>
      <c r="E58" s="428"/>
      <c r="F58" s="428"/>
      <c r="G58" s="428"/>
      <c r="H58" s="428"/>
      <c r="I58" s="428"/>
      <c r="J58" s="428"/>
      <c r="K58" s="428"/>
      <c r="L58" s="428"/>
      <c r="M58" s="428"/>
      <c r="N58" s="428"/>
      <c r="O58" s="39"/>
      <c r="P58" s="53" t="str">
        <f>'c-Cluster'!$K$30</f>
        <v>255.255.255.0</v>
      </c>
    </row>
    <row r="59" spans="2:19" ht="14.25" customHeight="1" x14ac:dyDescent="0.25">
      <c r="B59" s="44">
        <v>2</v>
      </c>
      <c r="C59" s="428" t="s">
        <v>329</v>
      </c>
      <c r="D59" s="428"/>
      <c r="E59" s="428"/>
      <c r="F59" s="428"/>
      <c r="G59" s="428"/>
      <c r="H59" s="428"/>
      <c r="I59" s="428"/>
      <c r="J59" s="428"/>
      <c r="K59" s="428"/>
      <c r="L59" s="428"/>
      <c r="M59" s="428"/>
      <c r="N59" s="428"/>
      <c r="O59" s="39"/>
      <c r="P59" s="53" t="str">
        <f>'c-Cluster'!$K$29</f>
        <v>10.126.131.1</v>
      </c>
    </row>
    <row r="60" spans="2:19" ht="14.25" customHeight="1" x14ac:dyDescent="0.25">
      <c r="B60" s="44">
        <v>2</v>
      </c>
      <c r="C60" s="428" t="s">
        <v>331</v>
      </c>
      <c r="D60" s="428"/>
      <c r="E60" s="428"/>
      <c r="F60" s="428"/>
      <c r="G60" s="428"/>
      <c r="H60" s="428"/>
      <c r="I60" s="428"/>
      <c r="J60" s="428"/>
      <c r="K60" s="428"/>
      <c r="L60" s="428"/>
      <c r="M60" s="428"/>
      <c r="N60" s="428"/>
      <c r="O60" s="39"/>
      <c r="P60" s="53" t="str">
        <f>'Site Info'!$F$25</f>
        <v>speedcast.com</v>
      </c>
    </row>
    <row r="61" spans="2:19" ht="14.25" customHeight="1" x14ac:dyDescent="0.25">
      <c r="B61" s="44">
        <v>2</v>
      </c>
      <c r="C61" s="428" t="s">
        <v>332</v>
      </c>
      <c r="D61" s="428"/>
      <c r="E61" s="428"/>
      <c r="F61" s="428"/>
      <c r="G61" s="428"/>
      <c r="H61" s="428"/>
      <c r="I61" s="428"/>
      <c r="J61" s="428"/>
      <c r="K61" s="428"/>
      <c r="L61" s="428"/>
      <c r="M61" s="428"/>
      <c r="N61" s="428"/>
      <c r="O61" s="39"/>
      <c r="P61" s="53" t="str">
        <f>CONCATENATE('Site Info'!$F$26, ",",'Site Info'!$I$26,",", 'Site Info'!$L$26)</f>
        <v>10.126.131.11,175.176.252.8,</v>
      </c>
    </row>
    <row r="62" spans="2:19" ht="14.25" customHeight="1" x14ac:dyDescent="0.25">
      <c r="B62" s="44">
        <v>2</v>
      </c>
      <c r="C62" s="428" t="s">
        <v>333</v>
      </c>
      <c r="D62" s="428"/>
      <c r="E62" s="428"/>
      <c r="F62" s="428"/>
      <c r="G62" s="428"/>
      <c r="H62" s="428"/>
      <c r="I62" s="428"/>
      <c r="J62" s="428"/>
      <c r="K62" s="428"/>
      <c r="L62" s="428"/>
      <c r="M62" s="428"/>
      <c r="N62" s="428"/>
      <c r="O62" s="39"/>
      <c r="P62" s="53" t="str">
        <f>'Site Info'!$F$23</f>
        <v>4400 S Sam Houston Pkwy E, Houston, Texas 77048</v>
      </c>
    </row>
    <row r="63" spans="2:19" ht="14.25" customHeight="1" x14ac:dyDescent="0.25">
      <c r="B63" s="44">
        <v>2</v>
      </c>
      <c r="C63" s="428" t="s">
        <v>334</v>
      </c>
      <c r="D63" s="428"/>
      <c r="E63" s="428"/>
      <c r="F63" s="428"/>
      <c r="G63" s="428"/>
      <c r="H63" s="428"/>
      <c r="I63" s="428"/>
      <c r="J63" s="428"/>
      <c r="K63" s="428"/>
      <c r="L63" s="428"/>
      <c r="M63" s="428"/>
      <c r="N63" s="428"/>
      <c r="O63" s="39"/>
      <c r="P63" s="53" t="str">
        <f>'c-Cluster'!$F$39</f>
        <v>e0M</v>
      </c>
    </row>
    <row r="64" spans="2:19" ht="14.25" customHeight="1" x14ac:dyDescent="0.25">
      <c r="B64" s="44">
        <v>2</v>
      </c>
      <c r="C64" s="428" t="s">
        <v>335</v>
      </c>
      <c r="D64" s="428"/>
      <c r="E64" s="428"/>
      <c r="F64" s="428"/>
      <c r="G64" s="428"/>
      <c r="H64" s="428"/>
      <c r="I64" s="428"/>
      <c r="J64" s="428"/>
      <c r="K64" s="428"/>
      <c r="L64" s="428"/>
      <c r="M64" s="428"/>
      <c r="N64" s="428"/>
      <c r="O64" s="39"/>
      <c r="P64" s="53" t="str">
        <f>'c-Cluster'!$J$43</f>
        <v>10.126.131.171</v>
      </c>
      <c r="S64" s="67" t="s">
        <v>367</v>
      </c>
    </row>
    <row r="65" spans="2:37" ht="14.25" customHeight="1" x14ac:dyDescent="0.25">
      <c r="B65" s="44">
        <v>2</v>
      </c>
      <c r="C65" s="428" t="s">
        <v>336</v>
      </c>
      <c r="D65" s="428"/>
      <c r="E65" s="428"/>
      <c r="F65" s="428"/>
      <c r="G65" s="428"/>
      <c r="H65" s="428"/>
      <c r="I65" s="428"/>
      <c r="J65" s="428"/>
      <c r="K65" s="428"/>
      <c r="L65" s="428"/>
      <c r="M65" s="428"/>
      <c r="N65" s="428"/>
      <c r="O65" s="39"/>
      <c r="P65" s="53" t="str">
        <f>'c-Cluster'!$K$39</f>
        <v>255.255.255.0</v>
      </c>
    </row>
    <row r="66" spans="2:37" ht="14.25" customHeight="1" x14ac:dyDescent="0.25">
      <c r="B66" s="44">
        <v>2</v>
      </c>
      <c r="C66" s="428" t="s">
        <v>337</v>
      </c>
      <c r="D66" s="428"/>
      <c r="E66" s="428"/>
      <c r="F66" s="428"/>
      <c r="G66" s="428"/>
      <c r="H66" s="428"/>
      <c r="I66" s="428"/>
      <c r="J66" s="428"/>
      <c r="K66" s="428"/>
      <c r="L66" s="428"/>
      <c r="M66" s="428"/>
      <c r="N66" s="428"/>
      <c r="O66" s="39"/>
      <c r="P66" s="53">
        <f>'c-Cluster'!$K$38</f>
        <v>0</v>
      </c>
      <c r="S66" s="46" t="s">
        <v>320</v>
      </c>
      <c r="T66" s="50"/>
      <c r="U66" s="49"/>
      <c r="V66" s="46" t="s">
        <v>322</v>
      </c>
      <c r="W66" s="50"/>
      <c r="X66" s="49"/>
      <c r="Y66" s="46" t="s">
        <v>321</v>
      </c>
      <c r="Z66" s="50"/>
      <c r="AA66" s="49"/>
      <c r="AB66" s="48" t="s">
        <v>363</v>
      </c>
      <c r="AC66" s="50"/>
      <c r="AD66" s="49"/>
      <c r="AE66" s="48" t="s">
        <v>364</v>
      </c>
      <c r="AF66" s="50"/>
      <c r="AG66" s="49"/>
      <c r="AH66" s="48" t="s">
        <v>365</v>
      </c>
      <c r="AI66" s="50"/>
      <c r="AJ66" s="49"/>
      <c r="AK66" s="48" t="s">
        <v>366</v>
      </c>
    </row>
    <row r="67" spans="2:37" ht="14.25" customHeight="1" x14ac:dyDescent="0.25">
      <c r="B67" s="44">
        <v>3</v>
      </c>
      <c r="C67" s="428" t="s">
        <v>317</v>
      </c>
      <c r="D67" s="428"/>
      <c r="E67" s="428"/>
      <c r="F67" s="428"/>
      <c r="G67" s="428"/>
      <c r="H67" s="428"/>
      <c r="I67" s="428"/>
      <c r="J67" s="428"/>
      <c r="K67" s="428"/>
      <c r="L67" s="428"/>
      <c r="M67" s="428"/>
      <c r="N67" s="428"/>
      <c r="O67" s="39"/>
      <c r="P67" s="60"/>
      <c r="Q67" s="50"/>
      <c r="R67" s="49"/>
      <c r="S67" s="52" t="s">
        <v>338</v>
      </c>
      <c r="T67" s="50"/>
      <c r="U67" s="49"/>
      <c r="V67" s="52" t="str">
        <f>IF(Inventory!C17&lt;&gt;"","join","no controller to configure")</f>
        <v>no controller to configure</v>
      </c>
      <c r="W67" s="50"/>
      <c r="X67" s="49"/>
      <c r="Y67" s="52" t="str">
        <f>IF(Inventory!C18&lt;&gt;"","join","no controller to configure")</f>
        <v>no controller to configure</v>
      </c>
      <c r="Z67" s="50"/>
      <c r="AA67" s="49"/>
      <c r="AB67" s="52" t="str">
        <f>IF(Inventory!C19&lt;&gt;"","join","no controller to configure")</f>
        <v>no controller to configure</v>
      </c>
      <c r="AC67" s="50"/>
      <c r="AD67" s="49"/>
      <c r="AE67" s="52" t="str">
        <f>IF(Inventory!C20&lt;&gt;"","join","no controller to configure")</f>
        <v>no controller to configure</v>
      </c>
      <c r="AF67" s="50"/>
      <c r="AG67" s="49"/>
      <c r="AH67" s="52" t="str">
        <f>IF(Inventory!C21&lt;&gt;"","join","no controller to configure")</f>
        <v>no controller to configure</v>
      </c>
      <c r="AI67" s="50"/>
      <c r="AJ67" s="49"/>
      <c r="AK67" s="52" t="str">
        <f>IF(Inventory!C22&lt;&gt;"","join","no controller to configure")</f>
        <v>no controller to configure</v>
      </c>
    </row>
    <row r="68" spans="2:37" ht="14.25" customHeight="1" x14ac:dyDescent="0.25">
      <c r="B68" s="44">
        <v>3</v>
      </c>
      <c r="C68" s="428" t="s">
        <v>340</v>
      </c>
      <c r="D68" s="428"/>
      <c r="E68" s="428"/>
      <c r="F68" s="428"/>
      <c r="G68" s="428"/>
      <c r="H68" s="428"/>
      <c r="I68" s="428"/>
      <c r="J68" s="428"/>
      <c r="K68" s="428"/>
      <c r="L68" s="428"/>
      <c r="M68" s="428"/>
      <c r="N68" s="428"/>
      <c r="O68" s="39"/>
      <c r="P68" s="51"/>
      <c r="Q68" s="50"/>
      <c r="R68" s="49"/>
      <c r="S68" s="52" t="s">
        <v>341</v>
      </c>
      <c r="T68" s="50"/>
      <c r="U68" s="49"/>
      <c r="V68" s="52" t="str">
        <f>S68</f>
        <v>yes</v>
      </c>
      <c r="W68" s="50"/>
      <c r="X68" s="49"/>
      <c r="Y68" s="52" t="str">
        <f>V68</f>
        <v>yes</v>
      </c>
      <c r="Z68" s="50"/>
      <c r="AA68" s="49"/>
      <c r="AB68" s="52" t="str">
        <f>Y68</f>
        <v>yes</v>
      </c>
      <c r="AC68" s="50"/>
      <c r="AD68" s="49"/>
      <c r="AE68" s="52" t="str">
        <f>AB68</f>
        <v>yes</v>
      </c>
      <c r="AF68" s="50"/>
      <c r="AG68" s="49"/>
      <c r="AH68" s="52" t="str">
        <f>AE68</f>
        <v>yes</v>
      </c>
      <c r="AI68" s="50"/>
      <c r="AJ68" s="49"/>
      <c r="AK68" s="52" t="str">
        <f>AH68</f>
        <v>yes</v>
      </c>
    </row>
    <row r="69" spans="2:37" ht="14.25" customHeight="1" x14ac:dyDescent="0.25">
      <c r="B69" s="44">
        <v>3</v>
      </c>
      <c r="C69" s="428" t="s">
        <v>339</v>
      </c>
      <c r="D69" s="428"/>
      <c r="E69" s="428"/>
      <c r="F69" s="428"/>
      <c r="G69" s="428"/>
      <c r="H69" s="428"/>
      <c r="I69" s="428"/>
      <c r="J69" s="428"/>
      <c r="K69" s="428"/>
      <c r="L69" s="428"/>
      <c r="M69" s="428"/>
      <c r="N69" s="428"/>
      <c r="O69" s="39"/>
      <c r="P69" s="51"/>
      <c r="Q69" s="50"/>
      <c r="R69" s="49"/>
      <c r="S69" s="52" t="str">
        <f>P44</f>
        <v>shpsan</v>
      </c>
      <c r="T69" s="50"/>
      <c r="U69" s="49"/>
      <c r="V69" s="52" t="str">
        <f t="shared" ref="V69:V75" si="2">S69</f>
        <v>shpsan</v>
      </c>
      <c r="W69" s="50"/>
      <c r="X69" s="49"/>
      <c r="Y69" s="52" t="str">
        <f t="shared" ref="Y69:Y75" si="3">V69</f>
        <v>shpsan</v>
      </c>
      <c r="Z69" s="50"/>
      <c r="AA69" s="49"/>
      <c r="AB69" s="52" t="str">
        <f t="shared" ref="AB69:AB70" si="4">Y69</f>
        <v>shpsan</v>
      </c>
      <c r="AC69" s="50"/>
      <c r="AD69" s="49"/>
      <c r="AE69" s="52" t="str">
        <f t="shared" ref="AE69:AE70" si="5">AB69</f>
        <v>shpsan</v>
      </c>
      <c r="AF69" s="50"/>
      <c r="AG69" s="49"/>
      <c r="AH69" s="52" t="str">
        <f t="shared" ref="AH69:AH70" si="6">AE69</f>
        <v>shpsan</v>
      </c>
      <c r="AI69" s="50"/>
      <c r="AJ69" s="49"/>
      <c r="AK69" s="52" t="str">
        <f t="shared" ref="AK69" si="7">AH69</f>
        <v>shpsan</v>
      </c>
    </row>
    <row r="70" spans="2:37" ht="14.25" customHeight="1" x14ac:dyDescent="0.25">
      <c r="B70" s="44">
        <v>3</v>
      </c>
      <c r="C70" s="428" t="s">
        <v>334</v>
      </c>
      <c r="D70" s="428"/>
      <c r="E70" s="428"/>
      <c r="F70" s="428"/>
      <c r="G70" s="428"/>
      <c r="H70" s="428"/>
      <c r="I70" s="428"/>
      <c r="J70" s="428"/>
      <c r="K70" s="428"/>
      <c r="L70" s="428"/>
      <c r="M70" s="428"/>
      <c r="N70" s="428"/>
      <c r="O70" s="39"/>
      <c r="P70" s="51"/>
      <c r="Q70" s="50"/>
      <c r="R70" s="49"/>
      <c r="S70" s="53" t="str">
        <f>'c-Cluster'!$F$39</f>
        <v>e0M</v>
      </c>
      <c r="T70" s="50"/>
      <c r="U70" s="49"/>
      <c r="V70" s="52" t="str">
        <f t="shared" si="2"/>
        <v>e0M</v>
      </c>
      <c r="W70" s="50"/>
      <c r="X70" s="49"/>
      <c r="Y70" s="52" t="str">
        <f t="shared" si="3"/>
        <v>e0M</v>
      </c>
      <c r="Z70" s="50"/>
      <c r="AA70" s="49"/>
      <c r="AB70" s="52" t="str">
        <f t="shared" si="4"/>
        <v>e0M</v>
      </c>
      <c r="AC70" s="50"/>
      <c r="AD70" s="49"/>
      <c r="AE70" s="52" t="str">
        <f t="shared" si="5"/>
        <v>e0M</v>
      </c>
      <c r="AF70" s="50"/>
      <c r="AG70" s="49"/>
      <c r="AH70" s="52" t="str">
        <f t="shared" si="6"/>
        <v>e0M</v>
      </c>
      <c r="AI70" s="50"/>
      <c r="AJ70" s="49"/>
      <c r="AK70" s="52" t="str">
        <f>AH70</f>
        <v>e0M</v>
      </c>
    </row>
    <row r="71" spans="2:37" ht="14.25" customHeight="1" x14ac:dyDescent="0.25">
      <c r="B71" s="44">
        <v>3</v>
      </c>
      <c r="C71" s="428" t="s">
        <v>335</v>
      </c>
      <c r="D71" s="428"/>
      <c r="E71" s="428"/>
      <c r="F71" s="428"/>
      <c r="G71" s="428"/>
      <c r="H71" s="428"/>
      <c r="I71" s="428"/>
      <c r="J71" s="428"/>
      <c r="K71" s="428"/>
      <c r="L71" s="428"/>
      <c r="M71" s="428"/>
      <c r="N71" s="428"/>
      <c r="O71" s="39"/>
      <c r="P71" s="51"/>
      <c r="Q71" s="50"/>
      <c r="R71" s="49"/>
      <c r="S71" s="53" t="str">
        <f>'c-Cluster'!$J$44</f>
        <v>10.126.131.172</v>
      </c>
      <c r="T71" s="50"/>
      <c r="U71" s="49"/>
      <c r="V71" s="53">
        <f>'c-Cluster'!$J$45</f>
        <v>0</v>
      </c>
      <c r="W71" s="50"/>
      <c r="X71" s="49"/>
      <c r="Y71" s="52">
        <f>'c-Cluster'!$J$46</f>
        <v>0</v>
      </c>
      <c r="Z71" s="50"/>
      <c r="AA71" s="49"/>
      <c r="AB71" s="52">
        <f>'c-Cluster'!$J$47</f>
        <v>0</v>
      </c>
      <c r="AC71" s="50"/>
      <c r="AD71" s="49"/>
      <c r="AE71" s="52">
        <f>'c-Cluster'!$J$48</f>
        <v>0</v>
      </c>
      <c r="AF71" s="50"/>
      <c r="AG71" s="49"/>
      <c r="AH71" s="52">
        <f>'c-Cluster'!$J$49</f>
        <v>0</v>
      </c>
      <c r="AI71" s="50"/>
      <c r="AJ71" s="49"/>
      <c r="AK71" s="52">
        <f>'c-Cluster'!$J$50</f>
        <v>0</v>
      </c>
    </row>
    <row r="72" spans="2:37" ht="14.25" customHeight="1" x14ac:dyDescent="0.25">
      <c r="B72" s="44">
        <v>3</v>
      </c>
      <c r="C72" s="428" t="s">
        <v>336</v>
      </c>
      <c r="D72" s="428"/>
      <c r="E72" s="428"/>
      <c r="F72" s="428"/>
      <c r="G72" s="428"/>
      <c r="H72" s="428"/>
      <c r="I72" s="428"/>
      <c r="J72" s="428"/>
      <c r="K72" s="428"/>
      <c r="L72" s="428"/>
      <c r="M72" s="428"/>
      <c r="N72" s="428"/>
      <c r="O72" s="39"/>
      <c r="P72" s="51"/>
      <c r="Q72" s="50"/>
      <c r="R72" s="49"/>
      <c r="S72" s="53" t="str">
        <f>'c-Cluster'!$K$39</f>
        <v>255.255.255.0</v>
      </c>
      <c r="T72" s="50"/>
      <c r="U72" s="49"/>
      <c r="V72" s="52" t="str">
        <f t="shared" si="2"/>
        <v>255.255.255.0</v>
      </c>
      <c r="W72" s="50"/>
      <c r="X72" s="49"/>
      <c r="Y72" s="52" t="str">
        <f t="shared" si="3"/>
        <v>255.255.255.0</v>
      </c>
      <c r="Z72" s="50"/>
      <c r="AA72" s="49"/>
      <c r="AB72" s="52" t="str">
        <f t="shared" ref="AB72:AB75" si="8">Y72</f>
        <v>255.255.255.0</v>
      </c>
      <c r="AC72" s="50"/>
      <c r="AD72" s="49"/>
      <c r="AE72" s="52" t="str">
        <f t="shared" ref="AE72:AE75" si="9">AB72</f>
        <v>255.255.255.0</v>
      </c>
      <c r="AF72" s="50"/>
      <c r="AG72" s="49"/>
      <c r="AH72" s="52" t="str">
        <f t="shared" ref="AH72:AH75" si="10">AE72</f>
        <v>255.255.255.0</v>
      </c>
      <c r="AI72" s="50"/>
      <c r="AJ72" s="49"/>
      <c r="AK72" s="52" t="str">
        <f t="shared" ref="AK72:AK75" si="11">AH72</f>
        <v>255.255.255.0</v>
      </c>
    </row>
    <row r="73" spans="2:37" ht="14.25" customHeight="1" x14ac:dyDescent="0.25">
      <c r="B73" s="44">
        <v>3</v>
      </c>
      <c r="C73" s="428" t="s">
        <v>337</v>
      </c>
      <c r="D73" s="428"/>
      <c r="E73" s="428"/>
      <c r="F73" s="428"/>
      <c r="G73" s="428"/>
      <c r="H73" s="428"/>
      <c r="I73" s="428"/>
      <c r="J73" s="428"/>
      <c r="K73" s="428"/>
      <c r="L73" s="428"/>
      <c r="M73" s="428"/>
      <c r="N73" s="428"/>
      <c r="O73" s="39"/>
      <c r="P73" s="51"/>
      <c r="Q73" s="50"/>
      <c r="R73" s="49"/>
      <c r="S73" s="53">
        <f>'c-Cluster'!$K$38</f>
        <v>0</v>
      </c>
      <c r="T73" s="50"/>
      <c r="U73" s="49"/>
      <c r="V73" s="52">
        <f t="shared" si="2"/>
        <v>0</v>
      </c>
      <c r="W73" s="50"/>
      <c r="X73" s="49"/>
      <c r="Y73" s="52">
        <f t="shared" si="3"/>
        <v>0</v>
      </c>
      <c r="Z73" s="50"/>
      <c r="AA73" s="49"/>
      <c r="AB73" s="52">
        <f t="shared" si="8"/>
        <v>0</v>
      </c>
      <c r="AC73" s="50"/>
      <c r="AD73" s="49"/>
      <c r="AE73" s="52">
        <f t="shared" si="9"/>
        <v>0</v>
      </c>
      <c r="AF73" s="50"/>
      <c r="AG73" s="49"/>
      <c r="AH73" s="52">
        <f t="shared" si="10"/>
        <v>0</v>
      </c>
      <c r="AI73" s="50"/>
      <c r="AJ73" s="49"/>
      <c r="AK73" s="52">
        <f t="shared" si="11"/>
        <v>0</v>
      </c>
    </row>
    <row r="74" spans="2:37" ht="14.25" customHeight="1" x14ac:dyDescent="0.25">
      <c r="B74" s="44">
        <v>5</v>
      </c>
      <c r="C74" s="428" t="s">
        <v>342</v>
      </c>
      <c r="D74" s="428"/>
      <c r="E74" s="428"/>
      <c r="F74" s="428"/>
      <c r="G74" s="428"/>
      <c r="H74" s="428"/>
      <c r="I74" s="428"/>
      <c r="J74" s="428"/>
      <c r="K74" s="428"/>
      <c r="L74" s="428"/>
      <c r="M74" s="428"/>
      <c r="N74" s="428"/>
      <c r="O74" s="39"/>
      <c r="P74" s="52" t="s">
        <v>243</v>
      </c>
      <c r="Q74" s="50"/>
      <c r="R74" s="49"/>
      <c r="S74" s="52" t="str">
        <f>P75</f>
        <v>n</v>
      </c>
      <c r="T74" s="50"/>
      <c r="U74" s="49"/>
      <c r="V74" s="52" t="str">
        <f t="shared" si="2"/>
        <v>n</v>
      </c>
      <c r="W74" s="50"/>
      <c r="X74" s="49"/>
      <c r="Y74" s="52" t="str">
        <f t="shared" si="3"/>
        <v>n</v>
      </c>
      <c r="Z74" s="50"/>
      <c r="AA74" s="49"/>
      <c r="AB74" s="52" t="str">
        <f t="shared" si="8"/>
        <v>n</v>
      </c>
      <c r="AC74" s="50"/>
      <c r="AD74" s="49"/>
      <c r="AE74" s="52" t="str">
        <f t="shared" si="9"/>
        <v>n</v>
      </c>
      <c r="AF74" s="50"/>
      <c r="AG74" s="49"/>
      <c r="AH74" s="52" t="str">
        <f t="shared" si="10"/>
        <v>n</v>
      </c>
      <c r="AI74" s="50"/>
      <c r="AJ74" s="49"/>
      <c r="AK74" s="52" t="str">
        <f t="shared" si="11"/>
        <v>n</v>
      </c>
    </row>
    <row r="75" spans="2:37" ht="14.25" customHeight="1" x14ac:dyDescent="0.25">
      <c r="B75" s="44">
        <v>5</v>
      </c>
      <c r="C75" s="470" t="s">
        <v>343</v>
      </c>
      <c r="D75" s="428"/>
      <c r="E75" s="428"/>
      <c r="F75" s="428"/>
      <c r="G75" s="428"/>
      <c r="H75" s="428"/>
      <c r="I75" s="428"/>
      <c r="J75" s="428"/>
      <c r="K75" s="428"/>
      <c r="L75" s="428"/>
      <c r="M75" s="428"/>
      <c r="N75" s="428"/>
      <c r="O75" s="39"/>
      <c r="P75" s="53" t="s">
        <v>255</v>
      </c>
      <c r="Q75" s="50"/>
      <c r="R75" s="49"/>
      <c r="S75" s="52" t="str">
        <f>P75</f>
        <v>n</v>
      </c>
      <c r="T75" s="50"/>
      <c r="U75" s="49"/>
      <c r="V75" s="52" t="str">
        <f t="shared" si="2"/>
        <v>n</v>
      </c>
      <c r="W75" s="50"/>
      <c r="X75" s="49"/>
      <c r="Y75" s="52" t="str">
        <f t="shared" si="3"/>
        <v>n</v>
      </c>
      <c r="Z75" s="50"/>
      <c r="AA75" s="49"/>
      <c r="AB75" s="52" t="str">
        <f t="shared" si="8"/>
        <v>n</v>
      </c>
      <c r="AC75" s="50"/>
      <c r="AD75" s="49"/>
      <c r="AE75" s="52" t="str">
        <f t="shared" si="9"/>
        <v>n</v>
      </c>
      <c r="AF75" s="50"/>
      <c r="AG75" s="49"/>
      <c r="AH75" s="52" t="str">
        <f t="shared" si="10"/>
        <v>n</v>
      </c>
      <c r="AI75" s="50"/>
      <c r="AJ75" s="49"/>
      <c r="AK75" s="52" t="str">
        <f t="shared" si="11"/>
        <v>n</v>
      </c>
    </row>
    <row r="76" spans="2:37" ht="14.25" customHeight="1" x14ac:dyDescent="0.25">
      <c r="B76" s="44">
        <v>5</v>
      </c>
      <c r="C76" s="428" t="s">
        <v>344</v>
      </c>
      <c r="D76" s="428"/>
      <c r="E76" s="428"/>
      <c r="F76" s="428"/>
      <c r="G76" s="428"/>
      <c r="H76" s="428"/>
      <c r="I76" s="428"/>
      <c r="J76" s="428"/>
      <c r="K76" s="428"/>
      <c r="L76" s="428"/>
      <c r="M76" s="428"/>
      <c r="N76" s="428"/>
      <c r="O76" s="39"/>
      <c r="P76" s="53" t="str">
        <f>Inventory!$R$15</f>
        <v>10.126.131.169</v>
      </c>
      <c r="Q76" s="50"/>
      <c r="R76" s="49"/>
      <c r="S76" s="53" t="str">
        <f>Inventory!$R$16</f>
        <v>10.126.131.170</v>
      </c>
      <c r="T76" s="50"/>
      <c r="U76" s="49"/>
      <c r="V76" s="53">
        <f>Inventory!$R$17</f>
        <v>0</v>
      </c>
      <c r="W76" s="50"/>
      <c r="X76" s="49"/>
      <c r="Y76" s="53">
        <f>Inventory!$R$18</f>
        <v>0</v>
      </c>
      <c r="Z76" s="50"/>
      <c r="AA76" s="49"/>
      <c r="AB76" s="53">
        <f>Inventory!$R$19</f>
        <v>0</v>
      </c>
      <c r="AC76" s="50"/>
      <c r="AD76" s="49"/>
      <c r="AE76" s="53">
        <f>Inventory!$R$20</f>
        <v>0</v>
      </c>
      <c r="AF76" s="50"/>
      <c r="AG76" s="49"/>
      <c r="AH76" s="53">
        <f>Inventory!$R$21</f>
        <v>0</v>
      </c>
      <c r="AI76" s="50"/>
      <c r="AJ76" s="49"/>
      <c r="AK76" s="53">
        <f>Inventory!$R$22</f>
        <v>0</v>
      </c>
    </row>
    <row r="77" spans="2:37" ht="14.25" customHeight="1" x14ac:dyDescent="0.25">
      <c r="B77" s="44">
        <v>5</v>
      </c>
      <c r="C77" s="428" t="s">
        <v>345</v>
      </c>
      <c r="D77" s="428"/>
      <c r="E77" s="428"/>
      <c r="F77" s="428"/>
      <c r="G77" s="428"/>
      <c r="H77" s="428"/>
      <c r="I77" s="428"/>
      <c r="J77" s="428"/>
      <c r="K77" s="428"/>
      <c r="L77" s="428"/>
      <c r="M77" s="428"/>
      <c r="N77" s="428"/>
      <c r="O77" s="39"/>
      <c r="P77" s="53" t="str">
        <f>Inventory!$U$15</f>
        <v>255.255.255.0</v>
      </c>
      <c r="Q77" s="50"/>
      <c r="R77" s="49"/>
      <c r="S77" s="53" t="str">
        <f>Inventory!$U$16</f>
        <v>255.255.255.0</v>
      </c>
      <c r="T77" s="50"/>
      <c r="U77" s="49"/>
      <c r="V77" s="53" t="str">
        <f>Inventory!$U$17</f>
        <v/>
      </c>
      <c r="W77" s="50"/>
      <c r="X77" s="49"/>
      <c r="Y77" s="53" t="str">
        <f>Inventory!$U$18</f>
        <v/>
      </c>
      <c r="Z77" s="50"/>
      <c r="AA77" s="49"/>
      <c r="AB77" s="53" t="str">
        <f>Inventory!$U$19</f>
        <v/>
      </c>
      <c r="AC77" s="50"/>
      <c r="AD77" s="49"/>
      <c r="AE77" s="53" t="str">
        <f>Inventory!$U$20</f>
        <v/>
      </c>
      <c r="AF77" s="50"/>
      <c r="AG77" s="49"/>
      <c r="AH77" s="53" t="str">
        <f>Inventory!$U$21</f>
        <v/>
      </c>
      <c r="AI77" s="50"/>
      <c r="AJ77" s="49"/>
      <c r="AK77" s="53" t="str">
        <f>Inventory!$U$22</f>
        <v/>
      </c>
    </row>
    <row r="78" spans="2:37" ht="14.25" customHeight="1" x14ac:dyDescent="0.25">
      <c r="B78" s="44">
        <v>5</v>
      </c>
      <c r="C78" s="428" t="s">
        <v>260</v>
      </c>
      <c r="D78" s="428"/>
      <c r="E78" s="428"/>
      <c r="F78" s="428"/>
      <c r="G78" s="428"/>
      <c r="H78" s="428"/>
      <c r="I78" s="428"/>
      <c r="J78" s="428"/>
      <c r="K78" s="428"/>
      <c r="L78" s="428"/>
      <c r="M78" s="428"/>
      <c r="N78" s="428"/>
      <c r="O78" s="39"/>
      <c r="P78" s="53" t="str">
        <f>Inventory!$X$15</f>
        <v>10.126.131.1</v>
      </c>
      <c r="Q78" s="50"/>
      <c r="R78" s="49"/>
      <c r="S78" s="53" t="str">
        <f>Inventory!$X$16</f>
        <v>10.126.131.1</v>
      </c>
      <c r="T78" s="50"/>
      <c r="U78" s="49"/>
      <c r="V78" s="53" t="str">
        <f>Inventory!$X$17</f>
        <v/>
      </c>
      <c r="W78" s="50"/>
      <c r="X78" s="49"/>
      <c r="Y78" s="53" t="str">
        <f>Inventory!$X$18</f>
        <v/>
      </c>
      <c r="Z78" s="50"/>
      <c r="AA78" s="49"/>
      <c r="AB78" s="53" t="str">
        <f>Inventory!$X$19</f>
        <v/>
      </c>
      <c r="AC78" s="50"/>
      <c r="AD78" s="49"/>
      <c r="AE78" s="53" t="str">
        <f>Inventory!$X$20</f>
        <v/>
      </c>
      <c r="AF78" s="50"/>
      <c r="AG78" s="49"/>
      <c r="AH78" s="53" t="str">
        <f>Inventory!$X$21</f>
        <v/>
      </c>
      <c r="AI78" s="50"/>
      <c r="AJ78" s="49"/>
      <c r="AK78" s="53" t="str">
        <f>Inventory!$X$22</f>
        <v/>
      </c>
    </row>
    <row r="79" spans="2:37" ht="14.25" customHeight="1" x14ac:dyDescent="0.25">
      <c r="B79" s="44">
        <v>6</v>
      </c>
      <c r="C79" s="428" t="s">
        <v>347</v>
      </c>
      <c r="D79" s="428"/>
      <c r="E79" s="428"/>
      <c r="F79" s="428"/>
      <c r="G79" s="428"/>
      <c r="H79" s="428"/>
      <c r="I79" s="428"/>
      <c r="J79" s="428"/>
      <c r="K79" s="428"/>
      <c r="L79" s="428"/>
      <c r="M79" s="428"/>
      <c r="N79" s="428"/>
      <c r="O79" s="39"/>
      <c r="P79" s="53" t="str">
        <f>CONCATENATE("ag ren aggr0 z_",P44,"_01_root")</f>
        <v>ag ren aggr0 z_shpsan_01_root</v>
      </c>
      <c r="Q79" s="50" t="s">
        <v>346</v>
      </c>
      <c r="R79" s="49"/>
      <c r="S79" s="53" t="str">
        <f>CONCATENATE("ag ren aggr0_",$P$44,"_02_0 z_",$P$44,"_02_root")</f>
        <v>ag ren aggr0_shpsan_02_0 z_shpsan_02_root</v>
      </c>
      <c r="T79" s="50" t="s">
        <v>346</v>
      </c>
      <c r="U79" s="49"/>
      <c r="V79" s="53" t="str">
        <f>CONCATENATE("ag ren aggr0_",$P$44,"_03_0 z_",$P$44,"_03_root")</f>
        <v>ag ren aggr0_shpsan_03_0 z_shpsan_03_root</v>
      </c>
      <c r="W79" s="50" t="s">
        <v>346</v>
      </c>
      <c r="X79" s="49"/>
      <c r="Y79" s="53" t="str">
        <f>CONCATENATE("ag ren aggr0_",$P$44,"_04_0 z_",$P$44,"_04_root")</f>
        <v>ag ren aggr0_shpsan_04_0 z_shpsan_04_root</v>
      </c>
      <c r="Z79" s="50" t="s">
        <v>346</v>
      </c>
      <c r="AA79" s="49"/>
      <c r="AB79" s="53" t="str">
        <f>CONCATENATE("ag ren aggr0_",$P$44,"_05_0 z_",$P$44,"_05_root")</f>
        <v>ag ren aggr0_shpsan_05_0 z_shpsan_05_root</v>
      </c>
      <c r="AC79" s="50" t="s">
        <v>346</v>
      </c>
      <c r="AD79" s="49"/>
      <c r="AE79" s="53" t="str">
        <f>CONCATENATE("ag ren aggr0_",$P$44,"_06_0 z_",$P$44,"_06_root")</f>
        <v>ag ren aggr0_shpsan_06_0 z_shpsan_06_root</v>
      </c>
      <c r="AF79" s="50" t="s">
        <v>346</v>
      </c>
      <c r="AG79" s="49"/>
      <c r="AH79" s="53" t="str">
        <f>CONCATENATE("ag ren aggr0_",$P$44,"_07_0 z_",$P$44,"_07_root")</f>
        <v>ag ren aggr0_shpsan_07_0 z_shpsan_07_root</v>
      </c>
      <c r="AI79" s="50" t="s">
        <v>346</v>
      </c>
      <c r="AJ79" s="49"/>
      <c r="AK79" s="53" t="str">
        <f>CONCATENATE("ag ren aggr0_",$P$44,"_08_0 z_",$P$44,"_08_root")</f>
        <v>ag ren aggr0_shpsan_08_0 z_shpsan_08_root</v>
      </c>
    </row>
    <row r="80" spans="2:37" ht="14.25" customHeight="1" x14ac:dyDescent="0.25">
      <c r="B80" s="44">
        <v>7</v>
      </c>
      <c r="C80" s="428" t="s">
        <v>348</v>
      </c>
      <c r="D80" s="428"/>
      <c r="E80" s="428"/>
      <c r="F80" s="428"/>
      <c r="G80" s="428"/>
      <c r="H80" s="428"/>
      <c r="I80" s="428"/>
      <c r="J80" s="428"/>
      <c r="K80" s="428"/>
      <c r="L80" s="428"/>
      <c r="M80" s="428"/>
      <c r="N80" s="428"/>
      <c r="P80" s="53" t="str">
        <f>CONCATENATE("sy n d m * ", Dropdowns!L9)</f>
        <v>sy n d m * America/Chicago</v>
      </c>
      <c r="Q80" s="51"/>
      <c r="R80" s="49"/>
      <c r="S80" s="51"/>
      <c r="T80" s="51"/>
      <c r="U80" s="51"/>
      <c r="V80" s="51"/>
      <c r="W80" s="51"/>
      <c r="X80" s="51"/>
      <c r="Y80" s="51"/>
      <c r="Z80" s="51"/>
      <c r="AA80" s="51"/>
      <c r="AB80" s="51"/>
      <c r="AC80" s="51"/>
      <c r="AD80" s="51"/>
      <c r="AE80" s="51"/>
      <c r="AF80" s="51"/>
      <c r="AG80" s="51"/>
      <c r="AH80" s="51"/>
      <c r="AI80" s="51"/>
      <c r="AJ80" s="51"/>
      <c r="AK80" s="51"/>
    </row>
    <row r="81" spans="2:37" ht="14.25" customHeight="1" x14ac:dyDescent="0.25">
      <c r="B81" s="44">
        <v>7</v>
      </c>
      <c r="C81" s="428" t="s">
        <v>349</v>
      </c>
      <c r="D81" s="428"/>
      <c r="E81" s="428"/>
      <c r="F81" s="428"/>
      <c r="G81" s="428"/>
      <c r="H81" s="428"/>
      <c r="I81" s="428"/>
      <c r="J81" s="428"/>
      <c r="K81" s="428"/>
      <c r="L81" s="428"/>
      <c r="M81" s="428"/>
      <c r="N81" s="428"/>
      <c r="P81" s="53" t="str">
        <f ca="1">"date "&amp;TEXT(Dropdowns!$L$4,"yyyymmddhhmm")&amp;" *"</f>
        <v>date 202108060955 *</v>
      </c>
      <c r="Q81" s="51"/>
      <c r="R81" s="49"/>
      <c r="S81" s="51"/>
      <c r="T81" s="51"/>
      <c r="U81" s="51"/>
      <c r="V81" s="51"/>
      <c r="W81" s="51"/>
      <c r="X81" s="51"/>
      <c r="Y81" s="51"/>
      <c r="Z81" s="51"/>
      <c r="AA81" s="51"/>
      <c r="AB81" s="51"/>
      <c r="AC81" s="51"/>
      <c r="AD81" s="51"/>
      <c r="AE81" s="51"/>
      <c r="AF81" s="51"/>
      <c r="AG81" s="51"/>
      <c r="AH81" s="51"/>
      <c r="AI81" s="51"/>
      <c r="AJ81" s="51"/>
      <c r="AK81" s="51"/>
    </row>
    <row r="82" spans="2:37" ht="14.25" customHeight="1" x14ac:dyDescent="0.25">
      <c r="B82" s="44">
        <v>8</v>
      </c>
      <c r="C82" s="428" t="s">
        <v>355</v>
      </c>
      <c r="D82" s="428"/>
      <c r="E82" s="428"/>
      <c r="F82" s="428"/>
      <c r="G82" s="428"/>
      <c r="H82" s="428"/>
      <c r="I82" s="428"/>
      <c r="J82" s="428"/>
      <c r="K82" s="428"/>
      <c r="L82" s="428"/>
      <c r="M82" s="428"/>
      <c r="N82" s="428"/>
      <c r="P82" s="53" t="str">
        <f>CONCATENATE("sy se nt s c ", Inventory!$C$15, " ", 'Site Info'!$F$28)</f>
        <v>sy se nt s c shpsan-01 10.126.131.11</v>
      </c>
      <c r="Q82" s="50"/>
      <c r="R82" s="49"/>
      <c r="S82" s="52" t="str">
        <f>CONCATENATE("sy se nt s c ", Inventory!$C$16, " ", 'Site Info'!$F$28)</f>
        <v>sy se nt s c shpsan-02 10.126.131.11</v>
      </c>
      <c r="T82" s="50"/>
      <c r="U82" s="49"/>
      <c r="V82" s="52" t="str">
        <f>CONCATENATE("sy se nt s c ", Inventory!$C$17, " ", 'Site Info'!$F$28)</f>
        <v>sy se nt s c  10.126.131.11</v>
      </c>
      <c r="W82" s="50"/>
      <c r="X82" s="49"/>
      <c r="Y82" s="52" t="str">
        <f>CONCATENATE("sy se nt s c ", Inventory!$C$18, " ", 'Site Info'!$F$28)</f>
        <v>sy se nt s c  10.126.131.11</v>
      </c>
      <c r="Z82" s="50"/>
      <c r="AA82" s="49"/>
      <c r="AB82" s="52" t="str">
        <f>CONCATENATE("sy se nt s c ", Inventory!$C$19, " ", 'Site Info'!$F$28)</f>
        <v>sy se nt s c  10.126.131.11</v>
      </c>
      <c r="AC82" s="50"/>
      <c r="AD82" s="49"/>
      <c r="AE82" s="52" t="str">
        <f>CONCATENATE("sy se nt s c ", Inventory!$C$20, " ", 'Site Info'!$F$28)</f>
        <v>sy se nt s c  10.126.131.11</v>
      </c>
      <c r="AF82" s="50"/>
      <c r="AG82" s="49"/>
      <c r="AH82" s="52" t="str">
        <f>CONCATENATE("sy se nt s c ", Inventory!$C$21, " ", 'Site Info'!$F$28)</f>
        <v>sy se nt s c  10.126.131.11</v>
      </c>
      <c r="AI82" s="50"/>
      <c r="AJ82" s="49"/>
      <c r="AK82" s="52" t="str">
        <f>CONCATENATE("sy se nt s c ", Inventory!$C$22, " ", 'Site Info'!$F$28)</f>
        <v>sy se nt s c  10.126.131.11</v>
      </c>
    </row>
    <row r="83" spans="2:37" ht="14.25" customHeight="1" x14ac:dyDescent="0.25">
      <c r="B83" s="44">
        <v>8</v>
      </c>
      <c r="C83" s="428" t="s">
        <v>355</v>
      </c>
      <c r="D83" s="428"/>
      <c r="E83" s="428"/>
      <c r="F83" s="428"/>
      <c r="G83" s="428"/>
      <c r="H83" s="428"/>
      <c r="I83" s="428"/>
      <c r="J83" s="428"/>
      <c r="K83" s="428"/>
      <c r="L83" s="428"/>
      <c r="M83" s="428"/>
      <c r="N83" s="428"/>
      <c r="P83" s="53" t="str">
        <f>CONCATENATE("sy se nt s c ", Inventory!$C$15, " ", 'Site Info'!$I$28)</f>
        <v>sy se nt s c shpsan-01 10.126.131.20</v>
      </c>
      <c r="Q83" s="50"/>
      <c r="R83" s="49"/>
      <c r="S83" s="53" t="str">
        <f>CONCATENATE("sy se nt s c ", Inventory!$C$16, " ", 'Site Info'!$I$28)</f>
        <v>sy se nt s c shpsan-02 10.126.131.20</v>
      </c>
      <c r="T83" s="50"/>
      <c r="U83" s="49"/>
      <c r="V83" s="53" t="str">
        <f>CONCATENATE("sy se nt s c ", Inventory!$C$17, " ", 'Site Info'!$I$28)</f>
        <v>sy se nt s c  10.126.131.20</v>
      </c>
      <c r="W83" s="50"/>
      <c r="X83" s="49"/>
      <c r="Y83" s="53" t="str">
        <f>CONCATENATE("sy se nt s c ", Inventory!$C$18, " ", 'Site Info'!$I$28)</f>
        <v>sy se nt s c  10.126.131.20</v>
      </c>
      <c r="Z83" s="50"/>
      <c r="AA83" s="49"/>
      <c r="AB83" s="53" t="str">
        <f>CONCATENATE("sy se nt s c ", Inventory!$C$19, " ", 'Site Info'!$I$28)</f>
        <v>sy se nt s c  10.126.131.20</v>
      </c>
      <c r="AC83" s="50"/>
      <c r="AD83" s="49"/>
      <c r="AE83" s="53" t="str">
        <f>CONCATENATE("sy se nt s c ", Inventory!$C$20, " ", 'Site Info'!$I$28)</f>
        <v>sy se nt s c  10.126.131.20</v>
      </c>
      <c r="AF83" s="50"/>
      <c r="AG83" s="49"/>
      <c r="AH83" s="53" t="str">
        <f>CONCATENATE("sy se nt s c ", Inventory!$C$21, " ", 'Site Info'!$I$28)</f>
        <v>sy se nt s c  10.126.131.20</v>
      </c>
      <c r="AI83" s="50"/>
      <c r="AJ83" s="49"/>
      <c r="AK83" s="53" t="str">
        <f>CONCATENATE("sy se nt s c ", Inventory!$C$22, " ", 'Site Info'!$I$28)</f>
        <v>sy se nt s c  10.126.131.20</v>
      </c>
    </row>
    <row r="84" spans="2:37" ht="14.25" customHeight="1" x14ac:dyDescent="0.25">
      <c r="B84" s="44">
        <v>55</v>
      </c>
      <c r="C84" s="428" t="s">
        <v>356</v>
      </c>
      <c r="D84" s="428"/>
      <c r="E84" s="428"/>
      <c r="F84" s="428"/>
      <c r="G84" s="428"/>
      <c r="H84" s="428"/>
      <c r="I84" s="428"/>
      <c r="J84" s="428"/>
      <c r="K84" s="428"/>
      <c r="L84" s="428"/>
      <c r="M84" s="428"/>
      <c r="N84" s="428"/>
      <c r="P84" s="53" t="str">
        <f>CONCATENATE("sy n a mo -nod ",Inventory!$C$15," -mai ",'Site Info'!$Q$18," -f ",Inventory!$C$15,"@",'Site Info'!$F$19," -to ",'Site Info'!$F$18)</f>
        <v>sy n a mo -nod shpsan-01 -mai exchange.speedcast.com -f shpsan-01@speedcast.com -to dl-it-alerts@speedcast.com</v>
      </c>
      <c r="Q84" s="50"/>
      <c r="R84" s="49"/>
      <c r="S84" s="53" t="str">
        <f>CONCATENATE("sy n a mo -nod ",Inventory!$C$16," -mai ",'Site Info'!$Q$18," -f ",Inventory!$C$16,"@",'Site Info'!$F$19," -to ",'Site Info'!$F$18)</f>
        <v>sy n a mo -nod shpsan-02 -mai exchange.speedcast.com -f shpsan-02@speedcast.com -to dl-it-alerts@speedcast.com</v>
      </c>
      <c r="T84" s="50"/>
      <c r="U84" s="49"/>
      <c r="V84" s="53" t="str">
        <f>CONCATENATE("sy n a mo -nod ",Inventory!$C$17," -mai ",'Site Info'!$Q$18," -f ",Inventory!$C$17,"@",'Site Info'!$F$19," -to ",'Site Info'!$F$18)</f>
        <v>sy n a mo -nod  -mai exchange.speedcast.com -f @speedcast.com -to dl-it-alerts@speedcast.com</v>
      </c>
      <c r="W84" s="50"/>
      <c r="X84" s="49"/>
      <c r="Y84" s="53" t="str">
        <f>CONCATENATE("sy n a mo -nod ",Inventory!$C$18," -mai ",'Site Info'!$Q$18," -f ",Inventory!$C$18,"@",'Site Info'!$F$19," -to ",'Site Info'!$F$18)</f>
        <v>sy n a mo -nod  -mai exchange.speedcast.com -f @speedcast.com -to dl-it-alerts@speedcast.com</v>
      </c>
      <c r="Z84" s="50"/>
      <c r="AA84" s="49"/>
      <c r="AB84" s="53" t="str">
        <f>CONCATENATE("sy n a mo -nod ",Inventory!$C$19," -mai ",'Site Info'!$Q$18," -f ",Inventory!$C$19,"@",'Site Info'!$F$19," -to ",'Site Info'!$F$18)</f>
        <v>sy n a mo -nod  -mai exchange.speedcast.com -f @speedcast.com -to dl-it-alerts@speedcast.com</v>
      </c>
      <c r="AC84" s="50"/>
      <c r="AD84" s="49"/>
      <c r="AE84" s="53" t="str">
        <f>CONCATENATE("sy n a mo -nod ",Inventory!$C$20," -mai ",'Site Info'!$Q$18," -f ",Inventory!$C$20,"@",'Site Info'!$F$19," -to ",'Site Info'!$F$18)</f>
        <v>sy n a mo -nod  -mai exchange.speedcast.com -f @speedcast.com -to dl-it-alerts@speedcast.com</v>
      </c>
      <c r="AF84" s="50"/>
      <c r="AG84" s="49"/>
      <c r="AH84" s="53" t="str">
        <f>CONCATENATE("sy n a mo -nod ",Inventory!$C$21," -mai ",'Site Info'!$Q$18," -f ",Inventory!$C$21,"@",'Site Info'!$F$19," -to ",'Site Info'!$F$18)</f>
        <v>sy n a mo -nod  -mai exchange.speedcast.com -f @speedcast.com -to dl-it-alerts@speedcast.com</v>
      </c>
      <c r="AI84" s="50"/>
      <c r="AJ84" s="49"/>
      <c r="AK84" s="53" t="str">
        <f>CONCATENATE("sy n a mo -nod ",Inventory!$C$22," -mai ",'Site Info'!$Q$18," -f ",Inventory!$C$22,"@",'Site Info'!$F$19," -to ",'Site Info'!$F$18)</f>
        <v>sy n a mo -nod  -mai exchange.speedcast.com -f @speedcast.com -to dl-it-alerts@speedcast.com</v>
      </c>
    </row>
    <row r="85" spans="2:37" ht="14.25" customHeight="1" x14ac:dyDescent="0.25">
      <c r="B85" s="91">
        <v>58</v>
      </c>
      <c r="C85" s="466" t="s">
        <v>599</v>
      </c>
      <c r="D85" s="466"/>
      <c r="E85" s="466"/>
      <c r="F85" s="466"/>
      <c r="G85" s="466"/>
      <c r="H85" s="466"/>
      <c r="I85" s="466"/>
      <c r="J85" s="466"/>
      <c r="K85" s="466"/>
      <c r="L85" s="466"/>
      <c r="M85" s="466"/>
      <c r="N85" s="466"/>
      <c r="P85" s="53"/>
    </row>
    <row r="86" spans="2:37" ht="14.25" customHeight="1" x14ac:dyDescent="0.25">
      <c r="B86" s="91">
        <v>58</v>
      </c>
      <c r="C86" s="428" t="s">
        <v>531</v>
      </c>
      <c r="D86" s="428"/>
      <c r="E86" s="428"/>
      <c r="F86" s="428"/>
      <c r="G86" s="428"/>
      <c r="H86" s="428"/>
      <c r="I86" s="428"/>
      <c r="J86" s="428"/>
      <c r="K86" s="428"/>
      <c r="L86" s="428"/>
      <c r="M86" s="428"/>
      <c r="N86" s="428"/>
      <c r="P86" s="53" t="s">
        <v>341</v>
      </c>
    </row>
    <row r="87" spans="2:37" ht="14.25" customHeight="1" x14ac:dyDescent="0.25">
      <c r="B87" s="91">
        <v>58</v>
      </c>
      <c r="C87" s="428" t="s">
        <v>532</v>
      </c>
      <c r="D87" s="428"/>
      <c r="E87" s="428"/>
      <c r="F87" s="428"/>
      <c r="G87" s="428"/>
      <c r="H87" s="428"/>
      <c r="I87" s="428"/>
      <c r="J87" s="428"/>
      <c r="K87" s="428"/>
      <c r="L87" s="428"/>
      <c r="M87" s="428"/>
      <c r="N87" s="428"/>
      <c r="P87" s="53" t="s">
        <v>533</v>
      </c>
    </row>
    <row r="88" spans="2:37" ht="14.25" customHeight="1" x14ac:dyDescent="0.25">
      <c r="B88" s="91">
        <v>58</v>
      </c>
      <c r="C88" s="428" t="s">
        <v>534</v>
      </c>
      <c r="D88" s="428"/>
      <c r="E88" s="428"/>
      <c r="F88" s="428"/>
      <c r="G88" s="428"/>
      <c r="H88" s="428"/>
      <c r="I88" s="428"/>
      <c r="J88" s="428"/>
      <c r="K88" s="428"/>
      <c r="L88" s="428"/>
      <c r="M88" s="428"/>
      <c r="N88" s="428"/>
      <c r="P88" s="53" t="str">
        <f>'c-Cluster'!E34</f>
        <v>shpsan.speedcast.com</v>
      </c>
    </row>
    <row r="89" spans="2:37" ht="14.25" customHeight="1" x14ac:dyDescent="0.25">
      <c r="B89" s="91">
        <v>58</v>
      </c>
      <c r="C89" s="428" t="s">
        <v>535</v>
      </c>
      <c r="D89" s="428"/>
      <c r="E89" s="428"/>
      <c r="F89" s="428"/>
      <c r="G89" s="428"/>
      <c r="H89" s="428"/>
      <c r="I89" s="428"/>
      <c r="J89" s="428"/>
      <c r="K89" s="428"/>
      <c r="L89" s="428"/>
      <c r="M89" s="428"/>
      <c r="N89" s="428"/>
      <c r="P89" s="53" t="s">
        <v>341</v>
      </c>
    </row>
    <row r="90" spans="2:37" ht="14.25" customHeight="1" x14ac:dyDescent="0.25">
      <c r="B90" s="91">
        <v>58</v>
      </c>
      <c r="C90" s="428" t="s">
        <v>536</v>
      </c>
      <c r="D90" s="428"/>
      <c r="E90" s="428"/>
      <c r="F90" s="428"/>
      <c r="G90" s="428"/>
      <c r="H90" s="428"/>
      <c r="I90" s="428"/>
      <c r="J90" s="428"/>
      <c r="K90" s="428"/>
      <c r="L90" s="428"/>
      <c r="M90" s="428"/>
      <c r="N90" s="428"/>
      <c r="P90" s="53">
        <v>443</v>
      </c>
    </row>
    <row r="91" spans="2:37" ht="14.25" customHeight="1" x14ac:dyDescent="0.25">
      <c r="B91" s="91">
        <v>58</v>
      </c>
      <c r="C91" s="428" t="s">
        <v>537</v>
      </c>
      <c r="D91" s="428"/>
      <c r="E91" s="428"/>
      <c r="F91" s="428"/>
      <c r="G91" s="428"/>
      <c r="H91" s="428"/>
      <c r="I91" s="428"/>
      <c r="J91" s="428"/>
      <c r="K91" s="428"/>
      <c r="L91" s="428"/>
      <c r="M91" s="428"/>
      <c r="N91" s="428"/>
      <c r="P91" s="53" t="s">
        <v>539</v>
      </c>
    </row>
    <row r="92" spans="2:37" ht="14.25" customHeight="1" x14ac:dyDescent="0.25">
      <c r="B92" s="91">
        <v>58</v>
      </c>
      <c r="C92" s="428" t="s">
        <v>538</v>
      </c>
      <c r="D92" s="428"/>
      <c r="E92" s="428"/>
      <c r="F92" s="428"/>
      <c r="G92" s="428"/>
      <c r="H92" s="428"/>
      <c r="I92" s="428"/>
      <c r="J92" s="428"/>
      <c r="K92" s="428"/>
      <c r="L92" s="428"/>
      <c r="M92" s="428"/>
      <c r="N92" s="428"/>
      <c r="P92" s="53" t="e">
        <f>'Site Info'!#REF!</f>
        <v>#REF!</v>
      </c>
    </row>
    <row r="93" spans="2:37" ht="14.25" customHeight="1" x14ac:dyDescent="0.25">
      <c r="B93" s="91">
        <v>58</v>
      </c>
      <c r="C93" s="428" t="s">
        <v>540</v>
      </c>
      <c r="D93" s="428"/>
      <c r="E93" s="428"/>
      <c r="F93" s="428"/>
      <c r="G93" s="428"/>
      <c r="H93" s="428"/>
      <c r="I93" s="428"/>
      <c r="J93" s="428"/>
      <c r="K93" s="428"/>
      <c r="L93" s="428"/>
      <c r="M93" s="428"/>
      <c r="N93" s="428"/>
      <c r="P93" s="53" t="s">
        <v>341</v>
      </c>
    </row>
    <row r="94" spans="2:37" ht="14.25" customHeight="1" x14ac:dyDescent="0.25">
      <c r="B94" s="91">
        <v>58</v>
      </c>
      <c r="C94" s="428" t="s">
        <v>541</v>
      </c>
      <c r="D94" s="428"/>
      <c r="E94" s="428"/>
      <c r="F94" s="428"/>
      <c r="G94" s="428"/>
      <c r="H94" s="428"/>
      <c r="I94" s="428"/>
      <c r="J94" s="428"/>
      <c r="K94" s="428"/>
      <c r="L94" s="428"/>
      <c r="M94" s="428"/>
      <c r="N94" s="428"/>
      <c r="P94" s="53" t="s">
        <v>341</v>
      </c>
    </row>
    <row r="95" spans="2:37" ht="14.25" customHeight="1" x14ac:dyDescent="0.25">
      <c r="B95" s="91">
        <v>66</v>
      </c>
      <c r="C95" s="428" t="s">
        <v>542</v>
      </c>
      <c r="D95" s="428"/>
      <c r="E95" s="428"/>
      <c r="F95" s="428"/>
      <c r="G95" s="428"/>
      <c r="H95" s="428"/>
      <c r="I95" s="428"/>
      <c r="J95" s="428"/>
      <c r="K95" s="428"/>
      <c r="L95" s="428"/>
      <c r="M95" s="428"/>
      <c r="N95" s="428"/>
      <c r="P95" s="53" t="s">
        <v>543</v>
      </c>
    </row>
    <row r="96" spans="2:37" ht="14.25" customHeight="1" x14ac:dyDescent="0.25">
      <c r="B96" s="91">
        <v>66</v>
      </c>
      <c r="C96" s="428" t="s">
        <v>542</v>
      </c>
      <c r="D96" s="428"/>
      <c r="E96" s="428"/>
      <c r="F96" s="428"/>
      <c r="G96" s="428"/>
      <c r="H96" s="428"/>
      <c r="I96" s="428"/>
      <c r="J96" s="428"/>
      <c r="K96" s="428"/>
      <c r="L96" s="428"/>
      <c r="M96" s="428"/>
      <c r="N96" s="428"/>
      <c r="P96" s="53" t="str">
        <f>CONCATENATE("vs ser w a c -n spi -r admin -v ",Inventory!G12)</f>
        <v>vs ser w a c -n spi -r admin -v shpsan</v>
      </c>
    </row>
    <row r="97" spans="2:16" ht="14.25" customHeight="1" x14ac:dyDescent="0.25">
      <c r="B97" s="91">
        <v>66</v>
      </c>
      <c r="C97" s="428" t="s">
        <v>542</v>
      </c>
      <c r="D97" s="428"/>
      <c r="E97" s="428"/>
      <c r="F97" s="428"/>
      <c r="G97" s="428"/>
      <c r="H97" s="428"/>
      <c r="I97" s="428"/>
      <c r="J97" s="428"/>
      <c r="K97" s="428"/>
      <c r="L97" s="428"/>
      <c r="M97" s="428"/>
      <c r="N97" s="428"/>
      <c r="P97" s="53" t="str">
        <f>CONCATENATE("vs ser w a c -n ontapi -r admin -v ",Inventory!G12)</f>
        <v>vs ser w a c -n ontapi -r admin -v shpsan</v>
      </c>
    </row>
    <row r="98" spans="2:16" ht="14.25" customHeight="1" x14ac:dyDescent="0.25">
      <c r="B98" s="91">
        <v>66</v>
      </c>
      <c r="C98" s="428" t="s">
        <v>542</v>
      </c>
      <c r="D98" s="428"/>
      <c r="E98" s="428"/>
      <c r="F98" s="428"/>
      <c r="G98" s="428"/>
      <c r="H98" s="428"/>
      <c r="I98" s="428"/>
      <c r="J98" s="428"/>
      <c r="K98" s="428"/>
      <c r="L98" s="428"/>
      <c r="M98" s="428"/>
      <c r="N98" s="428"/>
      <c r="P98" s="53" t="str">
        <f>CONCATENATE("vs ser w a c -n compat -r admin -v ",Inventory!G12)</f>
        <v>vs ser w a c -n compat -r admin -v shpsan</v>
      </c>
    </row>
    <row r="99" spans="2:16" ht="14.25" customHeight="1" x14ac:dyDescent="0.25"/>
    <row r="100" spans="2:16" ht="14.25" customHeight="1" x14ac:dyDescent="0.25"/>
    <row r="101" spans="2:16" ht="14.25" customHeight="1" x14ac:dyDescent="0.25"/>
    <row r="102" spans="2:16" ht="14.25" customHeight="1" x14ac:dyDescent="0.25"/>
    <row r="103" spans="2:16" ht="14.25" customHeight="1" x14ac:dyDescent="0.25"/>
    <row r="104" spans="2:16" ht="14.25" customHeight="1" x14ac:dyDescent="0.25"/>
    <row r="105" spans="2:16" ht="14.25" customHeight="1" x14ac:dyDescent="0.25"/>
    <row r="106" spans="2:16" ht="14.25" customHeight="1" x14ac:dyDescent="0.25"/>
    <row r="107" spans="2:16" ht="14.25" customHeight="1" x14ac:dyDescent="0.25"/>
    <row r="108" spans="2:16" ht="14.25" customHeight="1" x14ac:dyDescent="0.25"/>
    <row r="109" spans="2:16" ht="14.25" customHeight="1" x14ac:dyDescent="0.25"/>
    <row r="110" spans="2:16" ht="14.25" customHeight="1" x14ac:dyDescent="0.25"/>
    <row r="111" spans="2:16" ht="14.25" customHeight="1" x14ac:dyDescent="0.25"/>
    <row r="112" spans="2:16"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sheetData>
  <mergeCells count="86">
    <mergeCell ref="C96:N96"/>
    <mergeCell ref="C97:N97"/>
    <mergeCell ref="C98:N98"/>
    <mergeCell ref="C90:N90"/>
    <mergeCell ref="C91:N91"/>
    <mergeCell ref="C92:N92"/>
    <mergeCell ref="C94:N94"/>
    <mergeCell ref="C93:N93"/>
    <mergeCell ref="C95:N95"/>
    <mergeCell ref="C85:N85"/>
    <mergeCell ref="C86:N86"/>
    <mergeCell ref="C87:N87"/>
    <mergeCell ref="C88:N88"/>
    <mergeCell ref="C89:N89"/>
    <mergeCell ref="C80:N80"/>
    <mergeCell ref="C81:N81"/>
    <mergeCell ref="C82:N82"/>
    <mergeCell ref="C83:N83"/>
    <mergeCell ref="C84:N84"/>
    <mergeCell ref="C75:N75"/>
    <mergeCell ref="C76:N76"/>
    <mergeCell ref="C77:N77"/>
    <mergeCell ref="C78:N78"/>
    <mergeCell ref="C79:N79"/>
    <mergeCell ref="C14:N14"/>
    <mergeCell ref="C15:N15"/>
    <mergeCell ref="C16:N16"/>
    <mergeCell ref="C17:N17"/>
    <mergeCell ref="C26:N26"/>
    <mergeCell ref="C20:N20"/>
    <mergeCell ref="C18:N18"/>
    <mergeCell ref="C19:N19"/>
    <mergeCell ref="C21:N21"/>
    <mergeCell ref="C28:N28"/>
    <mergeCell ref="C29:N29"/>
    <mergeCell ref="C30:N30"/>
    <mergeCell ref="C25:N25"/>
    <mergeCell ref="C27:N27"/>
    <mergeCell ref="C74:N74"/>
    <mergeCell ref="C63:N63"/>
    <mergeCell ref="C64:N64"/>
    <mergeCell ref="C65:N65"/>
    <mergeCell ref="C66:N66"/>
    <mergeCell ref="C67:N67"/>
    <mergeCell ref="C69:N69"/>
    <mergeCell ref="C68:N68"/>
    <mergeCell ref="C70:N70"/>
    <mergeCell ref="C71:N71"/>
    <mergeCell ref="C72:N72"/>
    <mergeCell ref="C73:N73"/>
    <mergeCell ref="C62:N62"/>
    <mergeCell ref="C48:N48"/>
    <mergeCell ref="C49:N49"/>
    <mergeCell ref="C50:N50"/>
    <mergeCell ref="C54:N54"/>
    <mergeCell ref="C55:N55"/>
    <mergeCell ref="C56:N56"/>
    <mergeCell ref="C57:N57"/>
    <mergeCell ref="C58:N58"/>
    <mergeCell ref="C59:N59"/>
    <mergeCell ref="C60:N60"/>
    <mergeCell ref="C61:N61"/>
    <mergeCell ref="C51:N51"/>
    <mergeCell ref="C52:N52"/>
    <mergeCell ref="C53:N53"/>
    <mergeCell ref="C47:N47"/>
    <mergeCell ref="C42:N42"/>
    <mergeCell ref="C31:N31"/>
    <mergeCell ref="C32:N32"/>
    <mergeCell ref="C33:N33"/>
    <mergeCell ref="C34:N34"/>
    <mergeCell ref="C35:N35"/>
    <mergeCell ref="C36:N36"/>
    <mergeCell ref="C38:N38"/>
    <mergeCell ref="C43:N43"/>
    <mergeCell ref="C44:N44"/>
    <mergeCell ref="C45:N45"/>
    <mergeCell ref="C46:N46"/>
    <mergeCell ref="C37:N37"/>
    <mergeCell ref="C13:N13"/>
    <mergeCell ref="C7:N7"/>
    <mergeCell ref="C8:N8"/>
    <mergeCell ref="C9:N9"/>
    <mergeCell ref="C11:N11"/>
    <mergeCell ref="C12:N12"/>
    <mergeCell ref="C10:N10"/>
  </mergeCells>
  <pageMargins left="0.7" right="0.7" top="0.75" bottom="0.75" header="0.3" footer="0.3"/>
  <pageSetup orientation="portrait"/>
  <ignoredErrors>
    <ignoredError sqref="V71 Y71" formula="1"/>
  </ignoredErrors>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7030A0"/>
  </sheetPr>
  <dimension ref="A2:AH67"/>
  <sheetViews>
    <sheetView workbookViewId="0">
      <pane ySplit="4" topLeftCell="A5" activePane="bottomLeft" state="frozen"/>
      <selection pane="bottomLeft" activeCell="P16" sqref="P16"/>
    </sheetView>
  </sheetViews>
  <sheetFormatPr defaultColWidth="7.140625" defaultRowHeight="10.5" x14ac:dyDescent="0.25"/>
  <cols>
    <col min="1" max="1" width="1.42578125" style="35" customWidth="1"/>
    <col min="2" max="15" width="7.140625" style="35"/>
    <col min="16" max="16" width="48.42578125" style="35" customWidth="1"/>
    <col min="17" max="17" width="2.28515625" style="35" customWidth="1"/>
    <col min="18" max="18" width="1.42578125" style="35" customWidth="1"/>
    <col min="19" max="19" width="48.42578125" style="35" customWidth="1"/>
    <col min="20" max="20" width="2.28515625" style="35" customWidth="1"/>
    <col min="21" max="21" width="1.42578125" style="35" customWidth="1"/>
    <col min="22" max="22" width="48.42578125" style="35" customWidth="1"/>
    <col min="23" max="23" width="2.28515625" style="35" customWidth="1"/>
    <col min="24" max="24" width="1.42578125" style="35" customWidth="1"/>
    <col min="25" max="25" width="48.42578125" style="35" customWidth="1"/>
    <col min="26" max="26" width="2.28515625" style="35" customWidth="1"/>
    <col min="27" max="27" width="1.42578125" style="35" customWidth="1"/>
    <col min="28" max="28" width="48.42578125" style="35" customWidth="1"/>
    <col min="29" max="29" width="2.28515625" style="35" customWidth="1"/>
    <col min="30" max="30" width="1.42578125" style="35" customWidth="1"/>
    <col min="31" max="31" width="48.42578125" style="35" customWidth="1"/>
    <col min="32" max="32" width="2.28515625" style="35" customWidth="1"/>
    <col min="33" max="33" width="1.42578125" style="35" customWidth="1"/>
    <col min="34" max="34" width="48.42578125" style="35" customWidth="1"/>
    <col min="35" max="16384" width="7.140625" style="35"/>
  </cols>
  <sheetData>
    <row r="2" spans="1:27" ht="30.75" customHeight="1" x14ac:dyDescent="0.25">
      <c r="A2" s="2" t="s">
        <v>1</v>
      </c>
      <c r="B2"/>
      <c r="R2" s="1" t="s">
        <v>585</v>
      </c>
      <c r="U2" s="1"/>
      <c r="X2" s="1" t="s">
        <v>237</v>
      </c>
    </row>
    <row r="3" spans="1:27" ht="9" customHeight="1" x14ac:dyDescent="0.25"/>
    <row r="4" spans="1:27" ht="15.75" thickBot="1" x14ac:dyDescent="0.3">
      <c r="A4" s="5"/>
      <c r="AA4" s="35" t="s">
        <v>0</v>
      </c>
    </row>
    <row r="5" spans="1:27" ht="15.75" thickBot="1" x14ac:dyDescent="0.3">
      <c r="A5" s="5"/>
      <c r="F5" s="11"/>
      <c r="G5" s="94" t="s">
        <v>548</v>
      </c>
      <c r="H5" s="471" t="s">
        <v>914</v>
      </c>
      <c r="I5" s="464"/>
      <c r="J5" s="472"/>
    </row>
    <row r="6" spans="1:27" ht="14.25" customHeight="1" x14ac:dyDescent="0.25">
      <c r="B6" s="4" t="s">
        <v>547</v>
      </c>
      <c r="P6" s="63" t="s">
        <v>357</v>
      </c>
    </row>
    <row r="7" spans="1:27" ht="6" customHeight="1" x14ac:dyDescent="0.25">
      <c r="B7" s="4"/>
      <c r="G7" s="6"/>
    </row>
    <row r="8" spans="1:27" ht="14.25" customHeight="1" x14ac:dyDescent="0.25">
      <c r="B8" s="6" t="s">
        <v>266</v>
      </c>
      <c r="C8" s="429" t="s">
        <v>239</v>
      </c>
      <c r="D8" s="429"/>
      <c r="E8" s="429"/>
      <c r="F8" s="429"/>
      <c r="G8" s="429"/>
      <c r="H8" s="429"/>
      <c r="I8" s="429"/>
      <c r="J8" s="429"/>
      <c r="K8" s="429"/>
      <c r="L8" s="429"/>
      <c r="M8" s="429"/>
      <c r="N8" s="429"/>
      <c r="O8" s="6"/>
      <c r="P8" s="72" t="s">
        <v>546</v>
      </c>
      <c r="Q8" s="73"/>
      <c r="S8" s="83"/>
      <c r="T8" s="83"/>
      <c r="U8" s="83"/>
      <c r="V8" s="83"/>
      <c r="W8" s="83"/>
      <c r="X8" s="83"/>
      <c r="Y8" s="83"/>
    </row>
    <row r="9" spans="1:27" ht="14.25" customHeight="1" x14ac:dyDescent="0.25">
      <c r="B9" s="69">
        <v>1</v>
      </c>
      <c r="C9" s="428" t="s">
        <v>544</v>
      </c>
      <c r="D9" s="428"/>
      <c r="E9" s="428"/>
      <c r="F9" s="428"/>
      <c r="G9" s="428"/>
      <c r="H9" s="428"/>
      <c r="I9" s="428"/>
      <c r="J9" s="428"/>
      <c r="K9" s="428"/>
      <c r="L9" s="428"/>
      <c r="M9" s="428"/>
      <c r="N9" s="428"/>
      <c r="O9" s="39"/>
      <c r="P9" s="52" t="s">
        <v>545</v>
      </c>
      <c r="Q9" s="50"/>
      <c r="R9" s="74"/>
      <c r="S9" s="83"/>
      <c r="T9" s="51"/>
      <c r="U9" s="51"/>
      <c r="V9" s="83"/>
      <c r="W9" s="51"/>
      <c r="X9" s="51"/>
      <c r="Y9" s="83"/>
    </row>
    <row r="10" spans="1:27" ht="14.25" customHeight="1" x14ac:dyDescent="0.25">
      <c r="B10" s="69">
        <v>1</v>
      </c>
      <c r="C10" s="428" t="s">
        <v>549</v>
      </c>
      <c r="D10" s="428"/>
      <c r="E10" s="428"/>
      <c r="F10" s="428"/>
      <c r="G10" s="428"/>
      <c r="H10" s="428"/>
      <c r="I10" s="428"/>
      <c r="J10" s="428"/>
      <c r="K10" s="428"/>
      <c r="L10" s="428"/>
      <c r="M10" s="428"/>
      <c r="N10" s="428"/>
      <c r="O10" s="39"/>
      <c r="P10" s="53" t="e">
        <f ca="1">INDIRECT("'"&amp;H5&amp;"'!K7")</f>
        <v>#REF!</v>
      </c>
      <c r="Q10" s="50"/>
      <c r="R10" s="74"/>
      <c r="S10" s="83"/>
      <c r="T10" s="51"/>
      <c r="U10" s="51"/>
      <c r="V10" s="83"/>
      <c r="W10" s="51"/>
      <c r="X10" s="51"/>
      <c r="Y10" s="83"/>
    </row>
    <row r="11" spans="1:27" ht="14.25" customHeight="1" x14ac:dyDescent="0.25">
      <c r="B11" s="69">
        <v>1</v>
      </c>
      <c r="C11" s="428" t="s">
        <v>550</v>
      </c>
      <c r="D11" s="428"/>
      <c r="E11" s="428"/>
      <c r="F11" s="428"/>
      <c r="G11" s="428"/>
      <c r="H11" s="428"/>
      <c r="I11" s="428"/>
      <c r="J11" s="428"/>
      <c r="K11" s="428"/>
      <c r="L11" s="428"/>
      <c r="M11" s="428"/>
      <c r="N11" s="428"/>
      <c r="O11" s="39"/>
      <c r="P11" s="53" t="e">
        <f ca="1">CONCATENATE(IF(INDIRECT("'"&amp;H5&amp;"'!G12")="Yes","CIFS,",""),IF(INDIRECT("'"&amp;H5&amp;"'!I12")="Yes","NFS,",""),IF(INDIRECT("'"&amp;H5&amp;"'!K12")="Yes","FCP,",""),IF(INDIRECT("'"&amp;H5&amp;"'!M12")="Yes","iSCSI,",""))</f>
        <v>#REF!</v>
      </c>
      <c r="Q11" s="50"/>
      <c r="R11" s="74"/>
      <c r="S11" s="83"/>
      <c r="T11" s="51"/>
      <c r="U11" s="51"/>
      <c r="V11" s="83"/>
      <c r="W11" s="51"/>
      <c r="X11" s="51"/>
      <c r="Y11" s="83"/>
    </row>
    <row r="12" spans="1:27" ht="14.25" customHeight="1" x14ac:dyDescent="0.25">
      <c r="B12" s="69">
        <v>1</v>
      </c>
      <c r="C12" s="428" t="s">
        <v>551</v>
      </c>
      <c r="D12" s="428"/>
      <c r="E12" s="428"/>
      <c r="F12" s="428"/>
      <c r="G12" s="428"/>
      <c r="H12" s="428"/>
      <c r="I12" s="428"/>
      <c r="J12" s="428"/>
      <c r="K12" s="428"/>
      <c r="L12" s="428"/>
      <c r="M12" s="428"/>
      <c r="N12" s="428"/>
      <c r="O12" s="39"/>
      <c r="P12" s="53" t="s">
        <v>552</v>
      </c>
      <c r="Q12" s="50"/>
      <c r="R12" s="74"/>
      <c r="S12" s="83"/>
      <c r="T12" s="51"/>
      <c r="U12" s="51"/>
      <c r="V12" s="83"/>
      <c r="W12" s="51"/>
      <c r="X12" s="51"/>
      <c r="Y12" s="83"/>
    </row>
    <row r="13" spans="1:27" ht="14.25" customHeight="1" x14ac:dyDescent="0.25">
      <c r="B13" s="69">
        <v>1</v>
      </c>
      <c r="C13" s="428" t="s">
        <v>553</v>
      </c>
      <c r="D13" s="428"/>
      <c r="E13" s="428"/>
      <c r="F13" s="428"/>
      <c r="G13" s="428"/>
      <c r="H13" s="428"/>
      <c r="I13" s="428"/>
      <c r="J13" s="428"/>
      <c r="K13" s="428"/>
      <c r="L13" s="428"/>
      <c r="M13" s="428"/>
      <c r="N13" s="428"/>
      <c r="O13" s="39"/>
      <c r="P13" s="53" t="e">
        <f ca="1">INDIRECT("'"&amp;H5&amp;"'!F14")</f>
        <v>#REF!</v>
      </c>
      <c r="Q13" s="50"/>
      <c r="R13" s="74"/>
      <c r="S13" s="83"/>
      <c r="T13" s="51"/>
      <c r="U13" s="51"/>
      <c r="V13" s="83"/>
      <c r="W13" s="51"/>
      <c r="X13" s="51"/>
      <c r="Y13" s="83"/>
    </row>
    <row r="14" spans="1:27" ht="14.25" customHeight="1" x14ac:dyDescent="0.25">
      <c r="B14" s="91">
        <v>1</v>
      </c>
      <c r="C14" s="428" t="s">
        <v>554</v>
      </c>
      <c r="D14" s="428"/>
      <c r="E14" s="428"/>
      <c r="F14" s="428"/>
      <c r="G14" s="428"/>
      <c r="H14" s="428"/>
      <c r="I14" s="428"/>
      <c r="J14" s="428"/>
      <c r="K14" s="428"/>
      <c r="L14" s="428"/>
      <c r="M14" s="428"/>
      <c r="N14" s="428"/>
      <c r="O14" s="39"/>
      <c r="P14" s="53" t="s">
        <v>555</v>
      </c>
      <c r="Q14" s="50"/>
      <c r="R14" s="74"/>
      <c r="S14" s="83"/>
      <c r="T14" s="51"/>
      <c r="U14" s="51"/>
      <c r="V14" s="83"/>
      <c r="W14" s="51"/>
      <c r="X14" s="51"/>
      <c r="Y14" s="83"/>
    </row>
    <row r="15" spans="1:27" ht="14.25" customHeight="1" x14ac:dyDescent="0.25">
      <c r="B15" s="91">
        <v>1</v>
      </c>
      <c r="C15" s="428" t="s">
        <v>556</v>
      </c>
      <c r="D15" s="428"/>
      <c r="E15" s="428"/>
      <c r="F15" s="428"/>
      <c r="G15" s="428"/>
      <c r="H15" s="428"/>
      <c r="I15" s="428"/>
      <c r="J15" s="428"/>
      <c r="K15" s="428"/>
      <c r="L15" s="428"/>
      <c r="M15" s="428"/>
      <c r="N15" s="428"/>
      <c r="O15" s="39"/>
      <c r="P15" s="53" t="s">
        <v>919</v>
      </c>
      <c r="Q15" s="50"/>
      <c r="R15" s="74"/>
      <c r="S15" s="83"/>
      <c r="T15" s="51"/>
      <c r="U15" s="51"/>
      <c r="V15" s="83"/>
      <c r="W15" s="51"/>
      <c r="X15" s="51"/>
      <c r="Y15" s="83"/>
    </row>
    <row r="16" spans="1:27" ht="14.25" customHeight="1" x14ac:dyDescent="0.25">
      <c r="B16" s="91">
        <v>1</v>
      </c>
      <c r="C16" s="428" t="s">
        <v>558</v>
      </c>
      <c r="D16" s="428"/>
      <c r="E16" s="428"/>
      <c r="F16" s="428"/>
      <c r="G16" s="428"/>
      <c r="H16" s="428"/>
      <c r="I16" s="428"/>
      <c r="J16" s="428"/>
      <c r="K16" s="428"/>
      <c r="L16" s="428"/>
      <c r="M16" s="428"/>
      <c r="N16" s="428"/>
      <c r="O16" s="39"/>
      <c r="P16" s="53" t="s">
        <v>559</v>
      </c>
      <c r="Q16" s="50"/>
      <c r="R16" s="74"/>
      <c r="S16" s="83"/>
      <c r="T16" s="51"/>
      <c r="U16" s="51"/>
      <c r="V16" s="83"/>
      <c r="W16" s="51"/>
      <c r="X16" s="51"/>
      <c r="Y16" s="83"/>
    </row>
    <row r="17" spans="2:34" ht="14.25" customHeight="1" x14ac:dyDescent="0.25">
      <c r="B17" s="91">
        <v>1</v>
      </c>
      <c r="C17" s="428" t="s">
        <v>560</v>
      </c>
      <c r="D17" s="428"/>
      <c r="E17" s="428"/>
      <c r="F17" s="428"/>
      <c r="G17" s="428"/>
      <c r="H17" s="428"/>
      <c r="I17" s="428"/>
      <c r="J17" s="428"/>
      <c r="K17" s="428"/>
      <c r="L17" s="428"/>
      <c r="M17" s="428"/>
      <c r="N17" s="428"/>
      <c r="O17" s="39"/>
      <c r="P17" s="53" t="s">
        <v>341</v>
      </c>
      <c r="Q17" s="50"/>
      <c r="R17" s="74"/>
      <c r="S17" s="83"/>
      <c r="T17" s="51"/>
      <c r="U17" s="51"/>
      <c r="V17" s="83"/>
      <c r="W17" s="51"/>
      <c r="X17" s="51"/>
      <c r="Y17" s="83"/>
    </row>
    <row r="18" spans="2:34" ht="14.25" customHeight="1" x14ac:dyDescent="0.25">
      <c r="B18" s="91">
        <v>1</v>
      </c>
      <c r="C18" s="428" t="s">
        <v>561</v>
      </c>
      <c r="D18" s="428"/>
      <c r="E18" s="428"/>
      <c r="F18" s="428"/>
      <c r="G18" s="428"/>
      <c r="H18" s="428"/>
      <c r="I18" s="428"/>
      <c r="J18" s="428"/>
      <c r="K18" s="428"/>
      <c r="L18" s="428"/>
      <c r="M18" s="428"/>
      <c r="N18" s="428"/>
      <c r="O18" s="39"/>
      <c r="P18" s="53" t="e">
        <f ca="1">INDIRECT("'"&amp;$H$5&amp;"'!$M$33")</f>
        <v>#REF!</v>
      </c>
      <c r="Q18" s="50"/>
      <c r="R18" s="74"/>
      <c r="S18" s="83"/>
      <c r="T18" s="51"/>
      <c r="U18" s="51"/>
      <c r="V18" s="83"/>
      <c r="W18" s="51"/>
      <c r="X18" s="51"/>
      <c r="Y18" s="83"/>
    </row>
    <row r="19" spans="2:34" ht="14.25" customHeight="1" x14ac:dyDescent="0.25">
      <c r="B19" s="91">
        <v>1</v>
      </c>
      <c r="C19" s="428" t="s">
        <v>562</v>
      </c>
      <c r="D19" s="428"/>
      <c r="E19" s="428"/>
      <c r="F19" s="428"/>
      <c r="G19" s="428"/>
      <c r="H19" s="428"/>
      <c r="I19" s="428"/>
      <c r="J19" s="428"/>
      <c r="K19" s="428"/>
      <c r="L19" s="428"/>
      <c r="M19" s="428"/>
      <c r="N19" s="428"/>
      <c r="O19" s="39"/>
      <c r="P19" s="53" t="s">
        <v>563</v>
      </c>
      <c r="Q19" s="50"/>
      <c r="R19" s="74"/>
      <c r="S19" s="83"/>
      <c r="T19" s="51"/>
      <c r="U19" s="51"/>
      <c r="V19" s="83"/>
      <c r="W19" s="51"/>
      <c r="X19" s="51"/>
      <c r="Y19" s="83"/>
    </row>
    <row r="20" spans="2:34" ht="14.25" customHeight="1" x14ac:dyDescent="0.25">
      <c r="B20" s="91">
        <v>1</v>
      </c>
      <c r="C20" s="428" t="s">
        <v>564</v>
      </c>
      <c r="D20" s="428"/>
      <c r="E20" s="428"/>
      <c r="F20" s="428"/>
      <c r="G20" s="428"/>
      <c r="H20" s="428"/>
      <c r="I20" s="428"/>
      <c r="J20" s="428"/>
      <c r="K20" s="428"/>
      <c r="L20" s="428"/>
      <c r="M20" s="428"/>
      <c r="N20" s="428"/>
      <c r="O20" s="39"/>
      <c r="P20" s="53" t="e">
        <f ca="1">INDIRECT("'"&amp;$H$5&amp;"'!$Q$33")</f>
        <v>#REF!</v>
      </c>
      <c r="Q20" s="50"/>
      <c r="R20" s="74"/>
      <c r="S20" s="83"/>
      <c r="T20" s="51"/>
      <c r="U20" s="51"/>
      <c r="V20" s="83"/>
      <c r="W20" s="51"/>
      <c r="X20" s="51"/>
      <c r="Y20" s="83"/>
    </row>
    <row r="21" spans="2:34" ht="14.25" customHeight="1" x14ac:dyDescent="0.25">
      <c r="B21" s="91">
        <v>1</v>
      </c>
      <c r="C21" s="428" t="s">
        <v>565</v>
      </c>
      <c r="D21" s="428"/>
      <c r="E21" s="428"/>
      <c r="F21" s="428"/>
      <c r="G21" s="428"/>
      <c r="H21" s="428"/>
      <c r="I21" s="428"/>
      <c r="J21" s="428"/>
      <c r="K21" s="428"/>
      <c r="L21" s="428"/>
      <c r="M21" s="428"/>
      <c r="N21" s="428"/>
      <c r="O21" s="39"/>
      <c r="P21" s="53" t="e">
        <f ca="1">INDIRECT("'"&amp;$H$5&amp;"'!$T$33")</f>
        <v>#REF!</v>
      </c>
      <c r="Q21" s="50"/>
      <c r="R21" s="74"/>
      <c r="S21" s="83"/>
      <c r="T21" s="51"/>
      <c r="U21" s="51"/>
      <c r="V21" s="83"/>
      <c r="W21" s="51"/>
      <c r="X21" s="51"/>
      <c r="Y21" s="83"/>
    </row>
    <row r="22" spans="2:34" ht="14.25" customHeight="1" x14ac:dyDescent="0.25">
      <c r="B22" s="91">
        <v>1</v>
      </c>
      <c r="C22" s="428" t="s">
        <v>566</v>
      </c>
      <c r="D22" s="428"/>
      <c r="E22" s="428"/>
      <c r="F22" s="428"/>
      <c r="G22" s="428"/>
      <c r="H22" s="428"/>
      <c r="I22" s="428"/>
      <c r="J22" s="428"/>
      <c r="K22" s="428"/>
      <c r="L22" s="428"/>
      <c r="M22" s="428"/>
      <c r="N22" s="428"/>
      <c r="O22" s="39"/>
      <c r="P22" s="53" t="e">
        <f ca="1">INDIRECT("'"&amp;$H$5&amp;"'!$J$33")</f>
        <v>#REF!</v>
      </c>
      <c r="Q22" s="50"/>
      <c r="R22" s="74"/>
      <c r="S22" s="83"/>
      <c r="T22" s="51"/>
      <c r="U22" s="51"/>
      <c r="V22" s="83"/>
      <c r="W22" s="51"/>
      <c r="X22" s="51"/>
      <c r="Y22" s="83"/>
    </row>
    <row r="23" spans="2:34" ht="14.25" customHeight="1" x14ac:dyDescent="0.25">
      <c r="B23" s="91">
        <v>1</v>
      </c>
      <c r="C23" s="428" t="s">
        <v>567</v>
      </c>
      <c r="D23" s="428"/>
      <c r="E23" s="428"/>
      <c r="F23" s="428"/>
      <c r="G23" s="428"/>
      <c r="H23" s="428"/>
      <c r="I23" s="428"/>
      <c r="J23" s="428"/>
      <c r="K23" s="428"/>
      <c r="L23" s="428"/>
      <c r="M23" s="428"/>
      <c r="N23" s="428"/>
      <c r="O23" s="39"/>
      <c r="P23" s="53" t="e">
        <f ca="1">INDIRECT("'"&amp;$H$5&amp;"'!$K$28")</f>
        <v>#REF!</v>
      </c>
      <c r="Q23" s="50"/>
      <c r="R23" s="74"/>
      <c r="S23" s="67" t="s">
        <v>866</v>
      </c>
      <c r="T23" s="51"/>
      <c r="U23" s="51"/>
      <c r="V23" s="83"/>
      <c r="W23" s="51"/>
      <c r="X23" s="51"/>
      <c r="Y23" s="83"/>
    </row>
    <row r="24" spans="2:34" ht="14.25" customHeight="1" x14ac:dyDescent="0.25">
      <c r="B24" s="91">
        <v>1</v>
      </c>
      <c r="C24" s="428" t="s">
        <v>568</v>
      </c>
      <c r="D24" s="428"/>
      <c r="E24" s="428"/>
      <c r="F24" s="428"/>
      <c r="G24" s="428"/>
      <c r="H24" s="428"/>
      <c r="I24" s="428"/>
      <c r="J24" s="428"/>
      <c r="K24" s="428"/>
      <c r="L24" s="428"/>
      <c r="M24" s="428"/>
      <c r="N24" s="428"/>
      <c r="O24" s="39"/>
      <c r="P24" s="53" t="e">
        <f ca="1">INDIRECT("'"&amp;$H$5&amp;"'!$K$27")</f>
        <v>#REF!</v>
      </c>
      <c r="Q24" s="50"/>
      <c r="R24" s="74"/>
      <c r="S24" s="83"/>
      <c r="T24" s="51"/>
      <c r="U24" s="51"/>
      <c r="V24" s="83"/>
      <c r="W24" s="51"/>
      <c r="X24" s="51"/>
      <c r="Y24" s="83"/>
    </row>
    <row r="25" spans="2:34" ht="14.25" customHeight="1" x14ac:dyDescent="0.25">
      <c r="B25" s="91">
        <v>1</v>
      </c>
      <c r="C25" s="428" t="s">
        <v>569</v>
      </c>
      <c r="D25" s="428"/>
      <c r="E25" s="428"/>
      <c r="F25" s="428"/>
      <c r="G25" s="428"/>
      <c r="H25" s="428"/>
      <c r="I25" s="428"/>
      <c r="J25" s="428"/>
      <c r="K25" s="428"/>
      <c r="L25" s="428"/>
      <c r="M25" s="428"/>
      <c r="N25" s="428"/>
      <c r="O25" s="39"/>
      <c r="P25" s="53" t="s">
        <v>341</v>
      </c>
      <c r="Q25" s="50"/>
      <c r="R25" s="74"/>
      <c r="S25" s="35" t="e">
        <f ca="1">IF(S26&lt;&gt;"","yes","no")</f>
        <v>#REF!</v>
      </c>
      <c r="T25" s="50"/>
      <c r="U25" s="92"/>
      <c r="V25" s="35" t="e">
        <f ca="1">IF(V26&lt;&gt;"","yes","no")</f>
        <v>#REF!</v>
      </c>
      <c r="W25" s="50"/>
      <c r="X25" s="92"/>
      <c r="Y25" s="35" t="e">
        <f ca="1">IF(Y26&lt;&gt;"","yes","no")</f>
        <v>#REF!</v>
      </c>
      <c r="Z25" s="50"/>
      <c r="AA25" s="98"/>
      <c r="AB25" s="35" t="e">
        <f ca="1">IF(AB26&lt;&gt;"","yes","no")</f>
        <v>#REF!</v>
      </c>
      <c r="AC25" s="50"/>
      <c r="AD25" s="98"/>
      <c r="AE25" s="35" t="e">
        <f ca="1">IF(AE26&lt;&gt;"","yes","no")</f>
        <v>#REF!</v>
      </c>
      <c r="AF25" s="50"/>
      <c r="AG25" s="98"/>
      <c r="AH25" s="35" t="e">
        <f ca="1">IF(AH26&lt;&gt;"","yes","no")</f>
        <v>#REF!</v>
      </c>
    </row>
    <row r="26" spans="2:34" ht="14.25" customHeight="1" x14ac:dyDescent="0.25">
      <c r="B26" s="91">
        <v>1</v>
      </c>
      <c r="C26" s="428" t="s">
        <v>570</v>
      </c>
      <c r="D26" s="428"/>
      <c r="E26" s="428"/>
      <c r="F26" s="428"/>
      <c r="G26" s="428"/>
      <c r="H26" s="428"/>
      <c r="I26" s="428"/>
      <c r="J26" s="428"/>
      <c r="K26" s="428"/>
      <c r="L26" s="428"/>
      <c r="M26" s="428"/>
      <c r="N26" s="428"/>
      <c r="O26" s="39"/>
      <c r="P26" s="53" t="e">
        <f ca="1">INDIRECT("'"&amp;$H$5&amp;"'!$M$34")</f>
        <v>#REF!</v>
      </c>
      <c r="Q26" s="50"/>
      <c r="R26" s="74"/>
      <c r="S26" s="53" t="e">
        <f ca="1">INDIRECT("'"&amp;$H$5&amp;"'!$M$35")</f>
        <v>#REF!</v>
      </c>
      <c r="T26" s="50"/>
      <c r="U26" s="92"/>
      <c r="V26" s="53" t="e">
        <f ca="1">INDIRECT("'"&amp;$H$5&amp;"'!$M$36")</f>
        <v>#REF!</v>
      </c>
      <c r="W26" s="50"/>
      <c r="X26" s="92"/>
      <c r="Y26" s="53" t="e">
        <f ca="1">INDIRECT("'"&amp;$H$5&amp;"'!$M$37")</f>
        <v>#REF!</v>
      </c>
      <c r="Z26" s="50"/>
      <c r="AA26" s="98"/>
      <c r="AB26" s="53" t="e">
        <f ca="1">INDIRECT("'"&amp;$H$5&amp;"'!$M$38")</f>
        <v>#REF!</v>
      </c>
      <c r="AC26" s="50"/>
      <c r="AD26" s="98"/>
      <c r="AE26" s="53" t="e">
        <f ca="1">INDIRECT("'"&amp;$H$5&amp;"'!$M$39")</f>
        <v>#REF!</v>
      </c>
      <c r="AF26" s="50"/>
      <c r="AG26" s="98"/>
      <c r="AH26" s="53" t="e">
        <f ca="1">INDIRECT("'"&amp;$H$5&amp;"'!$M$40")</f>
        <v>#REF!</v>
      </c>
    </row>
    <row r="27" spans="2:34" ht="14.25" customHeight="1" x14ac:dyDescent="0.25">
      <c r="B27" s="91">
        <v>1</v>
      </c>
      <c r="C27" s="428" t="s">
        <v>562</v>
      </c>
      <c r="D27" s="428"/>
      <c r="E27" s="428"/>
      <c r="F27" s="428"/>
      <c r="G27" s="428"/>
      <c r="H27" s="428"/>
      <c r="I27" s="428"/>
      <c r="J27" s="428"/>
      <c r="K27" s="428"/>
      <c r="L27" s="428"/>
      <c r="M27" s="428"/>
      <c r="N27" s="428"/>
      <c r="O27" s="39"/>
      <c r="P27" s="53" t="s">
        <v>563</v>
      </c>
      <c r="Q27" s="50"/>
      <c r="R27" s="74"/>
      <c r="S27" s="53" t="s">
        <v>563</v>
      </c>
      <c r="T27" s="50"/>
      <c r="U27" s="92"/>
      <c r="V27" s="53" t="s">
        <v>563</v>
      </c>
      <c r="W27" s="50"/>
      <c r="X27" s="92"/>
      <c r="Y27" s="53" t="s">
        <v>563</v>
      </c>
      <c r="Z27" s="50"/>
      <c r="AA27" s="98"/>
      <c r="AB27" s="53" t="s">
        <v>563</v>
      </c>
      <c r="AC27" s="50"/>
      <c r="AD27" s="98"/>
      <c r="AE27" s="53" t="s">
        <v>563</v>
      </c>
      <c r="AF27" s="50"/>
      <c r="AG27" s="98"/>
      <c r="AH27" s="53" t="s">
        <v>563</v>
      </c>
    </row>
    <row r="28" spans="2:34" ht="14.25" customHeight="1" x14ac:dyDescent="0.25">
      <c r="B28" s="91">
        <v>1</v>
      </c>
      <c r="C28" s="428" t="s">
        <v>564</v>
      </c>
      <c r="D28" s="428"/>
      <c r="E28" s="428"/>
      <c r="F28" s="428"/>
      <c r="G28" s="428"/>
      <c r="H28" s="428"/>
      <c r="I28" s="428"/>
      <c r="J28" s="428"/>
      <c r="K28" s="428"/>
      <c r="L28" s="428"/>
      <c r="M28" s="428"/>
      <c r="N28" s="428"/>
      <c r="O28" s="39"/>
      <c r="P28" s="53" t="e">
        <f ca="1">INDIRECT("'"&amp;$H$5&amp;"'!$Q$34")</f>
        <v>#REF!</v>
      </c>
      <c r="Q28" s="50"/>
      <c r="R28" s="74"/>
      <c r="S28" s="53" t="e">
        <f ca="1">INDIRECT("'"&amp;$H$5&amp;"'!$Q$35")</f>
        <v>#REF!</v>
      </c>
      <c r="T28" s="50"/>
      <c r="U28" s="92"/>
      <c r="V28" s="53" t="e">
        <f ca="1">INDIRECT("'"&amp;$H$5&amp;"'!$Q$36")</f>
        <v>#REF!</v>
      </c>
      <c r="W28" s="50"/>
      <c r="X28" s="92"/>
      <c r="Y28" s="53" t="e">
        <f ca="1">INDIRECT("'"&amp;$H$5&amp;"'!$Q$37")</f>
        <v>#REF!</v>
      </c>
      <c r="Z28" s="50"/>
      <c r="AA28" s="98"/>
      <c r="AB28" s="53" t="e">
        <f ca="1">INDIRECT("'"&amp;$H$5&amp;"'!$Q$38")</f>
        <v>#REF!</v>
      </c>
      <c r="AC28" s="50"/>
      <c r="AD28" s="98"/>
      <c r="AE28" s="53" t="e">
        <f ca="1">INDIRECT("'"&amp;$H$5&amp;"'!$Q$39")</f>
        <v>#REF!</v>
      </c>
      <c r="AF28" s="50"/>
      <c r="AG28" s="98"/>
      <c r="AH28" s="53" t="e">
        <f ca="1">INDIRECT("'"&amp;$H$5&amp;"'!$Q$40")</f>
        <v>#REF!</v>
      </c>
    </row>
    <row r="29" spans="2:34" ht="14.25" customHeight="1" x14ac:dyDescent="0.25">
      <c r="B29" s="91">
        <v>1</v>
      </c>
      <c r="C29" s="428" t="s">
        <v>565</v>
      </c>
      <c r="D29" s="428"/>
      <c r="E29" s="428"/>
      <c r="F29" s="428"/>
      <c r="G29" s="428"/>
      <c r="H29" s="428"/>
      <c r="I29" s="428"/>
      <c r="J29" s="428"/>
      <c r="K29" s="428"/>
      <c r="L29" s="428"/>
      <c r="M29" s="428"/>
      <c r="N29" s="428"/>
      <c r="O29" s="39"/>
      <c r="P29" s="53" t="e">
        <f ca="1">INDIRECT("'"&amp;$H$5&amp;"'!$T$34")</f>
        <v>#REF!</v>
      </c>
      <c r="Q29" s="50"/>
      <c r="R29" s="74"/>
      <c r="S29" s="53" t="e">
        <f ca="1">INDIRECT("'"&amp;$H$5&amp;"'!$T$35")</f>
        <v>#REF!</v>
      </c>
      <c r="T29" s="50"/>
      <c r="U29" s="92"/>
      <c r="V29" s="53" t="e">
        <f ca="1">INDIRECT("'"&amp;$H$5&amp;"'!$T$36")</f>
        <v>#REF!</v>
      </c>
      <c r="W29" s="50"/>
      <c r="X29" s="92"/>
      <c r="Y29" s="53" t="e">
        <f ca="1">INDIRECT("'"&amp;$H$5&amp;"'!$T$37")</f>
        <v>#REF!</v>
      </c>
      <c r="Z29" s="50"/>
      <c r="AA29" s="98"/>
      <c r="AB29" s="53" t="e">
        <f ca="1">INDIRECT("'"&amp;$H$5&amp;"'!$T$38")</f>
        <v>#REF!</v>
      </c>
      <c r="AC29" s="50"/>
      <c r="AD29" s="98"/>
      <c r="AE29" s="53" t="e">
        <f ca="1">INDIRECT("'"&amp;$H$5&amp;"'!$T$39")</f>
        <v>#REF!</v>
      </c>
      <c r="AF29" s="50"/>
      <c r="AG29" s="98"/>
      <c r="AH29" s="53" t="e">
        <f ca="1">INDIRECT("'"&amp;$H$5&amp;"'!$T$40")</f>
        <v>#REF!</v>
      </c>
    </row>
    <row r="30" spans="2:34" ht="14.25" customHeight="1" x14ac:dyDescent="0.25">
      <c r="B30" s="91">
        <v>1</v>
      </c>
      <c r="C30" s="428" t="s">
        <v>566</v>
      </c>
      <c r="D30" s="428"/>
      <c r="E30" s="428"/>
      <c r="F30" s="428"/>
      <c r="G30" s="428"/>
      <c r="H30" s="428"/>
      <c r="I30" s="428"/>
      <c r="J30" s="428"/>
      <c r="K30" s="428"/>
      <c r="L30" s="428"/>
      <c r="M30" s="428"/>
      <c r="N30" s="428"/>
      <c r="O30" s="39"/>
      <c r="P30" s="53" t="e">
        <f ca="1">INDIRECT("'"&amp;$H$5&amp;"'!$J$34")</f>
        <v>#REF!</v>
      </c>
      <c r="Q30" s="50"/>
      <c r="R30" s="74"/>
      <c r="S30" s="53" t="e">
        <f ca="1">INDIRECT("'"&amp;$H$5&amp;"'!$J$35")</f>
        <v>#REF!</v>
      </c>
      <c r="T30" s="50"/>
      <c r="U30" s="92"/>
      <c r="V30" s="53" t="e">
        <f ca="1">INDIRECT("'"&amp;$H$5&amp;"'!$J$36")</f>
        <v>#REF!</v>
      </c>
      <c r="W30" s="50"/>
      <c r="X30" s="92"/>
      <c r="Y30" s="53" t="e">
        <f ca="1">INDIRECT("'"&amp;$H$5&amp;"'!$J$37")</f>
        <v>#REF!</v>
      </c>
      <c r="Z30" s="50"/>
      <c r="AA30" s="98"/>
      <c r="AB30" s="53" t="e">
        <f ca="1">INDIRECT("'"&amp;$H$5&amp;"'!$J$38")</f>
        <v>#REF!</v>
      </c>
      <c r="AC30" s="50"/>
      <c r="AD30" s="98"/>
      <c r="AE30" s="53" t="e">
        <f ca="1">INDIRECT("'"&amp;$H$5&amp;"'!$J$39")</f>
        <v>#REF!</v>
      </c>
      <c r="AF30" s="50"/>
      <c r="AG30" s="98"/>
      <c r="AH30" s="53" t="e">
        <f ca="1">INDIRECT("'"&amp;$H$5&amp;"'!$J$40")</f>
        <v>#REF!</v>
      </c>
    </row>
    <row r="31" spans="2:34" ht="14.25" customHeight="1" x14ac:dyDescent="0.25">
      <c r="B31" s="91">
        <v>1</v>
      </c>
      <c r="C31" s="428" t="s">
        <v>567</v>
      </c>
      <c r="D31" s="428"/>
      <c r="E31" s="428"/>
      <c r="F31" s="428"/>
      <c r="G31" s="428"/>
      <c r="H31" s="428"/>
      <c r="I31" s="428"/>
      <c r="J31" s="428"/>
      <c r="K31" s="428"/>
      <c r="L31" s="428"/>
      <c r="M31" s="428"/>
      <c r="N31" s="428"/>
      <c r="O31" s="39"/>
      <c r="P31" s="53" t="e">
        <f ca="1">INDIRECT("'"&amp;$H$5&amp;"'!$K$28")</f>
        <v>#REF!</v>
      </c>
      <c r="Q31" s="50"/>
      <c r="R31" s="74"/>
      <c r="S31" s="53" t="e">
        <f ca="1">INDIRECT("'"&amp;$H$5&amp;"'!$K$28")</f>
        <v>#REF!</v>
      </c>
      <c r="T31" s="50"/>
      <c r="U31" s="92"/>
      <c r="V31" s="53" t="e">
        <f ca="1">INDIRECT("'"&amp;$H$5&amp;"'!$K$28")</f>
        <v>#REF!</v>
      </c>
      <c r="W31" s="50"/>
      <c r="X31" s="92"/>
      <c r="Y31" s="53" t="e">
        <f ca="1">INDIRECT("'"&amp;$H$5&amp;"'!$K$28")</f>
        <v>#REF!</v>
      </c>
      <c r="Z31" s="50"/>
      <c r="AA31" s="98"/>
      <c r="AB31" s="53" t="e">
        <f ca="1">INDIRECT("'"&amp;$H$5&amp;"'!$K$28")</f>
        <v>#REF!</v>
      </c>
      <c r="AC31" s="50"/>
      <c r="AD31" s="98"/>
      <c r="AE31" s="53" t="e">
        <f ca="1">INDIRECT("'"&amp;$H$5&amp;"'!$K$28")</f>
        <v>#REF!</v>
      </c>
      <c r="AF31" s="50"/>
      <c r="AG31" s="98"/>
      <c r="AH31" s="53" t="e">
        <f ca="1">INDIRECT("'"&amp;$H$5&amp;"'!$K$28")</f>
        <v>#REF!</v>
      </c>
    </row>
    <row r="32" spans="2:34" ht="14.25" customHeight="1" x14ac:dyDescent="0.25">
      <c r="B32" s="91">
        <v>1</v>
      </c>
      <c r="C32" s="428" t="s">
        <v>568</v>
      </c>
      <c r="D32" s="428"/>
      <c r="E32" s="428"/>
      <c r="F32" s="428"/>
      <c r="G32" s="428"/>
      <c r="H32" s="428"/>
      <c r="I32" s="428"/>
      <c r="J32" s="428"/>
      <c r="K32" s="428"/>
      <c r="L32" s="428"/>
      <c r="M32" s="428"/>
      <c r="N32" s="428"/>
      <c r="O32" s="39"/>
      <c r="P32" s="53" t="e">
        <f ca="1">INDIRECT("'"&amp;$H$5&amp;"'!$K$27")</f>
        <v>#REF!</v>
      </c>
      <c r="Q32" s="50"/>
      <c r="R32" s="74"/>
      <c r="S32" s="53" t="e">
        <f ca="1">INDIRECT("'"&amp;$H$5&amp;"'!$K$27")</f>
        <v>#REF!</v>
      </c>
      <c r="T32" s="50"/>
      <c r="U32" s="92"/>
      <c r="V32" s="53" t="e">
        <f ca="1">INDIRECT("'"&amp;$H$5&amp;"'!$K$27")</f>
        <v>#REF!</v>
      </c>
      <c r="W32" s="50"/>
      <c r="X32" s="92"/>
      <c r="Y32" s="53" t="e">
        <f ca="1">INDIRECT("'"&amp;$H$5&amp;"'!$K$27")</f>
        <v>#REF!</v>
      </c>
      <c r="Z32" s="50"/>
      <c r="AA32" s="98"/>
      <c r="AB32" s="53" t="e">
        <f ca="1">INDIRECT("'"&amp;$H$5&amp;"'!$K$27")</f>
        <v>#REF!</v>
      </c>
      <c r="AC32" s="50"/>
      <c r="AD32" s="98"/>
      <c r="AE32" s="53" t="e">
        <f ca="1">INDIRECT("'"&amp;$H$5&amp;"'!$K$27")</f>
        <v>#REF!</v>
      </c>
      <c r="AF32" s="50"/>
      <c r="AG32" s="98"/>
      <c r="AH32" s="53" t="e">
        <f ca="1">INDIRECT("'"&amp;$H$5&amp;"'!$K$27")</f>
        <v>#REF!</v>
      </c>
    </row>
    <row r="33" spans="2:34" ht="14.25" customHeight="1" x14ac:dyDescent="0.25">
      <c r="B33" s="91">
        <v>1</v>
      </c>
      <c r="C33" s="428" t="s">
        <v>569</v>
      </c>
      <c r="D33" s="428"/>
      <c r="E33" s="428"/>
      <c r="F33" s="428"/>
      <c r="G33" s="428"/>
      <c r="H33" s="428"/>
      <c r="I33" s="428"/>
      <c r="J33" s="428"/>
      <c r="K33" s="428"/>
      <c r="L33" s="428"/>
      <c r="M33" s="428"/>
      <c r="N33" s="428"/>
      <c r="O33" s="39"/>
      <c r="P33" s="53" t="s">
        <v>586</v>
      </c>
      <c r="Q33" s="50"/>
      <c r="R33" s="74"/>
      <c r="S33" s="53" t="s">
        <v>586</v>
      </c>
      <c r="T33" s="50"/>
      <c r="U33" s="92"/>
      <c r="V33" s="53" t="s">
        <v>586</v>
      </c>
      <c r="W33" s="50"/>
      <c r="X33" s="92"/>
      <c r="Y33" s="53" t="s">
        <v>586</v>
      </c>
      <c r="Z33" s="50"/>
      <c r="AA33" s="98"/>
      <c r="AB33" s="53" t="s">
        <v>586</v>
      </c>
      <c r="AC33" s="50"/>
      <c r="AD33" s="98"/>
      <c r="AE33" s="53" t="s">
        <v>586</v>
      </c>
      <c r="AF33" s="50"/>
      <c r="AG33" s="98"/>
      <c r="AH33" s="53" t="s">
        <v>586</v>
      </c>
    </row>
    <row r="34" spans="2:34" ht="14.25" customHeight="1" x14ac:dyDescent="0.25">
      <c r="B34" s="91">
        <v>1</v>
      </c>
      <c r="C34" s="428" t="s">
        <v>571</v>
      </c>
      <c r="D34" s="428"/>
      <c r="E34" s="428"/>
      <c r="F34" s="428"/>
      <c r="G34" s="428"/>
      <c r="H34" s="428"/>
      <c r="I34" s="428"/>
      <c r="J34" s="428"/>
      <c r="K34" s="428"/>
      <c r="L34" s="428"/>
      <c r="M34" s="428"/>
      <c r="N34" s="428"/>
      <c r="O34" s="39"/>
      <c r="P34" s="53" t="s">
        <v>341</v>
      </c>
      <c r="Q34" s="50"/>
      <c r="R34" s="74"/>
      <c r="T34" s="50"/>
      <c r="U34" s="92"/>
      <c r="W34" s="50"/>
      <c r="X34" s="92"/>
      <c r="Z34" s="50"/>
      <c r="AA34" s="98"/>
      <c r="AC34" s="50"/>
      <c r="AD34" s="98"/>
      <c r="AF34" s="50"/>
      <c r="AG34" s="98"/>
    </row>
    <row r="35" spans="2:34" ht="14.25" customHeight="1" x14ac:dyDescent="0.25">
      <c r="B35" s="91">
        <v>1</v>
      </c>
      <c r="C35" s="428" t="s">
        <v>572</v>
      </c>
      <c r="D35" s="428"/>
      <c r="E35" s="428"/>
      <c r="F35" s="428"/>
      <c r="G35" s="428"/>
      <c r="H35" s="428"/>
      <c r="I35" s="428"/>
      <c r="J35" s="428"/>
      <c r="K35" s="428"/>
      <c r="L35" s="428"/>
      <c r="M35" s="428"/>
      <c r="N35" s="428"/>
      <c r="O35" s="39"/>
      <c r="P35" s="53" t="e">
        <f ca="1">INDIRECT("'"&amp;$H$5&amp;"'!F9")</f>
        <v>#REF!</v>
      </c>
      <c r="Q35" s="50"/>
      <c r="R35" s="74"/>
      <c r="S35" s="83"/>
      <c r="T35" s="51"/>
      <c r="U35" s="51"/>
      <c r="V35" s="83"/>
      <c r="W35" s="51"/>
      <c r="X35" s="51"/>
      <c r="Y35" s="83"/>
    </row>
    <row r="36" spans="2:34" ht="14.25" customHeight="1" x14ac:dyDescent="0.25">
      <c r="B36" s="91">
        <v>1</v>
      </c>
      <c r="C36" s="428" t="s">
        <v>573</v>
      </c>
      <c r="D36" s="428"/>
      <c r="E36" s="428"/>
      <c r="F36" s="428"/>
      <c r="G36" s="428"/>
      <c r="H36" s="428"/>
      <c r="I36" s="428"/>
      <c r="J36" s="428"/>
      <c r="K36" s="428"/>
      <c r="L36" s="428"/>
      <c r="M36" s="428"/>
      <c r="N36" s="428"/>
      <c r="O36" s="39"/>
      <c r="P36" s="53" t="e">
        <f ca="1">CONCATENATE(INDIRECT("'"&amp;$H$5&amp;"'!F10"),",",INDIRECT("'"&amp;$H$5&amp;"'!I10"),",",INDIRECT("'"&amp;$H$5&amp;"'!L10"))</f>
        <v>#REF!</v>
      </c>
      <c r="Q36" s="50"/>
      <c r="R36" s="74"/>
      <c r="S36" s="83"/>
      <c r="T36" s="51"/>
      <c r="U36" s="51"/>
      <c r="V36" s="83"/>
      <c r="W36" s="51"/>
      <c r="X36" s="51"/>
      <c r="Y36" s="83"/>
    </row>
    <row r="37" spans="2:34" ht="14.25" customHeight="1" x14ac:dyDescent="0.25">
      <c r="B37" s="91">
        <v>1</v>
      </c>
      <c r="C37" s="428" t="s">
        <v>574</v>
      </c>
      <c r="D37" s="428"/>
      <c r="E37" s="428"/>
      <c r="F37" s="428"/>
      <c r="G37" s="428"/>
      <c r="H37" s="428"/>
      <c r="I37" s="428"/>
      <c r="J37" s="428"/>
      <c r="K37" s="428"/>
      <c r="L37" s="428"/>
      <c r="M37" s="428"/>
      <c r="N37" s="428"/>
      <c r="O37" s="39"/>
      <c r="P37" s="53" t="s">
        <v>341</v>
      </c>
      <c r="Q37" s="50"/>
      <c r="R37" s="74"/>
      <c r="S37" s="83"/>
      <c r="T37" s="51"/>
      <c r="U37" s="51"/>
      <c r="V37" s="83"/>
      <c r="W37" s="51"/>
      <c r="X37" s="51"/>
      <c r="Y37" s="83"/>
    </row>
    <row r="38" spans="2:34" ht="14.25" customHeight="1" x14ac:dyDescent="0.25">
      <c r="B38" s="91">
        <v>1</v>
      </c>
      <c r="C38" s="428" t="s">
        <v>575</v>
      </c>
      <c r="D38" s="428"/>
      <c r="E38" s="428"/>
      <c r="F38" s="428"/>
      <c r="G38" s="428"/>
      <c r="H38" s="428"/>
      <c r="I38" s="428"/>
      <c r="J38" s="428"/>
      <c r="K38" s="428"/>
      <c r="L38" s="428"/>
      <c r="M38" s="428"/>
      <c r="N38" s="428"/>
      <c r="O38" s="39"/>
      <c r="P38" s="53" t="e">
        <f ca="1">INDIRECT("'"&amp;$H$5&amp;"'!K7")</f>
        <v>#REF!</v>
      </c>
      <c r="Q38" s="50"/>
      <c r="R38" s="74"/>
      <c r="S38" s="83"/>
      <c r="T38" s="51"/>
      <c r="U38" s="51"/>
      <c r="V38" s="83"/>
      <c r="W38" s="51"/>
      <c r="X38" s="51"/>
      <c r="Y38" s="83"/>
    </row>
    <row r="39" spans="2:34" ht="14.25" customHeight="1" x14ac:dyDescent="0.25">
      <c r="B39" s="91">
        <v>1</v>
      </c>
      <c r="C39" s="428" t="s">
        <v>576</v>
      </c>
      <c r="D39" s="428"/>
      <c r="E39" s="428"/>
      <c r="F39" s="428"/>
      <c r="G39" s="428"/>
      <c r="H39" s="428"/>
      <c r="I39" s="428"/>
      <c r="J39" s="428"/>
      <c r="K39" s="428"/>
      <c r="L39" s="428"/>
      <c r="M39" s="428"/>
      <c r="N39" s="428"/>
      <c r="O39" s="39"/>
      <c r="P39" s="53" t="e">
        <f ca="1">P35</f>
        <v>#REF!</v>
      </c>
      <c r="Q39" s="50"/>
      <c r="R39" s="74"/>
      <c r="S39" s="83"/>
      <c r="T39" s="51"/>
      <c r="U39" s="51"/>
      <c r="V39" s="83"/>
      <c r="W39" s="51"/>
      <c r="X39" s="51"/>
      <c r="Y39" s="83"/>
    </row>
    <row r="40" spans="2:34" ht="14.25" customHeight="1" x14ac:dyDescent="0.25">
      <c r="B40" s="91">
        <v>1</v>
      </c>
      <c r="C40" s="428" t="s">
        <v>577</v>
      </c>
      <c r="D40" s="428"/>
      <c r="E40" s="428"/>
      <c r="F40" s="428"/>
      <c r="G40" s="428"/>
      <c r="H40" s="428"/>
      <c r="I40" s="428"/>
      <c r="J40" s="428"/>
      <c r="K40" s="428"/>
      <c r="L40" s="428"/>
      <c r="M40" s="428"/>
      <c r="N40" s="428"/>
      <c r="O40" s="39"/>
      <c r="P40" s="53" t="s">
        <v>579</v>
      </c>
      <c r="Q40" s="50"/>
      <c r="R40" s="74"/>
      <c r="S40" s="83"/>
      <c r="T40" s="51"/>
      <c r="U40" s="51"/>
      <c r="V40" s="83"/>
      <c r="W40" s="51"/>
      <c r="X40" s="51"/>
      <c r="Y40" s="83"/>
    </row>
    <row r="41" spans="2:34" ht="14.25" customHeight="1" x14ac:dyDescent="0.25">
      <c r="B41" s="91">
        <v>1</v>
      </c>
      <c r="C41" s="428" t="s">
        <v>578</v>
      </c>
      <c r="D41" s="428"/>
      <c r="E41" s="428"/>
      <c r="F41" s="428"/>
      <c r="G41" s="428"/>
      <c r="H41" s="428"/>
      <c r="I41" s="428"/>
      <c r="J41" s="428"/>
      <c r="K41" s="428"/>
      <c r="L41" s="428"/>
      <c r="M41" s="428"/>
      <c r="N41" s="428"/>
      <c r="O41" s="39"/>
      <c r="P41" s="54" t="s">
        <v>579</v>
      </c>
      <c r="Q41" s="50"/>
      <c r="R41" s="74"/>
      <c r="S41" s="83"/>
      <c r="T41" s="51"/>
      <c r="U41" s="51"/>
      <c r="V41" s="83"/>
      <c r="W41" s="51"/>
      <c r="X41" s="51"/>
      <c r="Y41" s="83"/>
    </row>
    <row r="42" spans="2:34" ht="14.25" customHeight="1" x14ac:dyDescent="0.25">
      <c r="B42" s="91">
        <v>1</v>
      </c>
      <c r="C42" s="428" t="s">
        <v>580</v>
      </c>
      <c r="D42" s="428"/>
      <c r="E42" s="428"/>
      <c r="F42" s="428"/>
      <c r="G42" s="428"/>
      <c r="H42" s="428"/>
      <c r="I42" s="428"/>
      <c r="J42" s="428"/>
      <c r="K42" s="428"/>
      <c r="L42" s="428"/>
      <c r="M42" s="428"/>
      <c r="N42" s="428"/>
      <c r="O42" s="39"/>
      <c r="P42" s="53" t="s">
        <v>559</v>
      </c>
      <c r="Q42" s="50"/>
      <c r="R42" s="74"/>
      <c r="S42" s="83"/>
      <c r="T42" s="51"/>
      <c r="U42" s="51"/>
      <c r="V42" s="83"/>
      <c r="W42" s="51"/>
      <c r="X42" s="51"/>
      <c r="Y42" s="83"/>
    </row>
    <row r="43" spans="2:34" ht="14.25" customHeight="1" x14ac:dyDescent="0.25">
      <c r="B43" s="91">
        <v>2</v>
      </c>
      <c r="C43" s="466" t="s">
        <v>581</v>
      </c>
      <c r="D43" s="466"/>
      <c r="E43" s="466"/>
      <c r="F43" s="466"/>
      <c r="G43" s="466"/>
      <c r="H43" s="466"/>
      <c r="I43" s="466"/>
      <c r="J43" s="466"/>
      <c r="K43" s="466"/>
      <c r="L43" s="466"/>
      <c r="M43" s="466"/>
      <c r="N43" s="466"/>
      <c r="O43" s="39"/>
      <c r="P43" s="53"/>
      <c r="Q43" s="50"/>
      <c r="R43" s="74"/>
      <c r="S43" s="83"/>
      <c r="T43" s="51"/>
      <c r="U43" s="51"/>
      <c r="V43" s="83"/>
      <c r="W43" s="51"/>
      <c r="X43" s="51"/>
      <c r="Y43" s="83"/>
    </row>
    <row r="44" spans="2:34" ht="14.25" customHeight="1" x14ac:dyDescent="0.25">
      <c r="B44" s="91">
        <v>3</v>
      </c>
      <c r="C44" s="428" t="s">
        <v>582</v>
      </c>
      <c r="D44" s="428"/>
      <c r="E44" s="428"/>
      <c r="F44" s="428"/>
      <c r="G44" s="428"/>
      <c r="H44" s="428"/>
      <c r="I44" s="428"/>
      <c r="J44" s="428"/>
      <c r="K44" s="428"/>
      <c r="L44" s="428"/>
      <c r="M44" s="428"/>
      <c r="N44" s="428"/>
      <c r="O44" s="39"/>
      <c r="P44" s="53" t="e">
        <f ca="1">CONCATENATE("vo ren -vs ",INDIRECT("'"&amp;$H$5&amp;"'!K7")," -vo root_vol -ne ",SUBSTITUTE(INDIRECT("'"&amp;$H$5&amp;"'!K7"),"-",""),"_root")</f>
        <v>#REF!</v>
      </c>
      <c r="Q44" s="50"/>
      <c r="R44" s="74"/>
      <c r="S44" s="83"/>
      <c r="T44" s="51"/>
      <c r="U44" s="51"/>
      <c r="V44" s="83"/>
      <c r="W44" s="51"/>
      <c r="X44" s="51"/>
      <c r="Y44" s="83"/>
    </row>
    <row r="45" spans="2:34" ht="14.25" customHeight="1" x14ac:dyDescent="0.25">
      <c r="B45" s="91">
        <v>4</v>
      </c>
      <c r="C45" s="428" t="s">
        <v>583</v>
      </c>
      <c r="D45" s="428"/>
      <c r="E45" s="428"/>
      <c r="F45" s="428"/>
      <c r="G45" s="428"/>
      <c r="H45" s="428"/>
      <c r="I45" s="428"/>
      <c r="J45" s="428"/>
      <c r="K45" s="428"/>
      <c r="L45" s="428"/>
      <c r="M45" s="428"/>
      <c r="N45" s="428"/>
      <c r="O45" s="39"/>
      <c r="P45" s="53" t="e">
        <f ca="1">CONCATENATE("vo mod -vs ",INDIRECT("'"&amp;$H$5&amp;"'!K7")," -vo ",SUBSTITUTE(INDIRECT("'"&amp;$H$5&amp;"'!K7"),"-",""),"_root -si 1GB")</f>
        <v>#REF!</v>
      </c>
      <c r="Q45" s="50"/>
      <c r="R45" s="74"/>
      <c r="S45" s="83"/>
      <c r="T45" s="51"/>
      <c r="U45" s="51"/>
      <c r="V45" s="83"/>
      <c r="W45" s="51"/>
      <c r="X45" s="51"/>
      <c r="Y45" s="83"/>
    </row>
    <row r="46" spans="2:34" ht="14.25" customHeight="1" x14ac:dyDescent="0.25">
      <c r="B46" s="91">
        <v>5</v>
      </c>
      <c r="C46" s="428" t="s">
        <v>584</v>
      </c>
      <c r="D46" s="428"/>
      <c r="E46" s="428"/>
      <c r="F46" s="428"/>
      <c r="G46" s="428"/>
      <c r="H46" s="428"/>
      <c r="I46" s="428"/>
      <c r="J46" s="428"/>
      <c r="K46" s="428"/>
      <c r="L46" s="428"/>
      <c r="M46" s="428"/>
      <c r="N46" s="428"/>
      <c r="O46" s="39"/>
      <c r="P46" s="53" t="e">
        <f ca="1">CONCATENATE("vo mod -vs ",INDIRECT("'"&amp;$H$5&amp;"'!K7")," -vo ",SUBSTITUTE(INDIRECT("'"&amp;$H$5&amp;"'!K7"),"-",""),"_root -un 755")</f>
        <v>#REF!</v>
      </c>
      <c r="Q46" s="50"/>
      <c r="R46" s="74"/>
      <c r="S46" s="83"/>
      <c r="T46" s="51"/>
      <c r="U46" s="51"/>
      <c r="V46" s="83"/>
      <c r="W46" s="51"/>
      <c r="X46" s="51"/>
      <c r="Y46" s="83"/>
    </row>
    <row r="47" spans="2:34" ht="14.25" customHeight="1" x14ac:dyDescent="0.25">
      <c r="B47" s="91"/>
      <c r="C47" s="428"/>
      <c r="D47" s="428"/>
      <c r="E47" s="428"/>
      <c r="F47" s="428"/>
      <c r="G47" s="428"/>
      <c r="H47" s="428"/>
      <c r="I47" s="428"/>
      <c r="J47" s="428"/>
      <c r="K47" s="428"/>
      <c r="L47" s="428"/>
      <c r="M47" s="428"/>
      <c r="N47" s="428"/>
      <c r="O47" s="39"/>
      <c r="P47" s="53"/>
      <c r="Q47" s="50"/>
      <c r="R47" s="74"/>
      <c r="S47" s="83"/>
      <c r="T47" s="51"/>
      <c r="U47" s="51"/>
      <c r="V47" s="83"/>
      <c r="W47" s="51"/>
      <c r="X47" s="51"/>
      <c r="Y47" s="83"/>
    </row>
    <row r="48" spans="2:34" ht="14.25" customHeight="1" x14ac:dyDescent="0.25">
      <c r="B48" s="91"/>
      <c r="C48" s="428"/>
      <c r="D48" s="428"/>
      <c r="E48" s="428"/>
      <c r="F48" s="428"/>
      <c r="G48" s="428"/>
      <c r="H48" s="428"/>
      <c r="I48" s="428"/>
      <c r="J48" s="428"/>
      <c r="K48" s="428"/>
      <c r="L48" s="428"/>
      <c r="M48" s="428"/>
      <c r="N48" s="428"/>
      <c r="O48" s="39"/>
      <c r="P48" s="53"/>
      <c r="Q48" s="50"/>
      <c r="R48" s="74"/>
      <c r="S48" s="83"/>
      <c r="T48" s="51"/>
      <c r="U48" s="51"/>
      <c r="V48" s="83"/>
      <c r="W48" s="51"/>
      <c r="X48" s="51"/>
      <c r="Y48" s="83"/>
    </row>
    <row r="49" spans="2:25" ht="14.25" customHeight="1" x14ac:dyDescent="0.25">
      <c r="B49" s="91"/>
      <c r="C49" s="428"/>
      <c r="D49" s="428"/>
      <c r="E49" s="428"/>
      <c r="F49" s="428"/>
      <c r="G49" s="428"/>
      <c r="H49" s="428"/>
      <c r="I49" s="428"/>
      <c r="J49" s="428"/>
      <c r="K49" s="428"/>
      <c r="L49" s="428"/>
      <c r="M49" s="428"/>
      <c r="N49" s="428"/>
      <c r="O49" s="39"/>
      <c r="P49" s="53"/>
      <c r="Q49" s="50"/>
      <c r="R49" s="74"/>
      <c r="S49" s="83"/>
      <c r="T49" s="51"/>
      <c r="U49" s="51"/>
      <c r="V49" s="83"/>
      <c r="W49" s="51"/>
      <c r="X49" s="51"/>
      <c r="Y49" s="83"/>
    </row>
    <row r="50" spans="2:25" ht="14.25" customHeight="1" x14ac:dyDescent="0.25">
      <c r="B50" s="91"/>
      <c r="C50" s="428"/>
      <c r="D50" s="428"/>
      <c r="E50" s="428"/>
      <c r="F50" s="428"/>
      <c r="G50" s="428"/>
      <c r="H50" s="428"/>
      <c r="I50" s="428"/>
      <c r="J50" s="428"/>
      <c r="K50" s="428"/>
      <c r="L50" s="428"/>
      <c r="M50" s="428"/>
      <c r="N50" s="428"/>
      <c r="O50" s="39"/>
      <c r="P50" s="53"/>
      <c r="Q50" s="50"/>
      <c r="R50" s="74"/>
      <c r="S50" s="83"/>
      <c r="T50" s="51"/>
      <c r="U50" s="51"/>
      <c r="V50" s="83"/>
      <c r="W50" s="51"/>
      <c r="X50" s="51"/>
      <c r="Y50" s="83"/>
    </row>
    <row r="51" spans="2:25" ht="14.25" customHeight="1" x14ac:dyDescent="0.25">
      <c r="B51" s="91"/>
      <c r="C51" s="428"/>
      <c r="D51" s="428"/>
      <c r="E51" s="428"/>
      <c r="F51" s="428"/>
      <c r="G51" s="428"/>
      <c r="H51" s="428"/>
      <c r="I51" s="428"/>
      <c r="J51" s="428"/>
      <c r="K51" s="428"/>
      <c r="L51" s="428"/>
      <c r="M51" s="428"/>
      <c r="N51" s="428"/>
      <c r="O51" s="39"/>
      <c r="P51" s="53"/>
      <c r="Q51" s="50"/>
      <c r="R51" s="74"/>
      <c r="S51" s="83"/>
      <c r="T51" s="51"/>
      <c r="U51" s="51"/>
      <c r="V51" s="83"/>
      <c r="W51" s="51"/>
      <c r="X51" s="51"/>
      <c r="Y51" s="83"/>
    </row>
    <row r="52" spans="2:25" ht="14.25" customHeight="1" x14ac:dyDescent="0.25">
      <c r="B52" s="91"/>
      <c r="C52" s="428"/>
      <c r="D52" s="428"/>
      <c r="E52" s="428"/>
      <c r="F52" s="428"/>
      <c r="G52" s="428"/>
      <c r="H52" s="428"/>
      <c r="I52" s="428"/>
      <c r="J52" s="428"/>
      <c r="K52" s="428"/>
      <c r="L52" s="428"/>
      <c r="M52" s="428"/>
      <c r="N52" s="428"/>
      <c r="O52" s="39"/>
      <c r="P52" s="53"/>
      <c r="Q52" s="50"/>
      <c r="R52" s="74"/>
      <c r="S52" s="83"/>
      <c r="T52" s="51"/>
      <c r="U52" s="51"/>
      <c r="V52" s="83"/>
      <c r="W52" s="51"/>
      <c r="X52" s="51"/>
      <c r="Y52" s="83"/>
    </row>
    <row r="53" spans="2:25" ht="14.25" customHeight="1" x14ac:dyDescent="0.25">
      <c r="B53" s="91"/>
      <c r="C53" s="428"/>
      <c r="D53" s="428"/>
      <c r="E53" s="428"/>
      <c r="F53" s="428"/>
      <c r="G53" s="428"/>
      <c r="H53" s="428"/>
      <c r="I53" s="428"/>
      <c r="J53" s="428"/>
      <c r="K53" s="428"/>
      <c r="L53" s="428"/>
      <c r="M53" s="428"/>
      <c r="N53" s="428"/>
      <c r="O53" s="39"/>
      <c r="P53" s="53"/>
      <c r="Q53" s="50"/>
      <c r="R53" s="74"/>
      <c r="S53" s="83"/>
      <c r="T53" s="51"/>
      <c r="U53" s="51"/>
      <c r="V53" s="83"/>
      <c r="W53" s="51"/>
      <c r="X53" s="51"/>
      <c r="Y53" s="83"/>
    </row>
    <row r="54" spans="2:25" ht="14.25" customHeight="1" x14ac:dyDescent="0.25">
      <c r="B54" s="91"/>
      <c r="C54" s="428"/>
      <c r="D54" s="428"/>
      <c r="E54" s="428"/>
      <c r="F54" s="428"/>
      <c r="G54" s="428"/>
      <c r="H54" s="428"/>
      <c r="I54" s="428"/>
      <c r="J54" s="428"/>
      <c r="K54" s="428"/>
      <c r="L54" s="428"/>
      <c r="M54" s="428"/>
      <c r="N54" s="428"/>
      <c r="O54" s="39"/>
      <c r="P54" s="53"/>
      <c r="Q54" s="50"/>
      <c r="R54" s="74"/>
      <c r="S54" s="83"/>
      <c r="T54" s="51"/>
      <c r="U54" s="51"/>
      <c r="V54" s="83"/>
      <c r="W54" s="51"/>
      <c r="X54" s="51"/>
      <c r="Y54" s="83"/>
    </row>
    <row r="55" spans="2:25" ht="14.25" customHeight="1" x14ac:dyDescent="0.25">
      <c r="B55" s="91"/>
      <c r="C55" s="428"/>
      <c r="D55" s="428"/>
      <c r="E55" s="428"/>
      <c r="F55" s="428"/>
      <c r="G55" s="428"/>
      <c r="H55" s="428"/>
      <c r="I55" s="428"/>
      <c r="J55" s="428"/>
      <c r="K55" s="428"/>
      <c r="L55" s="428"/>
      <c r="M55" s="428"/>
      <c r="N55" s="428"/>
      <c r="O55" s="39"/>
      <c r="P55" s="53"/>
      <c r="Q55" s="50"/>
      <c r="R55" s="74"/>
      <c r="S55" s="83"/>
      <c r="T55" s="51"/>
      <c r="U55" s="51"/>
      <c r="V55" s="83"/>
      <c r="W55" s="51"/>
      <c r="X55" s="51"/>
      <c r="Y55" s="83"/>
    </row>
    <row r="56" spans="2:25" ht="14.25" customHeight="1" x14ac:dyDescent="0.25">
      <c r="B56" s="91"/>
      <c r="C56" s="428"/>
      <c r="D56" s="428"/>
      <c r="E56" s="428"/>
      <c r="F56" s="428"/>
      <c r="G56" s="428"/>
      <c r="H56" s="428"/>
      <c r="I56" s="428"/>
      <c r="J56" s="428"/>
      <c r="K56" s="428"/>
      <c r="L56" s="428"/>
      <c r="M56" s="428"/>
      <c r="N56" s="428"/>
      <c r="O56" s="39"/>
      <c r="P56" s="53"/>
      <c r="Q56" s="50"/>
      <c r="R56" s="74"/>
      <c r="S56" s="83"/>
      <c r="T56" s="51"/>
      <c r="U56" s="51"/>
      <c r="V56" s="83"/>
      <c r="W56" s="51"/>
      <c r="X56" s="51"/>
      <c r="Y56" s="83"/>
    </row>
    <row r="57" spans="2:25" ht="14.25" customHeight="1" x14ac:dyDescent="0.25">
      <c r="B57" s="91"/>
      <c r="C57" s="428"/>
      <c r="D57" s="428"/>
      <c r="E57" s="428"/>
      <c r="F57" s="428"/>
      <c r="G57" s="428"/>
      <c r="H57" s="428"/>
      <c r="I57" s="428"/>
      <c r="J57" s="428"/>
      <c r="K57" s="428"/>
      <c r="L57" s="428"/>
      <c r="M57" s="428"/>
      <c r="N57" s="428"/>
      <c r="O57" s="39"/>
      <c r="P57" s="53"/>
      <c r="Q57" s="50"/>
      <c r="R57" s="74"/>
      <c r="S57" s="83"/>
      <c r="T57" s="51"/>
      <c r="U57" s="51"/>
      <c r="V57" s="83"/>
      <c r="W57" s="51"/>
      <c r="X57" s="51"/>
      <c r="Y57" s="83"/>
    </row>
    <row r="58" spans="2:25" ht="14.25" customHeight="1" x14ac:dyDescent="0.25">
      <c r="B58" s="91"/>
      <c r="C58" s="428"/>
      <c r="D58" s="428"/>
      <c r="E58" s="428"/>
      <c r="F58" s="428"/>
      <c r="G58" s="428"/>
      <c r="H58" s="428"/>
      <c r="I58" s="428"/>
      <c r="J58" s="428"/>
      <c r="K58" s="428"/>
      <c r="L58" s="428"/>
      <c r="M58" s="428"/>
      <c r="N58" s="428"/>
      <c r="O58" s="39"/>
      <c r="P58" s="53"/>
      <c r="Q58" s="50"/>
      <c r="R58" s="74"/>
      <c r="S58" s="83"/>
      <c r="T58" s="51"/>
      <c r="U58" s="51"/>
      <c r="V58" s="83"/>
      <c r="W58" s="51"/>
      <c r="X58" s="51"/>
      <c r="Y58" s="83"/>
    </row>
    <row r="59" spans="2:25" ht="14.25" customHeight="1" x14ac:dyDescent="0.25">
      <c r="B59" s="91"/>
      <c r="C59" s="428"/>
      <c r="D59" s="428"/>
      <c r="E59" s="428"/>
      <c r="F59" s="428"/>
      <c r="G59" s="428"/>
      <c r="H59" s="428"/>
      <c r="I59" s="428"/>
      <c r="J59" s="428"/>
      <c r="K59" s="428"/>
      <c r="L59" s="428"/>
      <c r="M59" s="428"/>
      <c r="N59" s="428"/>
      <c r="O59" s="39"/>
      <c r="P59" s="53"/>
      <c r="Q59" s="50"/>
      <c r="R59" s="74"/>
      <c r="S59" s="83"/>
      <c r="T59" s="51"/>
      <c r="U59" s="51"/>
      <c r="V59" s="83"/>
      <c r="W59" s="51"/>
      <c r="X59" s="51"/>
      <c r="Y59" s="83"/>
    </row>
    <row r="60" spans="2:25" ht="14.25" customHeight="1" x14ac:dyDescent="0.25">
      <c r="B60" s="91"/>
      <c r="C60" s="428"/>
      <c r="D60" s="428"/>
      <c r="E60" s="428"/>
      <c r="F60" s="428"/>
      <c r="G60" s="428"/>
      <c r="H60" s="428"/>
      <c r="I60" s="428"/>
      <c r="J60" s="428"/>
      <c r="K60" s="428"/>
      <c r="L60" s="428"/>
      <c r="M60" s="428"/>
      <c r="N60" s="428"/>
      <c r="O60" s="39"/>
      <c r="P60" s="53"/>
      <c r="Q60" s="50"/>
      <c r="R60" s="74"/>
      <c r="S60" s="83"/>
      <c r="T60" s="51"/>
      <c r="U60" s="51"/>
      <c r="V60" s="83"/>
      <c r="W60" s="51"/>
      <c r="X60" s="51"/>
      <c r="Y60" s="83"/>
    </row>
    <row r="61" spans="2:25" ht="14.25" customHeight="1" x14ac:dyDescent="0.25">
      <c r="B61" s="91"/>
      <c r="C61" s="428"/>
      <c r="D61" s="428"/>
      <c r="E61" s="428"/>
      <c r="F61" s="428"/>
      <c r="G61" s="428"/>
      <c r="H61" s="428"/>
      <c r="I61" s="428"/>
      <c r="J61" s="428"/>
      <c r="K61" s="428"/>
      <c r="L61" s="428"/>
      <c r="M61" s="428"/>
      <c r="N61" s="428"/>
      <c r="O61" s="39"/>
      <c r="P61" s="53"/>
      <c r="Q61" s="50"/>
      <c r="R61" s="74"/>
      <c r="S61" s="83"/>
      <c r="T61" s="51"/>
      <c r="U61" s="51"/>
      <c r="V61" s="83"/>
      <c r="W61" s="51"/>
      <c r="X61" s="51"/>
      <c r="Y61" s="83"/>
    </row>
    <row r="62" spans="2:25" ht="14.25" customHeight="1" x14ac:dyDescent="0.25">
      <c r="B62" s="91"/>
      <c r="C62" s="428"/>
      <c r="D62" s="428"/>
      <c r="E62" s="428"/>
      <c r="F62" s="428"/>
      <c r="G62" s="428"/>
      <c r="H62" s="428"/>
      <c r="I62" s="428"/>
      <c r="J62" s="428"/>
      <c r="K62" s="428"/>
      <c r="L62" s="428"/>
      <c r="M62" s="428"/>
      <c r="N62" s="428"/>
      <c r="O62" s="39"/>
      <c r="P62" s="53"/>
      <c r="Q62" s="50"/>
      <c r="R62" s="74"/>
      <c r="S62" s="83"/>
      <c r="T62" s="51"/>
      <c r="U62" s="51"/>
      <c r="V62" s="83"/>
      <c r="W62" s="51"/>
      <c r="X62" s="51"/>
      <c r="Y62" s="83"/>
    </row>
    <row r="63" spans="2:25" ht="14.25" customHeight="1" x14ac:dyDescent="0.25"/>
    <row r="64" spans="2:25" ht="14.25" customHeight="1" x14ac:dyDescent="0.25"/>
    <row r="65" ht="14.25" customHeight="1" x14ac:dyDescent="0.25"/>
    <row r="66" ht="14.25" customHeight="1" x14ac:dyDescent="0.25"/>
    <row r="67" ht="14.25" customHeight="1" x14ac:dyDescent="0.25"/>
  </sheetData>
  <mergeCells count="56">
    <mergeCell ref="H5:J5"/>
    <mergeCell ref="C19:N19"/>
    <mergeCell ref="C8:N8"/>
    <mergeCell ref="C9:N9"/>
    <mergeCell ref="C10:N10"/>
    <mergeCell ref="C11:N11"/>
    <mergeCell ref="C12:N12"/>
    <mergeCell ref="C13:N13"/>
    <mergeCell ref="C14:N14"/>
    <mergeCell ref="C15:N15"/>
    <mergeCell ref="C16:N16"/>
    <mergeCell ref="C17:N17"/>
    <mergeCell ref="C18:N18"/>
    <mergeCell ref="C31:N31"/>
    <mergeCell ref="C20:N20"/>
    <mergeCell ref="C21:N21"/>
    <mergeCell ref="C22:N22"/>
    <mergeCell ref="C23:N23"/>
    <mergeCell ref="C24:N24"/>
    <mergeCell ref="C25:N25"/>
    <mergeCell ref="C26:N26"/>
    <mergeCell ref="C27:N27"/>
    <mergeCell ref="C28:N28"/>
    <mergeCell ref="C29:N29"/>
    <mergeCell ref="C30:N30"/>
    <mergeCell ref="C41:N41"/>
    <mergeCell ref="C32:N32"/>
    <mergeCell ref="C33:N33"/>
    <mergeCell ref="C34:N34"/>
    <mergeCell ref="C35:N35"/>
    <mergeCell ref="C36:N36"/>
    <mergeCell ref="C37:N37"/>
    <mergeCell ref="C38:N38"/>
    <mergeCell ref="C39:N39"/>
    <mergeCell ref="C40:N40"/>
    <mergeCell ref="C53:N53"/>
    <mergeCell ref="C42:N42"/>
    <mergeCell ref="C43:N43"/>
    <mergeCell ref="C44:N44"/>
    <mergeCell ref="C45:N45"/>
    <mergeCell ref="C46:N46"/>
    <mergeCell ref="C47:N47"/>
    <mergeCell ref="C48:N48"/>
    <mergeCell ref="C49:N49"/>
    <mergeCell ref="C50:N50"/>
    <mergeCell ref="C51:N51"/>
    <mergeCell ref="C52:N52"/>
    <mergeCell ref="C60:N60"/>
    <mergeCell ref="C61:N61"/>
    <mergeCell ref="C62:N62"/>
    <mergeCell ref="C54:N54"/>
    <mergeCell ref="C55:N55"/>
    <mergeCell ref="C56:N56"/>
    <mergeCell ref="C57:N57"/>
    <mergeCell ref="C58:N58"/>
    <mergeCell ref="C59:N59"/>
  </mergeCells>
  <pageMargins left="0.7" right="0.7" top="0.75" bottom="0.75" header="0.3" footer="0.3"/>
  <pageSetup orientation="portrait"/>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7030A0"/>
  </sheetPr>
  <dimension ref="A2:AH67"/>
  <sheetViews>
    <sheetView workbookViewId="0">
      <pane ySplit="4" topLeftCell="A5" activePane="bottomLeft" state="frozen"/>
      <selection pane="bottomLeft" activeCell="P16" sqref="P16"/>
    </sheetView>
  </sheetViews>
  <sheetFormatPr defaultColWidth="7.140625" defaultRowHeight="10.5" x14ac:dyDescent="0.25"/>
  <cols>
    <col min="1" max="1" width="1.42578125" style="35" customWidth="1"/>
    <col min="2" max="15" width="7.140625" style="35"/>
    <col min="16" max="16" width="48.42578125" style="35" customWidth="1"/>
    <col min="17" max="17" width="2.28515625" style="35" customWidth="1"/>
    <col min="18" max="18" width="1.42578125" style="35" customWidth="1"/>
    <col min="19" max="19" width="48.42578125" style="35" customWidth="1"/>
    <col min="20" max="20" width="2.28515625" style="35" customWidth="1"/>
    <col min="21" max="21" width="1.42578125" style="35" customWidth="1"/>
    <col min="22" max="22" width="48.42578125" style="35" customWidth="1"/>
    <col min="23" max="23" width="2.28515625" style="35" customWidth="1"/>
    <col min="24" max="24" width="1.42578125" style="35" customWidth="1"/>
    <col min="25" max="25" width="48.42578125" style="35" customWidth="1"/>
    <col min="26" max="26" width="2.28515625" style="35" customWidth="1"/>
    <col min="27" max="27" width="1.42578125" style="35" customWidth="1"/>
    <col min="28" max="28" width="48.42578125" style="35" customWidth="1"/>
    <col min="29" max="29" width="2.28515625" style="35" customWidth="1"/>
    <col min="30" max="30" width="1.42578125" style="35" customWidth="1"/>
    <col min="31" max="31" width="48.42578125" style="35" customWidth="1"/>
    <col min="32" max="32" width="2.28515625" style="35" customWidth="1"/>
    <col min="33" max="33" width="1.42578125" style="35" customWidth="1"/>
    <col min="34" max="34" width="48.42578125" style="35" customWidth="1"/>
    <col min="35" max="16384" width="7.140625" style="35"/>
  </cols>
  <sheetData>
    <row r="2" spans="1:27" ht="30.75" customHeight="1" x14ac:dyDescent="0.25">
      <c r="A2" s="2" t="s">
        <v>1</v>
      </c>
      <c r="B2"/>
      <c r="R2" s="1" t="s">
        <v>585</v>
      </c>
      <c r="U2" s="1"/>
      <c r="X2" s="1" t="s">
        <v>237</v>
      </c>
    </row>
    <row r="3" spans="1:27" ht="9" customHeight="1" x14ac:dyDescent="0.25"/>
    <row r="4" spans="1:27" ht="15.75" thickBot="1" x14ac:dyDescent="0.3">
      <c r="A4" s="5"/>
      <c r="AA4" s="35" t="s">
        <v>0</v>
      </c>
    </row>
    <row r="5" spans="1:27" ht="15.75" thickBot="1" x14ac:dyDescent="0.3">
      <c r="A5" s="5"/>
      <c r="F5" s="11"/>
      <c r="G5" s="94" t="s">
        <v>548</v>
      </c>
      <c r="H5" s="471" t="s">
        <v>915</v>
      </c>
      <c r="I5" s="464"/>
      <c r="J5" s="472"/>
    </row>
    <row r="6" spans="1:27" ht="14.25" customHeight="1" x14ac:dyDescent="0.25">
      <c r="B6" s="4" t="s">
        <v>547</v>
      </c>
      <c r="P6" s="63" t="s">
        <v>357</v>
      </c>
    </row>
    <row r="7" spans="1:27" ht="6" customHeight="1" x14ac:dyDescent="0.25">
      <c r="B7" s="4"/>
      <c r="G7" s="6"/>
    </row>
    <row r="8" spans="1:27" ht="14.25" customHeight="1" x14ac:dyDescent="0.25">
      <c r="B8" s="6" t="s">
        <v>266</v>
      </c>
      <c r="C8" s="429" t="s">
        <v>239</v>
      </c>
      <c r="D8" s="429"/>
      <c r="E8" s="429"/>
      <c r="F8" s="429"/>
      <c r="G8" s="429"/>
      <c r="H8" s="429"/>
      <c r="I8" s="429"/>
      <c r="J8" s="429"/>
      <c r="K8" s="429"/>
      <c r="L8" s="429"/>
      <c r="M8" s="429"/>
      <c r="N8" s="429"/>
      <c r="O8" s="6"/>
      <c r="P8" s="175" t="s">
        <v>546</v>
      </c>
      <c r="Q8" s="73"/>
      <c r="S8" s="83"/>
      <c r="T8" s="83"/>
      <c r="U8" s="83"/>
      <c r="V8" s="83"/>
      <c r="W8" s="83"/>
      <c r="X8" s="83"/>
      <c r="Y8" s="83"/>
    </row>
    <row r="9" spans="1:27" ht="14.25" customHeight="1" x14ac:dyDescent="0.25">
      <c r="B9" s="171">
        <v>1</v>
      </c>
      <c r="C9" s="428" t="s">
        <v>544</v>
      </c>
      <c r="D9" s="428"/>
      <c r="E9" s="428"/>
      <c r="F9" s="428"/>
      <c r="G9" s="428"/>
      <c r="H9" s="428"/>
      <c r="I9" s="428"/>
      <c r="J9" s="428"/>
      <c r="K9" s="428"/>
      <c r="L9" s="428"/>
      <c r="M9" s="428"/>
      <c r="N9" s="428"/>
      <c r="O9" s="39"/>
      <c r="P9" s="52" t="s">
        <v>545</v>
      </c>
      <c r="Q9" s="50"/>
      <c r="R9" s="174"/>
      <c r="S9" s="83"/>
      <c r="T9" s="51"/>
      <c r="U9" s="51"/>
      <c r="V9" s="83"/>
      <c r="W9" s="51"/>
      <c r="X9" s="51"/>
      <c r="Y9" s="83"/>
    </row>
    <row r="10" spans="1:27" ht="14.25" customHeight="1" x14ac:dyDescent="0.25">
      <c r="B10" s="171">
        <v>1</v>
      </c>
      <c r="C10" s="428" t="s">
        <v>549</v>
      </c>
      <c r="D10" s="428"/>
      <c r="E10" s="428"/>
      <c r="F10" s="428"/>
      <c r="G10" s="428"/>
      <c r="H10" s="428"/>
      <c r="I10" s="428"/>
      <c r="J10" s="428"/>
      <c r="K10" s="428"/>
      <c r="L10" s="428"/>
      <c r="M10" s="428"/>
      <c r="N10" s="428"/>
      <c r="O10" s="39"/>
      <c r="P10" s="53" t="e">
        <f ca="1">INDIRECT("'"&amp;H5&amp;"'!K7")</f>
        <v>#REF!</v>
      </c>
      <c r="Q10" s="50"/>
      <c r="R10" s="174"/>
      <c r="S10" s="83"/>
      <c r="T10" s="51"/>
      <c r="U10" s="51"/>
      <c r="V10" s="83"/>
      <c r="W10" s="51"/>
      <c r="X10" s="51"/>
      <c r="Y10" s="83"/>
    </row>
    <row r="11" spans="1:27" ht="14.25" customHeight="1" x14ac:dyDescent="0.25">
      <c r="B11" s="171">
        <v>1</v>
      </c>
      <c r="C11" s="428" t="s">
        <v>550</v>
      </c>
      <c r="D11" s="428"/>
      <c r="E11" s="428"/>
      <c r="F11" s="428"/>
      <c r="G11" s="428"/>
      <c r="H11" s="428"/>
      <c r="I11" s="428"/>
      <c r="J11" s="428"/>
      <c r="K11" s="428"/>
      <c r="L11" s="428"/>
      <c r="M11" s="428"/>
      <c r="N11" s="428"/>
      <c r="O11" s="39"/>
      <c r="P11" s="53" t="e">
        <f ca="1">CONCATENATE(IF(INDIRECT("'"&amp;H5&amp;"'!G12")="Yes","CIFS,",""),IF(INDIRECT("'"&amp;H5&amp;"'!I12")="Yes","NFS,",""),IF(INDIRECT("'"&amp;H5&amp;"'!K12")="Yes","FCP,",""),IF(INDIRECT("'"&amp;H5&amp;"'!M12")="Yes","iSCSI,",""))</f>
        <v>#REF!</v>
      </c>
      <c r="Q11" s="50"/>
      <c r="R11" s="174"/>
      <c r="S11" s="83"/>
      <c r="T11" s="51"/>
      <c r="U11" s="51"/>
      <c r="V11" s="83"/>
      <c r="W11" s="51"/>
      <c r="X11" s="51"/>
      <c r="Y11" s="83"/>
    </row>
    <row r="12" spans="1:27" ht="14.25" customHeight="1" x14ac:dyDescent="0.25">
      <c r="B12" s="171">
        <v>1</v>
      </c>
      <c r="C12" s="428" t="s">
        <v>551</v>
      </c>
      <c r="D12" s="428"/>
      <c r="E12" s="428"/>
      <c r="F12" s="428"/>
      <c r="G12" s="428"/>
      <c r="H12" s="428"/>
      <c r="I12" s="428"/>
      <c r="J12" s="428"/>
      <c r="K12" s="428"/>
      <c r="L12" s="428"/>
      <c r="M12" s="428"/>
      <c r="N12" s="428"/>
      <c r="O12" s="39"/>
      <c r="P12" s="53" t="s">
        <v>552</v>
      </c>
      <c r="Q12" s="50"/>
      <c r="R12" s="174"/>
      <c r="S12" s="83"/>
      <c r="T12" s="51"/>
      <c r="U12" s="51"/>
      <c r="V12" s="83"/>
      <c r="W12" s="51"/>
      <c r="X12" s="51"/>
      <c r="Y12" s="83"/>
    </row>
    <row r="13" spans="1:27" ht="14.25" customHeight="1" x14ac:dyDescent="0.25">
      <c r="B13" s="171">
        <v>1</v>
      </c>
      <c r="C13" s="428" t="s">
        <v>553</v>
      </c>
      <c r="D13" s="428"/>
      <c r="E13" s="428"/>
      <c r="F13" s="428"/>
      <c r="G13" s="428"/>
      <c r="H13" s="428"/>
      <c r="I13" s="428"/>
      <c r="J13" s="428"/>
      <c r="K13" s="428"/>
      <c r="L13" s="428"/>
      <c r="M13" s="428"/>
      <c r="N13" s="428"/>
      <c r="O13" s="39"/>
      <c r="P13" s="53" t="e">
        <f ca="1">INDIRECT("'"&amp;H5&amp;"'!F14")</f>
        <v>#REF!</v>
      </c>
      <c r="Q13" s="50"/>
      <c r="R13" s="174"/>
      <c r="S13" s="83"/>
      <c r="T13" s="51"/>
      <c r="U13" s="51"/>
      <c r="V13" s="83"/>
      <c r="W13" s="51"/>
      <c r="X13" s="51"/>
      <c r="Y13" s="83"/>
    </row>
    <row r="14" spans="1:27" ht="14.25" customHeight="1" x14ac:dyDescent="0.25">
      <c r="B14" s="171">
        <v>1</v>
      </c>
      <c r="C14" s="428" t="s">
        <v>554</v>
      </c>
      <c r="D14" s="428"/>
      <c r="E14" s="428"/>
      <c r="F14" s="428"/>
      <c r="G14" s="428"/>
      <c r="H14" s="428"/>
      <c r="I14" s="428"/>
      <c r="J14" s="428"/>
      <c r="K14" s="428"/>
      <c r="L14" s="428"/>
      <c r="M14" s="428"/>
      <c r="N14" s="428"/>
      <c r="O14" s="39"/>
      <c r="P14" s="53" t="s">
        <v>555</v>
      </c>
      <c r="Q14" s="50"/>
      <c r="R14" s="174"/>
      <c r="S14" s="83"/>
      <c r="T14" s="51"/>
      <c r="U14" s="51"/>
      <c r="V14" s="83"/>
      <c r="W14" s="51"/>
      <c r="X14" s="51"/>
      <c r="Y14" s="83"/>
    </row>
    <row r="15" spans="1:27" ht="14.25" customHeight="1" x14ac:dyDescent="0.25">
      <c r="B15" s="171">
        <v>1</v>
      </c>
      <c r="C15" s="428" t="s">
        <v>556</v>
      </c>
      <c r="D15" s="428"/>
      <c r="E15" s="428"/>
      <c r="F15" s="428"/>
      <c r="G15" s="428"/>
      <c r="H15" s="428"/>
      <c r="I15" s="428"/>
      <c r="J15" s="428"/>
      <c r="K15" s="428"/>
      <c r="L15" s="428"/>
      <c r="M15" s="428"/>
      <c r="N15" s="428"/>
      <c r="O15" s="39"/>
      <c r="P15" s="53" t="s">
        <v>919</v>
      </c>
      <c r="Q15" s="50"/>
      <c r="R15" s="174"/>
      <c r="S15" s="83"/>
      <c r="T15" s="51"/>
      <c r="U15" s="51"/>
      <c r="V15" s="83"/>
      <c r="W15" s="51"/>
      <c r="X15" s="51"/>
      <c r="Y15" s="83"/>
    </row>
    <row r="16" spans="1:27" ht="14.25" customHeight="1" x14ac:dyDescent="0.25">
      <c r="B16" s="171">
        <v>1</v>
      </c>
      <c r="C16" s="428" t="s">
        <v>558</v>
      </c>
      <c r="D16" s="428"/>
      <c r="E16" s="428"/>
      <c r="F16" s="428"/>
      <c r="G16" s="428"/>
      <c r="H16" s="428"/>
      <c r="I16" s="428"/>
      <c r="J16" s="428"/>
      <c r="K16" s="428"/>
      <c r="L16" s="428"/>
      <c r="M16" s="428"/>
      <c r="N16" s="428"/>
      <c r="O16" s="39"/>
      <c r="P16" s="53" t="s">
        <v>559</v>
      </c>
      <c r="Q16" s="50"/>
      <c r="R16" s="174"/>
      <c r="S16" s="83"/>
      <c r="T16" s="51"/>
      <c r="U16" s="51"/>
      <c r="V16" s="83"/>
      <c r="W16" s="51"/>
      <c r="X16" s="51"/>
      <c r="Y16" s="83"/>
    </row>
    <row r="17" spans="2:34" ht="14.25" customHeight="1" x14ac:dyDescent="0.25">
      <c r="B17" s="171">
        <v>1</v>
      </c>
      <c r="C17" s="428" t="s">
        <v>560</v>
      </c>
      <c r="D17" s="428"/>
      <c r="E17" s="428"/>
      <c r="F17" s="428"/>
      <c r="G17" s="428"/>
      <c r="H17" s="428"/>
      <c r="I17" s="428"/>
      <c r="J17" s="428"/>
      <c r="K17" s="428"/>
      <c r="L17" s="428"/>
      <c r="M17" s="428"/>
      <c r="N17" s="428"/>
      <c r="O17" s="39"/>
      <c r="P17" s="53" t="s">
        <v>341</v>
      </c>
      <c r="Q17" s="50"/>
      <c r="R17" s="174"/>
      <c r="S17" s="83"/>
      <c r="T17" s="51"/>
      <c r="U17" s="51"/>
      <c r="V17" s="83"/>
      <c r="W17" s="51"/>
      <c r="X17" s="51"/>
      <c r="Y17" s="83"/>
    </row>
    <row r="18" spans="2:34" ht="14.25" customHeight="1" x14ac:dyDescent="0.25">
      <c r="B18" s="171">
        <v>1</v>
      </c>
      <c r="C18" s="428" t="s">
        <v>561</v>
      </c>
      <c r="D18" s="428"/>
      <c r="E18" s="428"/>
      <c r="F18" s="428"/>
      <c r="G18" s="428"/>
      <c r="H18" s="428"/>
      <c r="I18" s="428"/>
      <c r="J18" s="428"/>
      <c r="K18" s="428"/>
      <c r="L18" s="428"/>
      <c r="M18" s="428"/>
      <c r="N18" s="428"/>
      <c r="O18" s="39"/>
      <c r="P18" s="53" t="e">
        <f ca="1">INDIRECT("'"&amp;$H$5&amp;"'!$M$33")</f>
        <v>#REF!</v>
      </c>
      <c r="Q18" s="50"/>
      <c r="R18" s="174"/>
      <c r="S18" s="83"/>
      <c r="T18" s="51"/>
      <c r="U18" s="51"/>
      <c r="V18" s="83"/>
      <c r="W18" s="51"/>
      <c r="X18" s="51"/>
      <c r="Y18" s="83"/>
    </row>
    <row r="19" spans="2:34" ht="14.25" customHeight="1" x14ac:dyDescent="0.25">
      <c r="B19" s="171">
        <v>1</v>
      </c>
      <c r="C19" s="428" t="s">
        <v>562</v>
      </c>
      <c r="D19" s="428"/>
      <c r="E19" s="428"/>
      <c r="F19" s="428"/>
      <c r="G19" s="428"/>
      <c r="H19" s="428"/>
      <c r="I19" s="428"/>
      <c r="J19" s="428"/>
      <c r="K19" s="428"/>
      <c r="L19" s="428"/>
      <c r="M19" s="428"/>
      <c r="N19" s="428"/>
      <c r="O19" s="39"/>
      <c r="P19" s="53" t="s">
        <v>563</v>
      </c>
      <c r="Q19" s="50"/>
      <c r="R19" s="174"/>
      <c r="S19" s="83"/>
      <c r="T19" s="51"/>
      <c r="U19" s="51"/>
      <c r="V19" s="83"/>
      <c r="W19" s="51"/>
      <c r="X19" s="51"/>
      <c r="Y19" s="83"/>
    </row>
    <row r="20" spans="2:34" ht="14.25" customHeight="1" x14ac:dyDescent="0.25">
      <c r="B20" s="171">
        <v>1</v>
      </c>
      <c r="C20" s="428" t="s">
        <v>564</v>
      </c>
      <c r="D20" s="428"/>
      <c r="E20" s="428"/>
      <c r="F20" s="428"/>
      <c r="G20" s="428"/>
      <c r="H20" s="428"/>
      <c r="I20" s="428"/>
      <c r="J20" s="428"/>
      <c r="K20" s="428"/>
      <c r="L20" s="428"/>
      <c r="M20" s="428"/>
      <c r="N20" s="428"/>
      <c r="O20" s="39"/>
      <c r="P20" s="53" t="e">
        <f ca="1">INDIRECT("'"&amp;$H$5&amp;"'!$Q$33")</f>
        <v>#REF!</v>
      </c>
      <c r="Q20" s="50"/>
      <c r="R20" s="174"/>
      <c r="S20" s="83"/>
      <c r="T20" s="51"/>
      <c r="U20" s="51"/>
      <c r="V20" s="83"/>
      <c r="W20" s="51"/>
      <c r="X20" s="51"/>
      <c r="Y20" s="83"/>
    </row>
    <row r="21" spans="2:34" ht="14.25" customHeight="1" x14ac:dyDescent="0.25">
      <c r="B21" s="171">
        <v>1</v>
      </c>
      <c r="C21" s="428" t="s">
        <v>565</v>
      </c>
      <c r="D21" s="428"/>
      <c r="E21" s="428"/>
      <c r="F21" s="428"/>
      <c r="G21" s="428"/>
      <c r="H21" s="428"/>
      <c r="I21" s="428"/>
      <c r="J21" s="428"/>
      <c r="K21" s="428"/>
      <c r="L21" s="428"/>
      <c r="M21" s="428"/>
      <c r="N21" s="428"/>
      <c r="O21" s="39"/>
      <c r="P21" s="53" t="e">
        <f ca="1">INDIRECT("'"&amp;$H$5&amp;"'!$T$33")</f>
        <v>#REF!</v>
      </c>
      <c r="Q21" s="50"/>
      <c r="R21" s="174"/>
      <c r="S21" s="83"/>
      <c r="T21" s="51"/>
      <c r="U21" s="51"/>
      <c r="V21" s="83"/>
      <c r="W21" s="51"/>
      <c r="X21" s="51"/>
      <c r="Y21" s="83"/>
    </row>
    <row r="22" spans="2:34" ht="14.25" customHeight="1" x14ac:dyDescent="0.25">
      <c r="B22" s="171">
        <v>1</v>
      </c>
      <c r="C22" s="428" t="s">
        <v>566</v>
      </c>
      <c r="D22" s="428"/>
      <c r="E22" s="428"/>
      <c r="F22" s="428"/>
      <c r="G22" s="428"/>
      <c r="H22" s="428"/>
      <c r="I22" s="428"/>
      <c r="J22" s="428"/>
      <c r="K22" s="428"/>
      <c r="L22" s="428"/>
      <c r="M22" s="428"/>
      <c r="N22" s="428"/>
      <c r="O22" s="39"/>
      <c r="P22" s="53" t="e">
        <f ca="1">INDIRECT("'"&amp;$H$5&amp;"'!$J$33")</f>
        <v>#REF!</v>
      </c>
      <c r="Q22" s="50"/>
      <c r="R22" s="174"/>
      <c r="S22" s="83"/>
      <c r="T22" s="51"/>
      <c r="U22" s="51"/>
      <c r="V22" s="83"/>
      <c r="W22" s="51"/>
      <c r="X22" s="51"/>
      <c r="Y22" s="83"/>
    </row>
    <row r="23" spans="2:34" ht="14.25" customHeight="1" x14ac:dyDescent="0.25">
      <c r="B23" s="171">
        <v>1</v>
      </c>
      <c r="C23" s="428" t="s">
        <v>567</v>
      </c>
      <c r="D23" s="428"/>
      <c r="E23" s="428"/>
      <c r="F23" s="428"/>
      <c r="G23" s="428"/>
      <c r="H23" s="428"/>
      <c r="I23" s="428"/>
      <c r="J23" s="428"/>
      <c r="K23" s="428"/>
      <c r="L23" s="428"/>
      <c r="M23" s="428"/>
      <c r="N23" s="428"/>
      <c r="O23" s="39"/>
      <c r="P23" s="53" t="e">
        <f ca="1">INDIRECT("'"&amp;$H$5&amp;"'!$K$28")</f>
        <v>#REF!</v>
      </c>
      <c r="Q23" s="50"/>
      <c r="R23" s="174"/>
      <c r="S23" s="67" t="s">
        <v>866</v>
      </c>
      <c r="T23" s="51"/>
      <c r="U23" s="51"/>
      <c r="V23" s="83"/>
      <c r="W23" s="51"/>
      <c r="X23" s="51"/>
      <c r="Y23" s="83"/>
    </row>
    <row r="24" spans="2:34" ht="14.25" customHeight="1" x14ac:dyDescent="0.25">
      <c r="B24" s="171">
        <v>1</v>
      </c>
      <c r="C24" s="428" t="s">
        <v>568</v>
      </c>
      <c r="D24" s="428"/>
      <c r="E24" s="428"/>
      <c r="F24" s="428"/>
      <c r="G24" s="428"/>
      <c r="H24" s="428"/>
      <c r="I24" s="428"/>
      <c r="J24" s="428"/>
      <c r="K24" s="428"/>
      <c r="L24" s="428"/>
      <c r="M24" s="428"/>
      <c r="N24" s="428"/>
      <c r="O24" s="39"/>
      <c r="P24" s="53" t="e">
        <f ca="1">INDIRECT("'"&amp;$H$5&amp;"'!$K$27")</f>
        <v>#REF!</v>
      </c>
      <c r="Q24" s="50"/>
      <c r="R24" s="174"/>
      <c r="S24" s="83"/>
      <c r="T24" s="51"/>
      <c r="U24" s="51"/>
      <c r="V24" s="83"/>
      <c r="W24" s="51"/>
      <c r="X24" s="51"/>
      <c r="Y24" s="83"/>
    </row>
    <row r="25" spans="2:34" ht="14.25" customHeight="1" x14ac:dyDescent="0.25">
      <c r="B25" s="171">
        <v>1</v>
      </c>
      <c r="C25" s="428" t="s">
        <v>569</v>
      </c>
      <c r="D25" s="428"/>
      <c r="E25" s="428"/>
      <c r="F25" s="428"/>
      <c r="G25" s="428"/>
      <c r="H25" s="428"/>
      <c r="I25" s="428"/>
      <c r="J25" s="428"/>
      <c r="K25" s="428"/>
      <c r="L25" s="428"/>
      <c r="M25" s="428"/>
      <c r="N25" s="428"/>
      <c r="O25" s="39"/>
      <c r="P25" s="53" t="s">
        <v>341</v>
      </c>
      <c r="Q25" s="50"/>
      <c r="R25" s="174"/>
      <c r="S25" s="35" t="e">
        <f ca="1">IF(S26&lt;&gt;"","yes","no")</f>
        <v>#REF!</v>
      </c>
      <c r="T25" s="50"/>
      <c r="U25" s="174"/>
      <c r="V25" s="35" t="e">
        <f ca="1">IF(V26&lt;&gt;"","yes","no")</f>
        <v>#REF!</v>
      </c>
      <c r="W25" s="50"/>
      <c r="X25" s="174"/>
      <c r="Y25" s="35" t="e">
        <f ca="1">IF(Y26&lt;&gt;"","yes","no")</f>
        <v>#REF!</v>
      </c>
      <c r="Z25" s="50"/>
      <c r="AA25" s="174"/>
      <c r="AB25" s="35" t="e">
        <f ca="1">IF(AB26&lt;&gt;"","yes","no")</f>
        <v>#REF!</v>
      </c>
      <c r="AC25" s="50"/>
      <c r="AD25" s="174"/>
      <c r="AE25" s="35" t="e">
        <f ca="1">IF(AE26&lt;&gt;"","yes","no")</f>
        <v>#REF!</v>
      </c>
      <c r="AF25" s="50"/>
      <c r="AG25" s="174"/>
      <c r="AH25" s="35" t="e">
        <f ca="1">IF(AH26&lt;&gt;"","yes","no")</f>
        <v>#REF!</v>
      </c>
    </row>
    <row r="26" spans="2:34" ht="14.25" customHeight="1" x14ac:dyDescent="0.25">
      <c r="B26" s="171">
        <v>1</v>
      </c>
      <c r="C26" s="428" t="s">
        <v>570</v>
      </c>
      <c r="D26" s="428"/>
      <c r="E26" s="428"/>
      <c r="F26" s="428"/>
      <c r="G26" s="428"/>
      <c r="H26" s="428"/>
      <c r="I26" s="428"/>
      <c r="J26" s="428"/>
      <c r="K26" s="428"/>
      <c r="L26" s="428"/>
      <c r="M26" s="428"/>
      <c r="N26" s="428"/>
      <c r="O26" s="39"/>
      <c r="P26" s="53" t="e">
        <f ca="1">INDIRECT("'"&amp;$H$5&amp;"'!$M$34")</f>
        <v>#REF!</v>
      </c>
      <c r="Q26" s="50"/>
      <c r="R26" s="174"/>
      <c r="S26" s="53" t="e">
        <f ca="1">INDIRECT("'"&amp;$H$5&amp;"'!$M$35")</f>
        <v>#REF!</v>
      </c>
      <c r="T26" s="50"/>
      <c r="U26" s="174"/>
      <c r="V26" s="53" t="e">
        <f ca="1">INDIRECT("'"&amp;$H$5&amp;"'!$M$36")</f>
        <v>#REF!</v>
      </c>
      <c r="W26" s="50"/>
      <c r="X26" s="174"/>
      <c r="Y26" s="53" t="e">
        <f ca="1">INDIRECT("'"&amp;$H$5&amp;"'!$M$37")</f>
        <v>#REF!</v>
      </c>
      <c r="Z26" s="50"/>
      <c r="AA26" s="174"/>
      <c r="AB26" s="53" t="e">
        <f ca="1">INDIRECT("'"&amp;$H$5&amp;"'!$M$38")</f>
        <v>#REF!</v>
      </c>
      <c r="AC26" s="50"/>
      <c r="AD26" s="174"/>
      <c r="AE26" s="53" t="e">
        <f ca="1">INDIRECT("'"&amp;$H$5&amp;"'!$M$39")</f>
        <v>#REF!</v>
      </c>
      <c r="AF26" s="50"/>
      <c r="AG26" s="174"/>
      <c r="AH26" s="53" t="e">
        <f ca="1">INDIRECT("'"&amp;$H$5&amp;"'!$M$40")</f>
        <v>#REF!</v>
      </c>
    </row>
    <row r="27" spans="2:34" ht="14.25" customHeight="1" x14ac:dyDescent="0.25">
      <c r="B27" s="171">
        <v>1</v>
      </c>
      <c r="C27" s="428" t="s">
        <v>562</v>
      </c>
      <c r="D27" s="428"/>
      <c r="E27" s="428"/>
      <c r="F27" s="428"/>
      <c r="G27" s="428"/>
      <c r="H27" s="428"/>
      <c r="I27" s="428"/>
      <c r="J27" s="428"/>
      <c r="K27" s="428"/>
      <c r="L27" s="428"/>
      <c r="M27" s="428"/>
      <c r="N27" s="428"/>
      <c r="O27" s="39"/>
      <c r="P27" s="53" t="s">
        <v>563</v>
      </c>
      <c r="Q27" s="50"/>
      <c r="R27" s="174"/>
      <c r="S27" s="53" t="s">
        <v>563</v>
      </c>
      <c r="T27" s="50"/>
      <c r="U27" s="174"/>
      <c r="V27" s="53" t="s">
        <v>563</v>
      </c>
      <c r="W27" s="50"/>
      <c r="X27" s="174"/>
      <c r="Y27" s="53" t="s">
        <v>563</v>
      </c>
      <c r="Z27" s="50"/>
      <c r="AA27" s="174"/>
      <c r="AB27" s="53" t="s">
        <v>563</v>
      </c>
      <c r="AC27" s="50"/>
      <c r="AD27" s="174"/>
      <c r="AE27" s="53" t="s">
        <v>563</v>
      </c>
      <c r="AF27" s="50"/>
      <c r="AG27" s="174"/>
      <c r="AH27" s="53" t="s">
        <v>563</v>
      </c>
    </row>
    <row r="28" spans="2:34" ht="14.25" customHeight="1" x14ac:dyDescent="0.25">
      <c r="B28" s="171">
        <v>1</v>
      </c>
      <c r="C28" s="428" t="s">
        <v>564</v>
      </c>
      <c r="D28" s="428"/>
      <c r="E28" s="428"/>
      <c r="F28" s="428"/>
      <c r="G28" s="428"/>
      <c r="H28" s="428"/>
      <c r="I28" s="428"/>
      <c r="J28" s="428"/>
      <c r="K28" s="428"/>
      <c r="L28" s="428"/>
      <c r="M28" s="428"/>
      <c r="N28" s="428"/>
      <c r="O28" s="39"/>
      <c r="P28" s="53" t="e">
        <f ca="1">INDIRECT("'"&amp;$H$5&amp;"'!$Q$34")</f>
        <v>#REF!</v>
      </c>
      <c r="Q28" s="50"/>
      <c r="R28" s="174"/>
      <c r="S28" s="53" t="e">
        <f ca="1">INDIRECT("'"&amp;$H$5&amp;"'!$Q$35")</f>
        <v>#REF!</v>
      </c>
      <c r="T28" s="50"/>
      <c r="U28" s="174"/>
      <c r="V28" s="53" t="e">
        <f ca="1">INDIRECT("'"&amp;$H$5&amp;"'!$Q$36")</f>
        <v>#REF!</v>
      </c>
      <c r="W28" s="50"/>
      <c r="X28" s="174"/>
      <c r="Y28" s="53" t="e">
        <f ca="1">INDIRECT("'"&amp;$H$5&amp;"'!$Q$37")</f>
        <v>#REF!</v>
      </c>
      <c r="Z28" s="50"/>
      <c r="AA28" s="174"/>
      <c r="AB28" s="53" t="e">
        <f ca="1">INDIRECT("'"&amp;$H$5&amp;"'!$Q$38")</f>
        <v>#REF!</v>
      </c>
      <c r="AC28" s="50"/>
      <c r="AD28" s="174"/>
      <c r="AE28" s="53" t="e">
        <f ca="1">INDIRECT("'"&amp;$H$5&amp;"'!$Q$39")</f>
        <v>#REF!</v>
      </c>
      <c r="AF28" s="50"/>
      <c r="AG28" s="174"/>
      <c r="AH28" s="53" t="e">
        <f ca="1">INDIRECT("'"&amp;$H$5&amp;"'!$Q$40")</f>
        <v>#REF!</v>
      </c>
    </row>
    <row r="29" spans="2:34" ht="14.25" customHeight="1" x14ac:dyDescent="0.25">
      <c r="B29" s="171">
        <v>1</v>
      </c>
      <c r="C29" s="428" t="s">
        <v>565</v>
      </c>
      <c r="D29" s="428"/>
      <c r="E29" s="428"/>
      <c r="F29" s="428"/>
      <c r="G29" s="428"/>
      <c r="H29" s="428"/>
      <c r="I29" s="428"/>
      <c r="J29" s="428"/>
      <c r="K29" s="428"/>
      <c r="L29" s="428"/>
      <c r="M29" s="428"/>
      <c r="N29" s="428"/>
      <c r="O29" s="39"/>
      <c r="P29" s="53" t="e">
        <f ca="1">INDIRECT("'"&amp;$H$5&amp;"'!$T$34")</f>
        <v>#REF!</v>
      </c>
      <c r="Q29" s="50"/>
      <c r="R29" s="174"/>
      <c r="S29" s="53" t="e">
        <f ca="1">INDIRECT("'"&amp;$H$5&amp;"'!$T$35")</f>
        <v>#REF!</v>
      </c>
      <c r="T29" s="50"/>
      <c r="U29" s="174"/>
      <c r="V29" s="53" t="e">
        <f ca="1">INDIRECT("'"&amp;$H$5&amp;"'!$T$36")</f>
        <v>#REF!</v>
      </c>
      <c r="W29" s="50"/>
      <c r="X29" s="174"/>
      <c r="Y29" s="53" t="e">
        <f ca="1">INDIRECT("'"&amp;$H$5&amp;"'!$T$37")</f>
        <v>#REF!</v>
      </c>
      <c r="Z29" s="50"/>
      <c r="AA29" s="174"/>
      <c r="AB29" s="53" t="e">
        <f ca="1">INDIRECT("'"&amp;$H$5&amp;"'!$T$38")</f>
        <v>#REF!</v>
      </c>
      <c r="AC29" s="50"/>
      <c r="AD29" s="174"/>
      <c r="AE29" s="53" t="e">
        <f ca="1">INDIRECT("'"&amp;$H$5&amp;"'!$T$39")</f>
        <v>#REF!</v>
      </c>
      <c r="AF29" s="50"/>
      <c r="AG29" s="174"/>
      <c r="AH29" s="53" t="e">
        <f ca="1">INDIRECT("'"&amp;$H$5&amp;"'!$T$40")</f>
        <v>#REF!</v>
      </c>
    </row>
    <row r="30" spans="2:34" ht="14.25" customHeight="1" x14ac:dyDescent="0.25">
      <c r="B30" s="171">
        <v>1</v>
      </c>
      <c r="C30" s="428" t="s">
        <v>566</v>
      </c>
      <c r="D30" s="428"/>
      <c r="E30" s="428"/>
      <c r="F30" s="428"/>
      <c r="G30" s="428"/>
      <c r="H30" s="428"/>
      <c r="I30" s="428"/>
      <c r="J30" s="428"/>
      <c r="K30" s="428"/>
      <c r="L30" s="428"/>
      <c r="M30" s="428"/>
      <c r="N30" s="428"/>
      <c r="O30" s="39"/>
      <c r="P30" s="53" t="e">
        <f ca="1">INDIRECT("'"&amp;$H$5&amp;"'!$J$34")</f>
        <v>#REF!</v>
      </c>
      <c r="Q30" s="50"/>
      <c r="R30" s="174"/>
      <c r="S30" s="53" t="e">
        <f ca="1">INDIRECT("'"&amp;$H$5&amp;"'!$J$35")</f>
        <v>#REF!</v>
      </c>
      <c r="T30" s="50"/>
      <c r="U30" s="174"/>
      <c r="V30" s="53" t="e">
        <f ca="1">INDIRECT("'"&amp;$H$5&amp;"'!$J$36")</f>
        <v>#REF!</v>
      </c>
      <c r="W30" s="50"/>
      <c r="X30" s="174"/>
      <c r="Y30" s="53" t="e">
        <f ca="1">INDIRECT("'"&amp;$H$5&amp;"'!$J$37")</f>
        <v>#REF!</v>
      </c>
      <c r="Z30" s="50"/>
      <c r="AA30" s="174"/>
      <c r="AB30" s="53" t="e">
        <f ca="1">INDIRECT("'"&amp;$H$5&amp;"'!$J$38")</f>
        <v>#REF!</v>
      </c>
      <c r="AC30" s="50"/>
      <c r="AD30" s="174"/>
      <c r="AE30" s="53" t="e">
        <f ca="1">INDIRECT("'"&amp;$H$5&amp;"'!$J$39")</f>
        <v>#REF!</v>
      </c>
      <c r="AF30" s="50"/>
      <c r="AG30" s="174"/>
      <c r="AH30" s="53" t="e">
        <f ca="1">INDIRECT("'"&amp;$H$5&amp;"'!$J$40")</f>
        <v>#REF!</v>
      </c>
    </row>
    <row r="31" spans="2:34" ht="14.25" customHeight="1" x14ac:dyDescent="0.25">
      <c r="B31" s="171">
        <v>1</v>
      </c>
      <c r="C31" s="428" t="s">
        <v>567</v>
      </c>
      <c r="D31" s="428"/>
      <c r="E31" s="428"/>
      <c r="F31" s="428"/>
      <c r="G31" s="428"/>
      <c r="H31" s="428"/>
      <c r="I31" s="428"/>
      <c r="J31" s="428"/>
      <c r="K31" s="428"/>
      <c r="L31" s="428"/>
      <c r="M31" s="428"/>
      <c r="N31" s="428"/>
      <c r="O31" s="39"/>
      <c r="P31" s="53" t="e">
        <f ca="1">INDIRECT("'"&amp;$H$5&amp;"'!$K$28")</f>
        <v>#REF!</v>
      </c>
      <c r="Q31" s="50"/>
      <c r="R31" s="174"/>
      <c r="S31" s="53" t="e">
        <f ca="1">INDIRECT("'"&amp;$H$5&amp;"'!$K$28")</f>
        <v>#REF!</v>
      </c>
      <c r="T31" s="50"/>
      <c r="U31" s="174"/>
      <c r="V31" s="53" t="e">
        <f ca="1">INDIRECT("'"&amp;$H$5&amp;"'!$K$28")</f>
        <v>#REF!</v>
      </c>
      <c r="W31" s="50"/>
      <c r="X31" s="174"/>
      <c r="Y31" s="53" t="e">
        <f ca="1">INDIRECT("'"&amp;$H$5&amp;"'!$K$28")</f>
        <v>#REF!</v>
      </c>
      <c r="Z31" s="50"/>
      <c r="AA31" s="174"/>
      <c r="AB31" s="53" t="e">
        <f ca="1">INDIRECT("'"&amp;$H$5&amp;"'!$K$28")</f>
        <v>#REF!</v>
      </c>
      <c r="AC31" s="50"/>
      <c r="AD31" s="174"/>
      <c r="AE31" s="53" t="e">
        <f ca="1">INDIRECT("'"&amp;$H$5&amp;"'!$K$28")</f>
        <v>#REF!</v>
      </c>
      <c r="AF31" s="50"/>
      <c r="AG31" s="174"/>
      <c r="AH31" s="53" t="e">
        <f ca="1">INDIRECT("'"&amp;$H$5&amp;"'!$K$28")</f>
        <v>#REF!</v>
      </c>
    </row>
    <row r="32" spans="2:34" ht="14.25" customHeight="1" x14ac:dyDescent="0.25">
      <c r="B32" s="171">
        <v>1</v>
      </c>
      <c r="C32" s="428" t="s">
        <v>568</v>
      </c>
      <c r="D32" s="428"/>
      <c r="E32" s="428"/>
      <c r="F32" s="428"/>
      <c r="G32" s="428"/>
      <c r="H32" s="428"/>
      <c r="I32" s="428"/>
      <c r="J32" s="428"/>
      <c r="K32" s="428"/>
      <c r="L32" s="428"/>
      <c r="M32" s="428"/>
      <c r="N32" s="428"/>
      <c r="O32" s="39"/>
      <c r="P32" s="53" t="e">
        <f ca="1">INDIRECT("'"&amp;$H$5&amp;"'!$K$27")</f>
        <v>#REF!</v>
      </c>
      <c r="Q32" s="50"/>
      <c r="R32" s="174"/>
      <c r="S32" s="53" t="e">
        <f ca="1">INDIRECT("'"&amp;$H$5&amp;"'!$K$27")</f>
        <v>#REF!</v>
      </c>
      <c r="T32" s="50"/>
      <c r="U32" s="174"/>
      <c r="V32" s="53" t="e">
        <f ca="1">INDIRECT("'"&amp;$H$5&amp;"'!$K$27")</f>
        <v>#REF!</v>
      </c>
      <c r="W32" s="50"/>
      <c r="X32" s="174"/>
      <c r="Y32" s="53" t="e">
        <f ca="1">INDIRECT("'"&amp;$H$5&amp;"'!$K$27")</f>
        <v>#REF!</v>
      </c>
      <c r="Z32" s="50"/>
      <c r="AA32" s="174"/>
      <c r="AB32" s="53" t="e">
        <f ca="1">INDIRECT("'"&amp;$H$5&amp;"'!$K$27")</f>
        <v>#REF!</v>
      </c>
      <c r="AC32" s="50"/>
      <c r="AD32" s="174"/>
      <c r="AE32" s="53" t="e">
        <f ca="1">INDIRECT("'"&amp;$H$5&amp;"'!$K$27")</f>
        <v>#REF!</v>
      </c>
      <c r="AF32" s="50"/>
      <c r="AG32" s="174"/>
      <c r="AH32" s="53" t="e">
        <f ca="1">INDIRECT("'"&amp;$H$5&amp;"'!$K$27")</f>
        <v>#REF!</v>
      </c>
    </row>
    <row r="33" spans="2:34" ht="14.25" customHeight="1" x14ac:dyDescent="0.25">
      <c r="B33" s="171">
        <v>1</v>
      </c>
      <c r="C33" s="428" t="s">
        <v>569</v>
      </c>
      <c r="D33" s="428"/>
      <c r="E33" s="428"/>
      <c r="F33" s="428"/>
      <c r="G33" s="428"/>
      <c r="H33" s="428"/>
      <c r="I33" s="428"/>
      <c r="J33" s="428"/>
      <c r="K33" s="428"/>
      <c r="L33" s="428"/>
      <c r="M33" s="428"/>
      <c r="N33" s="428"/>
      <c r="O33" s="39"/>
      <c r="P33" s="53" t="s">
        <v>586</v>
      </c>
      <c r="Q33" s="50"/>
      <c r="R33" s="174"/>
      <c r="S33" s="53" t="s">
        <v>586</v>
      </c>
      <c r="T33" s="50"/>
      <c r="U33" s="174"/>
      <c r="V33" s="53" t="s">
        <v>586</v>
      </c>
      <c r="W33" s="50"/>
      <c r="X33" s="174"/>
      <c r="Y33" s="53" t="s">
        <v>586</v>
      </c>
      <c r="Z33" s="50"/>
      <c r="AA33" s="174"/>
      <c r="AB33" s="53" t="s">
        <v>586</v>
      </c>
      <c r="AC33" s="50"/>
      <c r="AD33" s="174"/>
      <c r="AE33" s="53" t="s">
        <v>586</v>
      </c>
      <c r="AF33" s="50"/>
      <c r="AG33" s="174"/>
      <c r="AH33" s="53" t="s">
        <v>586</v>
      </c>
    </row>
    <row r="34" spans="2:34" ht="14.25" customHeight="1" x14ac:dyDescent="0.25">
      <c r="B34" s="171">
        <v>1</v>
      </c>
      <c r="C34" s="428" t="s">
        <v>571</v>
      </c>
      <c r="D34" s="428"/>
      <c r="E34" s="428"/>
      <c r="F34" s="428"/>
      <c r="G34" s="428"/>
      <c r="H34" s="428"/>
      <c r="I34" s="428"/>
      <c r="J34" s="428"/>
      <c r="K34" s="428"/>
      <c r="L34" s="428"/>
      <c r="M34" s="428"/>
      <c r="N34" s="428"/>
      <c r="O34" s="39"/>
      <c r="P34" s="53" t="s">
        <v>341</v>
      </c>
      <c r="Q34" s="50"/>
      <c r="R34" s="174"/>
      <c r="T34" s="50"/>
      <c r="U34" s="174"/>
      <c r="W34" s="50"/>
      <c r="X34" s="174"/>
      <c r="Z34" s="50"/>
      <c r="AA34" s="174"/>
      <c r="AC34" s="50"/>
      <c r="AD34" s="174"/>
      <c r="AF34" s="50"/>
      <c r="AG34" s="174"/>
    </row>
    <row r="35" spans="2:34" ht="14.25" customHeight="1" x14ac:dyDescent="0.25">
      <c r="B35" s="171">
        <v>1</v>
      </c>
      <c r="C35" s="428" t="s">
        <v>572</v>
      </c>
      <c r="D35" s="428"/>
      <c r="E35" s="428"/>
      <c r="F35" s="428"/>
      <c r="G35" s="428"/>
      <c r="H35" s="428"/>
      <c r="I35" s="428"/>
      <c r="J35" s="428"/>
      <c r="K35" s="428"/>
      <c r="L35" s="428"/>
      <c r="M35" s="428"/>
      <c r="N35" s="428"/>
      <c r="O35" s="39"/>
      <c r="P35" s="53" t="e">
        <f ca="1">INDIRECT("'"&amp;$H$5&amp;"'!F9")</f>
        <v>#REF!</v>
      </c>
      <c r="Q35" s="50"/>
      <c r="R35" s="174"/>
      <c r="S35" s="83"/>
      <c r="T35" s="51"/>
      <c r="U35" s="51"/>
      <c r="V35" s="83"/>
      <c r="W35" s="51"/>
      <c r="X35" s="51"/>
      <c r="Y35" s="83"/>
    </row>
    <row r="36" spans="2:34" ht="14.25" customHeight="1" x14ac:dyDescent="0.25">
      <c r="B36" s="171">
        <v>1</v>
      </c>
      <c r="C36" s="428" t="s">
        <v>573</v>
      </c>
      <c r="D36" s="428"/>
      <c r="E36" s="428"/>
      <c r="F36" s="428"/>
      <c r="G36" s="428"/>
      <c r="H36" s="428"/>
      <c r="I36" s="428"/>
      <c r="J36" s="428"/>
      <c r="K36" s="428"/>
      <c r="L36" s="428"/>
      <c r="M36" s="428"/>
      <c r="N36" s="428"/>
      <c r="O36" s="39"/>
      <c r="P36" s="53" t="e">
        <f ca="1">CONCATENATE(INDIRECT("'"&amp;$H$5&amp;"'!F10"),",",INDIRECT("'"&amp;$H$5&amp;"'!I10"),",",INDIRECT("'"&amp;$H$5&amp;"'!L10"))</f>
        <v>#REF!</v>
      </c>
      <c r="Q36" s="50"/>
      <c r="R36" s="174"/>
      <c r="S36" s="83"/>
      <c r="T36" s="51"/>
      <c r="U36" s="51"/>
      <c r="V36" s="83"/>
      <c r="W36" s="51"/>
      <c r="X36" s="51"/>
      <c r="Y36" s="83"/>
    </row>
    <row r="37" spans="2:34" ht="14.25" customHeight="1" x14ac:dyDescent="0.25">
      <c r="B37" s="171">
        <v>1</v>
      </c>
      <c r="C37" s="428" t="s">
        <v>574</v>
      </c>
      <c r="D37" s="428"/>
      <c r="E37" s="428"/>
      <c r="F37" s="428"/>
      <c r="G37" s="428"/>
      <c r="H37" s="428"/>
      <c r="I37" s="428"/>
      <c r="J37" s="428"/>
      <c r="K37" s="428"/>
      <c r="L37" s="428"/>
      <c r="M37" s="428"/>
      <c r="N37" s="428"/>
      <c r="O37" s="39"/>
      <c r="P37" s="53" t="s">
        <v>341</v>
      </c>
      <c r="Q37" s="50"/>
      <c r="R37" s="174"/>
      <c r="S37" s="83"/>
      <c r="T37" s="51"/>
      <c r="U37" s="51"/>
      <c r="V37" s="83"/>
      <c r="W37" s="51"/>
      <c r="X37" s="51"/>
      <c r="Y37" s="83"/>
    </row>
    <row r="38" spans="2:34" ht="14.25" customHeight="1" x14ac:dyDescent="0.25">
      <c r="B38" s="171">
        <v>1</v>
      </c>
      <c r="C38" s="428" t="s">
        <v>575</v>
      </c>
      <c r="D38" s="428"/>
      <c r="E38" s="428"/>
      <c r="F38" s="428"/>
      <c r="G38" s="428"/>
      <c r="H38" s="428"/>
      <c r="I38" s="428"/>
      <c r="J38" s="428"/>
      <c r="K38" s="428"/>
      <c r="L38" s="428"/>
      <c r="M38" s="428"/>
      <c r="N38" s="428"/>
      <c r="O38" s="39"/>
      <c r="P38" s="53" t="e">
        <f ca="1">INDIRECT("'"&amp;$H$5&amp;"'!K7")</f>
        <v>#REF!</v>
      </c>
      <c r="Q38" s="50"/>
      <c r="R38" s="174"/>
      <c r="S38" s="83"/>
      <c r="T38" s="51"/>
      <c r="U38" s="51"/>
      <c r="V38" s="83"/>
      <c r="W38" s="51"/>
      <c r="X38" s="51"/>
      <c r="Y38" s="83"/>
    </row>
    <row r="39" spans="2:34" ht="14.25" customHeight="1" x14ac:dyDescent="0.25">
      <c r="B39" s="171">
        <v>1</v>
      </c>
      <c r="C39" s="428" t="s">
        <v>576</v>
      </c>
      <c r="D39" s="428"/>
      <c r="E39" s="428"/>
      <c r="F39" s="428"/>
      <c r="G39" s="428"/>
      <c r="H39" s="428"/>
      <c r="I39" s="428"/>
      <c r="J39" s="428"/>
      <c r="K39" s="428"/>
      <c r="L39" s="428"/>
      <c r="M39" s="428"/>
      <c r="N39" s="428"/>
      <c r="O39" s="39"/>
      <c r="P39" s="53" t="e">
        <f ca="1">P35</f>
        <v>#REF!</v>
      </c>
      <c r="Q39" s="50"/>
      <c r="R39" s="174"/>
      <c r="S39" s="83"/>
      <c r="T39" s="51"/>
      <c r="U39" s="51"/>
      <c r="V39" s="83"/>
      <c r="W39" s="51"/>
      <c r="X39" s="51"/>
      <c r="Y39" s="83"/>
    </row>
    <row r="40" spans="2:34" ht="14.25" customHeight="1" x14ac:dyDescent="0.25">
      <c r="B40" s="171">
        <v>1</v>
      </c>
      <c r="C40" s="428" t="s">
        <v>577</v>
      </c>
      <c r="D40" s="428"/>
      <c r="E40" s="428"/>
      <c r="F40" s="428"/>
      <c r="G40" s="428"/>
      <c r="H40" s="428"/>
      <c r="I40" s="428"/>
      <c r="J40" s="428"/>
      <c r="K40" s="428"/>
      <c r="L40" s="428"/>
      <c r="M40" s="428"/>
      <c r="N40" s="428"/>
      <c r="O40" s="39"/>
      <c r="P40" s="53" t="s">
        <v>579</v>
      </c>
      <c r="Q40" s="50"/>
      <c r="R40" s="174"/>
      <c r="S40" s="83"/>
      <c r="T40" s="51"/>
      <c r="U40" s="51"/>
      <c r="V40" s="83"/>
      <c r="W40" s="51"/>
      <c r="X40" s="51"/>
      <c r="Y40" s="83"/>
    </row>
    <row r="41" spans="2:34" ht="14.25" customHeight="1" x14ac:dyDescent="0.25">
      <c r="B41" s="171">
        <v>1</v>
      </c>
      <c r="C41" s="428" t="s">
        <v>578</v>
      </c>
      <c r="D41" s="428"/>
      <c r="E41" s="428"/>
      <c r="F41" s="428"/>
      <c r="G41" s="428"/>
      <c r="H41" s="428"/>
      <c r="I41" s="428"/>
      <c r="J41" s="428"/>
      <c r="K41" s="428"/>
      <c r="L41" s="428"/>
      <c r="M41" s="428"/>
      <c r="N41" s="428"/>
      <c r="O41" s="39"/>
      <c r="P41" s="54" t="s">
        <v>579</v>
      </c>
      <c r="Q41" s="50"/>
      <c r="R41" s="174"/>
      <c r="S41" s="83"/>
      <c r="T41" s="51"/>
      <c r="U41" s="51"/>
      <c r="V41" s="83"/>
      <c r="W41" s="51"/>
      <c r="X41" s="51"/>
      <c r="Y41" s="83"/>
    </row>
    <row r="42" spans="2:34" ht="14.25" customHeight="1" x14ac:dyDescent="0.25">
      <c r="B42" s="171">
        <v>1</v>
      </c>
      <c r="C42" s="428" t="s">
        <v>580</v>
      </c>
      <c r="D42" s="428"/>
      <c r="E42" s="428"/>
      <c r="F42" s="428"/>
      <c r="G42" s="428"/>
      <c r="H42" s="428"/>
      <c r="I42" s="428"/>
      <c r="J42" s="428"/>
      <c r="K42" s="428"/>
      <c r="L42" s="428"/>
      <c r="M42" s="428"/>
      <c r="N42" s="428"/>
      <c r="O42" s="39"/>
      <c r="P42" s="53" t="s">
        <v>559</v>
      </c>
      <c r="Q42" s="50"/>
      <c r="R42" s="174"/>
      <c r="S42" s="83"/>
      <c r="T42" s="51"/>
      <c r="U42" s="51"/>
      <c r="V42" s="83"/>
      <c r="W42" s="51"/>
      <c r="X42" s="51"/>
      <c r="Y42" s="83"/>
    </row>
    <row r="43" spans="2:34" ht="14.25" customHeight="1" x14ac:dyDescent="0.25">
      <c r="B43" s="171">
        <v>2</v>
      </c>
      <c r="C43" s="466" t="s">
        <v>581</v>
      </c>
      <c r="D43" s="466"/>
      <c r="E43" s="466"/>
      <c r="F43" s="466"/>
      <c r="G43" s="466"/>
      <c r="H43" s="466"/>
      <c r="I43" s="466"/>
      <c r="J43" s="466"/>
      <c r="K43" s="466"/>
      <c r="L43" s="466"/>
      <c r="M43" s="466"/>
      <c r="N43" s="466"/>
      <c r="O43" s="39"/>
      <c r="P43" s="53"/>
      <c r="Q43" s="50"/>
      <c r="R43" s="174"/>
      <c r="S43" s="83"/>
      <c r="T43" s="51"/>
      <c r="U43" s="51"/>
      <c r="V43" s="83"/>
      <c r="W43" s="51"/>
      <c r="X43" s="51"/>
      <c r="Y43" s="83"/>
    </row>
    <row r="44" spans="2:34" ht="14.25" customHeight="1" x14ac:dyDescent="0.25">
      <c r="B44" s="171">
        <v>3</v>
      </c>
      <c r="C44" s="428" t="s">
        <v>582</v>
      </c>
      <c r="D44" s="428"/>
      <c r="E44" s="428"/>
      <c r="F44" s="428"/>
      <c r="G44" s="428"/>
      <c r="H44" s="428"/>
      <c r="I44" s="428"/>
      <c r="J44" s="428"/>
      <c r="K44" s="428"/>
      <c r="L44" s="428"/>
      <c r="M44" s="428"/>
      <c r="N44" s="428"/>
      <c r="O44" s="39"/>
      <c r="P44" s="53" t="e">
        <f ca="1">CONCATENATE("vo ren -vs ",INDIRECT("'"&amp;$H$5&amp;"'!K7")," -vo root_vol -ne ",SUBSTITUTE(INDIRECT("'"&amp;$H$5&amp;"'!K7"),"-",""),"_root")</f>
        <v>#REF!</v>
      </c>
      <c r="Q44" s="50"/>
      <c r="R44" s="174"/>
      <c r="S44" s="83"/>
      <c r="T44" s="51"/>
      <c r="U44" s="51"/>
      <c r="V44" s="83"/>
      <c r="W44" s="51"/>
      <c r="X44" s="51"/>
      <c r="Y44" s="83"/>
    </row>
    <row r="45" spans="2:34" ht="14.25" customHeight="1" x14ac:dyDescent="0.25">
      <c r="B45" s="171">
        <v>4</v>
      </c>
      <c r="C45" s="428" t="s">
        <v>583</v>
      </c>
      <c r="D45" s="428"/>
      <c r="E45" s="428"/>
      <c r="F45" s="428"/>
      <c r="G45" s="428"/>
      <c r="H45" s="428"/>
      <c r="I45" s="428"/>
      <c r="J45" s="428"/>
      <c r="K45" s="428"/>
      <c r="L45" s="428"/>
      <c r="M45" s="428"/>
      <c r="N45" s="428"/>
      <c r="O45" s="39"/>
      <c r="P45" s="53" t="e">
        <f ca="1">CONCATENATE("vo mod -vs ",INDIRECT("'"&amp;$H$5&amp;"'!K7")," -vo ",SUBSTITUTE(INDIRECT("'"&amp;$H$5&amp;"'!K7"),"-",""),"_root -si 1GB")</f>
        <v>#REF!</v>
      </c>
      <c r="Q45" s="50"/>
      <c r="R45" s="174"/>
      <c r="S45" s="83"/>
      <c r="T45" s="51"/>
      <c r="U45" s="51"/>
      <c r="V45" s="83"/>
      <c r="W45" s="51"/>
      <c r="X45" s="51"/>
      <c r="Y45" s="83"/>
    </row>
    <row r="46" spans="2:34" ht="14.25" customHeight="1" x14ac:dyDescent="0.25">
      <c r="B46" s="171">
        <v>5</v>
      </c>
      <c r="C46" s="428" t="s">
        <v>584</v>
      </c>
      <c r="D46" s="428"/>
      <c r="E46" s="428"/>
      <c r="F46" s="428"/>
      <c r="G46" s="428"/>
      <c r="H46" s="428"/>
      <c r="I46" s="428"/>
      <c r="J46" s="428"/>
      <c r="K46" s="428"/>
      <c r="L46" s="428"/>
      <c r="M46" s="428"/>
      <c r="N46" s="428"/>
      <c r="O46" s="39"/>
      <c r="P46" s="53" t="e">
        <f ca="1">CONCATENATE("vo mod -vs ",INDIRECT("'"&amp;$H$5&amp;"'!K7")," -vo ",SUBSTITUTE(INDIRECT("'"&amp;$H$5&amp;"'!K7"),"-",""),"_root -un 755")</f>
        <v>#REF!</v>
      </c>
      <c r="Q46" s="50"/>
      <c r="R46" s="174"/>
      <c r="S46" s="83"/>
      <c r="T46" s="51"/>
      <c r="U46" s="51"/>
      <c r="V46" s="83"/>
      <c r="W46" s="51"/>
      <c r="X46" s="51"/>
      <c r="Y46" s="83"/>
    </row>
    <row r="47" spans="2:34" ht="14.25" customHeight="1" x14ac:dyDescent="0.25">
      <c r="B47" s="171"/>
      <c r="C47" s="428"/>
      <c r="D47" s="428"/>
      <c r="E47" s="428"/>
      <c r="F47" s="428"/>
      <c r="G47" s="428"/>
      <c r="H47" s="428"/>
      <c r="I47" s="428"/>
      <c r="J47" s="428"/>
      <c r="K47" s="428"/>
      <c r="L47" s="428"/>
      <c r="M47" s="428"/>
      <c r="N47" s="428"/>
      <c r="O47" s="39"/>
      <c r="P47" s="53"/>
      <c r="Q47" s="50"/>
      <c r="R47" s="174"/>
      <c r="S47" s="83"/>
      <c r="T47" s="51"/>
      <c r="U47" s="51"/>
      <c r="V47" s="83"/>
      <c r="W47" s="51"/>
      <c r="X47" s="51"/>
      <c r="Y47" s="83"/>
    </row>
    <row r="48" spans="2:34" ht="14.25" customHeight="1" x14ac:dyDescent="0.25">
      <c r="B48" s="171"/>
      <c r="C48" s="428"/>
      <c r="D48" s="428"/>
      <c r="E48" s="428"/>
      <c r="F48" s="428"/>
      <c r="G48" s="428"/>
      <c r="H48" s="428"/>
      <c r="I48" s="428"/>
      <c r="J48" s="428"/>
      <c r="K48" s="428"/>
      <c r="L48" s="428"/>
      <c r="M48" s="428"/>
      <c r="N48" s="428"/>
      <c r="O48" s="39"/>
      <c r="P48" s="53"/>
      <c r="Q48" s="50"/>
      <c r="R48" s="174"/>
      <c r="S48" s="83"/>
      <c r="T48" s="51"/>
      <c r="U48" s="51"/>
      <c r="V48" s="83"/>
      <c r="W48" s="51"/>
      <c r="X48" s="51"/>
      <c r="Y48" s="83"/>
    </row>
    <row r="49" spans="2:25" ht="14.25" customHeight="1" x14ac:dyDescent="0.25">
      <c r="B49" s="171"/>
      <c r="C49" s="428"/>
      <c r="D49" s="428"/>
      <c r="E49" s="428"/>
      <c r="F49" s="428"/>
      <c r="G49" s="428"/>
      <c r="H49" s="428"/>
      <c r="I49" s="428"/>
      <c r="J49" s="428"/>
      <c r="K49" s="428"/>
      <c r="L49" s="428"/>
      <c r="M49" s="428"/>
      <c r="N49" s="428"/>
      <c r="O49" s="39"/>
      <c r="P49" s="53"/>
      <c r="Q49" s="50"/>
      <c r="R49" s="174"/>
      <c r="S49" s="83"/>
      <c r="T49" s="51"/>
      <c r="U49" s="51"/>
      <c r="V49" s="83"/>
      <c r="W49" s="51"/>
      <c r="X49" s="51"/>
      <c r="Y49" s="83"/>
    </row>
    <row r="50" spans="2:25" ht="14.25" customHeight="1" x14ac:dyDescent="0.25">
      <c r="B50" s="171"/>
      <c r="C50" s="428"/>
      <c r="D50" s="428"/>
      <c r="E50" s="428"/>
      <c r="F50" s="428"/>
      <c r="G50" s="428"/>
      <c r="H50" s="428"/>
      <c r="I50" s="428"/>
      <c r="J50" s="428"/>
      <c r="K50" s="428"/>
      <c r="L50" s="428"/>
      <c r="M50" s="428"/>
      <c r="N50" s="428"/>
      <c r="O50" s="39"/>
      <c r="P50" s="53"/>
      <c r="Q50" s="50"/>
      <c r="R50" s="174"/>
      <c r="S50" s="83"/>
      <c r="T50" s="51"/>
      <c r="U50" s="51"/>
      <c r="V50" s="83"/>
      <c r="W50" s="51"/>
      <c r="X50" s="51"/>
      <c r="Y50" s="83"/>
    </row>
    <row r="51" spans="2:25" ht="14.25" customHeight="1" x14ac:dyDescent="0.25">
      <c r="B51" s="171"/>
      <c r="C51" s="428"/>
      <c r="D51" s="428"/>
      <c r="E51" s="428"/>
      <c r="F51" s="428"/>
      <c r="G51" s="428"/>
      <c r="H51" s="428"/>
      <c r="I51" s="428"/>
      <c r="J51" s="428"/>
      <c r="K51" s="428"/>
      <c r="L51" s="428"/>
      <c r="M51" s="428"/>
      <c r="N51" s="428"/>
      <c r="O51" s="39"/>
      <c r="P51" s="53"/>
      <c r="Q51" s="50"/>
      <c r="R51" s="174"/>
      <c r="S51" s="83"/>
      <c r="T51" s="51"/>
      <c r="U51" s="51"/>
      <c r="V51" s="83"/>
      <c r="W51" s="51"/>
      <c r="X51" s="51"/>
      <c r="Y51" s="83"/>
    </row>
    <row r="52" spans="2:25" ht="14.25" customHeight="1" x14ac:dyDescent="0.25">
      <c r="B52" s="171"/>
      <c r="C52" s="428"/>
      <c r="D52" s="428"/>
      <c r="E52" s="428"/>
      <c r="F52" s="428"/>
      <c r="G52" s="428"/>
      <c r="H52" s="428"/>
      <c r="I52" s="428"/>
      <c r="J52" s="428"/>
      <c r="K52" s="428"/>
      <c r="L52" s="428"/>
      <c r="M52" s="428"/>
      <c r="N52" s="428"/>
      <c r="O52" s="39"/>
      <c r="P52" s="53"/>
      <c r="Q52" s="50"/>
      <c r="R52" s="174"/>
      <c r="S52" s="83"/>
      <c r="T52" s="51"/>
      <c r="U52" s="51"/>
      <c r="V52" s="83"/>
      <c r="W52" s="51"/>
      <c r="X52" s="51"/>
      <c r="Y52" s="83"/>
    </row>
    <row r="53" spans="2:25" ht="14.25" customHeight="1" x14ac:dyDescent="0.25">
      <c r="B53" s="171"/>
      <c r="C53" s="428"/>
      <c r="D53" s="428"/>
      <c r="E53" s="428"/>
      <c r="F53" s="428"/>
      <c r="G53" s="428"/>
      <c r="H53" s="428"/>
      <c r="I53" s="428"/>
      <c r="J53" s="428"/>
      <c r="K53" s="428"/>
      <c r="L53" s="428"/>
      <c r="M53" s="428"/>
      <c r="N53" s="428"/>
      <c r="O53" s="39"/>
      <c r="P53" s="53"/>
      <c r="Q53" s="50"/>
      <c r="R53" s="174"/>
      <c r="S53" s="83"/>
      <c r="T53" s="51"/>
      <c r="U53" s="51"/>
      <c r="V53" s="83"/>
      <c r="W53" s="51"/>
      <c r="X53" s="51"/>
      <c r="Y53" s="83"/>
    </row>
    <row r="54" spans="2:25" ht="14.25" customHeight="1" x14ac:dyDescent="0.25">
      <c r="B54" s="171"/>
      <c r="C54" s="428"/>
      <c r="D54" s="428"/>
      <c r="E54" s="428"/>
      <c r="F54" s="428"/>
      <c r="G54" s="428"/>
      <c r="H54" s="428"/>
      <c r="I54" s="428"/>
      <c r="J54" s="428"/>
      <c r="K54" s="428"/>
      <c r="L54" s="428"/>
      <c r="M54" s="428"/>
      <c r="N54" s="428"/>
      <c r="O54" s="39"/>
      <c r="P54" s="53"/>
      <c r="Q54" s="50"/>
      <c r="R54" s="174"/>
      <c r="S54" s="83"/>
      <c r="T54" s="51"/>
      <c r="U54" s="51"/>
      <c r="V54" s="83"/>
      <c r="W54" s="51"/>
      <c r="X54" s="51"/>
      <c r="Y54" s="83"/>
    </row>
    <row r="55" spans="2:25" ht="14.25" customHeight="1" x14ac:dyDescent="0.25">
      <c r="B55" s="171"/>
      <c r="C55" s="428"/>
      <c r="D55" s="428"/>
      <c r="E55" s="428"/>
      <c r="F55" s="428"/>
      <c r="G55" s="428"/>
      <c r="H55" s="428"/>
      <c r="I55" s="428"/>
      <c r="J55" s="428"/>
      <c r="K55" s="428"/>
      <c r="L55" s="428"/>
      <c r="M55" s="428"/>
      <c r="N55" s="428"/>
      <c r="O55" s="39"/>
      <c r="P55" s="53"/>
      <c r="Q55" s="50"/>
      <c r="R55" s="174"/>
      <c r="S55" s="83"/>
      <c r="T55" s="51"/>
      <c r="U55" s="51"/>
      <c r="V55" s="83"/>
      <c r="W55" s="51"/>
      <c r="X55" s="51"/>
      <c r="Y55" s="83"/>
    </row>
    <row r="56" spans="2:25" ht="14.25" customHeight="1" x14ac:dyDescent="0.25">
      <c r="B56" s="171"/>
      <c r="C56" s="428"/>
      <c r="D56" s="428"/>
      <c r="E56" s="428"/>
      <c r="F56" s="428"/>
      <c r="G56" s="428"/>
      <c r="H56" s="428"/>
      <c r="I56" s="428"/>
      <c r="J56" s="428"/>
      <c r="K56" s="428"/>
      <c r="L56" s="428"/>
      <c r="M56" s="428"/>
      <c r="N56" s="428"/>
      <c r="O56" s="39"/>
      <c r="P56" s="53"/>
      <c r="Q56" s="50"/>
      <c r="R56" s="174"/>
      <c r="S56" s="83"/>
      <c r="T56" s="51"/>
      <c r="U56" s="51"/>
      <c r="V56" s="83"/>
      <c r="W56" s="51"/>
      <c r="X56" s="51"/>
      <c r="Y56" s="83"/>
    </row>
    <row r="57" spans="2:25" ht="14.25" customHeight="1" x14ac:dyDescent="0.25">
      <c r="B57" s="171"/>
      <c r="C57" s="428"/>
      <c r="D57" s="428"/>
      <c r="E57" s="428"/>
      <c r="F57" s="428"/>
      <c r="G57" s="428"/>
      <c r="H57" s="428"/>
      <c r="I57" s="428"/>
      <c r="J57" s="428"/>
      <c r="K57" s="428"/>
      <c r="L57" s="428"/>
      <c r="M57" s="428"/>
      <c r="N57" s="428"/>
      <c r="O57" s="39"/>
      <c r="P57" s="53"/>
      <c r="Q57" s="50"/>
      <c r="R57" s="174"/>
      <c r="S57" s="83"/>
      <c r="T57" s="51"/>
      <c r="U57" s="51"/>
      <c r="V57" s="83"/>
      <c r="W57" s="51"/>
      <c r="X57" s="51"/>
      <c r="Y57" s="83"/>
    </row>
    <row r="58" spans="2:25" ht="14.25" customHeight="1" x14ac:dyDescent="0.25">
      <c r="B58" s="171"/>
      <c r="C58" s="428"/>
      <c r="D58" s="428"/>
      <c r="E58" s="428"/>
      <c r="F58" s="428"/>
      <c r="G58" s="428"/>
      <c r="H58" s="428"/>
      <c r="I58" s="428"/>
      <c r="J58" s="428"/>
      <c r="K58" s="428"/>
      <c r="L58" s="428"/>
      <c r="M58" s="428"/>
      <c r="N58" s="428"/>
      <c r="O58" s="39"/>
      <c r="P58" s="53"/>
      <c r="Q58" s="50"/>
      <c r="R58" s="174"/>
      <c r="S58" s="83"/>
      <c r="T58" s="51"/>
      <c r="U58" s="51"/>
      <c r="V58" s="83"/>
      <c r="W58" s="51"/>
      <c r="X58" s="51"/>
      <c r="Y58" s="83"/>
    </row>
    <row r="59" spans="2:25" ht="14.25" customHeight="1" x14ac:dyDescent="0.25">
      <c r="B59" s="171"/>
      <c r="C59" s="428"/>
      <c r="D59" s="428"/>
      <c r="E59" s="428"/>
      <c r="F59" s="428"/>
      <c r="G59" s="428"/>
      <c r="H59" s="428"/>
      <c r="I59" s="428"/>
      <c r="J59" s="428"/>
      <c r="K59" s="428"/>
      <c r="L59" s="428"/>
      <c r="M59" s="428"/>
      <c r="N59" s="428"/>
      <c r="O59" s="39"/>
      <c r="P59" s="53"/>
      <c r="Q59" s="50"/>
      <c r="R59" s="174"/>
      <c r="S59" s="83"/>
      <c r="T59" s="51"/>
      <c r="U59" s="51"/>
      <c r="V59" s="83"/>
      <c r="W59" s="51"/>
      <c r="X59" s="51"/>
      <c r="Y59" s="83"/>
    </row>
    <row r="60" spans="2:25" ht="14.25" customHeight="1" x14ac:dyDescent="0.25">
      <c r="B60" s="171"/>
      <c r="C60" s="428"/>
      <c r="D60" s="428"/>
      <c r="E60" s="428"/>
      <c r="F60" s="428"/>
      <c r="G60" s="428"/>
      <c r="H60" s="428"/>
      <c r="I60" s="428"/>
      <c r="J60" s="428"/>
      <c r="K60" s="428"/>
      <c r="L60" s="428"/>
      <c r="M60" s="428"/>
      <c r="N60" s="428"/>
      <c r="O60" s="39"/>
      <c r="P60" s="53"/>
      <c r="Q60" s="50"/>
      <c r="R60" s="174"/>
      <c r="S60" s="83"/>
      <c r="T60" s="51"/>
      <c r="U60" s="51"/>
      <c r="V60" s="83"/>
      <c r="W60" s="51"/>
      <c r="X60" s="51"/>
      <c r="Y60" s="83"/>
    </row>
    <row r="61" spans="2:25" ht="14.25" customHeight="1" x14ac:dyDescent="0.25">
      <c r="B61" s="171"/>
      <c r="C61" s="428"/>
      <c r="D61" s="428"/>
      <c r="E61" s="428"/>
      <c r="F61" s="428"/>
      <c r="G61" s="428"/>
      <c r="H61" s="428"/>
      <c r="I61" s="428"/>
      <c r="J61" s="428"/>
      <c r="K61" s="428"/>
      <c r="L61" s="428"/>
      <c r="M61" s="428"/>
      <c r="N61" s="428"/>
      <c r="O61" s="39"/>
      <c r="P61" s="53"/>
      <c r="Q61" s="50"/>
      <c r="R61" s="174"/>
      <c r="S61" s="83"/>
      <c r="T61" s="51"/>
      <c r="U61" s="51"/>
      <c r="V61" s="83"/>
      <c r="W61" s="51"/>
      <c r="X61" s="51"/>
      <c r="Y61" s="83"/>
    </row>
    <row r="62" spans="2:25" ht="14.25" customHeight="1" x14ac:dyDescent="0.25">
      <c r="B62" s="171"/>
      <c r="C62" s="428"/>
      <c r="D62" s="428"/>
      <c r="E62" s="428"/>
      <c r="F62" s="428"/>
      <c r="G62" s="428"/>
      <c r="H62" s="428"/>
      <c r="I62" s="428"/>
      <c r="J62" s="428"/>
      <c r="K62" s="428"/>
      <c r="L62" s="428"/>
      <c r="M62" s="428"/>
      <c r="N62" s="428"/>
      <c r="O62" s="39"/>
      <c r="P62" s="53"/>
      <c r="Q62" s="50"/>
      <c r="R62" s="174"/>
      <c r="S62" s="83"/>
      <c r="T62" s="51"/>
      <c r="U62" s="51"/>
      <c r="V62" s="83"/>
      <c r="W62" s="51"/>
      <c r="X62" s="51"/>
      <c r="Y62" s="83"/>
    </row>
    <row r="63" spans="2:25" ht="14.25" customHeight="1" x14ac:dyDescent="0.25"/>
    <row r="64" spans="2:25" ht="14.25" customHeight="1" x14ac:dyDescent="0.25"/>
    <row r="65" ht="14.25" customHeight="1" x14ac:dyDescent="0.25"/>
    <row r="66" ht="14.25" customHeight="1" x14ac:dyDescent="0.25"/>
    <row r="67" ht="14.25" customHeight="1" x14ac:dyDescent="0.25"/>
  </sheetData>
  <mergeCells count="56">
    <mergeCell ref="C18:N18"/>
    <mergeCell ref="H5:J5"/>
    <mergeCell ref="C8:N8"/>
    <mergeCell ref="C9:N9"/>
    <mergeCell ref="C10:N10"/>
    <mergeCell ref="C11:N11"/>
    <mergeCell ref="C12:N12"/>
    <mergeCell ref="C13:N13"/>
    <mergeCell ref="C14:N14"/>
    <mergeCell ref="C15:N15"/>
    <mergeCell ref="C16:N16"/>
    <mergeCell ref="C17:N17"/>
    <mergeCell ref="C30:N30"/>
    <mergeCell ref="C19:N19"/>
    <mergeCell ref="C20:N20"/>
    <mergeCell ref="C21:N21"/>
    <mergeCell ref="C22:N22"/>
    <mergeCell ref="C23:N23"/>
    <mergeCell ref="C24:N24"/>
    <mergeCell ref="C25:N25"/>
    <mergeCell ref="C26:N26"/>
    <mergeCell ref="C27:N27"/>
    <mergeCell ref="C28:N28"/>
    <mergeCell ref="C29:N29"/>
    <mergeCell ref="C42:N42"/>
    <mergeCell ref="C31:N31"/>
    <mergeCell ref="C32:N32"/>
    <mergeCell ref="C33:N33"/>
    <mergeCell ref="C34:N34"/>
    <mergeCell ref="C35:N35"/>
    <mergeCell ref="C36:N36"/>
    <mergeCell ref="C37:N37"/>
    <mergeCell ref="C38:N38"/>
    <mergeCell ref="C39:N39"/>
    <mergeCell ref="C40:N40"/>
    <mergeCell ref="C41:N41"/>
    <mergeCell ref="C54:N54"/>
    <mergeCell ref="C43:N43"/>
    <mergeCell ref="C44:N44"/>
    <mergeCell ref="C45:N45"/>
    <mergeCell ref="C46:N46"/>
    <mergeCell ref="C47:N47"/>
    <mergeCell ref="C48:N48"/>
    <mergeCell ref="C49:N49"/>
    <mergeCell ref="C50:N50"/>
    <mergeCell ref="C51:N51"/>
    <mergeCell ref="C52:N52"/>
    <mergeCell ref="C53:N53"/>
    <mergeCell ref="C61:N61"/>
    <mergeCell ref="C62:N62"/>
    <mergeCell ref="C55:N55"/>
    <mergeCell ref="C56:N56"/>
    <mergeCell ref="C57:N57"/>
    <mergeCell ref="C58:N58"/>
    <mergeCell ref="C59:N59"/>
    <mergeCell ref="C60:N60"/>
  </mergeCells>
  <pageMargins left="0.7" right="0.7" top="0.75" bottom="0.75" header="0.3" footer="0.3"/>
  <pageSetup orientation="portrait"/>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7030A0"/>
  </sheetPr>
  <dimension ref="A2:AH67"/>
  <sheetViews>
    <sheetView workbookViewId="0">
      <pane ySplit="4" topLeftCell="A5" activePane="bottomLeft" state="frozen"/>
      <selection pane="bottomLeft" activeCell="H6" sqref="H6"/>
    </sheetView>
  </sheetViews>
  <sheetFormatPr defaultColWidth="7.140625" defaultRowHeight="10.5" x14ac:dyDescent="0.25"/>
  <cols>
    <col min="1" max="1" width="1.42578125" style="35" customWidth="1"/>
    <col min="2" max="15" width="7.140625" style="35"/>
    <col min="16" max="16" width="48.42578125" style="35" customWidth="1"/>
    <col min="17" max="17" width="2.28515625" style="35" customWidth="1"/>
    <col min="18" max="18" width="1.42578125" style="35" customWidth="1"/>
    <col min="19" max="19" width="48.42578125" style="35" customWidth="1"/>
    <col min="20" max="20" width="2.28515625" style="35" customWidth="1"/>
    <col min="21" max="21" width="1.42578125" style="35" customWidth="1"/>
    <col min="22" max="22" width="48.42578125" style="35" customWidth="1"/>
    <col min="23" max="23" width="2.28515625" style="35" customWidth="1"/>
    <col min="24" max="24" width="1.42578125" style="35" customWidth="1"/>
    <col min="25" max="25" width="48.42578125" style="35" customWidth="1"/>
    <col min="26" max="26" width="2.28515625" style="35" customWidth="1"/>
    <col min="27" max="27" width="1.42578125" style="35" customWidth="1"/>
    <col min="28" max="28" width="48.42578125" style="35" customWidth="1"/>
    <col min="29" max="29" width="2.28515625" style="35" customWidth="1"/>
    <col min="30" max="30" width="1.42578125" style="35" customWidth="1"/>
    <col min="31" max="31" width="48.42578125" style="35" customWidth="1"/>
    <col min="32" max="32" width="2.28515625" style="35" customWidth="1"/>
    <col min="33" max="33" width="1.42578125" style="35" customWidth="1"/>
    <col min="34" max="34" width="48.42578125" style="35" customWidth="1"/>
    <col min="35" max="16384" width="7.140625" style="35"/>
  </cols>
  <sheetData>
    <row r="2" spans="1:27" ht="30.75" customHeight="1" x14ac:dyDescent="0.25">
      <c r="A2" s="2" t="s">
        <v>1</v>
      </c>
      <c r="B2"/>
      <c r="R2" s="1" t="s">
        <v>585</v>
      </c>
      <c r="U2" s="1"/>
      <c r="X2" s="1" t="s">
        <v>237</v>
      </c>
    </row>
    <row r="3" spans="1:27" ht="9" customHeight="1" x14ac:dyDescent="0.25"/>
    <row r="4" spans="1:27" ht="15.75" thickBot="1" x14ac:dyDescent="0.3">
      <c r="A4" s="5"/>
      <c r="AA4" s="35" t="s">
        <v>0</v>
      </c>
    </row>
    <row r="5" spans="1:27" ht="15.75" thickBot="1" x14ac:dyDescent="0.3">
      <c r="A5" s="5"/>
      <c r="F5" s="11"/>
      <c r="G5" s="94" t="s">
        <v>548</v>
      </c>
      <c r="H5" s="471" t="s">
        <v>916</v>
      </c>
      <c r="I5" s="464"/>
      <c r="J5" s="472"/>
    </row>
    <row r="6" spans="1:27" ht="14.25" customHeight="1" x14ac:dyDescent="0.25">
      <c r="B6" s="4" t="s">
        <v>547</v>
      </c>
      <c r="P6" s="63" t="s">
        <v>357</v>
      </c>
    </row>
    <row r="7" spans="1:27" ht="6" customHeight="1" x14ac:dyDescent="0.25">
      <c r="B7" s="4"/>
      <c r="G7" s="6"/>
    </row>
    <row r="8" spans="1:27" ht="14.25" customHeight="1" x14ac:dyDescent="0.25">
      <c r="B8" s="6" t="s">
        <v>266</v>
      </c>
      <c r="C8" s="429" t="s">
        <v>239</v>
      </c>
      <c r="D8" s="429"/>
      <c r="E8" s="429"/>
      <c r="F8" s="429"/>
      <c r="G8" s="429"/>
      <c r="H8" s="429"/>
      <c r="I8" s="429"/>
      <c r="J8" s="429"/>
      <c r="K8" s="429"/>
      <c r="L8" s="429"/>
      <c r="M8" s="429"/>
      <c r="N8" s="429"/>
      <c r="O8" s="6"/>
      <c r="P8" s="175" t="s">
        <v>546</v>
      </c>
      <c r="Q8" s="73"/>
      <c r="S8" s="83"/>
      <c r="T8" s="83"/>
      <c r="U8" s="83"/>
      <c r="V8" s="83"/>
      <c r="W8" s="83"/>
      <c r="X8" s="83"/>
      <c r="Y8" s="83"/>
    </row>
    <row r="9" spans="1:27" ht="14.25" customHeight="1" x14ac:dyDescent="0.25">
      <c r="B9" s="171">
        <v>1</v>
      </c>
      <c r="C9" s="428" t="s">
        <v>544</v>
      </c>
      <c r="D9" s="428"/>
      <c r="E9" s="428"/>
      <c r="F9" s="428"/>
      <c r="G9" s="428"/>
      <c r="H9" s="428"/>
      <c r="I9" s="428"/>
      <c r="J9" s="428"/>
      <c r="K9" s="428"/>
      <c r="L9" s="428"/>
      <c r="M9" s="428"/>
      <c r="N9" s="428"/>
      <c r="O9" s="39"/>
      <c r="P9" s="52" t="s">
        <v>545</v>
      </c>
      <c r="Q9" s="50"/>
      <c r="R9" s="174"/>
      <c r="S9" s="83"/>
      <c r="T9" s="51"/>
      <c r="U9" s="51"/>
      <c r="V9" s="83"/>
      <c r="W9" s="51"/>
      <c r="X9" s="51"/>
      <c r="Y9" s="83"/>
    </row>
    <row r="10" spans="1:27" ht="14.25" customHeight="1" x14ac:dyDescent="0.25">
      <c r="B10" s="171">
        <v>1</v>
      </c>
      <c r="C10" s="428" t="s">
        <v>549</v>
      </c>
      <c r="D10" s="428"/>
      <c r="E10" s="428"/>
      <c r="F10" s="428"/>
      <c r="G10" s="428"/>
      <c r="H10" s="428"/>
      <c r="I10" s="428"/>
      <c r="J10" s="428"/>
      <c r="K10" s="428"/>
      <c r="L10" s="428"/>
      <c r="M10" s="428"/>
      <c r="N10" s="428"/>
      <c r="O10" s="39"/>
      <c r="P10" s="53" t="e">
        <f ca="1">INDIRECT("'"&amp;H5&amp;"'!K7")</f>
        <v>#REF!</v>
      </c>
      <c r="Q10" s="50"/>
      <c r="R10" s="174"/>
      <c r="S10" s="83"/>
      <c r="T10" s="51"/>
      <c r="U10" s="51"/>
      <c r="V10" s="83"/>
      <c r="W10" s="51"/>
      <c r="X10" s="51"/>
      <c r="Y10" s="83"/>
    </row>
    <row r="11" spans="1:27" ht="14.25" customHeight="1" x14ac:dyDescent="0.25">
      <c r="B11" s="171">
        <v>1</v>
      </c>
      <c r="C11" s="428" t="s">
        <v>550</v>
      </c>
      <c r="D11" s="428"/>
      <c r="E11" s="428"/>
      <c r="F11" s="428"/>
      <c r="G11" s="428"/>
      <c r="H11" s="428"/>
      <c r="I11" s="428"/>
      <c r="J11" s="428"/>
      <c r="K11" s="428"/>
      <c r="L11" s="428"/>
      <c r="M11" s="428"/>
      <c r="N11" s="428"/>
      <c r="O11" s="39"/>
      <c r="P11" s="53" t="e">
        <f ca="1">CONCATENATE(IF(INDIRECT("'"&amp;H5&amp;"'!G12")="Yes","CIFS,",""),IF(INDIRECT("'"&amp;H5&amp;"'!I12")="Yes","NFS,",""),IF(INDIRECT("'"&amp;H5&amp;"'!K12")="Yes","FCP,",""),IF(INDIRECT("'"&amp;H5&amp;"'!M12")="Yes","iSCSI,",""))</f>
        <v>#REF!</v>
      </c>
      <c r="Q11" s="50"/>
      <c r="R11" s="174"/>
      <c r="S11" s="83"/>
      <c r="T11" s="51"/>
      <c r="U11" s="51"/>
      <c r="V11" s="83"/>
      <c r="W11" s="51"/>
      <c r="X11" s="51"/>
      <c r="Y11" s="83"/>
    </row>
    <row r="12" spans="1:27" ht="14.25" customHeight="1" x14ac:dyDescent="0.25">
      <c r="B12" s="171">
        <v>1</v>
      </c>
      <c r="C12" s="428" t="s">
        <v>551</v>
      </c>
      <c r="D12" s="428"/>
      <c r="E12" s="428"/>
      <c r="F12" s="428"/>
      <c r="G12" s="428"/>
      <c r="H12" s="428"/>
      <c r="I12" s="428"/>
      <c r="J12" s="428"/>
      <c r="K12" s="428"/>
      <c r="L12" s="428"/>
      <c r="M12" s="428"/>
      <c r="N12" s="428"/>
      <c r="O12" s="39"/>
      <c r="P12" s="53" t="s">
        <v>552</v>
      </c>
      <c r="Q12" s="50"/>
      <c r="R12" s="174"/>
      <c r="S12" s="83"/>
      <c r="T12" s="51"/>
      <c r="U12" s="51"/>
      <c r="V12" s="83"/>
      <c r="W12" s="51"/>
      <c r="X12" s="51"/>
      <c r="Y12" s="83"/>
    </row>
    <row r="13" spans="1:27" ht="14.25" customHeight="1" x14ac:dyDescent="0.25">
      <c r="B13" s="171">
        <v>1</v>
      </c>
      <c r="C13" s="428" t="s">
        <v>553</v>
      </c>
      <c r="D13" s="428"/>
      <c r="E13" s="428"/>
      <c r="F13" s="428"/>
      <c r="G13" s="428"/>
      <c r="H13" s="428"/>
      <c r="I13" s="428"/>
      <c r="J13" s="428"/>
      <c r="K13" s="428"/>
      <c r="L13" s="428"/>
      <c r="M13" s="428"/>
      <c r="N13" s="428"/>
      <c r="O13" s="39"/>
      <c r="P13" s="53" t="e">
        <f ca="1">INDIRECT("'"&amp;H5&amp;"'!F14")</f>
        <v>#REF!</v>
      </c>
      <c r="Q13" s="50"/>
      <c r="R13" s="174"/>
      <c r="S13" s="83"/>
      <c r="T13" s="51"/>
      <c r="U13" s="51"/>
      <c r="V13" s="83"/>
      <c r="W13" s="51"/>
      <c r="X13" s="51"/>
      <c r="Y13" s="83"/>
    </row>
    <row r="14" spans="1:27" ht="14.25" customHeight="1" x14ac:dyDescent="0.25">
      <c r="B14" s="171">
        <v>1</v>
      </c>
      <c r="C14" s="428" t="s">
        <v>554</v>
      </c>
      <c r="D14" s="428"/>
      <c r="E14" s="428"/>
      <c r="F14" s="428"/>
      <c r="G14" s="428"/>
      <c r="H14" s="428"/>
      <c r="I14" s="428"/>
      <c r="J14" s="428"/>
      <c r="K14" s="428"/>
      <c r="L14" s="428"/>
      <c r="M14" s="428"/>
      <c r="N14" s="428"/>
      <c r="O14" s="39"/>
      <c r="P14" s="53" t="s">
        <v>555</v>
      </c>
      <c r="Q14" s="50"/>
      <c r="R14" s="174"/>
      <c r="S14" s="83"/>
      <c r="T14" s="51"/>
      <c r="U14" s="51"/>
      <c r="V14" s="83"/>
      <c r="W14" s="51"/>
      <c r="X14" s="51"/>
      <c r="Y14" s="83"/>
    </row>
    <row r="15" spans="1:27" ht="14.25" customHeight="1" x14ac:dyDescent="0.25">
      <c r="B15" s="171">
        <v>1</v>
      </c>
      <c r="C15" s="428" t="s">
        <v>556</v>
      </c>
      <c r="D15" s="428"/>
      <c r="E15" s="428"/>
      <c r="F15" s="428"/>
      <c r="G15" s="428"/>
      <c r="H15" s="428"/>
      <c r="I15" s="428"/>
      <c r="J15" s="428"/>
      <c r="K15" s="428"/>
      <c r="L15" s="428"/>
      <c r="M15" s="428"/>
      <c r="N15" s="428"/>
      <c r="O15" s="39"/>
      <c r="P15" s="53" t="s">
        <v>557</v>
      </c>
      <c r="Q15" s="50"/>
      <c r="R15" s="174"/>
      <c r="S15" s="83"/>
      <c r="T15" s="51"/>
      <c r="U15" s="51"/>
      <c r="V15" s="83"/>
      <c r="W15" s="51"/>
      <c r="X15" s="51"/>
      <c r="Y15" s="83"/>
    </row>
    <row r="16" spans="1:27" ht="14.25" customHeight="1" x14ac:dyDescent="0.25">
      <c r="B16" s="171">
        <v>1</v>
      </c>
      <c r="C16" s="428" t="s">
        <v>558</v>
      </c>
      <c r="D16" s="428"/>
      <c r="E16" s="428"/>
      <c r="F16" s="428"/>
      <c r="G16" s="428"/>
      <c r="H16" s="428"/>
      <c r="I16" s="428"/>
      <c r="J16" s="428"/>
      <c r="K16" s="428"/>
      <c r="L16" s="428"/>
      <c r="M16" s="428"/>
      <c r="N16" s="428"/>
      <c r="O16" s="39"/>
      <c r="P16" s="53" t="s">
        <v>559</v>
      </c>
      <c r="Q16" s="50"/>
      <c r="R16" s="174"/>
      <c r="S16" s="83"/>
      <c r="T16" s="51"/>
      <c r="U16" s="51"/>
      <c r="V16" s="83"/>
      <c r="W16" s="51"/>
      <c r="X16" s="51"/>
      <c r="Y16" s="83"/>
    </row>
    <row r="17" spans="2:34" ht="14.25" customHeight="1" x14ac:dyDescent="0.25">
      <c r="B17" s="171">
        <v>1</v>
      </c>
      <c r="C17" s="428" t="s">
        <v>560</v>
      </c>
      <c r="D17" s="428"/>
      <c r="E17" s="428"/>
      <c r="F17" s="428"/>
      <c r="G17" s="428"/>
      <c r="H17" s="428"/>
      <c r="I17" s="428"/>
      <c r="J17" s="428"/>
      <c r="K17" s="428"/>
      <c r="L17" s="428"/>
      <c r="M17" s="428"/>
      <c r="N17" s="428"/>
      <c r="O17" s="39"/>
      <c r="P17" s="53" t="s">
        <v>341</v>
      </c>
      <c r="Q17" s="50"/>
      <c r="R17" s="174"/>
      <c r="S17" s="83"/>
      <c r="T17" s="51"/>
      <c r="U17" s="51"/>
      <c r="V17" s="83"/>
      <c r="W17" s="51"/>
      <c r="X17" s="51"/>
      <c r="Y17" s="83"/>
    </row>
    <row r="18" spans="2:34" ht="14.25" customHeight="1" x14ac:dyDescent="0.25">
      <c r="B18" s="171">
        <v>1</v>
      </c>
      <c r="C18" s="428" t="s">
        <v>561</v>
      </c>
      <c r="D18" s="428"/>
      <c r="E18" s="428"/>
      <c r="F18" s="428"/>
      <c r="G18" s="428"/>
      <c r="H18" s="428"/>
      <c r="I18" s="428"/>
      <c r="J18" s="428"/>
      <c r="K18" s="428"/>
      <c r="L18" s="428"/>
      <c r="M18" s="428"/>
      <c r="N18" s="428"/>
      <c r="O18" s="39"/>
      <c r="P18" s="53" t="e">
        <f ca="1">INDIRECT("'"&amp;$H$5&amp;"'!$M$33")</f>
        <v>#REF!</v>
      </c>
      <c r="Q18" s="50"/>
      <c r="R18" s="174"/>
      <c r="S18" s="83"/>
      <c r="T18" s="51"/>
      <c r="U18" s="51"/>
      <c r="V18" s="83"/>
      <c r="W18" s="51"/>
      <c r="X18" s="51"/>
      <c r="Y18" s="83"/>
    </row>
    <row r="19" spans="2:34" ht="14.25" customHeight="1" x14ac:dyDescent="0.25">
      <c r="B19" s="171">
        <v>1</v>
      </c>
      <c r="C19" s="428" t="s">
        <v>562</v>
      </c>
      <c r="D19" s="428"/>
      <c r="E19" s="428"/>
      <c r="F19" s="428"/>
      <c r="G19" s="428"/>
      <c r="H19" s="428"/>
      <c r="I19" s="428"/>
      <c r="J19" s="428"/>
      <c r="K19" s="428"/>
      <c r="L19" s="428"/>
      <c r="M19" s="428"/>
      <c r="N19" s="428"/>
      <c r="O19" s="39"/>
      <c r="P19" s="53" t="s">
        <v>563</v>
      </c>
      <c r="Q19" s="50"/>
      <c r="R19" s="174"/>
      <c r="S19" s="83"/>
      <c r="T19" s="51"/>
      <c r="U19" s="51"/>
      <c r="V19" s="83"/>
      <c r="W19" s="51"/>
      <c r="X19" s="51"/>
      <c r="Y19" s="83"/>
    </row>
    <row r="20" spans="2:34" ht="14.25" customHeight="1" x14ac:dyDescent="0.25">
      <c r="B20" s="171">
        <v>1</v>
      </c>
      <c r="C20" s="428" t="s">
        <v>564</v>
      </c>
      <c r="D20" s="428"/>
      <c r="E20" s="428"/>
      <c r="F20" s="428"/>
      <c r="G20" s="428"/>
      <c r="H20" s="428"/>
      <c r="I20" s="428"/>
      <c r="J20" s="428"/>
      <c r="K20" s="428"/>
      <c r="L20" s="428"/>
      <c r="M20" s="428"/>
      <c r="N20" s="428"/>
      <c r="O20" s="39"/>
      <c r="P20" s="53" t="e">
        <f ca="1">INDIRECT("'"&amp;$H$5&amp;"'!$Q$33")</f>
        <v>#REF!</v>
      </c>
      <c r="Q20" s="50"/>
      <c r="R20" s="174"/>
      <c r="S20" s="83"/>
      <c r="T20" s="51"/>
      <c r="U20" s="51"/>
      <c r="V20" s="83"/>
      <c r="W20" s="51"/>
      <c r="X20" s="51"/>
      <c r="Y20" s="83"/>
    </row>
    <row r="21" spans="2:34" ht="14.25" customHeight="1" x14ac:dyDescent="0.25">
      <c r="B21" s="171">
        <v>1</v>
      </c>
      <c r="C21" s="428" t="s">
        <v>565</v>
      </c>
      <c r="D21" s="428"/>
      <c r="E21" s="428"/>
      <c r="F21" s="428"/>
      <c r="G21" s="428"/>
      <c r="H21" s="428"/>
      <c r="I21" s="428"/>
      <c r="J21" s="428"/>
      <c r="K21" s="428"/>
      <c r="L21" s="428"/>
      <c r="M21" s="428"/>
      <c r="N21" s="428"/>
      <c r="O21" s="39"/>
      <c r="P21" s="53" t="e">
        <f ca="1">INDIRECT("'"&amp;$H$5&amp;"'!$T$33")</f>
        <v>#REF!</v>
      </c>
      <c r="Q21" s="50"/>
      <c r="R21" s="174"/>
      <c r="S21" s="83"/>
      <c r="T21" s="51"/>
      <c r="U21" s="51"/>
      <c r="V21" s="83"/>
      <c r="W21" s="51"/>
      <c r="X21" s="51"/>
      <c r="Y21" s="83"/>
    </row>
    <row r="22" spans="2:34" ht="14.25" customHeight="1" x14ac:dyDescent="0.25">
      <c r="B22" s="171">
        <v>1</v>
      </c>
      <c r="C22" s="428" t="s">
        <v>566</v>
      </c>
      <c r="D22" s="428"/>
      <c r="E22" s="428"/>
      <c r="F22" s="428"/>
      <c r="G22" s="428"/>
      <c r="H22" s="428"/>
      <c r="I22" s="428"/>
      <c r="J22" s="428"/>
      <c r="K22" s="428"/>
      <c r="L22" s="428"/>
      <c r="M22" s="428"/>
      <c r="N22" s="428"/>
      <c r="O22" s="39"/>
      <c r="P22" s="53" t="e">
        <f ca="1">INDIRECT("'"&amp;$H$5&amp;"'!$J$33")</f>
        <v>#REF!</v>
      </c>
      <c r="Q22" s="50"/>
      <c r="R22" s="174"/>
      <c r="S22" s="83"/>
      <c r="T22" s="51"/>
      <c r="U22" s="51"/>
      <c r="V22" s="83"/>
      <c r="W22" s="51"/>
      <c r="X22" s="51"/>
      <c r="Y22" s="83"/>
    </row>
    <row r="23" spans="2:34" ht="14.25" customHeight="1" x14ac:dyDescent="0.25">
      <c r="B23" s="171">
        <v>1</v>
      </c>
      <c r="C23" s="428" t="s">
        <v>567</v>
      </c>
      <c r="D23" s="428"/>
      <c r="E23" s="428"/>
      <c r="F23" s="428"/>
      <c r="G23" s="428"/>
      <c r="H23" s="428"/>
      <c r="I23" s="428"/>
      <c r="J23" s="428"/>
      <c r="K23" s="428"/>
      <c r="L23" s="428"/>
      <c r="M23" s="428"/>
      <c r="N23" s="428"/>
      <c r="O23" s="39"/>
      <c r="P23" s="53" t="e">
        <f ca="1">INDIRECT("'"&amp;$H$5&amp;"'!$K$28")</f>
        <v>#REF!</v>
      </c>
      <c r="Q23" s="50"/>
      <c r="R23" s="174"/>
      <c r="S23" s="67" t="s">
        <v>866</v>
      </c>
      <c r="T23" s="51"/>
      <c r="U23" s="51"/>
      <c r="V23" s="83"/>
      <c r="W23" s="51"/>
      <c r="X23" s="51"/>
      <c r="Y23" s="83"/>
    </row>
    <row r="24" spans="2:34" ht="14.25" customHeight="1" x14ac:dyDescent="0.25">
      <c r="B24" s="171">
        <v>1</v>
      </c>
      <c r="C24" s="428" t="s">
        <v>568</v>
      </c>
      <c r="D24" s="428"/>
      <c r="E24" s="428"/>
      <c r="F24" s="428"/>
      <c r="G24" s="428"/>
      <c r="H24" s="428"/>
      <c r="I24" s="428"/>
      <c r="J24" s="428"/>
      <c r="K24" s="428"/>
      <c r="L24" s="428"/>
      <c r="M24" s="428"/>
      <c r="N24" s="428"/>
      <c r="O24" s="39"/>
      <c r="P24" s="53" t="e">
        <f ca="1">INDIRECT("'"&amp;$H$5&amp;"'!$K$27")</f>
        <v>#REF!</v>
      </c>
      <c r="Q24" s="50"/>
      <c r="R24" s="174"/>
      <c r="S24" s="83"/>
      <c r="T24" s="51"/>
      <c r="U24" s="51"/>
      <c r="V24" s="83"/>
      <c r="W24" s="51"/>
      <c r="X24" s="51"/>
      <c r="Y24" s="83"/>
    </row>
    <row r="25" spans="2:34" ht="14.25" customHeight="1" x14ac:dyDescent="0.25">
      <c r="B25" s="171">
        <v>1</v>
      </c>
      <c r="C25" s="428" t="s">
        <v>569</v>
      </c>
      <c r="D25" s="428"/>
      <c r="E25" s="428"/>
      <c r="F25" s="428"/>
      <c r="G25" s="428"/>
      <c r="H25" s="428"/>
      <c r="I25" s="428"/>
      <c r="J25" s="428"/>
      <c r="K25" s="428"/>
      <c r="L25" s="428"/>
      <c r="M25" s="428"/>
      <c r="N25" s="428"/>
      <c r="O25" s="39"/>
      <c r="P25" s="53" t="s">
        <v>341</v>
      </c>
      <c r="Q25" s="50"/>
      <c r="R25" s="174"/>
      <c r="S25" s="35" t="e">
        <f ca="1">IF(S26&lt;&gt;"","yes","no")</f>
        <v>#REF!</v>
      </c>
      <c r="T25" s="50"/>
      <c r="U25" s="174"/>
      <c r="V25" s="35" t="e">
        <f ca="1">IF(V26&lt;&gt;"","yes","no")</f>
        <v>#REF!</v>
      </c>
      <c r="W25" s="50"/>
      <c r="X25" s="174"/>
      <c r="Y25" s="35" t="e">
        <f ca="1">IF(Y26&lt;&gt;"","yes","no")</f>
        <v>#REF!</v>
      </c>
      <c r="Z25" s="50"/>
      <c r="AA25" s="174"/>
      <c r="AB25" s="35" t="e">
        <f ca="1">IF(AB26&lt;&gt;"","yes","no")</f>
        <v>#REF!</v>
      </c>
      <c r="AC25" s="50"/>
      <c r="AD25" s="174"/>
      <c r="AE25" s="35" t="e">
        <f ca="1">IF(AE26&lt;&gt;"","yes","no")</f>
        <v>#REF!</v>
      </c>
      <c r="AF25" s="50"/>
      <c r="AG25" s="174"/>
      <c r="AH25" s="35" t="e">
        <f ca="1">IF(AH26&lt;&gt;"","yes","no")</f>
        <v>#REF!</v>
      </c>
    </row>
    <row r="26" spans="2:34" ht="14.25" customHeight="1" x14ac:dyDescent="0.25">
      <c r="B26" s="171">
        <v>1</v>
      </c>
      <c r="C26" s="428" t="s">
        <v>570</v>
      </c>
      <c r="D26" s="428"/>
      <c r="E26" s="428"/>
      <c r="F26" s="428"/>
      <c r="G26" s="428"/>
      <c r="H26" s="428"/>
      <c r="I26" s="428"/>
      <c r="J26" s="428"/>
      <c r="K26" s="428"/>
      <c r="L26" s="428"/>
      <c r="M26" s="428"/>
      <c r="N26" s="428"/>
      <c r="O26" s="39"/>
      <c r="P26" s="53" t="e">
        <f ca="1">INDIRECT("'"&amp;$H$5&amp;"'!$M$34")</f>
        <v>#REF!</v>
      </c>
      <c r="Q26" s="50"/>
      <c r="R26" s="174"/>
      <c r="S26" s="53" t="e">
        <f ca="1">INDIRECT("'"&amp;$H$5&amp;"'!$M$35")</f>
        <v>#REF!</v>
      </c>
      <c r="T26" s="50"/>
      <c r="U26" s="174"/>
      <c r="V26" s="53" t="e">
        <f ca="1">INDIRECT("'"&amp;$H$5&amp;"'!$M$36")</f>
        <v>#REF!</v>
      </c>
      <c r="W26" s="50"/>
      <c r="X26" s="174"/>
      <c r="Y26" s="53" t="e">
        <f ca="1">INDIRECT("'"&amp;$H$5&amp;"'!$M$37")</f>
        <v>#REF!</v>
      </c>
      <c r="Z26" s="50"/>
      <c r="AA26" s="174"/>
      <c r="AB26" s="53" t="e">
        <f ca="1">INDIRECT("'"&amp;$H$5&amp;"'!$M$38")</f>
        <v>#REF!</v>
      </c>
      <c r="AC26" s="50"/>
      <c r="AD26" s="174"/>
      <c r="AE26" s="53" t="e">
        <f ca="1">INDIRECT("'"&amp;$H$5&amp;"'!$M$39")</f>
        <v>#REF!</v>
      </c>
      <c r="AF26" s="50"/>
      <c r="AG26" s="174"/>
      <c r="AH26" s="53" t="e">
        <f ca="1">INDIRECT("'"&amp;$H$5&amp;"'!$M$40")</f>
        <v>#REF!</v>
      </c>
    </row>
    <row r="27" spans="2:34" ht="14.25" customHeight="1" x14ac:dyDescent="0.25">
      <c r="B27" s="171">
        <v>1</v>
      </c>
      <c r="C27" s="428" t="s">
        <v>562</v>
      </c>
      <c r="D27" s="428"/>
      <c r="E27" s="428"/>
      <c r="F27" s="428"/>
      <c r="G27" s="428"/>
      <c r="H27" s="428"/>
      <c r="I27" s="428"/>
      <c r="J27" s="428"/>
      <c r="K27" s="428"/>
      <c r="L27" s="428"/>
      <c r="M27" s="428"/>
      <c r="N27" s="428"/>
      <c r="O27" s="39"/>
      <c r="P27" s="53" t="s">
        <v>563</v>
      </c>
      <c r="Q27" s="50"/>
      <c r="R27" s="174"/>
      <c r="S27" s="53" t="s">
        <v>563</v>
      </c>
      <c r="T27" s="50"/>
      <c r="U27" s="174"/>
      <c r="V27" s="53" t="s">
        <v>563</v>
      </c>
      <c r="W27" s="50"/>
      <c r="X27" s="174"/>
      <c r="Y27" s="53" t="s">
        <v>563</v>
      </c>
      <c r="Z27" s="50"/>
      <c r="AA27" s="174"/>
      <c r="AB27" s="53" t="s">
        <v>563</v>
      </c>
      <c r="AC27" s="50"/>
      <c r="AD27" s="174"/>
      <c r="AE27" s="53" t="s">
        <v>563</v>
      </c>
      <c r="AF27" s="50"/>
      <c r="AG27" s="174"/>
      <c r="AH27" s="53" t="s">
        <v>563</v>
      </c>
    </row>
    <row r="28" spans="2:34" ht="14.25" customHeight="1" x14ac:dyDescent="0.25">
      <c r="B28" s="171">
        <v>1</v>
      </c>
      <c r="C28" s="428" t="s">
        <v>564</v>
      </c>
      <c r="D28" s="428"/>
      <c r="E28" s="428"/>
      <c r="F28" s="428"/>
      <c r="G28" s="428"/>
      <c r="H28" s="428"/>
      <c r="I28" s="428"/>
      <c r="J28" s="428"/>
      <c r="K28" s="428"/>
      <c r="L28" s="428"/>
      <c r="M28" s="428"/>
      <c r="N28" s="428"/>
      <c r="O28" s="39"/>
      <c r="P28" s="53" t="e">
        <f ca="1">INDIRECT("'"&amp;$H$5&amp;"'!$Q$34")</f>
        <v>#REF!</v>
      </c>
      <c r="Q28" s="50"/>
      <c r="R28" s="174"/>
      <c r="S28" s="53" t="e">
        <f ca="1">INDIRECT("'"&amp;$H$5&amp;"'!$Q$35")</f>
        <v>#REF!</v>
      </c>
      <c r="T28" s="50"/>
      <c r="U28" s="174"/>
      <c r="V28" s="53" t="e">
        <f ca="1">INDIRECT("'"&amp;$H$5&amp;"'!$Q$36")</f>
        <v>#REF!</v>
      </c>
      <c r="W28" s="50"/>
      <c r="X28" s="174"/>
      <c r="Y28" s="53" t="e">
        <f ca="1">INDIRECT("'"&amp;$H$5&amp;"'!$Q$37")</f>
        <v>#REF!</v>
      </c>
      <c r="Z28" s="50"/>
      <c r="AA28" s="174"/>
      <c r="AB28" s="53" t="e">
        <f ca="1">INDIRECT("'"&amp;$H$5&amp;"'!$Q$38")</f>
        <v>#REF!</v>
      </c>
      <c r="AC28" s="50"/>
      <c r="AD28" s="174"/>
      <c r="AE28" s="53" t="e">
        <f ca="1">INDIRECT("'"&amp;$H$5&amp;"'!$Q$39")</f>
        <v>#REF!</v>
      </c>
      <c r="AF28" s="50"/>
      <c r="AG28" s="174"/>
      <c r="AH28" s="53" t="e">
        <f ca="1">INDIRECT("'"&amp;$H$5&amp;"'!$Q$40")</f>
        <v>#REF!</v>
      </c>
    </row>
    <row r="29" spans="2:34" ht="14.25" customHeight="1" x14ac:dyDescent="0.25">
      <c r="B29" s="171">
        <v>1</v>
      </c>
      <c r="C29" s="428" t="s">
        <v>565</v>
      </c>
      <c r="D29" s="428"/>
      <c r="E29" s="428"/>
      <c r="F29" s="428"/>
      <c r="G29" s="428"/>
      <c r="H29" s="428"/>
      <c r="I29" s="428"/>
      <c r="J29" s="428"/>
      <c r="K29" s="428"/>
      <c r="L29" s="428"/>
      <c r="M29" s="428"/>
      <c r="N29" s="428"/>
      <c r="O29" s="39"/>
      <c r="P29" s="53" t="e">
        <f ca="1">INDIRECT("'"&amp;$H$5&amp;"'!$T$34")</f>
        <v>#REF!</v>
      </c>
      <c r="Q29" s="50"/>
      <c r="R29" s="174"/>
      <c r="S29" s="53" t="e">
        <f ca="1">INDIRECT("'"&amp;$H$5&amp;"'!$T$35")</f>
        <v>#REF!</v>
      </c>
      <c r="T29" s="50"/>
      <c r="U29" s="174"/>
      <c r="V29" s="53" t="e">
        <f ca="1">INDIRECT("'"&amp;$H$5&amp;"'!$T$36")</f>
        <v>#REF!</v>
      </c>
      <c r="W29" s="50"/>
      <c r="X29" s="174"/>
      <c r="Y29" s="53" t="e">
        <f ca="1">INDIRECT("'"&amp;$H$5&amp;"'!$T$37")</f>
        <v>#REF!</v>
      </c>
      <c r="Z29" s="50"/>
      <c r="AA29" s="174"/>
      <c r="AB29" s="53" t="e">
        <f ca="1">INDIRECT("'"&amp;$H$5&amp;"'!$T$38")</f>
        <v>#REF!</v>
      </c>
      <c r="AC29" s="50"/>
      <c r="AD29" s="174"/>
      <c r="AE29" s="53" t="e">
        <f ca="1">INDIRECT("'"&amp;$H$5&amp;"'!$T$39")</f>
        <v>#REF!</v>
      </c>
      <c r="AF29" s="50"/>
      <c r="AG29" s="174"/>
      <c r="AH29" s="53" t="e">
        <f ca="1">INDIRECT("'"&amp;$H$5&amp;"'!$T$40")</f>
        <v>#REF!</v>
      </c>
    </row>
    <row r="30" spans="2:34" ht="14.25" customHeight="1" x14ac:dyDescent="0.25">
      <c r="B30" s="171">
        <v>1</v>
      </c>
      <c r="C30" s="428" t="s">
        <v>566</v>
      </c>
      <c r="D30" s="428"/>
      <c r="E30" s="428"/>
      <c r="F30" s="428"/>
      <c r="G30" s="428"/>
      <c r="H30" s="428"/>
      <c r="I30" s="428"/>
      <c r="J30" s="428"/>
      <c r="K30" s="428"/>
      <c r="L30" s="428"/>
      <c r="M30" s="428"/>
      <c r="N30" s="428"/>
      <c r="O30" s="39"/>
      <c r="P30" s="53" t="e">
        <f ca="1">INDIRECT("'"&amp;$H$5&amp;"'!$J$34")</f>
        <v>#REF!</v>
      </c>
      <c r="Q30" s="50"/>
      <c r="R30" s="174"/>
      <c r="S30" s="53" t="e">
        <f ca="1">INDIRECT("'"&amp;$H$5&amp;"'!$J$35")</f>
        <v>#REF!</v>
      </c>
      <c r="T30" s="50"/>
      <c r="U30" s="174"/>
      <c r="V30" s="53" t="e">
        <f ca="1">INDIRECT("'"&amp;$H$5&amp;"'!$J$36")</f>
        <v>#REF!</v>
      </c>
      <c r="W30" s="50"/>
      <c r="X30" s="174"/>
      <c r="Y30" s="53" t="e">
        <f ca="1">INDIRECT("'"&amp;$H$5&amp;"'!$J$37")</f>
        <v>#REF!</v>
      </c>
      <c r="Z30" s="50"/>
      <c r="AA30" s="174"/>
      <c r="AB30" s="53" t="e">
        <f ca="1">INDIRECT("'"&amp;$H$5&amp;"'!$J$38")</f>
        <v>#REF!</v>
      </c>
      <c r="AC30" s="50"/>
      <c r="AD30" s="174"/>
      <c r="AE30" s="53" t="e">
        <f ca="1">INDIRECT("'"&amp;$H$5&amp;"'!$J$39")</f>
        <v>#REF!</v>
      </c>
      <c r="AF30" s="50"/>
      <c r="AG30" s="174"/>
      <c r="AH30" s="53" t="e">
        <f ca="1">INDIRECT("'"&amp;$H$5&amp;"'!$J$40")</f>
        <v>#REF!</v>
      </c>
    </row>
    <row r="31" spans="2:34" ht="14.25" customHeight="1" x14ac:dyDescent="0.25">
      <c r="B31" s="171">
        <v>1</v>
      </c>
      <c r="C31" s="428" t="s">
        <v>567</v>
      </c>
      <c r="D31" s="428"/>
      <c r="E31" s="428"/>
      <c r="F31" s="428"/>
      <c r="G31" s="428"/>
      <c r="H31" s="428"/>
      <c r="I31" s="428"/>
      <c r="J31" s="428"/>
      <c r="K31" s="428"/>
      <c r="L31" s="428"/>
      <c r="M31" s="428"/>
      <c r="N31" s="428"/>
      <c r="O31" s="39"/>
      <c r="P31" s="53" t="e">
        <f ca="1">INDIRECT("'"&amp;$H$5&amp;"'!$K$28")</f>
        <v>#REF!</v>
      </c>
      <c r="Q31" s="50"/>
      <c r="R31" s="174"/>
      <c r="S31" s="53" t="e">
        <f ca="1">INDIRECT("'"&amp;$H$5&amp;"'!$K$28")</f>
        <v>#REF!</v>
      </c>
      <c r="T31" s="50"/>
      <c r="U31" s="174"/>
      <c r="V31" s="53" t="e">
        <f ca="1">INDIRECT("'"&amp;$H$5&amp;"'!$K$28")</f>
        <v>#REF!</v>
      </c>
      <c r="W31" s="50"/>
      <c r="X31" s="174"/>
      <c r="Y31" s="53" t="e">
        <f ca="1">INDIRECT("'"&amp;$H$5&amp;"'!$K$28")</f>
        <v>#REF!</v>
      </c>
      <c r="Z31" s="50"/>
      <c r="AA31" s="174"/>
      <c r="AB31" s="53" t="e">
        <f ca="1">INDIRECT("'"&amp;$H$5&amp;"'!$K$28")</f>
        <v>#REF!</v>
      </c>
      <c r="AC31" s="50"/>
      <c r="AD31" s="174"/>
      <c r="AE31" s="53" t="e">
        <f ca="1">INDIRECT("'"&amp;$H$5&amp;"'!$K$28")</f>
        <v>#REF!</v>
      </c>
      <c r="AF31" s="50"/>
      <c r="AG31" s="174"/>
      <c r="AH31" s="53" t="e">
        <f ca="1">INDIRECT("'"&amp;$H$5&amp;"'!$K$28")</f>
        <v>#REF!</v>
      </c>
    </row>
    <row r="32" spans="2:34" ht="14.25" customHeight="1" x14ac:dyDescent="0.25">
      <c r="B32" s="171">
        <v>1</v>
      </c>
      <c r="C32" s="428" t="s">
        <v>568</v>
      </c>
      <c r="D32" s="428"/>
      <c r="E32" s="428"/>
      <c r="F32" s="428"/>
      <c r="G32" s="428"/>
      <c r="H32" s="428"/>
      <c r="I32" s="428"/>
      <c r="J32" s="428"/>
      <c r="K32" s="428"/>
      <c r="L32" s="428"/>
      <c r="M32" s="428"/>
      <c r="N32" s="428"/>
      <c r="O32" s="39"/>
      <c r="P32" s="53" t="e">
        <f ca="1">INDIRECT("'"&amp;$H$5&amp;"'!$K$27")</f>
        <v>#REF!</v>
      </c>
      <c r="Q32" s="50"/>
      <c r="R32" s="174"/>
      <c r="S32" s="53" t="e">
        <f ca="1">INDIRECT("'"&amp;$H$5&amp;"'!$K$27")</f>
        <v>#REF!</v>
      </c>
      <c r="T32" s="50"/>
      <c r="U32" s="174"/>
      <c r="V32" s="53" t="e">
        <f ca="1">INDIRECT("'"&amp;$H$5&amp;"'!$K$27")</f>
        <v>#REF!</v>
      </c>
      <c r="W32" s="50"/>
      <c r="X32" s="174"/>
      <c r="Y32" s="53" t="e">
        <f ca="1">INDIRECT("'"&amp;$H$5&amp;"'!$K$27")</f>
        <v>#REF!</v>
      </c>
      <c r="Z32" s="50"/>
      <c r="AA32" s="174"/>
      <c r="AB32" s="53" t="e">
        <f ca="1">INDIRECT("'"&amp;$H$5&amp;"'!$K$27")</f>
        <v>#REF!</v>
      </c>
      <c r="AC32" s="50"/>
      <c r="AD32" s="174"/>
      <c r="AE32" s="53" t="e">
        <f ca="1">INDIRECT("'"&amp;$H$5&amp;"'!$K$27")</f>
        <v>#REF!</v>
      </c>
      <c r="AF32" s="50"/>
      <c r="AG32" s="174"/>
      <c r="AH32" s="53" t="e">
        <f ca="1">INDIRECT("'"&amp;$H$5&amp;"'!$K$27")</f>
        <v>#REF!</v>
      </c>
    </row>
    <row r="33" spans="2:34" ht="14.25" customHeight="1" x14ac:dyDescent="0.25">
      <c r="B33" s="171">
        <v>1</v>
      </c>
      <c r="C33" s="428" t="s">
        <v>569</v>
      </c>
      <c r="D33" s="428"/>
      <c r="E33" s="428"/>
      <c r="F33" s="428"/>
      <c r="G33" s="428"/>
      <c r="H33" s="428"/>
      <c r="I33" s="428"/>
      <c r="J33" s="428"/>
      <c r="K33" s="428"/>
      <c r="L33" s="428"/>
      <c r="M33" s="428"/>
      <c r="N33" s="428"/>
      <c r="O33" s="39"/>
      <c r="P33" s="53" t="s">
        <v>586</v>
      </c>
      <c r="Q33" s="50"/>
      <c r="R33" s="174"/>
      <c r="S33" s="53" t="s">
        <v>586</v>
      </c>
      <c r="T33" s="50"/>
      <c r="U33" s="174"/>
      <c r="V33" s="53" t="s">
        <v>586</v>
      </c>
      <c r="W33" s="50"/>
      <c r="X33" s="174"/>
      <c r="Y33" s="53" t="s">
        <v>586</v>
      </c>
      <c r="Z33" s="50"/>
      <c r="AA33" s="174"/>
      <c r="AB33" s="53" t="s">
        <v>586</v>
      </c>
      <c r="AC33" s="50"/>
      <c r="AD33" s="174"/>
      <c r="AE33" s="53" t="s">
        <v>586</v>
      </c>
      <c r="AF33" s="50"/>
      <c r="AG33" s="174"/>
      <c r="AH33" s="53" t="s">
        <v>586</v>
      </c>
    </row>
    <row r="34" spans="2:34" ht="14.25" customHeight="1" x14ac:dyDescent="0.25">
      <c r="B34" s="171">
        <v>1</v>
      </c>
      <c r="C34" s="428" t="s">
        <v>571</v>
      </c>
      <c r="D34" s="428"/>
      <c r="E34" s="428"/>
      <c r="F34" s="428"/>
      <c r="G34" s="428"/>
      <c r="H34" s="428"/>
      <c r="I34" s="428"/>
      <c r="J34" s="428"/>
      <c r="K34" s="428"/>
      <c r="L34" s="428"/>
      <c r="M34" s="428"/>
      <c r="N34" s="428"/>
      <c r="O34" s="39"/>
      <c r="P34" s="53" t="s">
        <v>341</v>
      </c>
      <c r="Q34" s="50"/>
      <c r="R34" s="174"/>
      <c r="T34" s="50"/>
      <c r="U34" s="174"/>
      <c r="W34" s="50"/>
      <c r="X34" s="174"/>
      <c r="Z34" s="50"/>
      <c r="AA34" s="174"/>
      <c r="AC34" s="50"/>
      <c r="AD34" s="174"/>
      <c r="AF34" s="50"/>
      <c r="AG34" s="174"/>
    </row>
    <row r="35" spans="2:34" ht="14.25" customHeight="1" x14ac:dyDescent="0.25">
      <c r="B35" s="171">
        <v>1</v>
      </c>
      <c r="C35" s="428" t="s">
        <v>572</v>
      </c>
      <c r="D35" s="428"/>
      <c r="E35" s="428"/>
      <c r="F35" s="428"/>
      <c r="G35" s="428"/>
      <c r="H35" s="428"/>
      <c r="I35" s="428"/>
      <c r="J35" s="428"/>
      <c r="K35" s="428"/>
      <c r="L35" s="428"/>
      <c r="M35" s="428"/>
      <c r="N35" s="428"/>
      <c r="O35" s="39"/>
      <c r="P35" s="53" t="e">
        <f ca="1">INDIRECT("'"&amp;$H$5&amp;"'!F9")</f>
        <v>#REF!</v>
      </c>
      <c r="Q35" s="50"/>
      <c r="R35" s="174"/>
      <c r="S35" s="83"/>
      <c r="T35" s="51"/>
      <c r="U35" s="51"/>
      <c r="V35" s="83"/>
      <c r="W35" s="51"/>
      <c r="X35" s="51"/>
      <c r="Y35" s="83"/>
    </row>
    <row r="36" spans="2:34" ht="14.25" customHeight="1" x14ac:dyDescent="0.25">
      <c r="B36" s="171">
        <v>1</v>
      </c>
      <c r="C36" s="428" t="s">
        <v>573</v>
      </c>
      <c r="D36" s="428"/>
      <c r="E36" s="428"/>
      <c r="F36" s="428"/>
      <c r="G36" s="428"/>
      <c r="H36" s="428"/>
      <c r="I36" s="428"/>
      <c r="J36" s="428"/>
      <c r="K36" s="428"/>
      <c r="L36" s="428"/>
      <c r="M36" s="428"/>
      <c r="N36" s="428"/>
      <c r="O36" s="39"/>
      <c r="P36" s="53" t="e">
        <f ca="1">CONCATENATE(INDIRECT("'"&amp;$H$5&amp;"'!F10"),",",INDIRECT("'"&amp;$H$5&amp;"'!I10"),",",INDIRECT("'"&amp;$H$5&amp;"'!L10"))</f>
        <v>#REF!</v>
      </c>
      <c r="Q36" s="50"/>
      <c r="R36" s="174"/>
      <c r="S36" s="83"/>
      <c r="T36" s="51"/>
      <c r="U36" s="51"/>
      <c r="V36" s="83"/>
      <c r="W36" s="51"/>
      <c r="X36" s="51"/>
      <c r="Y36" s="83"/>
    </row>
    <row r="37" spans="2:34" ht="14.25" customHeight="1" x14ac:dyDescent="0.25">
      <c r="B37" s="171">
        <v>1</v>
      </c>
      <c r="C37" s="428" t="s">
        <v>574</v>
      </c>
      <c r="D37" s="428"/>
      <c r="E37" s="428"/>
      <c r="F37" s="428"/>
      <c r="G37" s="428"/>
      <c r="H37" s="428"/>
      <c r="I37" s="428"/>
      <c r="J37" s="428"/>
      <c r="K37" s="428"/>
      <c r="L37" s="428"/>
      <c r="M37" s="428"/>
      <c r="N37" s="428"/>
      <c r="O37" s="39"/>
      <c r="P37" s="53" t="s">
        <v>341</v>
      </c>
      <c r="Q37" s="50"/>
      <c r="R37" s="174"/>
      <c r="S37" s="83"/>
      <c r="T37" s="51"/>
      <c r="U37" s="51"/>
      <c r="V37" s="83"/>
      <c r="W37" s="51"/>
      <c r="X37" s="51"/>
      <c r="Y37" s="83"/>
    </row>
    <row r="38" spans="2:34" ht="14.25" customHeight="1" x14ac:dyDescent="0.25">
      <c r="B38" s="171">
        <v>1</v>
      </c>
      <c r="C38" s="428" t="s">
        <v>575</v>
      </c>
      <c r="D38" s="428"/>
      <c r="E38" s="428"/>
      <c r="F38" s="428"/>
      <c r="G38" s="428"/>
      <c r="H38" s="428"/>
      <c r="I38" s="428"/>
      <c r="J38" s="428"/>
      <c r="K38" s="428"/>
      <c r="L38" s="428"/>
      <c r="M38" s="428"/>
      <c r="N38" s="428"/>
      <c r="O38" s="39"/>
      <c r="P38" s="53" t="e">
        <f ca="1">INDIRECT("'"&amp;$H$5&amp;"'!K7")</f>
        <v>#REF!</v>
      </c>
      <c r="Q38" s="50"/>
      <c r="R38" s="174"/>
      <c r="S38" s="83"/>
      <c r="T38" s="51"/>
      <c r="U38" s="51"/>
      <c r="V38" s="83"/>
      <c r="W38" s="51"/>
      <c r="X38" s="51"/>
      <c r="Y38" s="83"/>
    </row>
    <row r="39" spans="2:34" ht="14.25" customHeight="1" x14ac:dyDescent="0.25">
      <c r="B39" s="171">
        <v>1</v>
      </c>
      <c r="C39" s="428" t="s">
        <v>576</v>
      </c>
      <c r="D39" s="428"/>
      <c r="E39" s="428"/>
      <c r="F39" s="428"/>
      <c r="G39" s="428"/>
      <c r="H39" s="428"/>
      <c r="I39" s="428"/>
      <c r="J39" s="428"/>
      <c r="K39" s="428"/>
      <c r="L39" s="428"/>
      <c r="M39" s="428"/>
      <c r="N39" s="428"/>
      <c r="O39" s="39"/>
      <c r="P39" s="53" t="e">
        <f ca="1">P35</f>
        <v>#REF!</v>
      </c>
      <c r="Q39" s="50"/>
      <c r="R39" s="174"/>
      <c r="S39" s="83"/>
      <c r="T39" s="51"/>
      <c r="U39" s="51"/>
      <c r="V39" s="83"/>
      <c r="W39" s="51"/>
      <c r="X39" s="51"/>
      <c r="Y39" s="83"/>
    </row>
    <row r="40" spans="2:34" ht="14.25" customHeight="1" x14ac:dyDescent="0.25">
      <c r="B40" s="171">
        <v>1</v>
      </c>
      <c r="C40" s="428" t="s">
        <v>577</v>
      </c>
      <c r="D40" s="428"/>
      <c r="E40" s="428"/>
      <c r="F40" s="428"/>
      <c r="G40" s="428"/>
      <c r="H40" s="428"/>
      <c r="I40" s="428"/>
      <c r="J40" s="428"/>
      <c r="K40" s="428"/>
      <c r="L40" s="428"/>
      <c r="M40" s="428"/>
      <c r="N40" s="428"/>
      <c r="O40" s="39"/>
      <c r="P40" s="53" t="s">
        <v>579</v>
      </c>
      <c r="Q40" s="50"/>
      <c r="R40" s="174"/>
      <c r="S40" s="83"/>
      <c r="T40" s="51"/>
      <c r="U40" s="51"/>
      <c r="V40" s="83"/>
      <c r="W40" s="51"/>
      <c r="X40" s="51"/>
      <c r="Y40" s="83"/>
    </row>
    <row r="41" spans="2:34" ht="14.25" customHeight="1" x14ac:dyDescent="0.25">
      <c r="B41" s="171">
        <v>1</v>
      </c>
      <c r="C41" s="428" t="s">
        <v>578</v>
      </c>
      <c r="D41" s="428"/>
      <c r="E41" s="428"/>
      <c r="F41" s="428"/>
      <c r="G41" s="428"/>
      <c r="H41" s="428"/>
      <c r="I41" s="428"/>
      <c r="J41" s="428"/>
      <c r="K41" s="428"/>
      <c r="L41" s="428"/>
      <c r="M41" s="428"/>
      <c r="N41" s="428"/>
      <c r="O41" s="39"/>
      <c r="P41" s="54" t="s">
        <v>579</v>
      </c>
      <c r="Q41" s="50"/>
      <c r="R41" s="174"/>
      <c r="S41" s="83"/>
      <c r="T41" s="51"/>
      <c r="U41" s="51"/>
      <c r="V41" s="83"/>
      <c r="W41" s="51"/>
      <c r="X41" s="51"/>
      <c r="Y41" s="83"/>
    </row>
    <row r="42" spans="2:34" ht="14.25" customHeight="1" x14ac:dyDescent="0.25">
      <c r="B42" s="171">
        <v>1</v>
      </c>
      <c r="C42" s="428" t="s">
        <v>580</v>
      </c>
      <c r="D42" s="428"/>
      <c r="E42" s="428"/>
      <c r="F42" s="428"/>
      <c r="G42" s="428"/>
      <c r="H42" s="428"/>
      <c r="I42" s="428"/>
      <c r="J42" s="428"/>
      <c r="K42" s="428"/>
      <c r="L42" s="428"/>
      <c r="M42" s="428"/>
      <c r="N42" s="428"/>
      <c r="O42" s="39"/>
      <c r="P42" s="53" t="s">
        <v>559</v>
      </c>
      <c r="Q42" s="50"/>
      <c r="R42" s="174"/>
      <c r="S42" s="83"/>
      <c r="T42" s="51"/>
      <c r="U42" s="51"/>
      <c r="V42" s="83"/>
      <c r="W42" s="51"/>
      <c r="X42" s="51"/>
      <c r="Y42" s="83"/>
    </row>
    <row r="43" spans="2:34" ht="14.25" customHeight="1" x14ac:dyDescent="0.25">
      <c r="B43" s="171">
        <v>2</v>
      </c>
      <c r="C43" s="466" t="s">
        <v>581</v>
      </c>
      <c r="D43" s="466"/>
      <c r="E43" s="466"/>
      <c r="F43" s="466"/>
      <c r="G43" s="466"/>
      <c r="H43" s="466"/>
      <c r="I43" s="466"/>
      <c r="J43" s="466"/>
      <c r="K43" s="466"/>
      <c r="L43" s="466"/>
      <c r="M43" s="466"/>
      <c r="N43" s="466"/>
      <c r="O43" s="39"/>
      <c r="P43" s="53"/>
      <c r="Q43" s="50"/>
      <c r="R43" s="174"/>
      <c r="S43" s="83"/>
      <c r="T43" s="51"/>
      <c r="U43" s="51"/>
      <c r="V43" s="83"/>
      <c r="W43" s="51"/>
      <c r="X43" s="51"/>
      <c r="Y43" s="83"/>
    </row>
    <row r="44" spans="2:34" ht="14.25" customHeight="1" x14ac:dyDescent="0.25">
      <c r="B44" s="171">
        <v>3</v>
      </c>
      <c r="C44" s="428" t="s">
        <v>582</v>
      </c>
      <c r="D44" s="428"/>
      <c r="E44" s="428"/>
      <c r="F44" s="428"/>
      <c r="G44" s="428"/>
      <c r="H44" s="428"/>
      <c r="I44" s="428"/>
      <c r="J44" s="428"/>
      <c r="K44" s="428"/>
      <c r="L44" s="428"/>
      <c r="M44" s="428"/>
      <c r="N44" s="428"/>
      <c r="O44" s="39"/>
      <c r="P44" s="53" t="e">
        <f ca="1">CONCATENATE("vo ren -vs ",INDIRECT("'"&amp;$H$5&amp;"'!K7")," -vo root_vol -ne ",SUBSTITUTE(INDIRECT("'"&amp;$H$5&amp;"'!K7"),"-",""),"_root")</f>
        <v>#REF!</v>
      </c>
      <c r="Q44" s="50"/>
      <c r="R44" s="174"/>
      <c r="S44" s="83"/>
      <c r="T44" s="51"/>
      <c r="U44" s="51"/>
      <c r="V44" s="83"/>
      <c r="W44" s="51"/>
      <c r="X44" s="51"/>
      <c r="Y44" s="83"/>
    </row>
    <row r="45" spans="2:34" ht="14.25" customHeight="1" x14ac:dyDescent="0.25">
      <c r="B45" s="171">
        <v>4</v>
      </c>
      <c r="C45" s="428" t="s">
        <v>583</v>
      </c>
      <c r="D45" s="428"/>
      <c r="E45" s="428"/>
      <c r="F45" s="428"/>
      <c r="G45" s="428"/>
      <c r="H45" s="428"/>
      <c r="I45" s="428"/>
      <c r="J45" s="428"/>
      <c r="K45" s="428"/>
      <c r="L45" s="428"/>
      <c r="M45" s="428"/>
      <c r="N45" s="428"/>
      <c r="O45" s="39"/>
      <c r="P45" s="53" t="e">
        <f ca="1">CONCATENATE("vo mod -vs ",INDIRECT("'"&amp;$H$5&amp;"'!K7")," -vo ",SUBSTITUTE(INDIRECT("'"&amp;$H$5&amp;"'!K7"),"-",""),"_root -si 1GB")</f>
        <v>#REF!</v>
      </c>
      <c r="Q45" s="50"/>
      <c r="R45" s="174"/>
      <c r="S45" s="83"/>
      <c r="T45" s="51"/>
      <c r="U45" s="51"/>
      <c r="V45" s="83"/>
      <c r="W45" s="51"/>
      <c r="X45" s="51"/>
      <c r="Y45" s="83"/>
    </row>
    <row r="46" spans="2:34" ht="14.25" customHeight="1" x14ac:dyDescent="0.25">
      <c r="B46" s="171">
        <v>5</v>
      </c>
      <c r="C46" s="428" t="s">
        <v>584</v>
      </c>
      <c r="D46" s="428"/>
      <c r="E46" s="428"/>
      <c r="F46" s="428"/>
      <c r="G46" s="428"/>
      <c r="H46" s="428"/>
      <c r="I46" s="428"/>
      <c r="J46" s="428"/>
      <c r="K46" s="428"/>
      <c r="L46" s="428"/>
      <c r="M46" s="428"/>
      <c r="N46" s="428"/>
      <c r="O46" s="39"/>
      <c r="P46" s="53" t="e">
        <f ca="1">CONCATENATE("vo mod -vs ",INDIRECT("'"&amp;$H$5&amp;"'!K7")," -vo ",SUBSTITUTE(INDIRECT("'"&amp;$H$5&amp;"'!K7"),"-",""),"_root -un 755")</f>
        <v>#REF!</v>
      </c>
      <c r="Q46" s="50"/>
      <c r="R46" s="174"/>
      <c r="S46" s="83"/>
      <c r="T46" s="51"/>
      <c r="U46" s="51"/>
      <c r="V46" s="83"/>
      <c r="W46" s="51"/>
      <c r="X46" s="51"/>
      <c r="Y46" s="83"/>
    </row>
    <row r="47" spans="2:34" ht="14.25" customHeight="1" x14ac:dyDescent="0.25">
      <c r="B47" s="171"/>
      <c r="C47" s="428"/>
      <c r="D47" s="428"/>
      <c r="E47" s="428"/>
      <c r="F47" s="428"/>
      <c r="G47" s="428"/>
      <c r="H47" s="428"/>
      <c r="I47" s="428"/>
      <c r="J47" s="428"/>
      <c r="K47" s="428"/>
      <c r="L47" s="428"/>
      <c r="M47" s="428"/>
      <c r="N47" s="428"/>
      <c r="O47" s="39"/>
      <c r="P47" s="53"/>
      <c r="Q47" s="50"/>
      <c r="R47" s="174"/>
      <c r="S47" s="83"/>
      <c r="T47" s="51"/>
      <c r="U47" s="51"/>
      <c r="V47" s="83"/>
      <c r="W47" s="51"/>
      <c r="X47" s="51"/>
      <c r="Y47" s="83"/>
    </row>
    <row r="48" spans="2:34" ht="14.25" customHeight="1" x14ac:dyDescent="0.25">
      <c r="B48" s="171"/>
      <c r="C48" s="428"/>
      <c r="D48" s="428"/>
      <c r="E48" s="428"/>
      <c r="F48" s="428"/>
      <c r="G48" s="428"/>
      <c r="H48" s="428"/>
      <c r="I48" s="428"/>
      <c r="J48" s="428"/>
      <c r="K48" s="428"/>
      <c r="L48" s="428"/>
      <c r="M48" s="428"/>
      <c r="N48" s="428"/>
      <c r="O48" s="39"/>
      <c r="P48" s="53"/>
      <c r="Q48" s="50"/>
      <c r="R48" s="174"/>
      <c r="S48" s="83"/>
      <c r="T48" s="51"/>
      <c r="U48" s="51"/>
      <c r="V48" s="83"/>
      <c r="W48" s="51"/>
      <c r="X48" s="51"/>
      <c r="Y48" s="83"/>
    </row>
    <row r="49" spans="2:25" ht="14.25" customHeight="1" x14ac:dyDescent="0.25">
      <c r="B49" s="171"/>
      <c r="C49" s="428"/>
      <c r="D49" s="428"/>
      <c r="E49" s="428"/>
      <c r="F49" s="428"/>
      <c r="G49" s="428"/>
      <c r="H49" s="428"/>
      <c r="I49" s="428"/>
      <c r="J49" s="428"/>
      <c r="K49" s="428"/>
      <c r="L49" s="428"/>
      <c r="M49" s="428"/>
      <c r="N49" s="428"/>
      <c r="O49" s="39"/>
      <c r="P49" s="53"/>
      <c r="Q49" s="50"/>
      <c r="R49" s="174"/>
      <c r="S49" s="83"/>
      <c r="T49" s="51"/>
      <c r="U49" s="51"/>
      <c r="V49" s="83"/>
      <c r="W49" s="51"/>
      <c r="X49" s="51"/>
      <c r="Y49" s="83"/>
    </row>
    <row r="50" spans="2:25" ht="14.25" customHeight="1" x14ac:dyDescent="0.25">
      <c r="B50" s="171"/>
      <c r="C50" s="428"/>
      <c r="D50" s="428"/>
      <c r="E50" s="428"/>
      <c r="F50" s="428"/>
      <c r="G50" s="428"/>
      <c r="H50" s="428"/>
      <c r="I50" s="428"/>
      <c r="J50" s="428"/>
      <c r="K50" s="428"/>
      <c r="L50" s="428"/>
      <c r="M50" s="428"/>
      <c r="N50" s="428"/>
      <c r="O50" s="39"/>
      <c r="P50" s="53"/>
      <c r="Q50" s="50"/>
      <c r="R50" s="174"/>
      <c r="S50" s="83"/>
      <c r="T50" s="51"/>
      <c r="U50" s="51"/>
      <c r="V50" s="83"/>
      <c r="W50" s="51"/>
      <c r="X50" s="51"/>
      <c r="Y50" s="83"/>
    </row>
    <row r="51" spans="2:25" ht="14.25" customHeight="1" x14ac:dyDescent="0.25">
      <c r="B51" s="171"/>
      <c r="C51" s="428"/>
      <c r="D51" s="428"/>
      <c r="E51" s="428"/>
      <c r="F51" s="428"/>
      <c r="G51" s="428"/>
      <c r="H51" s="428"/>
      <c r="I51" s="428"/>
      <c r="J51" s="428"/>
      <c r="K51" s="428"/>
      <c r="L51" s="428"/>
      <c r="M51" s="428"/>
      <c r="N51" s="428"/>
      <c r="O51" s="39"/>
      <c r="P51" s="53"/>
      <c r="Q51" s="50"/>
      <c r="R51" s="174"/>
      <c r="S51" s="83"/>
      <c r="T51" s="51"/>
      <c r="U51" s="51"/>
      <c r="V51" s="83"/>
      <c r="W51" s="51"/>
      <c r="X51" s="51"/>
      <c r="Y51" s="83"/>
    </row>
    <row r="52" spans="2:25" ht="14.25" customHeight="1" x14ac:dyDescent="0.25">
      <c r="B52" s="171"/>
      <c r="C52" s="428"/>
      <c r="D52" s="428"/>
      <c r="E52" s="428"/>
      <c r="F52" s="428"/>
      <c r="G52" s="428"/>
      <c r="H52" s="428"/>
      <c r="I52" s="428"/>
      <c r="J52" s="428"/>
      <c r="K52" s="428"/>
      <c r="L52" s="428"/>
      <c r="M52" s="428"/>
      <c r="N52" s="428"/>
      <c r="O52" s="39"/>
      <c r="P52" s="53"/>
      <c r="Q52" s="50"/>
      <c r="R52" s="174"/>
      <c r="S52" s="83"/>
      <c r="T52" s="51"/>
      <c r="U52" s="51"/>
      <c r="V52" s="83"/>
      <c r="W52" s="51"/>
      <c r="X52" s="51"/>
      <c r="Y52" s="83"/>
    </row>
    <row r="53" spans="2:25" ht="14.25" customHeight="1" x14ac:dyDescent="0.25">
      <c r="B53" s="171"/>
      <c r="C53" s="428"/>
      <c r="D53" s="428"/>
      <c r="E53" s="428"/>
      <c r="F53" s="428"/>
      <c r="G53" s="428"/>
      <c r="H53" s="428"/>
      <c r="I53" s="428"/>
      <c r="J53" s="428"/>
      <c r="K53" s="428"/>
      <c r="L53" s="428"/>
      <c r="M53" s="428"/>
      <c r="N53" s="428"/>
      <c r="O53" s="39"/>
      <c r="P53" s="53"/>
      <c r="Q53" s="50"/>
      <c r="R53" s="174"/>
      <c r="S53" s="83"/>
      <c r="T53" s="51"/>
      <c r="U53" s="51"/>
      <c r="V53" s="83"/>
      <c r="W53" s="51"/>
      <c r="X53" s="51"/>
      <c r="Y53" s="83"/>
    </row>
    <row r="54" spans="2:25" ht="14.25" customHeight="1" x14ac:dyDescent="0.25">
      <c r="B54" s="171"/>
      <c r="C54" s="428"/>
      <c r="D54" s="428"/>
      <c r="E54" s="428"/>
      <c r="F54" s="428"/>
      <c r="G54" s="428"/>
      <c r="H54" s="428"/>
      <c r="I54" s="428"/>
      <c r="J54" s="428"/>
      <c r="K54" s="428"/>
      <c r="L54" s="428"/>
      <c r="M54" s="428"/>
      <c r="N54" s="428"/>
      <c r="O54" s="39"/>
      <c r="P54" s="53"/>
      <c r="Q54" s="50"/>
      <c r="R54" s="174"/>
      <c r="S54" s="83"/>
      <c r="T54" s="51"/>
      <c r="U54" s="51"/>
      <c r="V54" s="83"/>
      <c r="W54" s="51"/>
      <c r="X54" s="51"/>
      <c r="Y54" s="83"/>
    </row>
    <row r="55" spans="2:25" ht="14.25" customHeight="1" x14ac:dyDescent="0.25">
      <c r="B55" s="171"/>
      <c r="C55" s="428"/>
      <c r="D55" s="428"/>
      <c r="E55" s="428"/>
      <c r="F55" s="428"/>
      <c r="G55" s="428"/>
      <c r="H55" s="428"/>
      <c r="I55" s="428"/>
      <c r="J55" s="428"/>
      <c r="K55" s="428"/>
      <c r="L55" s="428"/>
      <c r="M55" s="428"/>
      <c r="N55" s="428"/>
      <c r="O55" s="39"/>
      <c r="P55" s="53"/>
      <c r="Q55" s="50"/>
      <c r="R55" s="174"/>
      <c r="S55" s="83"/>
      <c r="T55" s="51"/>
      <c r="U55" s="51"/>
      <c r="V55" s="83"/>
      <c r="W55" s="51"/>
      <c r="X55" s="51"/>
      <c r="Y55" s="83"/>
    </row>
    <row r="56" spans="2:25" ht="14.25" customHeight="1" x14ac:dyDescent="0.25">
      <c r="B56" s="171"/>
      <c r="C56" s="428"/>
      <c r="D56" s="428"/>
      <c r="E56" s="428"/>
      <c r="F56" s="428"/>
      <c r="G56" s="428"/>
      <c r="H56" s="428"/>
      <c r="I56" s="428"/>
      <c r="J56" s="428"/>
      <c r="K56" s="428"/>
      <c r="L56" s="428"/>
      <c r="M56" s="428"/>
      <c r="N56" s="428"/>
      <c r="O56" s="39"/>
      <c r="P56" s="53"/>
      <c r="Q56" s="50"/>
      <c r="R56" s="174"/>
      <c r="S56" s="83"/>
      <c r="T56" s="51"/>
      <c r="U56" s="51"/>
      <c r="V56" s="83"/>
      <c r="W56" s="51"/>
      <c r="X56" s="51"/>
      <c r="Y56" s="83"/>
    </row>
    <row r="57" spans="2:25" ht="14.25" customHeight="1" x14ac:dyDescent="0.25">
      <c r="B57" s="171"/>
      <c r="C57" s="428"/>
      <c r="D57" s="428"/>
      <c r="E57" s="428"/>
      <c r="F57" s="428"/>
      <c r="G57" s="428"/>
      <c r="H57" s="428"/>
      <c r="I57" s="428"/>
      <c r="J57" s="428"/>
      <c r="K57" s="428"/>
      <c r="L57" s="428"/>
      <c r="M57" s="428"/>
      <c r="N57" s="428"/>
      <c r="O57" s="39"/>
      <c r="P57" s="53"/>
      <c r="Q57" s="50"/>
      <c r="R57" s="174"/>
      <c r="S57" s="83"/>
      <c r="T57" s="51"/>
      <c r="U57" s="51"/>
      <c r="V57" s="83"/>
      <c r="W57" s="51"/>
      <c r="X57" s="51"/>
      <c r="Y57" s="83"/>
    </row>
    <row r="58" spans="2:25" ht="14.25" customHeight="1" x14ac:dyDescent="0.25">
      <c r="B58" s="171"/>
      <c r="C58" s="428"/>
      <c r="D58" s="428"/>
      <c r="E58" s="428"/>
      <c r="F58" s="428"/>
      <c r="G58" s="428"/>
      <c r="H58" s="428"/>
      <c r="I58" s="428"/>
      <c r="J58" s="428"/>
      <c r="K58" s="428"/>
      <c r="L58" s="428"/>
      <c r="M58" s="428"/>
      <c r="N58" s="428"/>
      <c r="O58" s="39"/>
      <c r="P58" s="53"/>
      <c r="Q58" s="50"/>
      <c r="R58" s="174"/>
      <c r="S58" s="83"/>
      <c r="T58" s="51"/>
      <c r="U58" s="51"/>
      <c r="V58" s="83"/>
      <c r="W58" s="51"/>
      <c r="X58" s="51"/>
      <c r="Y58" s="83"/>
    </row>
    <row r="59" spans="2:25" ht="14.25" customHeight="1" x14ac:dyDescent="0.25">
      <c r="B59" s="171"/>
      <c r="C59" s="428"/>
      <c r="D59" s="428"/>
      <c r="E59" s="428"/>
      <c r="F59" s="428"/>
      <c r="G59" s="428"/>
      <c r="H59" s="428"/>
      <c r="I59" s="428"/>
      <c r="J59" s="428"/>
      <c r="K59" s="428"/>
      <c r="L59" s="428"/>
      <c r="M59" s="428"/>
      <c r="N59" s="428"/>
      <c r="O59" s="39"/>
      <c r="P59" s="53"/>
      <c r="Q59" s="50"/>
      <c r="R59" s="174"/>
      <c r="S59" s="83"/>
      <c r="T59" s="51"/>
      <c r="U59" s="51"/>
      <c r="V59" s="83"/>
      <c r="W59" s="51"/>
      <c r="X59" s="51"/>
      <c r="Y59" s="83"/>
    </row>
    <row r="60" spans="2:25" ht="14.25" customHeight="1" x14ac:dyDescent="0.25">
      <c r="B60" s="171"/>
      <c r="C60" s="428"/>
      <c r="D60" s="428"/>
      <c r="E60" s="428"/>
      <c r="F60" s="428"/>
      <c r="G60" s="428"/>
      <c r="H60" s="428"/>
      <c r="I60" s="428"/>
      <c r="J60" s="428"/>
      <c r="K60" s="428"/>
      <c r="L60" s="428"/>
      <c r="M60" s="428"/>
      <c r="N60" s="428"/>
      <c r="O60" s="39"/>
      <c r="P60" s="53"/>
      <c r="Q60" s="50"/>
      <c r="R60" s="174"/>
      <c r="S60" s="83"/>
      <c r="T60" s="51"/>
      <c r="U60" s="51"/>
      <c r="V60" s="83"/>
      <c r="W60" s="51"/>
      <c r="X60" s="51"/>
      <c r="Y60" s="83"/>
    </row>
    <row r="61" spans="2:25" ht="14.25" customHeight="1" x14ac:dyDescent="0.25">
      <c r="B61" s="171"/>
      <c r="C61" s="428"/>
      <c r="D61" s="428"/>
      <c r="E61" s="428"/>
      <c r="F61" s="428"/>
      <c r="G61" s="428"/>
      <c r="H61" s="428"/>
      <c r="I61" s="428"/>
      <c r="J61" s="428"/>
      <c r="K61" s="428"/>
      <c r="L61" s="428"/>
      <c r="M61" s="428"/>
      <c r="N61" s="428"/>
      <c r="O61" s="39"/>
      <c r="P61" s="53"/>
      <c r="Q61" s="50"/>
      <c r="R61" s="174"/>
      <c r="S61" s="83"/>
      <c r="T61" s="51"/>
      <c r="U61" s="51"/>
      <c r="V61" s="83"/>
      <c r="W61" s="51"/>
      <c r="X61" s="51"/>
      <c r="Y61" s="83"/>
    </row>
    <row r="62" spans="2:25" ht="14.25" customHeight="1" x14ac:dyDescent="0.25">
      <c r="B62" s="171"/>
      <c r="C62" s="428"/>
      <c r="D62" s="428"/>
      <c r="E62" s="428"/>
      <c r="F62" s="428"/>
      <c r="G62" s="428"/>
      <c r="H62" s="428"/>
      <c r="I62" s="428"/>
      <c r="J62" s="428"/>
      <c r="K62" s="428"/>
      <c r="L62" s="428"/>
      <c r="M62" s="428"/>
      <c r="N62" s="428"/>
      <c r="O62" s="39"/>
      <c r="P62" s="53"/>
      <c r="Q62" s="50"/>
      <c r="R62" s="174"/>
      <c r="S62" s="83"/>
      <c r="T62" s="51"/>
      <c r="U62" s="51"/>
      <c r="V62" s="83"/>
      <c r="W62" s="51"/>
      <c r="X62" s="51"/>
      <c r="Y62" s="83"/>
    </row>
    <row r="63" spans="2:25" ht="14.25" customHeight="1" x14ac:dyDescent="0.25"/>
    <row r="64" spans="2:25" ht="14.25" customHeight="1" x14ac:dyDescent="0.25"/>
    <row r="65" ht="14.25" customHeight="1" x14ac:dyDescent="0.25"/>
    <row r="66" ht="14.25" customHeight="1" x14ac:dyDescent="0.25"/>
    <row r="67" ht="14.25" customHeight="1" x14ac:dyDescent="0.25"/>
  </sheetData>
  <mergeCells count="56">
    <mergeCell ref="C18:N18"/>
    <mergeCell ref="H5:J5"/>
    <mergeCell ref="C8:N8"/>
    <mergeCell ref="C9:N9"/>
    <mergeCell ref="C10:N10"/>
    <mergeCell ref="C11:N11"/>
    <mergeCell ref="C12:N12"/>
    <mergeCell ref="C13:N13"/>
    <mergeCell ref="C14:N14"/>
    <mergeCell ref="C15:N15"/>
    <mergeCell ref="C16:N16"/>
    <mergeCell ref="C17:N17"/>
    <mergeCell ref="C30:N30"/>
    <mergeCell ref="C19:N19"/>
    <mergeCell ref="C20:N20"/>
    <mergeCell ref="C21:N21"/>
    <mergeCell ref="C22:N22"/>
    <mergeCell ref="C23:N23"/>
    <mergeCell ref="C24:N24"/>
    <mergeCell ref="C25:N25"/>
    <mergeCell ref="C26:N26"/>
    <mergeCell ref="C27:N27"/>
    <mergeCell ref="C28:N28"/>
    <mergeCell ref="C29:N29"/>
    <mergeCell ref="C42:N42"/>
    <mergeCell ref="C31:N31"/>
    <mergeCell ref="C32:N32"/>
    <mergeCell ref="C33:N33"/>
    <mergeCell ref="C34:N34"/>
    <mergeCell ref="C35:N35"/>
    <mergeCell ref="C36:N36"/>
    <mergeCell ref="C37:N37"/>
    <mergeCell ref="C38:N38"/>
    <mergeCell ref="C39:N39"/>
    <mergeCell ref="C40:N40"/>
    <mergeCell ref="C41:N41"/>
    <mergeCell ref="C54:N54"/>
    <mergeCell ref="C43:N43"/>
    <mergeCell ref="C44:N44"/>
    <mergeCell ref="C45:N45"/>
    <mergeCell ref="C46:N46"/>
    <mergeCell ref="C47:N47"/>
    <mergeCell ref="C48:N48"/>
    <mergeCell ref="C49:N49"/>
    <mergeCell ref="C50:N50"/>
    <mergeCell ref="C51:N51"/>
    <mergeCell ref="C52:N52"/>
    <mergeCell ref="C53:N53"/>
    <mergeCell ref="C61:N61"/>
    <mergeCell ref="C62:N62"/>
    <mergeCell ref="C55:N55"/>
    <mergeCell ref="C56:N56"/>
    <mergeCell ref="C57:N57"/>
    <mergeCell ref="C58:N58"/>
    <mergeCell ref="C59:N59"/>
    <mergeCell ref="C60:N60"/>
  </mergeCells>
  <pageMargins left="0.7" right="0.7" top="0.75" bottom="0.75" header="0.3" footer="0.3"/>
  <pageSetup orientation="portrait"/>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7030A0"/>
  </sheetPr>
  <dimension ref="A2:AH67"/>
  <sheetViews>
    <sheetView workbookViewId="0">
      <pane ySplit="4" topLeftCell="A5" activePane="bottomLeft" state="frozen"/>
      <selection pane="bottomLeft" activeCell="H6" sqref="H6"/>
    </sheetView>
  </sheetViews>
  <sheetFormatPr defaultColWidth="7.140625" defaultRowHeight="10.5" x14ac:dyDescent="0.25"/>
  <cols>
    <col min="1" max="1" width="1.42578125" style="35" customWidth="1"/>
    <col min="2" max="15" width="7.140625" style="35"/>
    <col min="16" max="16" width="48.42578125" style="35" customWidth="1"/>
    <col min="17" max="17" width="2.28515625" style="35" customWidth="1"/>
    <col min="18" max="18" width="1.42578125" style="35" customWidth="1"/>
    <col min="19" max="19" width="48.42578125" style="35" customWidth="1"/>
    <col min="20" max="20" width="2.28515625" style="35" customWidth="1"/>
    <col min="21" max="21" width="1.42578125" style="35" customWidth="1"/>
    <col min="22" max="22" width="48.42578125" style="35" customWidth="1"/>
    <col min="23" max="23" width="2.28515625" style="35" customWidth="1"/>
    <col min="24" max="24" width="1.42578125" style="35" customWidth="1"/>
    <col min="25" max="25" width="48.42578125" style="35" customWidth="1"/>
    <col min="26" max="26" width="2.28515625" style="35" customWidth="1"/>
    <col min="27" max="27" width="1.42578125" style="35" customWidth="1"/>
    <col min="28" max="28" width="48.42578125" style="35" customWidth="1"/>
    <col min="29" max="29" width="2.28515625" style="35" customWidth="1"/>
    <col min="30" max="30" width="1.42578125" style="35" customWidth="1"/>
    <col min="31" max="31" width="48.42578125" style="35" customWidth="1"/>
    <col min="32" max="32" width="2.28515625" style="35" customWidth="1"/>
    <col min="33" max="33" width="1.42578125" style="35" customWidth="1"/>
    <col min="34" max="34" width="48.42578125" style="35" customWidth="1"/>
    <col min="35" max="16384" width="7.140625" style="35"/>
  </cols>
  <sheetData>
    <row r="2" spans="1:27" ht="30.75" customHeight="1" x14ac:dyDescent="0.25">
      <c r="A2" s="2" t="s">
        <v>1</v>
      </c>
      <c r="B2"/>
      <c r="R2" s="1" t="s">
        <v>585</v>
      </c>
      <c r="U2" s="1"/>
      <c r="X2" s="1" t="s">
        <v>237</v>
      </c>
    </row>
    <row r="3" spans="1:27" ht="9" customHeight="1" x14ac:dyDescent="0.25"/>
    <row r="4" spans="1:27" ht="15.75" thickBot="1" x14ac:dyDescent="0.3">
      <c r="A4" s="5"/>
      <c r="AA4" s="35" t="s">
        <v>0</v>
      </c>
    </row>
    <row r="5" spans="1:27" ht="15.75" thickBot="1" x14ac:dyDescent="0.3">
      <c r="A5" s="5"/>
      <c r="F5" s="11"/>
      <c r="G5" s="94" t="s">
        <v>548</v>
      </c>
      <c r="H5" s="471" t="s">
        <v>917</v>
      </c>
      <c r="I5" s="464"/>
      <c r="J5" s="472"/>
    </row>
    <row r="6" spans="1:27" ht="14.25" customHeight="1" x14ac:dyDescent="0.25">
      <c r="B6" s="4" t="s">
        <v>547</v>
      </c>
      <c r="P6" s="63" t="s">
        <v>357</v>
      </c>
    </row>
    <row r="7" spans="1:27" ht="6" customHeight="1" x14ac:dyDescent="0.25">
      <c r="B7" s="4"/>
      <c r="G7" s="6"/>
    </row>
    <row r="8" spans="1:27" ht="14.25" customHeight="1" x14ac:dyDescent="0.25">
      <c r="B8" s="6" t="s">
        <v>266</v>
      </c>
      <c r="C8" s="429" t="s">
        <v>239</v>
      </c>
      <c r="D8" s="429"/>
      <c r="E8" s="429"/>
      <c r="F8" s="429"/>
      <c r="G8" s="429"/>
      <c r="H8" s="429"/>
      <c r="I8" s="429"/>
      <c r="J8" s="429"/>
      <c r="K8" s="429"/>
      <c r="L8" s="429"/>
      <c r="M8" s="429"/>
      <c r="N8" s="429"/>
      <c r="O8" s="6"/>
      <c r="P8" s="175" t="s">
        <v>546</v>
      </c>
      <c r="Q8" s="73"/>
      <c r="S8" s="83"/>
      <c r="T8" s="83"/>
      <c r="U8" s="83"/>
      <c r="V8" s="83"/>
      <c r="W8" s="83"/>
      <c r="X8" s="83"/>
      <c r="Y8" s="83"/>
    </row>
    <row r="9" spans="1:27" ht="14.25" customHeight="1" x14ac:dyDescent="0.25">
      <c r="B9" s="171">
        <v>1</v>
      </c>
      <c r="C9" s="428" t="s">
        <v>544</v>
      </c>
      <c r="D9" s="428"/>
      <c r="E9" s="428"/>
      <c r="F9" s="428"/>
      <c r="G9" s="428"/>
      <c r="H9" s="428"/>
      <c r="I9" s="428"/>
      <c r="J9" s="428"/>
      <c r="K9" s="428"/>
      <c r="L9" s="428"/>
      <c r="M9" s="428"/>
      <c r="N9" s="428"/>
      <c r="O9" s="39"/>
      <c r="P9" s="52" t="s">
        <v>545</v>
      </c>
      <c r="Q9" s="50"/>
      <c r="R9" s="174"/>
      <c r="S9" s="83"/>
      <c r="T9" s="51"/>
      <c r="U9" s="51"/>
      <c r="V9" s="83"/>
      <c r="W9" s="51"/>
      <c r="X9" s="51"/>
      <c r="Y9" s="83"/>
    </row>
    <row r="10" spans="1:27" ht="14.25" customHeight="1" x14ac:dyDescent="0.25">
      <c r="B10" s="171">
        <v>1</v>
      </c>
      <c r="C10" s="428" t="s">
        <v>549</v>
      </c>
      <c r="D10" s="428"/>
      <c r="E10" s="428"/>
      <c r="F10" s="428"/>
      <c r="G10" s="428"/>
      <c r="H10" s="428"/>
      <c r="I10" s="428"/>
      <c r="J10" s="428"/>
      <c r="K10" s="428"/>
      <c r="L10" s="428"/>
      <c r="M10" s="428"/>
      <c r="N10" s="428"/>
      <c r="O10" s="39"/>
      <c r="P10" s="53" t="e">
        <f ca="1">INDIRECT("'"&amp;H5&amp;"'!K7")</f>
        <v>#REF!</v>
      </c>
      <c r="Q10" s="50"/>
      <c r="R10" s="174"/>
      <c r="S10" s="83"/>
      <c r="T10" s="51"/>
      <c r="U10" s="51"/>
      <c r="V10" s="83"/>
      <c r="W10" s="51"/>
      <c r="X10" s="51"/>
      <c r="Y10" s="83"/>
    </row>
    <row r="11" spans="1:27" ht="14.25" customHeight="1" x14ac:dyDescent="0.25">
      <c r="B11" s="171">
        <v>1</v>
      </c>
      <c r="C11" s="428" t="s">
        <v>550</v>
      </c>
      <c r="D11" s="428"/>
      <c r="E11" s="428"/>
      <c r="F11" s="428"/>
      <c r="G11" s="428"/>
      <c r="H11" s="428"/>
      <c r="I11" s="428"/>
      <c r="J11" s="428"/>
      <c r="K11" s="428"/>
      <c r="L11" s="428"/>
      <c r="M11" s="428"/>
      <c r="N11" s="428"/>
      <c r="O11" s="39"/>
      <c r="P11" s="53" t="e">
        <f ca="1">CONCATENATE(IF(INDIRECT("'"&amp;H5&amp;"'!G12")="Yes","CIFS,",""),IF(INDIRECT("'"&amp;H5&amp;"'!I12")="Yes","NFS,",""),IF(INDIRECT("'"&amp;H5&amp;"'!K12")="Yes","FCP,",""),IF(INDIRECT("'"&amp;H5&amp;"'!M12")="Yes","iSCSI,",""))</f>
        <v>#REF!</v>
      </c>
      <c r="Q11" s="50"/>
      <c r="R11" s="174"/>
      <c r="S11" s="83"/>
      <c r="T11" s="51"/>
      <c r="U11" s="51"/>
      <c r="V11" s="83"/>
      <c r="W11" s="51"/>
      <c r="X11" s="51"/>
      <c r="Y11" s="83"/>
    </row>
    <row r="12" spans="1:27" ht="14.25" customHeight="1" x14ac:dyDescent="0.25">
      <c r="B12" s="171">
        <v>1</v>
      </c>
      <c r="C12" s="428" t="s">
        <v>551</v>
      </c>
      <c r="D12" s="428"/>
      <c r="E12" s="428"/>
      <c r="F12" s="428"/>
      <c r="G12" s="428"/>
      <c r="H12" s="428"/>
      <c r="I12" s="428"/>
      <c r="J12" s="428"/>
      <c r="K12" s="428"/>
      <c r="L12" s="428"/>
      <c r="M12" s="428"/>
      <c r="N12" s="428"/>
      <c r="O12" s="39"/>
      <c r="P12" s="53" t="s">
        <v>552</v>
      </c>
      <c r="Q12" s="50"/>
      <c r="R12" s="174"/>
      <c r="S12" s="83"/>
      <c r="T12" s="51"/>
      <c r="U12" s="51"/>
      <c r="V12" s="83"/>
      <c r="W12" s="51"/>
      <c r="X12" s="51"/>
      <c r="Y12" s="83"/>
    </row>
    <row r="13" spans="1:27" ht="14.25" customHeight="1" x14ac:dyDescent="0.25">
      <c r="B13" s="171">
        <v>1</v>
      </c>
      <c r="C13" s="428" t="s">
        <v>553</v>
      </c>
      <c r="D13" s="428"/>
      <c r="E13" s="428"/>
      <c r="F13" s="428"/>
      <c r="G13" s="428"/>
      <c r="H13" s="428"/>
      <c r="I13" s="428"/>
      <c r="J13" s="428"/>
      <c r="K13" s="428"/>
      <c r="L13" s="428"/>
      <c r="M13" s="428"/>
      <c r="N13" s="428"/>
      <c r="O13" s="39"/>
      <c r="P13" s="53" t="e">
        <f ca="1">INDIRECT("'"&amp;H5&amp;"'!F14")</f>
        <v>#REF!</v>
      </c>
      <c r="Q13" s="50"/>
      <c r="R13" s="174"/>
      <c r="S13" s="83"/>
      <c r="T13" s="51"/>
      <c r="U13" s="51"/>
      <c r="V13" s="83"/>
      <c r="W13" s="51"/>
      <c r="X13" s="51"/>
      <c r="Y13" s="83"/>
    </row>
    <row r="14" spans="1:27" ht="14.25" customHeight="1" x14ac:dyDescent="0.25">
      <c r="B14" s="171">
        <v>1</v>
      </c>
      <c r="C14" s="428" t="s">
        <v>554</v>
      </c>
      <c r="D14" s="428"/>
      <c r="E14" s="428"/>
      <c r="F14" s="428"/>
      <c r="G14" s="428"/>
      <c r="H14" s="428"/>
      <c r="I14" s="428"/>
      <c r="J14" s="428"/>
      <c r="K14" s="428"/>
      <c r="L14" s="428"/>
      <c r="M14" s="428"/>
      <c r="N14" s="428"/>
      <c r="O14" s="39"/>
      <c r="P14" s="53" t="s">
        <v>555</v>
      </c>
      <c r="Q14" s="50"/>
      <c r="R14" s="174"/>
      <c r="S14" s="83"/>
      <c r="T14" s="51"/>
      <c r="U14" s="51"/>
      <c r="V14" s="83"/>
      <c r="W14" s="51"/>
      <c r="X14" s="51"/>
      <c r="Y14" s="83"/>
    </row>
    <row r="15" spans="1:27" ht="14.25" customHeight="1" x14ac:dyDescent="0.25">
      <c r="B15" s="171">
        <v>1</v>
      </c>
      <c r="C15" s="428" t="s">
        <v>556</v>
      </c>
      <c r="D15" s="428"/>
      <c r="E15" s="428"/>
      <c r="F15" s="428"/>
      <c r="G15" s="428"/>
      <c r="H15" s="428"/>
      <c r="I15" s="428"/>
      <c r="J15" s="428"/>
      <c r="K15" s="428"/>
      <c r="L15" s="428"/>
      <c r="M15" s="428"/>
      <c r="N15" s="428"/>
      <c r="O15" s="39"/>
      <c r="P15" s="53" t="s">
        <v>557</v>
      </c>
      <c r="Q15" s="50"/>
      <c r="R15" s="174"/>
      <c r="S15" s="83"/>
      <c r="T15" s="51"/>
      <c r="U15" s="51"/>
      <c r="V15" s="83"/>
      <c r="W15" s="51"/>
      <c r="X15" s="51"/>
      <c r="Y15" s="83"/>
    </row>
    <row r="16" spans="1:27" ht="14.25" customHeight="1" x14ac:dyDescent="0.25">
      <c r="B16" s="171">
        <v>1</v>
      </c>
      <c r="C16" s="428" t="s">
        <v>558</v>
      </c>
      <c r="D16" s="428"/>
      <c r="E16" s="428"/>
      <c r="F16" s="428"/>
      <c r="G16" s="428"/>
      <c r="H16" s="428"/>
      <c r="I16" s="428"/>
      <c r="J16" s="428"/>
      <c r="K16" s="428"/>
      <c r="L16" s="428"/>
      <c r="M16" s="428"/>
      <c r="N16" s="428"/>
      <c r="O16" s="39"/>
      <c r="P16" s="53" t="s">
        <v>559</v>
      </c>
      <c r="Q16" s="50"/>
      <c r="R16" s="174"/>
      <c r="S16" s="83"/>
      <c r="T16" s="51"/>
      <c r="U16" s="51"/>
      <c r="V16" s="83"/>
      <c r="W16" s="51"/>
      <c r="X16" s="51"/>
      <c r="Y16" s="83"/>
    </row>
    <row r="17" spans="2:34" ht="14.25" customHeight="1" x14ac:dyDescent="0.25">
      <c r="B17" s="171">
        <v>1</v>
      </c>
      <c r="C17" s="428" t="s">
        <v>560</v>
      </c>
      <c r="D17" s="428"/>
      <c r="E17" s="428"/>
      <c r="F17" s="428"/>
      <c r="G17" s="428"/>
      <c r="H17" s="428"/>
      <c r="I17" s="428"/>
      <c r="J17" s="428"/>
      <c r="K17" s="428"/>
      <c r="L17" s="428"/>
      <c r="M17" s="428"/>
      <c r="N17" s="428"/>
      <c r="O17" s="39"/>
      <c r="P17" s="53" t="s">
        <v>341</v>
      </c>
      <c r="Q17" s="50"/>
      <c r="R17" s="174"/>
      <c r="S17" s="83"/>
      <c r="T17" s="51"/>
      <c r="U17" s="51"/>
      <c r="V17" s="83"/>
      <c r="W17" s="51"/>
      <c r="X17" s="51"/>
      <c r="Y17" s="83"/>
    </row>
    <row r="18" spans="2:34" ht="14.25" customHeight="1" x14ac:dyDescent="0.25">
      <c r="B18" s="171">
        <v>1</v>
      </c>
      <c r="C18" s="428" t="s">
        <v>561</v>
      </c>
      <c r="D18" s="428"/>
      <c r="E18" s="428"/>
      <c r="F18" s="428"/>
      <c r="G18" s="428"/>
      <c r="H18" s="428"/>
      <c r="I18" s="428"/>
      <c r="J18" s="428"/>
      <c r="K18" s="428"/>
      <c r="L18" s="428"/>
      <c r="M18" s="428"/>
      <c r="N18" s="428"/>
      <c r="O18" s="39"/>
      <c r="P18" s="53" t="e">
        <f ca="1">INDIRECT("'"&amp;$H$5&amp;"'!$M$33")</f>
        <v>#REF!</v>
      </c>
      <c r="Q18" s="50"/>
      <c r="R18" s="174"/>
      <c r="S18" s="83"/>
      <c r="T18" s="51"/>
      <c r="U18" s="51"/>
      <c r="V18" s="83"/>
      <c r="W18" s="51"/>
      <c r="X18" s="51"/>
      <c r="Y18" s="83"/>
    </row>
    <row r="19" spans="2:34" ht="14.25" customHeight="1" x14ac:dyDescent="0.25">
      <c r="B19" s="171">
        <v>1</v>
      </c>
      <c r="C19" s="428" t="s">
        <v>562</v>
      </c>
      <c r="D19" s="428"/>
      <c r="E19" s="428"/>
      <c r="F19" s="428"/>
      <c r="G19" s="428"/>
      <c r="H19" s="428"/>
      <c r="I19" s="428"/>
      <c r="J19" s="428"/>
      <c r="K19" s="428"/>
      <c r="L19" s="428"/>
      <c r="M19" s="428"/>
      <c r="N19" s="428"/>
      <c r="O19" s="39"/>
      <c r="P19" s="53" t="s">
        <v>563</v>
      </c>
      <c r="Q19" s="50"/>
      <c r="R19" s="174"/>
      <c r="S19" s="83"/>
      <c r="T19" s="51"/>
      <c r="U19" s="51"/>
      <c r="V19" s="83"/>
      <c r="W19" s="51"/>
      <c r="X19" s="51"/>
      <c r="Y19" s="83"/>
    </row>
    <row r="20" spans="2:34" ht="14.25" customHeight="1" x14ac:dyDescent="0.25">
      <c r="B20" s="171">
        <v>1</v>
      </c>
      <c r="C20" s="428" t="s">
        <v>564</v>
      </c>
      <c r="D20" s="428"/>
      <c r="E20" s="428"/>
      <c r="F20" s="428"/>
      <c r="G20" s="428"/>
      <c r="H20" s="428"/>
      <c r="I20" s="428"/>
      <c r="J20" s="428"/>
      <c r="K20" s="428"/>
      <c r="L20" s="428"/>
      <c r="M20" s="428"/>
      <c r="N20" s="428"/>
      <c r="O20" s="39"/>
      <c r="P20" s="53" t="e">
        <f ca="1">INDIRECT("'"&amp;$H$5&amp;"'!$Q$33")</f>
        <v>#REF!</v>
      </c>
      <c r="Q20" s="50"/>
      <c r="R20" s="174"/>
      <c r="S20" s="83"/>
      <c r="T20" s="51"/>
      <c r="U20" s="51"/>
      <c r="V20" s="83"/>
      <c r="W20" s="51"/>
      <c r="X20" s="51"/>
      <c r="Y20" s="83"/>
    </row>
    <row r="21" spans="2:34" ht="14.25" customHeight="1" x14ac:dyDescent="0.25">
      <c r="B21" s="171">
        <v>1</v>
      </c>
      <c r="C21" s="428" t="s">
        <v>565</v>
      </c>
      <c r="D21" s="428"/>
      <c r="E21" s="428"/>
      <c r="F21" s="428"/>
      <c r="G21" s="428"/>
      <c r="H21" s="428"/>
      <c r="I21" s="428"/>
      <c r="J21" s="428"/>
      <c r="K21" s="428"/>
      <c r="L21" s="428"/>
      <c r="M21" s="428"/>
      <c r="N21" s="428"/>
      <c r="O21" s="39"/>
      <c r="P21" s="53" t="e">
        <f ca="1">INDIRECT("'"&amp;$H$5&amp;"'!$T$33")</f>
        <v>#REF!</v>
      </c>
      <c r="Q21" s="50"/>
      <c r="R21" s="174"/>
      <c r="S21" s="83"/>
      <c r="T21" s="51"/>
      <c r="U21" s="51"/>
      <c r="V21" s="83"/>
      <c r="W21" s="51"/>
      <c r="X21" s="51"/>
      <c r="Y21" s="83"/>
    </row>
    <row r="22" spans="2:34" ht="14.25" customHeight="1" x14ac:dyDescent="0.25">
      <c r="B22" s="171">
        <v>1</v>
      </c>
      <c r="C22" s="428" t="s">
        <v>566</v>
      </c>
      <c r="D22" s="428"/>
      <c r="E22" s="428"/>
      <c r="F22" s="428"/>
      <c r="G22" s="428"/>
      <c r="H22" s="428"/>
      <c r="I22" s="428"/>
      <c r="J22" s="428"/>
      <c r="K22" s="428"/>
      <c r="L22" s="428"/>
      <c r="M22" s="428"/>
      <c r="N22" s="428"/>
      <c r="O22" s="39"/>
      <c r="P22" s="53" t="e">
        <f ca="1">INDIRECT("'"&amp;$H$5&amp;"'!$J$33")</f>
        <v>#REF!</v>
      </c>
      <c r="Q22" s="50"/>
      <c r="R22" s="174"/>
      <c r="S22" s="83"/>
      <c r="T22" s="51"/>
      <c r="U22" s="51"/>
      <c r="V22" s="83"/>
      <c r="W22" s="51"/>
      <c r="X22" s="51"/>
      <c r="Y22" s="83"/>
    </row>
    <row r="23" spans="2:34" ht="14.25" customHeight="1" x14ac:dyDescent="0.25">
      <c r="B23" s="171">
        <v>1</v>
      </c>
      <c r="C23" s="428" t="s">
        <v>567</v>
      </c>
      <c r="D23" s="428"/>
      <c r="E23" s="428"/>
      <c r="F23" s="428"/>
      <c r="G23" s="428"/>
      <c r="H23" s="428"/>
      <c r="I23" s="428"/>
      <c r="J23" s="428"/>
      <c r="K23" s="428"/>
      <c r="L23" s="428"/>
      <c r="M23" s="428"/>
      <c r="N23" s="428"/>
      <c r="O23" s="39"/>
      <c r="P23" s="53" t="e">
        <f ca="1">INDIRECT("'"&amp;$H$5&amp;"'!$K$28")</f>
        <v>#REF!</v>
      </c>
      <c r="Q23" s="50"/>
      <c r="R23" s="174"/>
      <c r="S23" s="67" t="s">
        <v>866</v>
      </c>
      <c r="T23" s="51"/>
      <c r="U23" s="51"/>
      <c r="V23" s="83"/>
      <c r="W23" s="51"/>
      <c r="X23" s="51"/>
      <c r="Y23" s="83"/>
    </row>
    <row r="24" spans="2:34" ht="14.25" customHeight="1" x14ac:dyDescent="0.25">
      <c r="B24" s="171">
        <v>1</v>
      </c>
      <c r="C24" s="428" t="s">
        <v>568</v>
      </c>
      <c r="D24" s="428"/>
      <c r="E24" s="428"/>
      <c r="F24" s="428"/>
      <c r="G24" s="428"/>
      <c r="H24" s="428"/>
      <c r="I24" s="428"/>
      <c r="J24" s="428"/>
      <c r="K24" s="428"/>
      <c r="L24" s="428"/>
      <c r="M24" s="428"/>
      <c r="N24" s="428"/>
      <c r="O24" s="39"/>
      <c r="P24" s="53" t="e">
        <f ca="1">INDIRECT("'"&amp;$H$5&amp;"'!$K$27")</f>
        <v>#REF!</v>
      </c>
      <c r="Q24" s="50"/>
      <c r="R24" s="174"/>
      <c r="S24" s="83"/>
      <c r="T24" s="51"/>
      <c r="U24" s="51"/>
      <c r="V24" s="83"/>
      <c r="W24" s="51"/>
      <c r="X24" s="51"/>
      <c r="Y24" s="83"/>
    </row>
    <row r="25" spans="2:34" ht="14.25" customHeight="1" x14ac:dyDescent="0.25">
      <c r="B25" s="171">
        <v>1</v>
      </c>
      <c r="C25" s="428" t="s">
        <v>569</v>
      </c>
      <c r="D25" s="428"/>
      <c r="E25" s="428"/>
      <c r="F25" s="428"/>
      <c r="G25" s="428"/>
      <c r="H25" s="428"/>
      <c r="I25" s="428"/>
      <c r="J25" s="428"/>
      <c r="K25" s="428"/>
      <c r="L25" s="428"/>
      <c r="M25" s="428"/>
      <c r="N25" s="428"/>
      <c r="O25" s="39"/>
      <c r="P25" s="53" t="s">
        <v>341</v>
      </c>
      <c r="Q25" s="50"/>
      <c r="R25" s="174"/>
      <c r="S25" s="35" t="e">
        <f ca="1">IF(S26&lt;&gt;"","yes","no")</f>
        <v>#REF!</v>
      </c>
      <c r="T25" s="50"/>
      <c r="U25" s="174"/>
      <c r="V25" s="35" t="e">
        <f ca="1">IF(V26&lt;&gt;"","yes","no")</f>
        <v>#REF!</v>
      </c>
      <c r="W25" s="50"/>
      <c r="X25" s="174"/>
      <c r="Y25" s="35" t="e">
        <f ca="1">IF(Y26&lt;&gt;"","yes","no")</f>
        <v>#REF!</v>
      </c>
      <c r="Z25" s="50"/>
      <c r="AA25" s="174"/>
      <c r="AB25" s="35" t="e">
        <f ca="1">IF(AB26&lt;&gt;"","yes","no")</f>
        <v>#REF!</v>
      </c>
      <c r="AC25" s="50"/>
      <c r="AD25" s="174"/>
      <c r="AE25" s="35" t="e">
        <f ca="1">IF(AE26&lt;&gt;"","yes","no")</f>
        <v>#REF!</v>
      </c>
      <c r="AF25" s="50"/>
      <c r="AG25" s="174"/>
      <c r="AH25" s="35" t="e">
        <f ca="1">IF(AH26&lt;&gt;"","yes","no")</f>
        <v>#REF!</v>
      </c>
    </row>
    <row r="26" spans="2:34" ht="14.25" customHeight="1" x14ac:dyDescent="0.25">
      <c r="B26" s="171">
        <v>1</v>
      </c>
      <c r="C26" s="428" t="s">
        <v>570</v>
      </c>
      <c r="D26" s="428"/>
      <c r="E26" s="428"/>
      <c r="F26" s="428"/>
      <c r="G26" s="428"/>
      <c r="H26" s="428"/>
      <c r="I26" s="428"/>
      <c r="J26" s="428"/>
      <c r="K26" s="428"/>
      <c r="L26" s="428"/>
      <c r="M26" s="428"/>
      <c r="N26" s="428"/>
      <c r="O26" s="39"/>
      <c r="P26" s="53" t="e">
        <f ca="1">INDIRECT("'"&amp;$H$5&amp;"'!$M$34")</f>
        <v>#REF!</v>
      </c>
      <c r="Q26" s="50"/>
      <c r="R26" s="174"/>
      <c r="S26" s="53" t="e">
        <f ca="1">INDIRECT("'"&amp;$H$5&amp;"'!$M$35")</f>
        <v>#REF!</v>
      </c>
      <c r="T26" s="50"/>
      <c r="U26" s="174"/>
      <c r="V26" s="53" t="e">
        <f ca="1">INDIRECT("'"&amp;$H$5&amp;"'!$M$36")</f>
        <v>#REF!</v>
      </c>
      <c r="W26" s="50"/>
      <c r="X26" s="174"/>
      <c r="Y26" s="53" t="e">
        <f ca="1">INDIRECT("'"&amp;$H$5&amp;"'!$M$37")</f>
        <v>#REF!</v>
      </c>
      <c r="Z26" s="50"/>
      <c r="AA26" s="174"/>
      <c r="AB26" s="53" t="e">
        <f ca="1">INDIRECT("'"&amp;$H$5&amp;"'!$M$38")</f>
        <v>#REF!</v>
      </c>
      <c r="AC26" s="50"/>
      <c r="AD26" s="174"/>
      <c r="AE26" s="53" t="e">
        <f ca="1">INDIRECT("'"&amp;$H$5&amp;"'!$M$39")</f>
        <v>#REF!</v>
      </c>
      <c r="AF26" s="50"/>
      <c r="AG26" s="174"/>
      <c r="AH26" s="53" t="e">
        <f ca="1">INDIRECT("'"&amp;$H$5&amp;"'!$M$40")</f>
        <v>#REF!</v>
      </c>
    </row>
    <row r="27" spans="2:34" ht="14.25" customHeight="1" x14ac:dyDescent="0.25">
      <c r="B27" s="171">
        <v>1</v>
      </c>
      <c r="C27" s="428" t="s">
        <v>562</v>
      </c>
      <c r="D27" s="428"/>
      <c r="E27" s="428"/>
      <c r="F27" s="428"/>
      <c r="G27" s="428"/>
      <c r="H27" s="428"/>
      <c r="I27" s="428"/>
      <c r="J27" s="428"/>
      <c r="K27" s="428"/>
      <c r="L27" s="428"/>
      <c r="M27" s="428"/>
      <c r="N27" s="428"/>
      <c r="O27" s="39"/>
      <c r="P27" s="53" t="s">
        <v>563</v>
      </c>
      <c r="Q27" s="50"/>
      <c r="R27" s="174"/>
      <c r="S27" s="53" t="s">
        <v>563</v>
      </c>
      <c r="T27" s="50"/>
      <c r="U27" s="174"/>
      <c r="V27" s="53" t="s">
        <v>563</v>
      </c>
      <c r="W27" s="50"/>
      <c r="X27" s="174"/>
      <c r="Y27" s="53" t="s">
        <v>563</v>
      </c>
      <c r="Z27" s="50"/>
      <c r="AA27" s="174"/>
      <c r="AB27" s="53" t="s">
        <v>563</v>
      </c>
      <c r="AC27" s="50"/>
      <c r="AD27" s="174"/>
      <c r="AE27" s="53" t="s">
        <v>563</v>
      </c>
      <c r="AF27" s="50"/>
      <c r="AG27" s="174"/>
      <c r="AH27" s="53" t="s">
        <v>563</v>
      </c>
    </row>
    <row r="28" spans="2:34" ht="14.25" customHeight="1" x14ac:dyDescent="0.25">
      <c r="B28" s="171">
        <v>1</v>
      </c>
      <c r="C28" s="428" t="s">
        <v>564</v>
      </c>
      <c r="D28" s="428"/>
      <c r="E28" s="428"/>
      <c r="F28" s="428"/>
      <c r="G28" s="428"/>
      <c r="H28" s="428"/>
      <c r="I28" s="428"/>
      <c r="J28" s="428"/>
      <c r="K28" s="428"/>
      <c r="L28" s="428"/>
      <c r="M28" s="428"/>
      <c r="N28" s="428"/>
      <c r="O28" s="39"/>
      <c r="P28" s="53" t="e">
        <f ca="1">INDIRECT("'"&amp;$H$5&amp;"'!$Q$34")</f>
        <v>#REF!</v>
      </c>
      <c r="Q28" s="50"/>
      <c r="R28" s="174"/>
      <c r="S28" s="53" t="e">
        <f ca="1">INDIRECT("'"&amp;$H$5&amp;"'!$Q$35")</f>
        <v>#REF!</v>
      </c>
      <c r="T28" s="50"/>
      <c r="U28" s="174"/>
      <c r="V28" s="53" t="e">
        <f ca="1">INDIRECT("'"&amp;$H$5&amp;"'!$Q$36")</f>
        <v>#REF!</v>
      </c>
      <c r="W28" s="50"/>
      <c r="X28" s="174"/>
      <c r="Y28" s="53" t="e">
        <f ca="1">INDIRECT("'"&amp;$H$5&amp;"'!$Q$37")</f>
        <v>#REF!</v>
      </c>
      <c r="Z28" s="50"/>
      <c r="AA28" s="174"/>
      <c r="AB28" s="53" t="e">
        <f ca="1">INDIRECT("'"&amp;$H$5&amp;"'!$Q$38")</f>
        <v>#REF!</v>
      </c>
      <c r="AC28" s="50"/>
      <c r="AD28" s="174"/>
      <c r="AE28" s="53" t="e">
        <f ca="1">INDIRECT("'"&amp;$H$5&amp;"'!$Q$39")</f>
        <v>#REF!</v>
      </c>
      <c r="AF28" s="50"/>
      <c r="AG28" s="174"/>
      <c r="AH28" s="53" t="e">
        <f ca="1">INDIRECT("'"&amp;$H$5&amp;"'!$Q$40")</f>
        <v>#REF!</v>
      </c>
    </row>
    <row r="29" spans="2:34" ht="14.25" customHeight="1" x14ac:dyDescent="0.25">
      <c r="B29" s="171">
        <v>1</v>
      </c>
      <c r="C29" s="428" t="s">
        <v>565</v>
      </c>
      <c r="D29" s="428"/>
      <c r="E29" s="428"/>
      <c r="F29" s="428"/>
      <c r="G29" s="428"/>
      <c r="H29" s="428"/>
      <c r="I29" s="428"/>
      <c r="J29" s="428"/>
      <c r="K29" s="428"/>
      <c r="L29" s="428"/>
      <c r="M29" s="428"/>
      <c r="N29" s="428"/>
      <c r="O29" s="39"/>
      <c r="P29" s="53" t="e">
        <f ca="1">INDIRECT("'"&amp;$H$5&amp;"'!$T$34")</f>
        <v>#REF!</v>
      </c>
      <c r="Q29" s="50"/>
      <c r="R29" s="174"/>
      <c r="S29" s="53" t="e">
        <f ca="1">INDIRECT("'"&amp;$H$5&amp;"'!$T$35")</f>
        <v>#REF!</v>
      </c>
      <c r="T29" s="50"/>
      <c r="U29" s="174"/>
      <c r="V29" s="53" t="e">
        <f ca="1">INDIRECT("'"&amp;$H$5&amp;"'!$T$36")</f>
        <v>#REF!</v>
      </c>
      <c r="W29" s="50"/>
      <c r="X29" s="174"/>
      <c r="Y29" s="53" t="e">
        <f ca="1">INDIRECT("'"&amp;$H$5&amp;"'!$T$37")</f>
        <v>#REF!</v>
      </c>
      <c r="Z29" s="50"/>
      <c r="AA29" s="174"/>
      <c r="AB29" s="53" t="e">
        <f ca="1">INDIRECT("'"&amp;$H$5&amp;"'!$T$38")</f>
        <v>#REF!</v>
      </c>
      <c r="AC29" s="50"/>
      <c r="AD29" s="174"/>
      <c r="AE29" s="53" t="e">
        <f ca="1">INDIRECT("'"&amp;$H$5&amp;"'!$T$39")</f>
        <v>#REF!</v>
      </c>
      <c r="AF29" s="50"/>
      <c r="AG29" s="174"/>
      <c r="AH29" s="53" t="e">
        <f ca="1">INDIRECT("'"&amp;$H$5&amp;"'!$T$40")</f>
        <v>#REF!</v>
      </c>
    </row>
    <row r="30" spans="2:34" ht="14.25" customHeight="1" x14ac:dyDescent="0.25">
      <c r="B30" s="171">
        <v>1</v>
      </c>
      <c r="C30" s="428" t="s">
        <v>566</v>
      </c>
      <c r="D30" s="428"/>
      <c r="E30" s="428"/>
      <c r="F30" s="428"/>
      <c r="G30" s="428"/>
      <c r="H30" s="428"/>
      <c r="I30" s="428"/>
      <c r="J30" s="428"/>
      <c r="K30" s="428"/>
      <c r="L30" s="428"/>
      <c r="M30" s="428"/>
      <c r="N30" s="428"/>
      <c r="O30" s="39"/>
      <c r="P30" s="53" t="e">
        <f ca="1">INDIRECT("'"&amp;$H$5&amp;"'!$J$34")</f>
        <v>#REF!</v>
      </c>
      <c r="Q30" s="50"/>
      <c r="R30" s="174"/>
      <c r="S30" s="53" t="e">
        <f ca="1">INDIRECT("'"&amp;$H$5&amp;"'!$J$35")</f>
        <v>#REF!</v>
      </c>
      <c r="T30" s="50"/>
      <c r="U30" s="174"/>
      <c r="V30" s="53" t="e">
        <f ca="1">INDIRECT("'"&amp;$H$5&amp;"'!$J$36")</f>
        <v>#REF!</v>
      </c>
      <c r="W30" s="50"/>
      <c r="X30" s="174"/>
      <c r="Y30" s="53" t="e">
        <f ca="1">INDIRECT("'"&amp;$H$5&amp;"'!$J$37")</f>
        <v>#REF!</v>
      </c>
      <c r="Z30" s="50"/>
      <c r="AA30" s="174"/>
      <c r="AB30" s="53" t="e">
        <f ca="1">INDIRECT("'"&amp;$H$5&amp;"'!$J$38")</f>
        <v>#REF!</v>
      </c>
      <c r="AC30" s="50"/>
      <c r="AD30" s="174"/>
      <c r="AE30" s="53" t="e">
        <f ca="1">INDIRECT("'"&amp;$H$5&amp;"'!$J$39")</f>
        <v>#REF!</v>
      </c>
      <c r="AF30" s="50"/>
      <c r="AG30" s="174"/>
      <c r="AH30" s="53" t="e">
        <f ca="1">INDIRECT("'"&amp;$H$5&amp;"'!$J$40")</f>
        <v>#REF!</v>
      </c>
    </row>
    <row r="31" spans="2:34" ht="14.25" customHeight="1" x14ac:dyDescent="0.25">
      <c r="B31" s="171">
        <v>1</v>
      </c>
      <c r="C31" s="428" t="s">
        <v>567</v>
      </c>
      <c r="D31" s="428"/>
      <c r="E31" s="428"/>
      <c r="F31" s="428"/>
      <c r="G31" s="428"/>
      <c r="H31" s="428"/>
      <c r="I31" s="428"/>
      <c r="J31" s="428"/>
      <c r="K31" s="428"/>
      <c r="L31" s="428"/>
      <c r="M31" s="428"/>
      <c r="N31" s="428"/>
      <c r="O31" s="39"/>
      <c r="P31" s="53" t="e">
        <f ca="1">INDIRECT("'"&amp;$H$5&amp;"'!$K$28")</f>
        <v>#REF!</v>
      </c>
      <c r="Q31" s="50"/>
      <c r="R31" s="174"/>
      <c r="S31" s="53" t="e">
        <f ca="1">INDIRECT("'"&amp;$H$5&amp;"'!$K$28")</f>
        <v>#REF!</v>
      </c>
      <c r="T31" s="50"/>
      <c r="U31" s="174"/>
      <c r="V31" s="53" t="e">
        <f ca="1">INDIRECT("'"&amp;$H$5&amp;"'!$K$28")</f>
        <v>#REF!</v>
      </c>
      <c r="W31" s="50"/>
      <c r="X31" s="174"/>
      <c r="Y31" s="53" t="e">
        <f ca="1">INDIRECT("'"&amp;$H$5&amp;"'!$K$28")</f>
        <v>#REF!</v>
      </c>
      <c r="Z31" s="50"/>
      <c r="AA31" s="174"/>
      <c r="AB31" s="53" t="e">
        <f ca="1">INDIRECT("'"&amp;$H$5&amp;"'!$K$28")</f>
        <v>#REF!</v>
      </c>
      <c r="AC31" s="50"/>
      <c r="AD31" s="174"/>
      <c r="AE31" s="53" t="e">
        <f ca="1">INDIRECT("'"&amp;$H$5&amp;"'!$K$28")</f>
        <v>#REF!</v>
      </c>
      <c r="AF31" s="50"/>
      <c r="AG31" s="174"/>
      <c r="AH31" s="53" t="e">
        <f ca="1">INDIRECT("'"&amp;$H$5&amp;"'!$K$28")</f>
        <v>#REF!</v>
      </c>
    </row>
    <row r="32" spans="2:34" ht="14.25" customHeight="1" x14ac:dyDescent="0.25">
      <c r="B32" s="171">
        <v>1</v>
      </c>
      <c r="C32" s="428" t="s">
        <v>568</v>
      </c>
      <c r="D32" s="428"/>
      <c r="E32" s="428"/>
      <c r="F32" s="428"/>
      <c r="G32" s="428"/>
      <c r="H32" s="428"/>
      <c r="I32" s="428"/>
      <c r="J32" s="428"/>
      <c r="K32" s="428"/>
      <c r="L32" s="428"/>
      <c r="M32" s="428"/>
      <c r="N32" s="428"/>
      <c r="O32" s="39"/>
      <c r="P32" s="53" t="e">
        <f ca="1">INDIRECT("'"&amp;$H$5&amp;"'!$K$27")</f>
        <v>#REF!</v>
      </c>
      <c r="Q32" s="50"/>
      <c r="R32" s="174"/>
      <c r="S32" s="53" t="e">
        <f ca="1">INDIRECT("'"&amp;$H$5&amp;"'!$K$27")</f>
        <v>#REF!</v>
      </c>
      <c r="T32" s="50"/>
      <c r="U32" s="174"/>
      <c r="V32" s="53" t="e">
        <f ca="1">INDIRECT("'"&amp;$H$5&amp;"'!$K$27")</f>
        <v>#REF!</v>
      </c>
      <c r="W32" s="50"/>
      <c r="X32" s="174"/>
      <c r="Y32" s="53" t="e">
        <f ca="1">INDIRECT("'"&amp;$H$5&amp;"'!$K$27")</f>
        <v>#REF!</v>
      </c>
      <c r="Z32" s="50"/>
      <c r="AA32" s="174"/>
      <c r="AB32" s="53" t="e">
        <f ca="1">INDIRECT("'"&amp;$H$5&amp;"'!$K$27")</f>
        <v>#REF!</v>
      </c>
      <c r="AC32" s="50"/>
      <c r="AD32" s="174"/>
      <c r="AE32" s="53" t="e">
        <f ca="1">INDIRECT("'"&amp;$H$5&amp;"'!$K$27")</f>
        <v>#REF!</v>
      </c>
      <c r="AF32" s="50"/>
      <c r="AG32" s="174"/>
      <c r="AH32" s="53" t="e">
        <f ca="1">INDIRECT("'"&amp;$H$5&amp;"'!$K$27")</f>
        <v>#REF!</v>
      </c>
    </row>
    <row r="33" spans="2:34" ht="14.25" customHeight="1" x14ac:dyDescent="0.25">
      <c r="B33" s="171">
        <v>1</v>
      </c>
      <c r="C33" s="428" t="s">
        <v>569</v>
      </c>
      <c r="D33" s="428"/>
      <c r="E33" s="428"/>
      <c r="F33" s="428"/>
      <c r="G33" s="428"/>
      <c r="H33" s="428"/>
      <c r="I33" s="428"/>
      <c r="J33" s="428"/>
      <c r="K33" s="428"/>
      <c r="L33" s="428"/>
      <c r="M33" s="428"/>
      <c r="N33" s="428"/>
      <c r="O33" s="39"/>
      <c r="P33" s="53" t="s">
        <v>586</v>
      </c>
      <c r="Q33" s="50"/>
      <c r="R33" s="174"/>
      <c r="S33" s="53" t="s">
        <v>586</v>
      </c>
      <c r="T33" s="50"/>
      <c r="U33" s="174"/>
      <c r="V33" s="53" t="s">
        <v>586</v>
      </c>
      <c r="W33" s="50"/>
      <c r="X33" s="174"/>
      <c r="Y33" s="53" t="s">
        <v>586</v>
      </c>
      <c r="Z33" s="50"/>
      <c r="AA33" s="174"/>
      <c r="AB33" s="53" t="s">
        <v>586</v>
      </c>
      <c r="AC33" s="50"/>
      <c r="AD33" s="174"/>
      <c r="AE33" s="53" t="s">
        <v>586</v>
      </c>
      <c r="AF33" s="50"/>
      <c r="AG33" s="174"/>
      <c r="AH33" s="53" t="s">
        <v>586</v>
      </c>
    </row>
    <row r="34" spans="2:34" ht="14.25" customHeight="1" x14ac:dyDescent="0.25">
      <c r="B34" s="171">
        <v>1</v>
      </c>
      <c r="C34" s="428" t="s">
        <v>571</v>
      </c>
      <c r="D34" s="428"/>
      <c r="E34" s="428"/>
      <c r="F34" s="428"/>
      <c r="G34" s="428"/>
      <c r="H34" s="428"/>
      <c r="I34" s="428"/>
      <c r="J34" s="428"/>
      <c r="K34" s="428"/>
      <c r="L34" s="428"/>
      <c r="M34" s="428"/>
      <c r="N34" s="428"/>
      <c r="O34" s="39"/>
      <c r="P34" s="53" t="s">
        <v>341</v>
      </c>
      <c r="Q34" s="50"/>
      <c r="R34" s="174"/>
      <c r="T34" s="50"/>
      <c r="U34" s="174"/>
      <c r="W34" s="50"/>
      <c r="X34" s="174"/>
      <c r="Z34" s="50"/>
      <c r="AA34" s="174"/>
      <c r="AC34" s="50"/>
      <c r="AD34" s="174"/>
      <c r="AF34" s="50"/>
      <c r="AG34" s="174"/>
    </row>
    <row r="35" spans="2:34" ht="14.25" customHeight="1" x14ac:dyDescent="0.25">
      <c r="B35" s="171">
        <v>1</v>
      </c>
      <c r="C35" s="428" t="s">
        <v>572</v>
      </c>
      <c r="D35" s="428"/>
      <c r="E35" s="428"/>
      <c r="F35" s="428"/>
      <c r="G35" s="428"/>
      <c r="H35" s="428"/>
      <c r="I35" s="428"/>
      <c r="J35" s="428"/>
      <c r="K35" s="428"/>
      <c r="L35" s="428"/>
      <c r="M35" s="428"/>
      <c r="N35" s="428"/>
      <c r="O35" s="39"/>
      <c r="P35" s="53" t="e">
        <f ca="1">INDIRECT("'"&amp;$H$5&amp;"'!F9")</f>
        <v>#REF!</v>
      </c>
      <c r="Q35" s="50"/>
      <c r="R35" s="174"/>
      <c r="S35" s="83"/>
      <c r="T35" s="51"/>
      <c r="U35" s="51"/>
      <c r="V35" s="83"/>
      <c r="W35" s="51"/>
      <c r="X35" s="51"/>
      <c r="Y35" s="83"/>
    </row>
    <row r="36" spans="2:34" ht="14.25" customHeight="1" x14ac:dyDescent="0.25">
      <c r="B36" s="171">
        <v>1</v>
      </c>
      <c r="C36" s="428" t="s">
        <v>573</v>
      </c>
      <c r="D36" s="428"/>
      <c r="E36" s="428"/>
      <c r="F36" s="428"/>
      <c r="G36" s="428"/>
      <c r="H36" s="428"/>
      <c r="I36" s="428"/>
      <c r="J36" s="428"/>
      <c r="K36" s="428"/>
      <c r="L36" s="428"/>
      <c r="M36" s="428"/>
      <c r="N36" s="428"/>
      <c r="O36" s="39"/>
      <c r="P36" s="53" t="e">
        <f ca="1">CONCATENATE(INDIRECT("'"&amp;$H$5&amp;"'!F10"),",",INDIRECT("'"&amp;$H$5&amp;"'!I10"),",",INDIRECT("'"&amp;$H$5&amp;"'!L10"))</f>
        <v>#REF!</v>
      </c>
      <c r="Q36" s="50"/>
      <c r="R36" s="174"/>
      <c r="S36" s="83"/>
      <c r="T36" s="51"/>
      <c r="U36" s="51"/>
      <c r="V36" s="83"/>
      <c r="W36" s="51"/>
      <c r="X36" s="51"/>
      <c r="Y36" s="83"/>
    </row>
    <row r="37" spans="2:34" ht="14.25" customHeight="1" x14ac:dyDescent="0.25">
      <c r="B37" s="171">
        <v>1</v>
      </c>
      <c r="C37" s="428" t="s">
        <v>574</v>
      </c>
      <c r="D37" s="428"/>
      <c r="E37" s="428"/>
      <c r="F37" s="428"/>
      <c r="G37" s="428"/>
      <c r="H37" s="428"/>
      <c r="I37" s="428"/>
      <c r="J37" s="428"/>
      <c r="K37" s="428"/>
      <c r="L37" s="428"/>
      <c r="M37" s="428"/>
      <c r="N37" s="428"/>
      <c r="O37" s="39"/>
      <c r="P37" s="53" t="s">
        <v>341</v>
      </c>
      <c r="Q37" s="50"/>
      <c r="R37" s="174"/>
      <c r="S37" s="83"/>
      <c r="T37" s="51"/>
      <c r="U37" s="51"/>
      <c r="V37" s="83"/>
      <c r="W37" s="51"/>
      <c r="X37" s="51"/>
      <c r="Y37" s="83"/>
    </row>
    <row r="38" spans="2:34" ht="14.25" customHeight="1" x14ac:dyDescent="0.25">
      <c r="B38" s="171">
        <v>1</v>
      </c>
      <c r="C38" s="428" t="s">
        <v>575</v>
      </c>
      <c r="D38" s="428"/>
      <c r="E38" s="428"/>
      <c r="F38" s="428"/>
      <c r="G38" s="428"/>
      <c r="H38" s="428"/>
      <c r="I38" s="428"/>
      <c r="J38" s="428"/>
      <c r="K38" s="428"/>
      <c r="L38" s="428"/>
      <c r="M38" s="428"/>
      <c r="N38" s="428"/>
      <c r="O38" s="39"/>
      <c r="P38" s="53" t="e">
        <f ca="1">INDIRECT("'"&amp;$H$5&amp;"'!K7")</f>
        <v>#REF!</v>
      </c>
      <c r="Q38" s="50"/>
      <c r="R38" s="174"/>
      <c r="S38" s="83"/>
      <c r="T38" s="51"/>
      <c r="U38" s="51"/>
      <c r="V38" s="83"/>
      <c r="W38" s="51"/>
      <c r="X38" s="51"/>
      <c r="Y38" s="83"/>
    </row>
    <row r="39" spans="2:34" ht="14.25" customHeight="1" x14ac:dyDescent="0.25">
      <c r="B39" s="171">
        <v>1</v>
      </c>
      <c r="C39" s="428" t="s">
        <v>576</v>
      </c>
      <c r="D39" s="428"/>
      <c r="E39" s="428"/>
      <c r="F39" s="428"/>
      <c r="G39" s="428"/>
      <c r="H39" s="428"/>
      <c r="I39" s="428"/>
      <c r="J39" s="428"/>
      <c r="K39" s="428"/>
      <c r="L39" s="428"/>
      <c r="M39" s="428"/>
      <c r="N39" s="428"/>
      <c r="O39" s="39"/>
      <c r="P39" s="53" t="e">
        <f ca="1">P35</f>
        <v>#REF!</v>
      </c>
      <c r="Q39" s="50"/>
      <c r="R39" s="174"/>
      <c r="S39" s="83"/>
      <c r="T39" s="51"/>
      <c r="U39" s="51"/>
      <c r="V39" s="83"/>
      <c r="W39" s="51"/>
      <c r="X39" s="51"/>
      <c r="Y39" s="83"/>
    </row>
    <row r="40" spans="2:34" ht="14.25" customHeight="1" x14ac:dyDescent="0.25">
      <c r="B40" s="171">
        <v>1</v>
      </c>
      <c r="C40" s="428" t="s">
        <v>577</v>
      </c>
      <c r="D40" s="428"/>
      <c r="E40" s="428"/>
      <c r="F40" s="428"/>
      <c r="G40" s="428"/>
      <c r="H40" s="428"/>
      <c r="I40" s="428"/>
      <c r="J40" s="428"/>
      <c r="K40" s="428"/>
      <c r="L40" s="428"/>
      <c r="M40" s="428"/>
      <c r="N40" s="428"/>
      <c r="O40" s="39"/>
      <c r="P40" s="53" t="s">
        <v>579</v>
      </c>
      <c r="Q40" s="50"/>
      <c r="R40" s="174"/>
      <c r="S40" s="83"/>
      <c r="T40" s="51"/>
      <c r="U40" s="51"/>
      <c r="V40" s="83"/>
      <c r="W40" s="51"/>
      <c r="X40" s="51"/>
      <c r="Y40" s="83"/>
    </row>
    <row r="41" spans="2:34" ht="14.25" customHeight="1" x14ac:dyDescent="0.25">
      <c r="B41" s="171">
        <v>1</v>
      </c>
      <c r="C41" s="428" t="s">
        <v>578</v>
      </c>
      <c r="D41" s="428"/>
      <c r="E41" s="428"/>
      <c r="F41" s="428"/>
      <c r="G41" s="428"/>
      <c r="H41" s="428"/>
      <c r="I41" s="428"/>
      <c r="J41" s="428"/>
      <c r="K41" s="428"/>
      <c r="L41" s="428"/>
      <c r="M41" s="428"/>
      <c r="N41" s="428"/>
      <c r="O41" s="39"/>
      <c r="P41" s="54" t="s">
        <v>579</v>
      </c>
      <c r="Q41" s="50"/>
      <c r="R41" s="174"/>
      <c r="S41" s="83"/>
      <c r="T41" s="51"/>
      <c r="U41" s="51"/>
      <c r="V41" s="83"/>
      <c r="W41" s="51"/>
      <c r="X41" s="51"/>
      <c r="Y41" s="83"/>
    </row>
    <row r="42" spans="2:34" ht="14.25" customHeight="1" x14ac:dyDescent="0.25">
      <c r="B42" s="171">
        <v>1</v>
      </c>
      <c r="C42" s="428" t="s">
        <v>580</v>
      </c>
      <c r="D42" s="428"/>
      <c r="E42" s="428"/>
      <c r="F42" s="428"/>
      <c r="G42" s="428"/>
      <c r="H42" s="428"/>
      <c r="I42" s="428"/>
      <c r="J42" s="428"/>
      <c r="K42" s="428"/>
      <c r="L42" s="428"/>
      <c r="M42" s="428"/>
      <c r="N42" s="428"/>
      <c r="O42" s="39"/>
      <c r="P42" s="53" t="s">
        <v>559</v>
      </c>
      <c r="Q42" s="50"/>
      <c r="R42" s="174"/>
      <c r="S42" s="83"/>
      <c r="T42" s="51"/>
      <c r="U42" s="51"/>
      <c r="V42" s="83"/>
      <c r="W42" s="51"/>
      <c r="X42" s="51"/>
      <c r="Y42" s="83"/>
    </row>
    <row r="43" spans="2:34" ht="14.25" customHeight="1" x14ac:dyDescent="0.25">
      <c r="B43" s="171">
        <v>2</v>
      </c>
      <c r="C43" s="466" t="s">
        <v>581</v>
      </c>
      <c r="D43" s="466"/>
      <c r="E43" s="466"/>
      <c r="F43" s="466"/>
      <c r="G43" s="466"/>
      <c r="H43" s="466"/>
      <c r="I43" s="466"/>
      <c r="J43" s="466"/>
      <c r="K43" s="466"/>
      <c r="L43" s="466"/>
      <c r="M43" s="466"/>
      <c r="N43" s="466"/>
      <c r="O43" s="39"/>
      <c r="P43" s="53"/>
      <c r="Q43" s="50"/>
      <c r="R43" s="174"/>
      <c r="S43" s="83"/>
      <c r="T43" s="51"/>
      <c r="U43" s="51"/>
      <c r="V43" s="83"/>
      <c r="W43" s="51"/>
      <c r="X43" s="51"/>
      <c r="Y43" s="83"/>
    </row>
    <row r="44" spans="2:34" ht="14.25" customHeight="1" x14ac:dyDescent="0.25">
      <c r="B44" s="171">
        <v>3</v>
      </c>
      <c r="C44" s="428" t="s">
        <v>582</v>
      </c>
      <c r="D44" s="428"/>
      <c r="E44" s="428"/>
      <c r="F44" s="428"/>
      <c r="G44" s="428"/>
      <c r="H44" s="428"/>
      <c r="I44" s="428"/>
      <c r="J44" s="428"/>
      <c r="K44" s="428"/>
      <c r="L44" s="428"/>
      <c r="M44" s="428"/>
      <c r="N44" s="428"/>
      <c r="O44" s="39"/>
      <c r="P44" s="53" t="e">
        <f ca="1">CONCATENATE("vo ren -vs ",INDIRECT("'"&amp;$H$5&amp;"'!K7")," -vo root_vol -ne ",SUBSTITUTE(INDIRECT("'"&amp;$H$5&amp;"'!K7"),"-",""),"_root")</f>
        <v>#REF!</v>
      </c>
      <c r="Q44" s="50"/>
      <c r="R44" s="174"/>
      <c r="S44" s="83"/>
      <c r="T44" s="51"/>
      <c r="U44" s="51"/>
      <c r="V44" s="83"/>
      <c r="W44" s="51"/>
      <c r="X44" s="51"/>
      <c r="Y44" s="83"/>
    </row>
    <row r="45" spans="2:34" ht="14.25" customHeight="1" x14ac:dyDescent="0.25">
      <c r="B45" s="171">
        <v>4</v>
      </c>
      <c r="C45" s="428" t="s">
        <v>583</v>
      </c>
      <c r="D45" s="428"/>
      <c r="E45" s="428"/>
      <c r="F45" s="428"/>
      <c r="G45" s="428"/>
      <c r="H45" s="428"/>
      <c r="I45" s="428"/>
      <c r="J45" s="428"/>
      <c r="K45" s="428"/>
      <c r="L45" s="428"/>
      <c r="M45" s="428"/>
      <c r="N45" s="428"/>
      <c r="O45" s="39"/>
      <c r="P45" s="53" t="e">
        <f ca="1">CONCATENATE("vo mod -vs ",INDIRECT("'"&amp;$H$5&amp;"'!K7")," -vo ",SUBSTITUTE(INDIRECT("'"&amp;$H$5&amp;"'!K7"),"-",""),"_root -si 1GB")</f>
        <v>#REF!</v>
      </c>
      <c r="Q45" s="50"/>
      <c r="R45" s="174"/>
      <c r="S45" s="83"/>
      <c r="T45" s="51"/>
      <c r="U45" s="51"/>
      <c r="V45" s="83"/>
      <c r="W45" s="51"/>
      <c r="X45" s="51"/>
      <c r="Y45" s="83"/>
    </row>
    <row r="46" spans="2:34" ht="14.25" customHeight="1" x14ac:dyDescent="0.25">
      <c r="B46" s="171">
        <v>5</v>
      </c>
      <c r="C46" s="428" t="s">
        <v>584</v>
      </c>
      <c r="D46" s="428"/>
      <c r="E46" s="428"/>
      <c r="F46" s="428"/>
      <c r="G46" s="428"/>
      <c r="H46" s="428"/>
      <c r="I46" s="428"/>
      <c r="J46" s="428"/>
      <c r="K46" s="428"/>
      <c r="L46" s="428"/>
      <c r="M46" s="428"/>
      <c r="N46" s="428"/>
      <c r="O46" s="39"/>
      <c r="P46" s="53" t="e">
        <f ca="1">CONCATENATE("vo mod -vs ",INDIRECT("'"&amp;$H$5&amp;"'!K7")," -vo ",SUBSTITUTE(INDIRECT("'"&amp;$H$5&amp;"'!K7"),"-",""),"_root -un 755")</f>
        <v>#REF!</v>
      </c>
      <c r="Q46" s="50"/>
      <c r="R46" s="174"/>
      <c r="S46" s="83"/>
      <c r="T46" s="51"/>
      <c r="U46" s="51"/>
      <c r="V46" s="83"/>
      <c r="W46" s="51"/>
      <c r="X46" s="51"/>
      <c r="Y46" s="83"/>
    </row>
    <row r="47" spans="2:34" ht="14.25" customHeight="1" x14ac:dyDescent="0.25">
      <c r="B47" s="171"/>
      <c r="C47" s="428"/>
      <c r="D47" s="428"/>
      <c r="E47" s="428"/>
      <c r="F47" s="428"/>
      <c r="G47" s="428"/>
      <c r="H47" s="428"/>
      <c r="I47" s="428"/>
      <c r="J47" s="428"/>
      <c r="K47" s="428"/>
      <c r="L47" s="428"/>
      <c r="M47" s="428"/>
      <c r="N47" s="428"/>
      <c r="O47" s="39"/>
      <c r="P47" s="53"/>
      <c r="Q47" s="50"/>
      <c r="R47" s="174"/>
      <c r="S47" s="83"/>
      <c r="T47" s="51"/>
      <c r="U47" s="51"/>
      <c r="V47" s="83"/>
      <c r="W47" s="51"/>
      <c r="X47" s="51"/>
      <c r="Y47" s="83"/>
    </row>
    <row r="48" spans="2:34" ht="14.25" customHeight="1" x14ac:dyDescent="0.25">
      <c r="B48" s="171"/>
      <c r="C48" s="428"/>
      <c r="D48" s="428"/>
      <c r="E48" s="428"/>
      <c r="F48" s="428"/>
      <c r="G48" s="428"/>
      <c r="H48" s="428"/>
      <c r="I48" s="428"/>
      <c r="J48" s="428"/>
      <c r="K48" s="428"/>
      <c r="L48" s="428"/>
      <c r="M48" s="428"/>
      <c r="N48" s="428"/>
      <c r="O48" s="39"/>
      <c r="P48" s="53"/>
      <c r="Q48" s="50"/>
      <c r="R48" s="174"/>
      <c r="S48" s="83"/>
      <c r="T48" s="51"/>
      <c r="U48" s="51"/>
      <c r="V48" s="83"/>
      <c r="W48" s="51"/>
      <c r="X48" s="51"/>
      <c r="Y48" s="83"/>
    </row>
    <row r="49" spans="2:25" ht="14.25" customHeight="1" x14ac:dyDescent="0.25">
      <c r="B49" s="171"/>
      <c r="C49" s="428"/>
      <c r="D49" s="428"/>
      <c r="E49" s="428"/>
      <c r="F49" s="428"/>
      <c r="G49" s="428"/>
      <c r="H49" s="428"/>
      <c r="I49" s="428"/>
      <c r="J49" s="428"/>
      <c r="K49" s="428"/>
      <c r="L49" s="428"/>
      <c r="M49" s="428"/>
      <c r="N49" s="428"/>
      <c r="O49" s="39"/>
      <c r="P49" s="53"/>
      <c r="Q49" s="50"/>
      <c r="R49" s="174"/>
      <c r="S49" s="83"/>
      <c r="T49" s="51"/>
      <c r="U49" s="51"/>
      <c r="V49" s="83"/>
      <c r="W49" s="51"/>
      <c r="X49" s="51"/>
      <c r="Y49" s="83"/>
    </row>
    <row r="50" spans="2:25" ht="14.25" customHeight="1" x14ac:dyDescent="0.25">
      <c r="B50" s="171"/>
      <c r="C50" s="428"/>
      <c r="D50" s="428"/>
      <c r="E50" s="428"/>
      <c r="F50" s="428"/>
      <c r="G50" s="428"/>
      <c r="H50" s="428"/>
      <c r="I50" s="428"/>
      <c r="J50" s="428"/>
      <c r="K50" s="428"/>
      <c r="L50" s="428"/>
      <c r="M50" s="428"/>
      <c r="N50" s="428"/>
      <c r="O50" s="39"/>
      <c r="P50" s="53"/>
      <c r="Q50" s="50"/>
      <c r="R50" s="174"/>
      <c r="S50" s="83"/>
      <c r="T50" s="51"/>
      <c r="U50" s="51"/>
      <c r="V50" s="83"/>
      <c r="W50" s="51"/>
      <c r="X50" s="51"/>
      <c r="Y50" s="83"/>
    </row>
    <row r="51" spans="2:25" ht="14.25" customHeight="1" x14ac:dyDescent="0.25">
      <c r="B51" s="171"/>
      <c r="C51" s="428"/>
      <c r="D51" s="428"/>
      <c r="E51" s="428"/>
      <c r="F51" s="428"/>
      <c r="G51" s="428"/>
      <c r="H51" s="428"/>
      <c r="I51" s="428"/>
      <c r="J51" s="428"/>
      <c r="K51" s="428"/>
      <c r="L51" s="428"/>
      <c r="M51" s="428"/>
      <c r="N51" s="428"/>
      <c r="O51" s="39"/>
      <c r="P51" s="53"/>
      <c r="Q51" s="50"/>
      <c r="R51" s="174"/>
      <c r="S51" s="83"/>
      <c r="T51" s="51"/>
      <c r="U51" s="51"/>
      <c r="V51" s="83"/>
      <c r="W51" s="51"/>
      <c r="X51" s="51"/>
      <c r="Y51" s="83"/>
    </row>
    <row r="52" spans="2:25" ht="14.25" customHeight="1" x14ac:dyDescent="0.25">
      <c r="B52" s="171"/>
      <c r="C52" s="428"/>
      <c r="D52" s="428"/>
      <c r="E52" s="428"/>
      <c r="F52" s="428"/>
      <c r="G52" s="428"/>
      <c r="H52" s="428"/>
      <c r="I52" s="428"/>
      <c r="J52" s="428"/>
      <c r="K52" s="428"/>
      <c r="L52" s="428"/>
      <c r="M52" s="428"/>
      <c r="N52" s="428"/>
      <c r="O52" s="39"/>
      <c r="P52" s="53"/>
      <c r="Q52" s="50"/>
      <c r="R52" s="174"/>
      <c r="S52" s="83"/>
      <c r="T52" s="51"/>
      <c r="U52" s="51"/>
      <c r="V52" s="83"/>
      <c r="W52" s="51"/>
      <c r="X52" s="51"/>
      <c r="Y52" s="83"/>
    </row>
    <row r="53" spans="2:25" ht="14.25" customHeight="1" x14ac:dyDescent="0.25">
      <c r="B53" s="171"/>
      <c r="C53" s="428"/>
      <c r="D53" s="428"/>
      <c r="E53" s="428"/>
      <c r="F53" s="428"/>
      <c r="G53" s="428"/>
      <c r="H53" s="428"/>
      <c r="I53" s="428"/>
      <c r="J53" s="428"/>
      <c r="K53" s="428"/>
      <c r="L53" s="428"/>
      <c r="M53" s="428"/>
      <c r="N53" s="428"/>
      <c r="O53" s="39"/>
      <c r="P53" s="53"/>
      <c r="Q53" s="50"/>
      <c r="R53" s="174"/>
      <c r="S53" s="83"/>
      <c r="T53" s="51"/>
      <c r="U53" s="51"/>
      <c r="V53" s="83"/>
      <c r="W53" s="51"/>
      <c r="X53" s="51"/>
      <c r="Y53" s="83"/>
    </row>
    <row r="54" spans="2:25" ht="14.25" customHeight="1" x14ac:dyDescent="0.25">
      <c r="B54" s="171"/>
      <c r="C54" s="428"/>
      <c r="D54" s="428"/>
      <c r="E54" s="428"/>
      <c r="F54" s="428"/>
      <c r="G54" s="428"/>
      <c r="H54" s="428"/>
      <c r="I54" s="428"/>
      <c r="J54" s="428"/>
      <c r="K54" s="428"/>
      <c r="L54" s="428"/>
      <c r="M54" s="428"/>
      <c r="N54" s="428"/>
      <c r="O54" s="39"/>
      <c r="P54" s="53"/>
      <c r="Q54" s="50"/>
      <c r="R54" s="174"/>
      <c r="S54" s="83"/>
      <c r="T54" s="51"/>
      <c r="U54" s="51"/>
      <c r="V54" s="83"/>
      <c r="W54" s="51"/>
      <c r="X54" s="51"/>
      <c r="Y54" s="83"/>
    </row>
    <row r="55" spans="2:25" ht="14.25" customHeight="1" x14ac:dyDescent="0.25">
      <c r="B55" s="171"/>
      <c r="C55" s="428"/>
      <c r="D55" s="428"/>
      <c r="E55" s="428"/>
      <c r="F55" s="428"/>
      <c r="G55" s="428"/>
      <c r="H55" s="428"/>
      <c r="I55" s="428"/>
      <c r="J55" s="428"/>
      <c r="K55" s="428"/>
      <c r="L55" s="428"/>
      <c r="M55" s="428"/>
      <c r="N55" s="428"/>
      <c r="O55" s="39"/>
      <c r="P55" s="53"/>
      <c r="Q55" s="50"/>
      <c r="R55" s="174"/>
      <c r="S55" s="83"/>
      <c r="T55" s="51"/>
      <c r="U55" s="51"/>
      <c r="V55" s="83"/>
      <c r="W55" s="51"/>
      <c r="X55" s="51"/>
      <c r="Y55" s="83"/>
    </row>
    <row r="56" spans="2:25" ht="14.25" customHeight="1" x14ac:dyDescent="0.25">
      <c r="B56" s="171"/>
      <c r="C56" s="428"/>
      <c r="D56" s="428"/>
      <c r="E56" s="428"/>
      <c r="F56" s="428"/>
      <c r="G56" s="428"/>
      <c r="H56" s="428"/>
      <c r="I56" s="428"/>
      <c r="J56" s="428"/>
      <c r="K56" s="428"/>
      <c r="L56" s="428"/>
      <c r="M56" s="428"/>
      <c r="N56" s="428"/>
      <c r="O56" s="39"/>
      <c r="P56" s="53"/>
      <c r="Q56" s="50"/>
      <c r="R56" s="174"/>
      <c r="S56" s="83"/>
      <c r="T56" s="51"/>
      <c r="U56" s="51"/>
      <c r="V56" s="83"/>
      <c r="W56" s="51"/>
      <c r="X56" s="51"/>
      <c r="Y56" s="83"/>
    </row>
    <row r="57" spans="2:25" ht="14.25" customHeight="1" x14ac:dyDescent="0.25">
      <c r="B57" s="171"/>
      <c r="C57" s="428"/>
      <c r="D57" s="428"/>
      <c r="E57" s="428"/>
      <c r="F57" s="428"/>
      <c r="G57" s="428"/>
      <c r="H57" s="428"/>
      <c r="I57" s="428"/>
      <c r="J57" s="428"/>
      <c r="K57" s="428"/>
      <c r="L57" s="428"/>
      <c r="M57" s="428"/>
      <c r="N57" s="428"/>
      <c r="O57" s="39"/>
      <c r="P57" s="53"/>
      <c r="Q57" s="50"/>
      <c r="R57" s="174"/>
      <c r="S57" s="83"/>
      <c r="T57" s="51"/>
      <c r="U57" s="51"/>
      <c r="V57" s="83"/>
      <c r="W57" s="51"/>
      <c r="X57" s="51"/>
      <c r="Y57" s="83"/>
    </row>
    <row r="58" spans="2:25" ht="14.25" customHeight="1" x14ac:dyDescent="0.25">
      <c r="B58" s="171"/>
      <c r="C58" s="428"/>
      <c r="D58" s="428"/>
      <c r="E58" s="428"/>
      <c r="F58" s="428"/>
      <c r="G58" s="428"/>
      <c r="H58" s="428"/>
      <c r="I58" s="428"/>
      <c r="J58" s="428"/>
      <c r="K58" s="428"/>
      <c r="L58" s="428"/>
      <c r="M58" s="428"/>
      <c r="N58" s="428"/>
      <c r="O58" s="39"/>
      <c r="P58" s="53"/>
      <c r="Q58" s="50"/>
      <c r="R58" s="174"/>
      <c r="S58" s="83"/>
      <c r="T58" s="51"/>
      <c r="U58" s="51"/>
      <c r="V58" s="83"/>
      <c r="W58" s="51"/>
      <c r="X58" s="51"/>
      <c r="Y58" s="83"/>
    </row>
    <row r="59" spans="2:25" ht="14.25" customHeight="1" x14ac:dyDescent="0.25">
      <c r="B59" s="171"/>
      <c r="C59" s="428"/>
      <c r="D59" s="428"/>
      <c r="E59" s="428"/>
      <c r="F59" s="428"/>
      <c r="G59" s="428"/>
      <c r="H59" s="428"/>
      <c r="I59" s="428"/>
      <c r="J59" s="428"/>
      <c r="K59" s="428"/>
      <c r="L59" s="428"/>
      <c r="M59" s="428"/>
      <c r="N59" s="428"/>
      <c r="O59" s="39"/>
      <c r="P59" s="53"/>
      <c r="Q59" s="50"/>
      <c r="R59" s="174"/>
      <c r="S59" s="83"/>
      <c r="T59" s="51"/>
      <c r="U59" s="51"/>
      <c r="V59" s="83"/>
      <c r="W59" s="51"/>
      <c r="X59" s="51"/>
      <c r="Y59" s="83"/>
    </row>
    <row r="60" spans="2:25" ht="14.25" customHeight="1" x14ac:dyDescent="0.25">
      <c r="B60" s="171"/>
      <c r="C60" s="428"/>
      <c r="D60" s="428"/>
      <c r="E60" s="428"/>
      <c r="F60" s="428"/>
      <c r="G60" s="428"/>
      <c r="H60" s="428"/>
      <c r="I60" s="428"/>
      <c r="J60" s="428"/>
      <c r="K60" s="428"/>
      <c r="L60" s="428"/>
      <c r="M60" s="428"/>
      <c r="N60" s="428"/>
      <c r="O60" s="39"/>
      <c r="P60" s="53"/>
      <c r="Q60" s="50"/>
      <c r="R60" s="174"/>
      <c r="S60" s="83"/>
      <c r="T60" s="51"/>
      <c r="U60" s="51"/>
      <c r="V60" s="83"/>
      <c r="W60" s="51"/>
      <c r="X60" s="51"/>
      <c r="Y60" s="83"/>
    </row>
    <row r="61" spans="2:25" ht="14.25" customHeight="1" x14ac:dyDescent="0.25">
      <c r="B61" s="171"/>
      <c r="C61" s="428"/>
      <c r="D61" s="428"/>
      <c r="E61" s="428"/>
      <c r="F61" s="428"/>
      <c r="G61" s="428"/>
      <c r="H61" s="428"/>
      <c r="I61" s="428"/>
      <c r="J61" s="428"/>
      <c r="K61" s="428"/>
      <c r="L61" s="428"/>
      <c r="M61" s="428"/>
      <c r="N61" s="428"/>
      <c r="O61" s="39"/>
      <c r="P61" s="53"/>
      <c r="Q61" s="50"/>
      <c r="R61" s="174"/>
      <c r="S61" s="83"/>
      <c r="T61" s="51"/>
      <c r="U61" s="51"/>
      <c r="V61" s="83"/>
      <c r="W61" s="51"/>
      <c r="X61" s="51"/>
      <c r="Y61" s="83"/>
    </row>
    <row r="62" spans="2:25" ht="14.25" customHeight="1" x14ac:dyDescent="0.25">
      <c r="B62" s="171"/>
      <c r="C62" s="428"/>
      <c r="D62" s="428"/>
      <c r="E62" s="428"/>
      <c r="F62" s="428"/>
      <c r="G62" s="428"/>
      <c r="H62" s="428"/>
      <c r="I62" s="428"/>
      <c r="J62" s="428"/>
      <c r="K62" s="428"/>
      <c r="L62" s="428"/>
      <c r="M62" s="428"/>
      <c r="N62" s="428"/>
      <c r="O62" s="39"/>
      <c r="P62" s="53"/>
      <c r="Q62" s="50"/>
      <c r="R62" s="174"/>
      <c r="S62" s="83"/>
      <c r="T62" s="51"/>
      <c r="U62" s="51"/>
      <c r="V62" s="83"/>
      <c r="W62" s="51"/>
      <c r="X62" s="51"/>
      <c r="Y62" s="83"/>
    </row>
    <row r="63" spans="2:25" ht="14.25" customHeight="1" x14ac:dyDescent="0.25"/>
    <row r="64" spans="2:25" ht="14.25" customHeight="1" x14ac:dyDescent="0.25"/>
    <row r="65" ht="14.25" customHeight="1" x14ac:dyDescent="0.25"/>
    <row r="66" ht="14.25" customHeight="1" x14ac:dyDescent="0.25"/>
    <row r="67" ht="14.25" customHeight="1" x14ac:dyDescent="0.25"/>
  </sheetData>
  <mergeCells count="56">
    <mergeCell ref="C18:N18"/>
    <mergeCell ref="H5:J5"/>
    <mergeCell ref="C8:N8"/>
    <mergeCell ref="C9:N9"/>
    <mergeCell ref="C10:N10"/>
    <mergeCell ref="C11:N11"/>
    <mergeCell ref="C12:N12"/>
    <mergeCell ref="C13:N13"/>
    <mergeCell ref="C14:N14"/>
    <mergeCell ref="C15:N15"/>
    <mergeCell ref="C16:N16"/>
    <mergeCell ref="C17:N17"/>
    <mergeCell ref="C30:N30"/>
    <mergeCell ref="C19:N19"/>
    <mergeCell ref="C20:N20"/>
    <mergeCell ref="C21:N21"/>
    <mergeCell ref="C22:N22"/>
    <mergeCell ref="C23:N23"/>
    <mergeCell ref="C24:N24"/>
    <mergeCell ref="C25:N25"/>
    <mergeCell ref="C26:N26"/>
    <mergeCell ref="C27:N27"/>
    <mergeCell ref="C28:N28"/>
    <mergeCell ref="C29:N29"/>
    <mergeCell ref="C42:N42"/>
    <mergeCell ref="C31:N31"/>
    <mergeCell ref="C32:N32"/>
    <mergeCell ref="C33:N33"/>
    <mergeCell ref="C34:N34"/>
    <mergeCell ref="C35:N35"/>
    <mergeCell ref="C36:N36"/>
    <mergeCell ref="C37:N37"/>
    <mergeCell ref="C38:N38"/>
    <mergeCell ref="C39:N39"/>
    <mergeCell ref="C40:N40"/>
    <mergeCell ref="C41:N41"/>
    <mergeCell ref="C54:N54"/>
    <mergeCell ref="C43:N43"/>
    <mergeCell ref="C44:N44"/>
    <mergeCell ref="C45:N45"/>
    <mergeCell ref="C46:N46"/>
    <mergeCell ref="C47:N47"/>
    <mergeCell ref="C48:N48"/>
    <mergeCell ref="C49:N49"/>
    <mergeCell ref="C50:N50"/>
    <mergeCell ref="C51:N51"/>
    <mergeCell ref="C52:N52"/>
    <mergeCell ref="C53:N53"/>
    <mergeCell ref="C61:N61"/>
    <mergeCell ref="C62:N62"/>
    <mergeCell ref="C55:N55"/>
    <mergeCell ref="C56:N56"/>
    <mergeCell ref="C57:N57"/>
    <mergeCell ref="C58:N58"/>
    <mergeCell ref="C59:N59"/>
    <mergeCell ref="C60:N60"/>
  </mergeCells>
  <pageMargins left="0.7" right="0.7" top="0.75" bottom="0.75" header="0.3" footer="0.3"/>
  <pageSetup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7030A0"/>
  </sheetPr>
  <dimension ref="A2:AH67"/>
  <sheetViews>
    <sheetView workbookViewId="0">
      <pane ySplit="4" topLeftCell="A5" activePane="bottomLeft" state="frozen"/>
      <selection pane="bottomLeft" activeCell="H6" sqref="H6"/>
    </sheetView>
  </sheetViews>
  <sheetFormatPr defaultColWidth="7.140625" defaultRowHeight="10.5" x14ac:dyDescent="0.25"/>
  <cols>
    <col min="1" max="1" width="1.42578125" style="35" customWidth="1"/>
    <col min="2" max="15" width="7.140625" style="35"/>
    <col min="16" max="16" width="48.42578125" style="35" customWidth="1"/>
    <col min="17" max="17" width="2.28515625" style="35" customWidth="1"/>
    <col min="18" max="18" width="1.42578125" style="35" customWidth="1"/>
    <col min="19" max="19" width="48.42578125" style="35" customWidth="1"/>
    <col min="20" max="20" width="2.28515625" style="35" customWidth="1"/>
    <col min="21" max="21" width="1.42578125" style="35" customWidth="1"/>
    <col min="22" max="22" width="48.42578125" style="35" customWidth="1"/>
    <col min="23" max="23" width="2.28515625" style="35" customWidth="1"/>
    <col min="24" max="24" width="1.42578125" style="35" customWidth="1"/>
    <col min="25" max="25" width="48.42578125" style="35" customWidth="1"/>
    <col min="26" max="26" width="2.28515625" style="35" customWidth="1"/>
    <col min="27" max="27" width="1.42578125" style="35" customWidth="1"/>
    <col min="28" max="28" width="48.42578125" style="35" customWidth="1"/>
    <col min="29" max="29" width="2.28515625" style="35" customWidth="1"/>
    <col min="30" max="30" width="1.42578125" style="35" customWidth="1"/>
    <col min="31" max="31" width="48.42578125" style="35" customWidth="1"/>
    <col min="32" max="32" width="2.28515625" style="35" customWidth="1"/>
    <col min="33" max="33" width="1.42578125" style="35" customWidth="1"/>
    <col min="34" max="34" width="48.42578125" style="35" customWidth="1"/>
    <col min="35" max="16384" width="7.140625" style="35"/>
  </cols>
  <sheetData>
    <row r="2" spans="1:27" ht="30.75" customHeight="1" x14ac:dyDescent="0.25">
      <c r="A2" s="2" t="s">
        <v>1</v>
      </c>
      <c r="B2"/>
      <c r="R2" s="1" t="s">
        <v>585</v>
      </c>
      <c r="U2" s="1"/>
      <c r="X2" s="1" t="s">
        <v>237</v>
      </c>
    </row>
    <row r="3" spans="1:27" ht="9" customHeight="1" x14ac:dyDescent="0.25"/>
    <row r="4" spans="1:27" ht="15.75" thickBot="1" x14ac:dyDescent="0.3">
      <c r="A4" s="5"/>
      <c r="AA4" s="35" t="s">
        <v>0</v>
      </c>
    </row>
    <row r="5" spans="1:27" ht="15.75" thickBot="1" x14ac:dyDescent="0.3">
      <c r="A5" s="5"/>
      <c r="F5" s="11"/>
      <c r="G5" s="94" t="s">
        <v>548</v>
      </c>
      <c r="H5" s="471" t="s">
        <v>918</v>
      </c>
      <c r="I5" s="464"/>
      <c r="J5" s="472"/>
    </row>
    <row r="6" spans="1:27" ht="14.25" customHeight="1" x14ac:dyDescent="0.25">
      <c r="B6" s="4" t="s">
        <v>547</v>
      </c>
      <c r="P6" s="63" t="s">
        <v>357</v>
      </c>
    </row>
    <row r="7" spans="1:27" ht="6" customHeight="1" x14ac:dyDescent="0.25">
      <c r="B7" s="4"/>
      <c r="G7" s="6"/>
    </row>
    <row r="8" spans="1:27" ht="14.25" customHeight="1" x14ac:dyDescent="0.25">
      <c r="B8" s="6" t="s">
        <v>266</v>
      </c>
      <c r="C8" s="429" t="s">
        <v>239</v>
      </c>
      <c r="D8" s="429"/>
      <c r="E8" s="429"/>
      <c r="F8" s="429"/>
      <c r="G8" s="429"/>
      <c r="H8" s="429"/>
      <c r="I8" s="429"/>
      <c r="J8" s="429"/>
      <c r="K8" s="429"/>
      <c r="L8" s="429"/>
      <c r="M8" s="429"/>
      <c r="N8" s="429"/>
      <c r="O8" s="6"/>
      <c r="P8" s="175" t="s">
        <v>546</v>
      </c>
      <c r="Q8" s="73"/>
      <c r="S8" s="83"/>
      <c r="T8" s="83"/>
      <c r="U8" s="83"/>
      <c r="V8" s="83"/>
      <c r="W8" s="83"/>
      <c r="X8" s="83"/>
      <c r="Y8" s="83"/>
    </row>
    <row r="9" spans="1:27" ht="14.25" customHeight="1" x14ac:dyDescent="0.25">
      <c r="B9" s="171">
        <v>1</v>
      </c>
      <c r="C9" s="428" t="s">
        <v>544</v>
      </c>
      <c r="D9" s="428"/>
      <c r="E9" s="428"/>
      <c r="F9" s="428"/>
      <c r="G9" s="428"/>
      <c r="H9" s="428"/>
      <c r="I9" s="428"/>
      <c r="J9" s="428"/>
      <c r="K9" s="428"/>
      <c r="L9" s="428"/>
      <c r="M9" s="428"/>
      <c r="N9" s="428"/>
      <c r="O9" s="39"/>
      <c r="P9" s="52" t="s">
        <v>545</v>
      </c>
      <c r="Q9" s="50"/>
      <c r="R9" s="174"/>
      <c r="S9" s="83"/>
      <c r="T9" s="51"/>
      <c r="U9" s="51"/>
      <c r="V9" s="83"/>
      <c r="W9" s="51"/>
      <c r="X9" s="51"/>
      <c r="Y9" s="83"/>
    </row>
    <row r="10" spans="1:27" ht="14.25" customHeight="1" x14ac:dyDescent="0.25">
      <c r="B10" s="171">
        <v>1</v>
      </c>
      <c r="C10" s="428" t="s">
        <v>549</v>
      </c>
      <c r="D10" s="428"/>
      <c r="E10" s="428"/>
      <c r="F10" s="428"/>
      <c r="G10" s="428"/>
      <c r="H10" s="428"/>
      <c r="I10" s="428"/>
      <c r="J10" s="428"/>
      <c r="K10" s="428"/>
      <c r="L10" s="428"/>
      <c r="M10" s="428"/>
      <c r="N10" s="428"/>
      <c r="O10" s="39"/>
      <c r="P10" s="53" t="e">
        <f ca="1">INDIRECT("'"&amp;H5&amp;"'!K7")</f>
        <v>#REF!</v>
      </c>
      <c r="Q10" s="50"/>
      <c r="R10" s="174"/>
      <c r="S10" s="83"/>
      <c r="T10" s="51"/>
      <c r="U10" s="51"/>
      <c r="V10" s="83"/>
      <c r="W10" s="51"/>
      <c r="X10" s="51"/>
      <c r="Y10" s="83"/>
    </row>
    <row r="11" spans="1:27" ht="14.25" customHeight="1" x14ac:dyDescent="0.25">
      <c r="B11" s="171">
        <v>1</v>
      </c>
      <c r="C11" s="428" t="s">
        <v>550</v>
      </c>
      <c r="D11" s="428"/>
      <c r="E11" s="428"/>
      <c r="F11" s="428"/>
      <c r="G11" s="428"/>
      <c r="H11" s="428"/>
      <c r="I11" s="428"/>
      <c r="J11" s="428"/>
      <c r="K11" s="428"/>
      <c r="L11" s="428"/>
      <c r="M11" s="428"/>
      <c r="N11" s="428"/>
      <c r="O11" s="39"/>
      <c r="P11" s="53" t="e">
        <f ca="1">CONCATENATE(IF(INDIRECT("'"&amp;H5&amp;"'!G12")="Yes","CIFS,",""),IF(INDIRECT("'"&amp;H5&amp;"'!I12")="Yes","NFS,",""),IF(INDIRECT("'"&amp;H5&amp;"'!K12")="Yes","FCP,",""),IF(INDIRECT("'"&amp;H5&amp;"'!M12")="Yes","iSCSI,",""))</f>
        <v>#REF!</v>
      </c>
      <c r="Q11" s="50"/>
      <c r="R11" s="174"/>
      <c r="S11" s="83"/>
      <c r="T11" s="51"/>
      <c r="U11" s="51"/>
      <c r="V11" s="83"/>
      <c r="W11" s="51"/>
      <c r="X11" s="51"/>
      <c r="Y11" s="83"/>
    </row>
    <row r="12" spans="1:27" ht="14.25" customHeight="1" x14ac:dyDescent="0.25">
      <c r="B12" s="171">
        <v>1</v>
      </c>
      <c r="C12" s="428" t="s">
        <v>551</v>
      </c>
      <c r="D12" s="428"/>
      <c r="E12" s="428"/>
      <c r="F12" s="428"/>
      <c r="G12" s="428"/>
      <c r="H12" s="428"/>
      <c r="I12" s="428"/>
      <c r="J12" s="428"/>
      <c r="K12" s="428"/>
      <c r="L12" s="428"/>
      <c r="M12" s="428"/>
      <c r="N12" s="428"/>
      <c r="O12" s="39"/>
      <c r="P12" s="53" t="s">
        <v>552</v>
      </c>
      <c r="Q12" s="50"/>
      <c r="R12" s="174"/>
      <c r="S12" s="83"/>
      <c r="T12" s="51"/>
      <c r="U12" s="51"/>
      <c r="V12" s="83"/>
      <c r="W12" s="51"/>
      <c r="X12" s="51"/>
      <c r="Y12" s="83"/>
    </row>
    <row r="13" spans="1:27" ht="14.25" customHeight="1" x14ac:dyDescent="0.25">
      <c r="B13" s="171">
        <v>1</v>
      </c>
      <c r="C13" s="428" t="s">
        <v>553</v>
      </c>
      <c r="D13" s="428"/>
      <c r="E13" s="428"/>
      <c r="F13" s="428"/>
      <c r="G13" s="428"/>
      <c r="H13" s="428"/>
      <c r="I13" s="428"/>
      <c r="J13" s="428"/>
      <c r="K13" s="428"/>
      <c r="L13" s="428"/>
      <c r="M13" s="428"/>
      <c r="N13" s="428"/>
      <c r="O13" s="39"/>
      <c r="P13" s="53" t="e">
        <f ca="1">INDIRECT("'"&amp;H5&amp;"'!F14")</f>
        <v>#REF!</v>
      </c>
      <c r="Q13" s="50"/>
      <c r="R13" s="174"/>
      <c r="S13" s="83"/>
      <c r="T13" s="51"/>
      <c r="U13" s="51"/>
      <c r="V13" s="83"/>
      <c r="W13" s="51"/>
      <c r="X13" s="51"/>
      <c r="Y13" s="83"/>
    </row>
    <row r="14" spans="1:27" ht="14.25" customHeight="1" x14ac:dyDescent="0.25">
      <c r="B14" s="171">
        <v>1</v>
      </c>
      <c r="C14" s="428" t="s">
        <v>554</v>
      </c>
      <c r="D14" s="428"/>
      <c r="E14" s="428"/>
      <c r="F14" s="428"/>
      <c r="G14" s="428"/>
      <c r="H14" s="428"/>
      <c r="I14" s="428"/>
      <c r="J14" s="428"/>
      <c r="K14" s="428"/>
      <c r="L14" s="428"/>
      <c r="M14" s="428"/>
      <c r="N14" s="428"/>
      <c r="O14" s="39"/>
      <c r="P14" s="53" t="s">
        <v>555</v>
      </c>
      <c r="Q14" s="50"/>
      <c r="R14" s="174"/>
      <c r="S14" s="83"/>
      <c r="T14" s="51"/>
      <c r="U14" s="51"/>
      <c r="V14" s="83"/>
      <c r="W14" s="51"/>
      <c r="X14" s="51"/>
      <c r="Y14" s="83"/>
    </row>
    <row r="15" spans="1:27" ht="14.25" customHeight="1" x14ac:dyDescent="0.25">
      <c r="B15" s="171">
        <v>1</v>
      </c>
      <c r="C15" s="428" t="s">
        <v>556</v>
      </c>
      <c r="D15" s="428"/>
      <c r="E15" s="428"/>
      <c r="F15" s="428"/>
      <c r="G15" s="428"/>
      <c r="H15" s="428"/>
      <c r="I15" s="428"/>
      <c r="J15" s="428"/>
      <c r="K15" s="428"/>
      <c r="L15" s="428"/>
      <c r="M15" s="428"/>
      <c r="N15" s="428"/>
      <c r="O15" s="39"/>
      <c r="P15" s="53" t="s">
        <v>557</v>
      </c>
      <c r="Q15" s="50"/>
      <c r="R15" s="174"/>
      <c r="S15" s="83"/>
      <c r="T15" s="51"/>
      <c r="U15" s="51"/>
      <c r="V15" s="83"/>
      <c r="W15" s="51"/>
      <c r="X15" s="51"/>
      <c r="Y15" s="83"/>
    </row>
    <row r="16" spans="1:27" ht="14.25" customHeight="1" x14ac:dyDescent="0.25">
      <c r="B16" s="171">
        <v>1</v>
      </c>
      <c r="C16" s="428" t="s">
        <v>558</v>
      </c>
      <c r="D16" s="428"/>
      <c r="E16" s="428"/>
      <c r="F16" s="428"/>
      <c r="G16" s="428"/>
      <c r="H16" s="428"/>
      <c r="I16" s="428"/>
      <c r="J16" s="428"/>
      <c r="K16" s="428"/>
      <c r="L16" s="428"/>
      <c r="M16" s="428"/>
      <c r="N16" s="428"/>
      <c r="O16" s="39"/>
      <c r="P16" s="53" t="s">
        <v>559</v>
      </c>
      <c r="Q16" s="50"/>
      <c r="R16" s="174"/>
      <c r="S16" s="83"/>
      <c r="T16" s="51"/>
      <c r="U16" s="51"/>
      <c r="V16" s="83"/>
      <c r="W16" s="51"/>
      <c r="X16" s="51"/>
      <c r="Y16" s="83"/>
    </row>
    <row r="17" spans="2:34" ht="14.25" customHeight="1" x14ac:dyDescent="0.25">
      <c r="B17" s="171">
        <v>1</v>
      </c>
      <c r="C17" s="428" t="s">
        <v>560</v>
      </c>
      <c r="D17" s="428"/>
      <c r="E17" s="428"/>
      <c r="F17" s="428"/>
      <c r="G17" s="428"/>
      <c r="H17" s="428"/>
      <c r="I17" s="428"/>
      <c r="J17" s="428"/>
      <c r="K17" s="428"/>
      <c r="L17" s="428"/>
      <c r="M17" s="428"/>
      <c r="N17" s="428"/>
      <c r="O17" s="39"/>
      <c r="P17" s="53" t="s">
        <v>341</v>
      </c>
      <c r="Q17" s="50"/>
      <c r="R17" s="174"/>
      <c r="S17" s="83"/>
      <c r="T17" s="51"/>
      <c r="U17" s="51"/>
      <c r="V17" s="83"/>
      <c r="W17" s="51"/>
      <c r="X17" s="51"/>
      <c r="Y17" s="83"/>
    </row>
    <row r="18" spans="2:34" ht="14.25" customHeight="1" x14ac:dyDescent="0.25">
      <c r="B18" s="171">
        <v>1</v>
      </c>
      <c r="C18" s="428" t="s">
        <v>561</v>
      </c>
      <c r="D18" s="428"/>
      <c r="E18" s="428"/>
      <c r="F18" s="428"/>
      <c r="G18" s="428"/>
      <c r="H18" s="428"/>
      <c r="I18" s="428"/>
      <c r="J18" s="428"/>
      <c r="K18" s="428"/>
      <c r="L18" s="428"/>
      <c r="M18" s="428"/>
      <c r="N18" s="428"/>
      <c r="O18" s="39"/>
      <c r="P18" s="53" t="e">
        <f ca="1">INDIRECT("'"&amp;$H$5&amp;"'!$M$33")</f>
        <v>#REF!</v>
      </c>
      <c r="Q18" s="50"/>
      <c r="R18" s="174"/>
      <c r="S18" s="83"/>
      <c r="T18" s="51"/>
      <c r="U18" s="51"/>
      <c r="V18" s="83"/>
      <c r="W18" s="51"/>
      <c r="X18" s="51"/>
      <c r="Y18" s="83"/>
    </row>
    <row r="19" spans="2:34" ht="14.25" customHeight="1" x14ac:dyDescent="0.25">
      <c r="B19" s="171">
        <v>1</v>
      </c>
      <c r="C19" s="428" t="s">
        <v>562</v>
      </c>
      <c r="D19" s="428"/>
      <c r="E19" s="428"/>
      <c r="F19" s="428"/>
      <c r="G19" s="428"/>
      <c r="H19" s="428"/>
      <c r="I19" s="428"/>
      <c r="J19" s="428"/>
      <c r="K19" s="428"/>
      <c r="L19" s="428"/>
      <c r="M19" s="428"/>
      <c r="N19" s="428"/>
      <c r="O19" s="39"/>
      <c r="P19" s="53" t="s">
        <v>563</v>
      </c>
      <c r="Q19" s="50"/>
      <c r="R19" s="174"/>
      <c r="S19" s="83"/>
      <c r="T19" s="51"/>
      <c r="U19" s="51"/>
      <c r="V19" s="83"/>
      <c r="W19" s="51"/>
      <c r="X19" s="51"/>
      <c r="Y19" s="83"/>
    </row>
    <row r="20" spans="2:34" ht="14.25" customHeight="1" x14ac:dyDescent="0.25">
      <c r="B20" s="171">
        <v>1</v>
      </c>
      <c r="C20" s="428" t="s">
        <v>564</v>
      </c>
      <c r="D20" s="428"/>
      <c r="E20" s="428"/>
      <c r="F20" s="428"/>
      <c r="G20" s="428"/>
      <c r="H20" s="428"/>
      <c r="I20" s="428"/>
      <c r="J20" s="428"/>
      <c r="K20" s="428"/>
      <c r="L20" s="428"/>
      <c r="M20" s="428"/>
      <c r="N20" s="428"/>
      <c r="O20" s="39"/>
      <c r="P20" s="53" t="e">
        <f ca="1">INDIRECT("'"&amp;$H$5&amp;"'!$Q$33")</f>
        <v>#REF!</v>
      </c>
      <c r="Q20" s="50"/>
      <c r="R20" s="174"/>
      <c r="S20" s="83"/>
      <c r="T20" s="51"/>
      <c r="U20" s="51"/>
      <c r="V20" s="83"/>
      <c r="W20" s="51"/>
      <c r="X20" s="51"/>
      <c r="Y20" s="83"/>
    </row>
    <row r="21" spans="2:34" ht="14.25" customHeight="1" x14ac:dyDescent="0.25">
      <c r="B21" s="171">
        <v>1</v>
      </c>
      <c r="C21" s="428" t="s">
        <v>565</v>
      </c>
      <c r="D21" s="428"/>
      <c r="E21" s="428"/>
      <c r="F21" s="428"/>
      <c r="G21" s="428"/>
      <c r="H21" s="428"/>
      <c r="I21" s="428"/>
      <c r="J21" s="428"/>
      <c r="K21" s="428"/>
      <c r="L21" s="428"/>
      <c r="M21" s="428"/>
      <c r="N21" s="428"/>
      <c r="O21" s="39"/>
      <c r="P21" s="53" t="e">
        <f ca="1">INDIRECT("'"&amp;$H$5&amp;"'!$T$33")</f>
        <v>#REF!</v>
      </c>
      <c r="Q21" s="50"/>
      <c r="R21" s="174"/>
      <c r="S21" s="83"/>
      <c r="T21" s="51"/>
      <c r="U21" s="51"/>
      <c r="V21" s="83"/>
      <c r="W21" s="51"/>
      <c r="X21" s="51"/>
      <c r="Y21" s="83"/>
    </row>
    <row r="22" spans="2:34" ht="14.25" customHeight="1" x14ac:dyDescent="0.25">
      <c r="B22" s="171">
        <v>1</v>
      </c>
      <c r="C22" s="428" t="s">
        <v>566</v>
      </c>
      <c r="D22" s="428"/>
      <c r="E22" s="428"/>
      <c r="F22" s="428"/>
      <c r="G22" s="428"/>
      <c r="H22" s="428"/>
      <c r="I22" s="428"/>
      <c r="J22" s="428"/>
      <c r="K22" s="428"/>
      <c r="L22" s="428"/>
      <c r="M22" s="428"/>
      <c r="N22" s="428"/>
      <c r="O22" s="39"/>
      <c r="P22" s="53" t="e">
        <f ca="1">INDIRECT("'"&amp;$H$5&amp;"'!$J$33")</f>
        <v>#REF!</v>
      </c>
      <c r="Q22" s="50"/>
      <c r="R22" s="174"/>
      <c r="S22" s="83"/>
      <c r="T22" s="51"/>
      <c r="U22" s="51"/>
      <c r="V22" s="83"/>
      <c r="W22" s="51"/>
      <c r="X22" s="51"/>
      <c r="Y22" s="83"/>
    </row>
    <row r="23" spans="2:34" ht="14.25" customHeight="1" x14ac:dyDescent="0.25">
      <c r="B23" s="171">
        <v>1</v>
      </c>
      <c r="C23" s="428" t="s">
        <v>567</v>
      </c>
      <c r="D23" s="428"/>
      <c r="E23" s="428"/>
      <c r="F23" s="428"/>
      <c r="G23" s="428"/>
      <c r="H23" s="428"/>
      <c r="I23" s="428"/>
      <c r="J23" s="428"/>
      <c r="K23" s="428"/>
      <c r="L23" s="428"/>
      <c r="M23" s="428"/>
      <c r="N23" s="428"/>
      <c r="O23" s="39"/>
      <c r="P23" s="53" t="e">
        <f ca="1">INDIRECT("'"&amp;$H$5&amp;"'!$K$28")</f>
        <v>#REF!</v>
      </c>
      <c r="Q23" s="50"/>
      <c r="R23" s="174"/>
      <c r="S23" s="67" t="s">
        <v>866</v>
      </c>
      <c r="T23" s="51"/>
      <c r="U23" s="51"/>
      <c r="V23" s="83"/>
      <c r="W23" s="51"/>
      <c r="X23" s="51"/>
      <c r="Y23" s="83"/>
    </row>
    <row r="24" spans="2:34" ht="14.25" customHeight="1" x14ac:dyDescent="0.25">
      <c r="B24" s="171">
        <v>1</v>
      </c>
      <c r="C24" s="428" t="s">
        <v>568</v>
      </c>
      <c r="D24" s="428"/>
      <c r="E24" s="428"/>
      <c r="F24" s="428"/>
      <c r="G24" s="428"/>
      <c r="H24" s="428"/>
      <c r="I24" s="428"/>
      <c r="J24" s="428"/>
      <c r="K24" s="428"/>
      <c r="L24" s="428"/>
      <c r="M24" s="428"/>
      <c r="N24" s="428"/>
      <c r="O24" s="39"/>
      <c r="P24" s="53" t="e">
        <f ca="1">INDIRECT("'"&amp;$H$5&amp;"'!$K$27")</f>
        <v>#REF!</v>
      </c>
      <c r="Q24" s="50"/>
      <c r="R24" s="174"/>
      <c r="S24" s="83"/>
      <c r="T24" s="51"/>
      <c r="U24" s="51"/>
      <c r="V24" s="83"/>
      <c r="W24" s="51"/>
      <c r="X24" s="51"/>
      <c r="Y24" s="83"/>
    </row>
    <row r="25" spans="2:34" ht="14.25" customHeight="1" x14ac:dyDescent="0.25">
      <c r="B25" s="171">
        <v>1</v>
      </c>
      <c r="C25" s="428" t="s">
        <v>569</v>
      </c>
      <c r="D25" s="428"/>
      <c r="E25" s="428"/>
      <c r="F25" s="428"/>
      <c r="G25" s="428"/>
      <c r="H25" s="428"/>
      <c r="I25" s="428"/>
      <c r="J25" s="428"/>
      <c r="K25" s="428"/>
      <c r="L25" s="428"/>
      <c r="M25" s="428"/>
      <c r="N25" s="428"/>
      <c r="O25" s="39"/>
      <c r="P25" s="53" t="s">
        <v>341</v>
      </c>
      <c r="Q25" s="50"/>
      <c r="R25" s="174"/>
      <c r="S25" s="35" t="e">
        <f ca="1">IF(S26&lt;&gt;"","yes","no")</f>
        <v>#REF!</v>
      </c>
      <c r="T25" s="50"/>
      <c r="U25" s="174"/>
      <c r="V25" s="35" t="e">
        <f ca="1">IF(V26&lt;&gt;"","yes","no")</f>
        <v>#REF!</v>
      </c>
      <c r="W25" s="50"/>
      <c r="X25" s="174"/>
      <c r="Y25" s="35" t="e">
        <f ca="1">IF(Y26&lt;&gt;"","yes","no")</f>
        <v>#REF!</v>
      </c>
      <c r="Z25" s="50"/>
      <c r="AA25" s="174"/>
      <c r="AB25" s="35" t="e">
        <f ca="1">IF(AB26&lt;&gt;"","yes","no")</f>
        <v>#REF!</v>
      </c>
      <c r="AC25" s="50"/>
      <c r="AD25" s="174"/>
      <c r="AE25" s="35" t="e">
        <f ca="1">IF(AE26&lt;&gt;"","yes","no")</f>
        <v>#REF!</v>
      </c>
      <c r="AF25" s="50"/>
      <c r="AG25" s="174"/>
      <c r="AH25" s="35" t="e">
        <f ca="1">IF(AH26&lt;&gt;"","yes","no")</f>
        <v>#REF!</v>
      </c>
    </row>
    <row r="26" spans="2:34" ht="14.25" customHeight="1" x14ac:dyDescent="0.25">
      <c r="B26" s="171">
        <v>1</v>
      </c>
      <c r="C26" s="428" t="s">
        <v>570</v>
      </c>
      <c r="D26" s="428"/>
      <c r="E26" s="428"/>
      <c r="F26" s="428"/>
      <c r="G26" s="428"/>
      <c r="H26" s="428"/>
      <c r="I26" s="428"/>
      <c r="J26" s="428"/>
      <c r="K26" s="428"/>
      <c r="L26" s="428"/>
      <c r="M26" s="428"/>
      <c r="N26" s="428"/>
      <c r="O26" s="39"/>
      <c r="P26" s="53" t="e">
        <f ca="1">INDIRECT("'"&amp;$H$5&amp;"'!$M$34")</f>
        <v>#REF!</v>
      </c>
      <c r="Q26" s="50"/>
      <c r="R26" s="174"/>
      <c r="S26" s="53" t="e">
        <f ca="1">INDIRECT("'"&amp;$H$5&amp;"'!$M$35")</f>
        <v>#REF!</v>
      </c>
      <c r="T26" s="50"/>
      <c r="U26" s="174"/>
      <c r="V26" s="53" t="e">
        <f ca="1">INDIRECT("'"&amp;$H$5&amp;"'!$M$36")</f>
        <v>#REF!</v>
      </c>
      <c r="W26" s="50"/>
      <c r="X26" s="174"/>
      <c r="Y26" s="53" t="e">
        <f ca="1">INDIRECT("'"&amp;$H$5&amp;"'!$M$37")</f>
        <v>#REF!</v>
      </c>
      <c r="Z26" s="50"/>
      <c r="AA26" s="174"/>
      <c r="AB26" s="53" t="e">
        <f ca="1">INDIRECT("'"&amp;$H$5&amp;"'!$M$38")</f>
        <v>#REF!</v>
      </c>
      <c r="AC26" s="50"/>
      <c r="AD26" s="174"/>
      <c r="AE26" s="53" t="e">
        <f ca="1">INDIRECT("'"&amp;$H$5&amp;"'!$M$39")</f>
        <v>#REF!</v>
      </c>
      <c r="AF26" s="50"/>
      <c r="AG26" s="174"/>
      <c r="AH26" s="53" t="e">
        <f ca="1">INDIRECT("'"&amp;$H$5&amp;"'!$M$40")</f>
        <v>#REF!</v>
      </c>
    </row>
    <row r="27" spans="2:34" ht="14.25" customHeight="1" x14ac:dyDescent="0.25">
      <c r="B27" s="171">
        <v>1</v>
      </c>
      <c r="C27" s="428" t="s">
        <v>562</v>
      </c>
      <c r="D27" s="428"/>
      <c r="E27" s="428"/>
      <c r="F27" s="428"/>
      <c r="G27" s="428"/>
      <c r="H27" s="428"/>
      <c r="I27" s="428"/>
      <c r="J27" s="428"/>
      <c r="K27" s="428"/>
      <c r="L27" s="428"/>
      <c r="M27" s="428"/>
      <c r="N27" s="428"/>
      <c r="O27" s="39"/>
      <c r="P27" s="53" t="s">
        <v>563</v>
      </c>
      <c r="Q27" s="50"/>
      <c r="R27" s="174"/>
      <c r="S27" s="53" t="s">
        <v>563</v>
      </c>
      <c r="T27" s="50"/>
      <c r="U27" s="174"/>
      <c r="V27" s="53" t="s">
        <v>563</v>
      </c>
      <c r="W27" s="50"/>
      <c r="X27" s="174"/>
      <c r="Y27" s="53" t="s">
        <v>563</v>
      </c>
      <c r="Z27" s="50"/>
      <c r="AA27" s="174"/>
      <c r="AB27" s="53" t="s">
        <v>563</v>
      </c>
      <c r="AC27" s="50"/>
      <c r="AD27" s="174"/>
      <c r="AE27" s="53" t="s">
        <v>563</v>
      </c>
      <c r="AF27" s="50"/>
      <c r="AG27" s="174"/>
      <c r="AH27" s="53" t="s">
        <v>563</v>
      </c>
    </row>
    <row r="28" spans="2:34" ht="14.25" customHeight="1" x14ac:dyDescent="0.25">
      <c r="B28" s="171">
        <v>1</v>
      </c>
      <c r="C28" s="428" t="s">
        <v>564</v>
      </c>
      <c r="D28" s="428"/>
      <c r="E28" s="428"/>
      <c r="F28" s="428"/>
      <c r="G28" s="428"/>
      <c r="H28" s="428"/>
      <c r="I28" s="428"/>
      <c r="J28" s="428"/>
      <c r="K28" s="428"/>
      <c r="L28" s="428"/>
      <c r="M28" s="428"/>
      <c r="N28" s="428"/>
      <c r="O28" s="39"/>
      <c r="P28" s="53" t="e">
        <f ca="1">INDIRECT("'"&amp;$H$5&amp;"'!$Q$34")</f>
        <v>#REF!</v>
      </c>
      <c r="Q28" s="50"/>
      <c r="R28" s="174"/>
      <c r="S28" s="53" t="e">
        <f ca="1">INDIRECT("'"&amp;$H$5&amp;"'!$Q$35")</f>
        <v>#REF!</v>
      </c>
      <c r="T28" s="50"/>
      <c r="U28" s="174"/>
      <c r="V28" s="53" t="e">
        <f ca="1">INDIRECT("'"&amp;$H$5&amp;"'!$Q$36")</f>
        <v>#REF!</v>
      </c>
      <c r="W28" s="50"/>
      <c r="X28" s="174"/>
      <c r="Y28" s="53" t="e">
        <f ca="1">INDIRECT("'"&amp;$H$5&amp;"'!$Q$37")</f>
        <v>#REF!</v>
      </c>
      <c r="Z28" s="50"/>
      <c r="AA28" s="174"/>
      <c r="AB28" s="53" t="e">
        <f ca="1">INDIRECT("'"&amp;$H$5&amp;"'!$Q$38")</f>
        <v>#REF!</v>
      </c>
      <c r="AC28" s="50"/>
      <c r="AD28" s="174"/>
      <c r="AE28" s="53" t="e">
        <f ca="1">INDIRECT("'"&amp;$H$5&amp;"'!$Q$39")</f>
        <v>#REF!</v>
      </c>
      <c r="AF28" s="50"/>
      <c r="AG28" s="174"/>
      <c r="AH28" s="53" t="e">
        <f ca="1">INDIRECT("'"&amp;$H$5&amp;"'!$Q$40")</f>
        <v>#REF!</v>
      </c>
    </row>
    <row r="29" spans="2:34" ht="14.25" customHeight="1" x14ac:dyDescent="0.25">
      <c r="B29" s="171">
        <v>1</v>
      </c>
      <c r="C29" s="428" t="s">
        <v>565</v>
      </c>
      <c r="D29" s="428"/>
      <c r="E29" s="428"/>
      <c r="F29" s="428"/>
      <c r="G29" s="428"/>
      <c r="H29" s="428"/>
      <c r="I29" s="428"/>
      <c r="J29" s="428"/>
      <c r="K29" s="428"/>
      <c r="L29" s="428"/>
      <c r="M29" s="428"/>
      <c r="N29" s="428"/>
      <c r="O29" s="39"/>
      <c r="P29" s="53" t="e">
        <f ca="1">INDIRECT("'"&amp;$H$5&amp;"'!$T$34")</f>
        <v>#REF!</v>
      </c>
      <c r="Q29" s="50"/>
      <c r="R29" s="174"/>
      <c r="S29" s="53" t="e">
        <f ca="1">INDIRECT("'"&amp;$H$5&amp;"'!$T$35")</f>
        <v>#REF!</v>
      </c>
      <c r="T29" s="50"/>
      <c r="U29" s="174"/>
      <c r="V29" s="53" t="e">
        <f ca="1">INDIRECT("'"&amp;$H$5&amp;"'!$T$36")</f>
        <v>#REF!</v>
      </c>
      <c r="W29" s="50"/>
      <c r="X29" s="174"/>
      <c r="Y29" s="53" t="e">
        <f ca="1">INDIRECT("'"&amp;$H$5&amp;"'!$T$37")</f>
        <v>#REF!</v>
      </c>
      <c r="Z29" s="50"/>
      <c r="AA29" s="174"/>
      <c r="AB29" s="53" t="e">
        <f ca="1">INDIRECT("'"&amp;$H$5&amp;"'!$T$38")</f>
        <v>#REF!</v>
      </c>
      <c r="AC29" s="50"/>
      <c r="AD29" s="174"/>
      <c r="AE29" s="53" t="e">
        <f ca="1">INDIRECT("'"&amp;$H$5&amp;"'!$T$39")</f>
        <v>#REF!</v>
      </c>
      <c r="AF29" s="50"/>
      <c r="AG29" s="174"/>
      <c r="AH29" s="53" t="e">
        <f ca="1">INDIRECT("'"&amp;$H$5&amp;"'!$T$40")</f>
        <v>#REF!</v>
      </c>
    </row>
    <row r="30" spans="2:34" ht="14.25" customHeight="1" x14ac:dyDescent="0.25">
      <c r="B30" s="171">
        <v>1</v>
      </c>
      <c r="C30" s="428" t="s">
        <v>566</v>
      </c>
      <c r="D30" s="428"/>
      <c r="E30" s="428"/>
      <c r="F30" s="428"/>
      <c r="G30" s="428"/>
      <c r="H30" s="428"/>
      <c r="I30" s="428"/>
      <c r="J30" s="428"/>
      <c r="K30" s="428"/>
      <c r="L30" s="428"/>
      <c r="M30" s="428"/>
      <c r="N30" s="428"/>
      <c r="O30" s="39"/>
      <c r="P30" s="53" t="e">
        <f ca="1">INDIRECT("'"&amp;$H$5&amp;"'!$J$34")</f>
        <v>#REF!</v>
      </c>
      <c r="Q30" s="50"/>
      <c r="R30" s="174"/>
      <c r="S30" s="53" t="e">
        <f ca="1">INDIRECT("'"&amp;$H$5&amp;"'!$J$35")</f>
        <v>#REF!</v>
      </c>
      <c r="T30" s="50"/>
      <c r="U30" s="174"/>
      <c r="V30" s="53" t="e">
        <f ca="1">INDIRECT("'"&amp;$H$5&amp;"'!$J$36")</f>
        <v>#REF!</v>
      </c>
      <c r="W30" s="50"/>
      <c r="X30" s="174"/>
      <c r="Y30" s="53" t="e">
        <f ca="1">INDIRECT("'"&amp;$H$5&amp;"'!$J$37")</f>
        <v>#REF!</v>
      </c>
      <c r="Z30" s="50"/>
      <c r="AA30" s="174"/>
      <c r="AB30" s="53" t="e">
        <f ca="1">INDIRECT("'"&amp;$H$5&amp;"'!$J$38")</f>
        <v>#REF!</v>
      </c>
      <c r="AC30" s="50"/>
      <c r="AD30" s="174"/>
      <c r="AE30" s="53" t="e">
        <f ca="1">INDIRECT("'"&amp;$H$5&amp;"'!$J$39")</f>
        <v>#REF!</v>
      </c>
      <c r="AF30" s="50"/>
      <c r="AG30" s="174"/>
      <c r="AH30" s="53" t="e">
        <f ca="1">INDIRECT("'"&amp;$H$5&amp;"'!$J$40")</f>
        <v>#REF!</v>
      </c>
    </row>
    <row r="31" spans="2:34" ht="14.25" customHeight="1" x14ac:dyDescent="0.25">
      <c r="B31" s="171">
        <v>1</v>
      </c>
      <c r="C31" s="428" t="s">
        <v>567</v>
      </c>
      <c r="D31" s="428"/>
      <c r="E31" s="428"/>
      <c r="F31" s="428"/>
      <c r="G31" s="428"/>
      <c r="H31" s="428"/>
      <c r="I31" s="428"/>
      <c r="J31" s="428"/>
      <c r="K31" s="428"/>
      <c r="L31" s="428"/>
      <c r="M31" s="428"/>
      <c r="N31" s="428"/>
      <c r="O31" s="39"/>
      <c r="P31" s="53" t="e">
        <f ca="1">INDIRECT("'"&amp;$H$5&amp;"'!$K$28")</f>
        <v>#REF!</v>
      </c>
      <c r="Q31" s="50"/>
      <c r="R31" s="174"/>
      <c r="S31" s="53" t="e">
        <f ca="1">INDIRECT("'"&amp;$H$5&amp;"'!$K$28")</f>
        <v>#REF!</v>
      </c>
      <c r="T31" s="50"/>
      <c r="U31" s="174"/>
      <c r="V31" s="53" t="e">
        <f ca="1">INDIRECT("'"&amp;$H$5&amp;"'!$K$28")</f>
        <v>#REF!</v>
      </c>
      <c r="W31" s="50"/>
      <c r="X31" s="174"/>
      <c r="Y31" s="53" t="e">
        <f ca="1">INDIRECT("'"&amp;$H$5&amp;"'!$K$28")</f>
        <v>#REF!</v>
      </c>
      <c r="Z31" s="50"/>
      <c r="AA31" s="174"/>
      <c r="AB31" s="53" t="e">
        <f ca="1">INDIRECT("'"&amp;$H$5&amp;"'!$K$28")</f>
        <v>#REF!</v>
      </c>
      <c r="AC31" s="50"/>
      <c r="AD31" s="174"/>
      <c r="AE31" s="53" t="e">
        <f ca="1">INDIRECT("'"&amp;$H$5&amp;"'!$K$28")</f>
        <v>#REF!</v>
      </c>
      <c r="AF31" s="50"/>
      <c r="AG31" s="174"/>
      <c r="AH31" s="53" t="e">
        <f ca="1">INDIRECT("'"&amp;$H$5&amp;"'!$K$28")</f>
        <v>#REF!</v>
      </c>
    </row>
    <row r="32" spans="2:34" ht="14.25" customHeight="1" x14ac:dyDescent="0.25">
      <c r="B32" s="171">
        <v>1</v>
      </c>
      <c r="C32" s="428" t="s">
        <v>568</v>
      </c>
      <c r="D32" s="428"/>
      <c r="E32" s="428"/>
      <c r="F32" s="428"/>
      <c r="G32" s="428"/>
      <c r="H32" s="428"/>
      <c r="I32" s="428"/>
      <c r="J32" s="428"/>
      <c r="K32" s="428"/>
      <c r="L32" s="428"/>
      <c r="M32" s="428"/>
      <c r="N32" s="428"/>
      <c r="O32" s="39"/>
      <c r="P32" s="53" t="e">
        <f ca="1">INDIRECT("'"&amp;$H$5&amp;"'!$K$27")</f>
        <v>#REF!</v>
      </c>
      <c r="Q32" s="50"/>
      <c r="R32" s="174"/>
      <c r="S32" s="53" t="e">
        <f ca="1">INDIRECT("'"&amp;$H$5&amp;"'!$K$27")</f>
        <v>#REF!</v>
      </c>
      <c r="T32" s="50"/>
      <c r="U32" s="174"/>
      <c r="V32" s="53" t="e">
        <f ca="1">INDIRECT("'"&amp;$H$5&amp;"'!$K$27")</f>
        <v>#REF!</v>
      </c>
      <c r="W32" s="50"/>
      <c r="X32" s="174"/>
      <c r="Y32" s="53" t="e">
        <f ca="1">INDIRECT("'"&amp;$H$5&amp;"'!$K$27")</f>
        <v>#REF!</v>
      </c>
      <c r="Z32" s="50"/>
      <c r="AA32" s="174"/>
      <c r="AB32" s="53" t="e">
        <f ca="1">INDIRECT("'"&amp;$H$5&amp;"'!$K$27")</f>
        <v>#REF!</v>
      </c>
      <c r="AC32" s="50"/>
      <c r="AD32" s="174"/>
      <c r="AE32" s="53" t="e">
        <f ca="1">INDIRECT("'"&amp;$H$5&amp;"'!$K$27")</f>
        <v>#REF!</v>
      </c>
      <c r="AF32" s="50"/>
      <c r="AG32" s="174"/>
      <c r="AH32" s="53" t="e">
        <f ca="1">INDIRECT("'"&amp;$H$5&amp;"'!$K$27")</f>
        <v>#REF!</v>
      </c>
    </row>
    <row r="33" spans="2:34" ht="14.25" customHeight="1" x14ac:dyDescent="0.25">
      <c r="B33" s="171">
        <v>1</v>
      </c>
      <c r="C33" s="428" t="s">
        <v>569</v>
      </c>
      <c r="D33" s="428"/>
      <c r="E33" s="428"/>
      <c r="F33" s="428"/>
      <c r="G33" s="428"/>
      <c r="H33" s="428"/>
      <c r="I33" s="428"/>
      <c r="J33" s="428"/>
      <c r="K33" s="428"/>
      <c r="L33" s="428"/>
      <c r="M33" s="428"/>
      <c r="N33" s="428"/>
      <c r="O33" s="39"/>
      <c r="P33" s="53" t="s">
        <v>586</v>
      </c>
      <c r="Q33" s="50"/>
      <c r="R33" s="174"/>
      <c r="S33" s="53" t="s">
        <v>586</v>
      </c>
      <c r="T33" s="50"/>
      <c r="U33" s="174"/>
      <c r="V33" s="53" t="s">
        <v>586</v>
      </c>
      <c r="W33" s="50"/>
      <c r="X33" s="174"/>
      <c r="Y33" s="53" t="s">
        <v>586</v>
      </c>
      <c r="Z33" s="50"/>
      <c r="AA33" s="174"/>
      <c r="AB33" s="53" t="s">
        <v>586</v>
      </c>
      <c r="AC33" s="50"/>
      <c r="AD33" s="174"/>
      <c r="AE33" s="53" t="s">
        <v>586</v>
      </c>
      <c r="AF33" s="50"/>
      <c r="AG33" s="174"/>
      <c r="AH33" s="53" t="s">
        <v>586</v>
      </c>
    </row>
    <row r="34" spans="2:34" ht="14.25" customHeight="1" x14ac:dyDescent="0.25">
      <c r="B34" s="171">
        <v>1</v>
      </c>
      <c r="C34" s="428" t="s">
        <v>571</v>
      </c>
      <c r="D34" s="428"/>
      <c r="E34" s="428"/>
      <c r="F34" s="428"/>
      <c r="G34" s="428"/>
      <c r="H34" s="428"/>
      <c r="I34" s="428"/>
      <c r="J34" s="428"/>
      <c r="K34" s="428"/>
      <c r="L34" s="428"/>
      <c r="M34" s="428"/>
      <c r="N34" s="428"/>
      <c r="O34" s="39"/>
      <c r="P34" s="53" t="s">
        <v>341</v>
      </c>
      <c r="Q34" s="50"/>
      <c r="R34" s="174"/>
      <c r="T34" s="50"/>
      <c r="U34" s="174"/>
      <c r="W34" s="50"/>
      <c r="X34" s="174"/>
      <c r="Z34" s="50"/>
      <c r="AA34" s="174"/>
      <c r="AC34" s="50"/>
      <c r="AD34" s="174"/>
      <c r="AF34" s="50"/>
      <c r="AG34" s="174"/>
    </row>
    <row r="35" spans="2:34" ht="14.25" customHeight="1" x14ac:dyDescent="0.25">
      <c r="B35" s="171">
        <v>1</v>
      </c>
      <c r="C35" s="428" t="s">
        <v>572</v>
      </c>
      <c r="D35" s="428"/>
      <c r="E35" s="428"/>
      <c r="F35" s="428"/>
      <c r="G35" s="428"/>
      <c r="H35" s="428"/>
      <c r="I35" s="428"/>
      <c r="J35" s="428"/>
      <c r="K35" s="428"/>
      <c r="L35" s="428"/>
      <c r="M35" s="428"/>
      <c r="N35" s="428"/>
      <c r="O35" s="39"/>
      <c r="P35" s="53" t="e">
        <f ca="1">INDIRECT("'"&amp;$H$5&amp;"'!F9")</f>
        <v>#REF!</v>
      </c>
      <c r="Q35" s="50"/>
      <c r="R35" s="174"/>
      <c r="S35" s="83"/>
      <c r="T35" s="51"/>
      <c r="U35" s="51"/>
      <c r="V35" s="83"/>
      <c r="W35" s="51"/>
      <c r="X35" s="51"/>
      <c r="Y35" s="83"/>
    </row>
    <row r="36" spans="2:34" ht="14.25" customHeight="1" x14ac:dyDescent="0.25">
      <c r="B36" s="171">
        <v>1</v>
      </c>
      <c r="C36" s="428" t="s">
        <v>573</v>
      </c>
      <c r="D36" s="428"/>
      <c r="E36" s="428"/>
      <c r="F36" s="428"/>
      <c r="G36" s="428"/>
      <c r="H36" s="428"/>
      <c r="I36" s="428"/>
      <c r="J36" s="428"/>
      <c r="K36" s="428"/>
      <c r="L36" s="428"/>
      <c r="M36" s="428"/>
      <c r="N36" s="428"/>
      <c r="O36" s="39"/>
      <c r="P36" s="53" t="e">
        <f ca="1">CONCATENATE(INDIRECT("'"&amp;$H$5&amp;"'!F10"),",",INDIRECT("'"&amp;$H$5&amp;"'!I10"),",",INDIRECT("'"&amp;$H$5&amp;"'!L10"))</f>
        <v>#REF!</v>
      </c>
      <c r="Q36" s="50"/>
      <c r="R36" s="174"/>
      <c r="S36" s="83"/>
      <c r="T36" s="51"/>
      <c r="U36" s="51"/>
      <c r="V36" s="83"/>
      <c r="W36" s="51"/>
      <c r="X36" s="51"/>
      <c r="Y36" s="83"/>
    </row>
    <row r="37" spans="2:34" ht="14.25" customHeight="1" x14ac:dyDescent="0.25">
      <c r="B37" s="171">
        <v>1</v>
      </c>
      <c r="C37" s="428" t="s">
        <v>574</v>
      </c>
      <c r="D37" s="428"/>
      <c r="E37" s="428"/>
      <c r="F37" s="428"/>
      <c r="G37" s="428"/>
      <c r="H37" s="428"/>
      <c r="I37" s="428"/>
      <c r="J37" s="428"/>
      <c r="K37" s="428"/>
      <c r="L37" s="428"/>
      <c r="M37" s="428"/>
      <c r="N37" s="428"/>
      <c r="O37" s="39"/>
      <c r="P37" s="53" t="s">
        <v>341</v>
      </c>
      <c r="Q37" s="50"/>
      <c r="R37" s="174"/>
      <c r="S37" s="83"/>
      <c r="T37" s="51"/>
      <c r="U37" s="51"/>
      <c r="V37" s="83"/>
      <c r="W37" s="51"/>
      <c r="X37" s="51"/>
      <c r="Y37" s="83"/>
    </row>
    <row r="38" spans="2:34" ht="14.25" customHeight="1" x14ac:dyDescent="0.25">
      <c r="B38" s="171">
        <v>1</v>
      </c>
      <c r="C38" s="428" t="s">
        <v>575</v>
      </c>
      <c r="D38" s="428"/>
      <c r="E38" s="428"/>
      <c r="F38" s="428"/>
      <c r="G38" s="428"/>
      <c r="H38" s="428"/>
      <c r="I38" s="428"/>
      <c r="J38" s="428"/>
      <c r="K38" s="428"/>
      <c r="L38" s="428"/>
      <c r="M38" s="428"/>
      <c r="N38" s="428"/>
      <c r="O38" s="39"/>
      <c r="P38" s="53" t="e">
        <f ca="1">INDIRECT("'"&amp;$H$5&amp;"'!K7")</f>
        <v>#REF!</v>
      </c>
      <c r="Q38" s="50"/>
      <c r="R38" s="174"/>
      <c r="S38" s="83"/>
      <c r="T38" s="51"/>
      <c r="U38" s="51"/>
      <c r="V38" s="83"/>
      <c r="W38" s="51"/>
      <c r="X38" s="51"/>
      <c r="Y38" s="83"/>
    </row>
    <row r="39" spans="2:34" ht="14.25" customHeight="1" x14ac:dyDescent="0.25">
      <c r="B39" s="171">
        <v>1</v>
      </c>
      <c r="C39" s="428" t="s">
        <v>576</v>
      </c>
      <c r="D39" s="428"/>
      <c r="E39" s="428"/>
      <c r="F39" s="428"/>
      <c r="G39" s="428"/>
      <c r="H39" s="428"/>
      <c r="I39" s="428"/>
      <c r="J39" s="428"/>
      <c r="K39" s="428"/>
      <c r="L39" s="428"/>
      <c r="M39" s="428"/>
      <c r="N39" s="428"/>
      <c r="O39" s="39"/>
      <c r="P39" s="53" t="e">
        <f ca="1">P35</f>
        <v>#REF!</v>
      </c>
      <c r="Q39" s="50"/>
      <c r="R39" s="174"/>
      <c r="S39" s="83"/>
      <c r="T39" s="51"/>
      <c r="U39" s="51"/>
      <c r="V39" s="83"/>
      <c r="W39" s="51"/>
      <c r="X39" s="51"/>
      <c r="Y39" s="83"/>
    </row>
    <row r="40" spans="2:34" ht="14.25" customHeight="1" x14ac:dyDescent="0.25">
      <c r="B40" s="171">
        <v>1</v>
      </c>
      <c r="C40" s="428" t="s">
        <v>577</v>
      </c>
      <c r="D40" s="428"/>
      <c r="E40" s="428"/>
      <c r="F40" s="428"/>
      <c r="G40" s="428"/>
      <c r="H40" s="428"/>
      <c r="I40" s="428"/>
      <c r="J40" s="428"/>
      <c r="K40" s="428"/>
      <c r="L40" s="428"/>
      <c r="M40" s="428"/>
      <c r="N40" s="428"/>
      <c r="O40" s="39"/>
      <c r="P40" s="53" t="s">
        <v>579</v>
      </c>
      <c r="Q40" s="50"/>
      <c r="R40" s="174"/>
      <c r="S40" s="83"/>
      <c r="T40" s="51"/>
      <c r="U40" s="51"/>
      <c r="V40" s="83"/>
      <c r="W40" s="51"/>
      <c r="X40" s="51"/>
      <c r="Y40" s="83"/>
    </row>
    <row r="41" spans="2:34" ht="14.25" customHeight="1" x14ac:dyDescent="0.25">
      <c r="B41" s="171">
        <v>1</v>
      </c>
      <c r="C41" s="428" t="s">
        <v>578</v>
      </c>
      <c r="D41" s="428"/>
      <c r="E41" s="428"/>
      <c r="F41" s="428"/>
      <c r="G41" s="428"/>
      <c r="H41" s="428"/>
      <c r="I41" s="428"/>
      <c r="J41" s="428"/>
      <c r="K41" s="428"/>
      <c r="L41" s="428"/>
      <c r="M41" s="428"/>
      <c r="N41" s="428"/>
      <c r="O41" s="39"/>
      <c r="P41" s="54" t="s">
        <v>579</v>
      </c>
      <c r="Q41" s="50"/>
      <c r="R41" s="174"/>
      <c r="S41" s="83"/>
      <c r="T41" s="51"/>
      <c r="U41" s="51"/>
      <c r="V41" s="83"/>
      <c r="W41" s="51"/>
      <c r="X41" s="51"/>
      <c r="Y41" s="83"/>
    </row>
    <row r="42" spans="2:34" ht="14.25" customHeight="1" x14ac:dyDescent="0.25">
      <c r="B42" s="171">
        <v>1</v>
      </c>
      <c r="C42" s="428" t="s">
        <v>580</v>
      </c>
      <c r="D42" s="428"/>
      <c r="E42" s="428"/>
      <c r="F42" s="428"/>
      <c r="G42" s="428"/>
      <c r="H42" s="428"/>
      <c r="I42" s="428"/>
      <c r="J42" s="428"/>
      <c r="K42" s="428"/>
      <c r="L42" s="428"/>
      <c r="M42" s="428"/>
      <c r="N42" s="428"/>
      <c r="O42" s="39"/>
      <c r="P42" s="53" t="s">
        <v>559</v>
      </c>
      <c r="Q42" s="50"/>
      <c r="R42" s="174"/>
      <c r="S42" s="83"/>
      <c r="T42" s="51"/>
      <c r="U42" s="51"/>
      <c r="V42" s="83"/>
      <c r="W42" s="51"/>
      <c r="X42" s="51"/>
      <c r="Y42" s="83"/>
    </row>
    <row r="43" spans="2:34" ht="14.25" customHeight="1" x14ac:dyDescent="0.25">
      <c r="B43" s="171">
        <v>2</v>
      </c>
      <c r="C43" s="466" t="s">
        <v>581</v>
      </c>
      <c r="D43" s="466"/>
      <c r="E43" s="466"/>
      <c r="F43" s="466"/>
      <c r="G43" s="466"/>
      <c r="H43" s="466"/>
      <c r="I43" s="466"/>
      <c r="J43" s="466"/>
      <c r="K43" s="466"/>
      <c r="L43" s="466"/>
      <c r="M43" s="466"/>
      <c r="N43" s="466"/>
      <c r="O43" s="39"/>
      <c r="P43" s="53"/>
      <c r="Q43" s="50"/>
      <c r="R43" s="174"/>
      <c r="S43" s="83"/>
      <c r="T43" s="51"/>
      <c r="U43" s="51"/>
      <c r="V43" s="83"/>
      <c r="W43" s="51"/>
      <c r="X43" s="51"/>
      <c r="Y43" s="83"/>
    </row>
    <row r="44" spans="2:34" ht="14.25" customHeight="1" x14ac:dyDescent="0.25">
      <c r="B44" s="171">
        <v>3</v>
      </c>
      <c r="C44" s="428" t="s">
        <v>582</v>
      </c>
      <c r="D44" s="428"/>
      <c r="E44" s="428"/>
      <c r="F44" s="428"/>
      <c r="G44" s="428"/>
      <c r="H44" s="428"/>
      <c r="I44" s="428"/>
      <c r="J44" s="428"/>
      <c r="K44" s="428"/>
      <c r="L44" s="428"/>
      <c r="M44" s="428"/>
      <c r="N44" s="428"/>
      <c r="O44" s="39"/>
      <c r="P44" s="53" t="e">
        <f ca="1">CONCATENATE("vo ren -vs ",INDIRECT("'"&amp;$H$5&amp;"'!K7")," -vo root_vol -ne ",SUBSTITUTE(INDIRECT("'"&amp;$H$5&amp;"'!K7"),"-",""),"_root")</f>
        <v>#REF!</v>
      </c>
      <c r="Q44" s="50"/>
      <c r="R44" s="174"/>
      <c r="S44" s="83"/>
      <c r="T44" s="51"/>
      <c r="U44" s="51"/>
      <c r="V44" s="83"/>
      <c r="W44" s="51"/>
      <c r="X44" s="51"/>
      <c r="Y44" s="83"/>
    </row>
    <row r="45" spans="2:34" ht="14.25" customHeight="1" x14ac:dyDescent="0.25">
      <c r="B45" s="171">
        <v>4</v>
      </c>
      <c r="C45" s="428" t="s">
        <v>583</v>
      </c>
      <c r="D45" s="428"/>
      <c r="E45" s="428"/>
      <c r="F45" s="428"/>
      <c r="G45" s="428"/>
      <c r="H45" s="428"/>
      <c r="I45" s="428"/>
      <c r="J45" s="428"/>
      <c r="K45" s="428"/>
      <c r="L45" s="428"/>
      <c r="M45" s="428"/>
      <c r="N45" s="428"/>
      <c r="O45" s="39"/>
      <c r="P45" s="53" t="e">
        <f ca="1">CONCATENATE("vo mod -vs ",INDIRECT("'"&amp;$H$5&amp;"'!K7")," -vo ",SUBSTITUTE(INDIRECT("'"&amp;$H$5&amp;"'!K7"),"-",""),"_root -si 1GB")</f>
        <v>#REF!</v>
      </c>
      <c r="Q45" s="50"/>
      <c r="R45" s="174"/>
      <c r="S45" s="83"/>
      <c r="T45" s="51"/>
      <c r="U45" s="51"/>
      <c r="V45" s="83"/>
      <c r="W45" s="51"/>
      <c r="X45" s="51"/>
      <c r="Y45" s="83"/>
    </row>
    <row r="46" spans="2:34" ht="14.25" customHeight="1" x14ac:dyDescent="0.25">
      <c r="B46" s="171">
        <v>5</v>
      </c>
      <c r="C46" s="428" t="s">
        <v>584</v>
      </c>
      <c r="D46" s="428"/>
      <c r="E46" s="428"/>
      <c r="F46" s="428"/>
      <c r="G46" s="428"/>
      <c r="H46" s="428"/>
      <c r="I46" s="428"/>
      <c r="J46" s="428"/>
      <c r="K46" s="428"/>
      <c r="L46" s="428"/>
      <c r="M46" s="428"/>
      <c r="N46" s="428"/>
      <c r="O46" s="39"/>
      <c r="P46" s="53" t="e">
        <f ca="1">CONCATENATE("vo mod -vs ",INDIRECT("'"&amp;$H$5&amp;"'!K7")," -vo ",SUBSTITUTE(INDIRECT("'"&amp;$H$5&amp;"'!K7"),"-",""),"_root -un 755")</f>
        <v>#REF!</v>
      </c>
      <c r="Q46" s="50"/>
      <c r="R46" s="174"/>
      <c r="S46" s="83"/>
      <c r="T46" s="51"/>
      <c r="U46" s="51"/>
      <c r="V46" s="83"/>
      <c r="W46" s="51"/>
      <c r="X46" s="51"/>
      <c r="Y46" s="83"/>
    </row>
    <row r="47" spans="2:34" ht="14.25" customHeight="1" x14ac:dyDescent="0.25">
      <c r="B47" s="171"/>
      <c r="C47" s="428"/>
      <c r="D47" s="428"/>
      <c r="E47" s="428"/>
      <c r="F47" s="428"/>
      <c r="G47" s="428"/>
      <c r="H47" s="428"/>
      <c r="I47" s="428"/>
      <c r="J47" s="428"/>
      <c r="K47" s="428"/>
      <c r="L47" s="428"/>
      <c r="M47" s="428"/>
      <c r="N47" s="428"/>
      <c r="O47" s="39"/>
      <c r="P47" s="53"/>
      <c r="Q47" s="50"/>
      <c r="R47" s="174"/>
      <c r="S47" s="83"/>
      <c r="T47" s="51"/>
      <c r="U47" s="51"/>
      <c r="V47" s="83"/>
      <c r="W47" s="51"/>
      <c r="X47" s="51"/>
      <c r="Y47" s="83"/>
    </row>
    <row r="48" spans="2:34" ht="14.25" customHeight="1" x14ac:dyDescent="0.25">
      <c r="B48" s="171"/>
      <c r="C48" s="428"/>
      <c r="D48" s="428"/>
      <c r="E48" s="428"/>
      <c r="F48" s="428"/>
      <c r="G48" s="428"/>
      <c r="H48" s="428"/>
      <c r="I48" s="428"/>
      <c r="J48" s="428"/>
      <c r="K48" s="428"/>
      <c r="L48" s="428"/>
      <c r="M48" s="428"/>
      <c r="N48" s="428"/>
      <c r="O48" s="39"/>
      <c r="P48" s="53"/>
      <c r="Q48" s="50"/>
      <c r="R48" s="174"/>
      <c r="S48" s="83"/>
      <c r="T48" s="51"/>
      <c r="U48" s="51"/>
      <c r="V48" s="83"/>
      <c r="W48" s="51"/>
      <c r="X48" s="51"/>
      <c r="Y48" s="83"/>
    </row>
    <row r="49" spans="2:25" ht="14.25" customHeight="1" x14ac:dyDescent="0.25">
      <c r="B49" s="171"/>
      <c r="C49" s="428"/>
      <c r="D49" s="428"/>
      <c r="E49" s="428"/>
      <c r="F49" s="428"/>
      <c r="G49" s="428"/>
      <c r="H49" s="428"/>
      <c r="I49" s="428"/>
      <c r="J49" s="428"/>
      <c r="K49" s="428"/>
      <c r="L49" s="428"/>
      <c r="M49" s="428"/>
      <c r="N49" s="428"/>
      <c r="O49" s="39"/>
      <c r="P49" s="53"/>
      <c r="Q49" s="50"/>
      <c r="R49" s="174"/>
      <c r="S49" s="83"/>
      <c r="T49" s="51"/>
      <c r="U49" s="51"/>
      <c r="V49" s="83"/>
      <c r="W49" s="51"/>
      <c r="X49" s="51"/>
      <c r="Y49" s="83"/>
    </row>
    <row r="50" spans="2:25" ht="14.25" customHeight="1" x14ac:dyDescent="0.25">
      <c r="B50" s="171"/>
      <c r="C50" s="428"/>
      <c r="D50" s="428"/>
      <c r="E50" s="428"/>
      <c r="F50" s="428"/>
      <c r="G50" s="428"/>
      <c r="H50" s="428"/>
      <c r="I50" s="428"/>
      <c r="J50" s="428"/>
      <c r="K50" s="428"/>
      <c r="L50" s="428"/>
      <c r="M50" s="428"/>
      <c r="N50" s="428"/>
      <c r="O50" s="39"/>
      <c r="P50" s="53"/>
      <c r="Q50" s="50"/>
      <c r="R50" s="174"/>
      <c r="S50" s="83"/>
      <c r="T50" s="51"/>
      <c r="U50" s="51"/>
      <c r="V50" s="83"/>
      <c r="W50" s="51"/>
      <c r="X50" s="51"/>
      <c r="Y50" s="83"/>
    </row>
    <row r="51" spans="2:25" ht="14.25" customHeight="1" x14ac:dyDescent="0.25">
      <c r="B51" s="171"/>
      <c r="C51" s="428"/>
      <c r="D51" s="428"/>
      <c r="E51" s="428"/>
      <c r="F51" s="428"/>
      <c r="G51" s="428"/>
      <c r="H51" s="428"/>
      <c r="I51" s="428"/>
      <c r="J51" s="428"/>
      <c r="K51" s="428"/>
      <c r="L51" s="428"/>
      <c r="M51" s="428"/>
      <c r="N51" s="428"/>
      <c r="O51" s="39"/>
      <c r="P51" s="53"/>
      <c r="Q51" s="50"/>
      <c r="R51" s="174"/>
      <c r="S51" s="83"/>
      <c r="T51" s="51"/>
      <c r="U51" s="51"/>
      <c r="V51" s="83"/>
      <c r="W51" s="51"/>
      <c r="X51" s="51"/>
      <c r="Y51" s="83"/>
    </row>
    <row r="52" spans="2:25" ht="14.25" customHeight="1" x14ac:dyDescent="0.25">
      <c r="B52" s="171"/>
      <c r="C52" s="428"/>
      <c r="D52" s="428"/>
      <c r="E52" s="428"/>
      <c r="F52" s="428"/>
      <c r="G52" s="428"/>
      <c r="H52" s="428"/>
      <c r="I52" s="428"/>
      <c r="J52" s="428"/>
      <c r="K52" s="428"/>
      <c r="L52" s="428"/>
      <c r="M52" s="428"/>
      <c r="N52" s="428"/>
      <c r="O52" s="39"/>
      <c r="P52" s="53"/>
      <c r="Q52" s="50"/>
      <c r="R52" s="174"/>
      <c r="S52" s="83"/>
      <c r="T52" s="51"/>
      <c r="U52" s="51"/>
      <c r="V52" s="83"/>
      <c r="W52" s="51"/>
      <c r="X52" s="51"/>
      <c r="Y52" s="83"/>
    </row>
    <row r="53" spans="2:25" ht="14.25" customHeight="1" x14ac:dyDescent="0.25">
      <c r="B53" s="171"/>
      <c r="C53" s="428"/>
      <c r="D53" s="428"/>
      <c r="E53" s="428"/>
      <c r="F53" s="428"/>
      <c r="G53" s="428"/>
      <c r="H53" s="428"/>
      <c r="I53" s="428"/>
      <c r="J53" s="428"/>
      <c r="K53" s="428"/>
      <c r="L53" s="428"/>
      <c r="M53" s="428"/>
      <c r="N53" s="428"/>
      <c r="O53" s="39"/>
      <c r="P53" s="53"/>
      <c r="Q53" s="50"/>
      <c r="R53" s="174"/>
      <c r="S53" s="83"/>
      <c r="T53" s="51"/>
      <c r="U53" s="51"/>
      <c r="V53" s="83"/>
      <c r="W53" s="51"/>
      <c r="X53" s="51"/>
      <c r="Y53" s="83"/>
    </row>
    <row r="54" spans="2:25" ht="14.25" customHeight="1" x14ac:dyDescent="0.25">
      <c r="B54" s="171"/>
      <c r="C54" s="428"/>
      <c r="D54" s="428"/>
      <c r="E54" s="428"/>
      <c r="F54" s="428"/>
      <c r="G54" s="428"/>
      <c r="H54" s="428"/>
      <c r="I54" s="428"/>
      <c r="J54" s="428"/>
      <c r="K54" s="428"/>
      <c r="L54" s="428"/>
      <c r="M54" s="428"/>
      <c r="N54" s="428"/>
      <c r="O54" s="39"/>
      <c r="P54" s="53"/>
      <c r="Q54" s="50"/>
      <c r="R54" s="174"/>
      <c r="S54" s="83"/>
      <c r="T54" s="51"/>
      <c r="U54" s="51"/>
      <c r="V54" s="83"/>
      <c r="W54" s="51"/>
      <c r="X54" s="51"/>
      <c r="Y54" s="83"/>
    </row>
    <row r="55" spans="2:25" ht="14.25" customHeight="1" x14ac:dyDescent="0.25">
      <c r="B55" s="171"/>
      <c r="C55" s="428"/>
      <c r="D55" s="428"/>
      <c r="E55" s="428"/>
      <c r="F55" s="428"/>
      <c r="G55" s="428"/>
      <c r="H55" s="428"/>
      <c r="I55" s="428"/>
      <c r="J55" s="428"/>
      <c r="K55" s="428"/>
      <c r="L55" s="428"/>
      <c r="M55" s="428"/>
      <c r="N55" s="428"/>
      <c r="O55" s="39"/>
      <c r="P55" s="53"/>
      <c r="Q55" s="50"/>
      <c r="R55" s="174"/>
      <c r="S55" s="83"/>
      <c r="T55" s="51"/>
      <c r="U55" s="51"/>
      <c r="V55" s="83"/>
      <c r="W55" s="51"/>
      <c r="X55" s="51"/>
      <c r="Y55" s="83"/>
    </row>
    <row r="56" spans="2:25" ht="14.25" customHeight="1" x14ac:dyDescent="0.25">
      <c r="B56" s="171"/>
      <c r="C56" s="428"/>
      <c r="D56" s="428"/>
      <c r="E56" s="428"/>
      <c r="F56" s="428"/>
      <c r="G56" s="428"/>
      <c r="H56" s="428"/>
      <c r="I56" s="428"/>
      <c r="J56" s="428"/>
      <c r="K56" s="428"/>
      <c r="L56" s="428"/>
      <c r="M56" s="428"/>
      <c r="N56" s="428"/>
      <c r="O56" s="39"/>
      <c r="P56" s="53"/>
      <c r="Q56" s="50"/>
      <c r="R56" s="174"/>
      <c r="S56" s="83"/>
      <c r="T56" s="51"/>
      <c r="U56" s="51"/>
      <c r="V56" s="83"/>
      <c r="W56" s="51"/>
      <c r="X56" s="51"/>
      <c r="Y56" s="83"/>
    </row>
    <row r="57" spans="2:25" ht="14.25" customHeight="1" x14ac:dyDescent="0.25">
      <c r="B57" s="171"/>
      <c r="C57" s="428"/>
      <c r="D57" s="428"/>
      <c r="E57" s="428"/>
      <c r="F57" s="428"/>
      <c r="G57" s="428"/>
      <c r="H57" s="428"/>
      <c r="I57" s="428"/>
      <c r="J57" s="428"/>
      <c r="K57" s="428"/>
      <c r="L57" s="428"/>
      <c r="M57" s="428"/>
      <c r="N57" s="428"/>
      <c r="O57" s="39"/>
      <c r="P57" s="53"/>
      <c r="Q57" s="50"/>
      <c r="R57" s="174"/>
      <c r="S57" s="83"/>
      <c r="T57" s="51"/>
      <c r="U57" s="51"/>
      <c r="V57" s="83"/>
      <c r="W57" s="51"/>
      <c r="X57" s="51"/>
      <c r="Y57" s="83"/>
    </row>
    <row r="58" spans="2:25" ht="14.25" customHeight="1" x14ac:dyDescent="0.25">
      <c r="B58" s="171"/>
      <c r="C58" s="428"/>
      <c r="D58" s="428"/>
      <c r="E58" s="428"/>
      <c r="F58" s="428"/>
      <c r="G58" s="428"/>
      <c r="H58" s="428"/>
      <c r="I58" s="428"/>
      <c r="J58" s="428"/>
      <c r="K58" s="428"/>
      <c r="L58" s="428"/>
      <c r="M58" s="428"/>
      <c r="N58" s="428"/>
      <c r="O58" s="39"/>
      <c r="P58" s="53"/>
      <c r="Q58" s="50"/>
      <c r="R58" s="174"/>
      <c r="S58" s="83"/>
      <c r="T58" s="51"/>
      <c r="U58" s="51"/>
      <c r="V58" s="83"/>
      <c r="W58" s="51"/>
      <c r="X58" s="51"/>
      <c r="Y58" s="83"/>
    </row>
    <row r="59" spans="2:25" ht="14.25" customHeight="1" x14ac:dyDescent="0.25">
      <c r="B59" s="171"/>
      <c r="C59" s="428"/>
      <c r="D59" s="428"/>
      <c r="E59" s="428"/>
      <c r="F59" s="428"/>
      <c r="G59" s="428"/>
      <c r="H59" s="428"/>
      <c r="I59" s="428"/>
      <c r="J59" s="428"/>
      <c r="K59" s="428"/>
      <c r="L59" s="428"/>
      <c r="M59" s="428"/>
      <c r="N59" s="428"/>
      <c r="O59" s="39"/>
      <c r="P59" s="53"/>
      <c r="Q59" s="50"/>
      <c r="R59" s="174"/>
      <c r="S59" s="83"/>
      <c r="T59" s="51"/>
      <c r="U59" s="51"/>
      <c r="V59" s="83"/>
      <c r="W59" s="51"/>
      <c r="X59" s="51"/>
      <c r="Y59" s="83"/>
    </row>
    <row r="60" spans="2:25" ht="14.25" customHeight="1" x14ac:dyDescent="0.25">
      <c r="B60" s="171"/>
      <c r="C60" s="428"/>
      <c r="D60" s="428"/>
      <c r="E60" s="428"/>
      <c r="F60" s="428"/>
      <c r="G60" s="428"/>
      <c r="H60" s="428"/>
      <c r="I60" s="428"/>
      <c r="J60" s="428"/>
      <c r="K60" s="428"/>
      <c r="L60" s="428"/>
      <c r="M60" s="428"/>
      <c r="N60" s="428"/>
      <c r="O60" s="39"/>
      <c r="P60" s="53"/>
      <c r="Q60" s="50"/>
      <c r="R60" s="174"/>
      <c r="S60" s="83"/>
      <c r="T60" s="51"/>
      <c r="U60" s="51"/>
      <c r="V60" s="83"/>
      <c r="W60" s="51"/>
      <c r="X60" s="51"/>
      <c r="Y60" s="83"/>
    </row>
    <row r="61" spans="2:25" ht="14.25" customHeight="1" x14ac:dyDescent="0.25">
      <c r="B61" s="171"/>
      <c r="C61" s="428"/>
      <c r="D61" s="428"/>
      <c r="E61" s="428"/>
      <c r="F61" s="428"/>
      <c r="G61" s="428"/>
      <c r="H61" s="428"/>
      <c r="I61" s="428"/>
      <c r="J61" s="428"/>
      <c r="K61" s="428"/>
      <c r="L61" s="428"/>
      <c r="M61" s="428"/>
      <c r="N61" s="428"/>
      <c r="O61" s="39"/>
      <c r="P61" s="53"/>
      <c r="Q61" s="50"/>
      <c r="R61" s="174"/>
      <c r="S61" s="83"/>
      <c r="T61" s="51"/>
      <c r="U61" s="51"/>
      <c r="V61" s="83"/>
      <c r="W61" s="51"/>
      <c r="X61" s="51"/>
      <c r="Y61" s="83"/>
    </row>
    <row r="62" spans="2:25" ht="14.25" customHeight="1" x14ac:dyDescent="0.25">
      <c r="B62" s="171"/>
      <c r="C62" s="428"/>
      <c r="D62" s="428"/>
      <c r="E62" s="428"/>
      <c r="F62" s="428"/>
      <c r="G62" s="428"/>
      <c r="H62" s="428"/>
      <c r="I62" s="428"/>
      <c r="J62" s="428"/>
      <c r="K62" s="428"/>
      <c r="L62" s="428"/>
      <c r="M62" s="428"/>
      <c r="N62" s="428"/>
      <c r="O62" s="39"/>
      <c r="P62" s="53"/>
      <c r="Q62" s="50"/>
      <c r="R62" s="174"/>
      <c r="S62" s="83"/>
      <c r="T62" s="51"/>
      <c r="U62" s="51"/>
      <c r="V62" s="83"/>
      <c r="W62" s="51"/>
      <c r="X62" s="51"/>
      <c r="Y62" s="83"/>
    </row>
    <row r="63" spans="2:25" ht="14.25" customHeight="1" x14ac:dyDescent="0.25"/>
    <row r="64" spans="2:25" ht="14.25" customHeight="1" x14ac:dyDescent="0.25"/>
    <row r="65" ht="14.25" customHeight="1" x14ac:dyDescent="0.25"/>
    <row r="66" ht="14.25" customHeight="1" x14ac:dyDescent="0.25"/>
    <row r="67" ht="14.25" customHeight="1" x14ac:dyDescent="0.25"/>
  </sheetData>
  <mergeCells count="56">
    <mergeCell ref="C18:N18"/>
    <mergeCell ref="H5:J5"/>
    <mergeCell ref="C8:N8"/>
    <mergeCell ref="C9:N9"/>
    <mergeCell ref="C10:N10"/>
    <mergeCell ref="C11:N11"/>
    <mergeCell ref="C12:N12"/>
    <mergeCell ref="C13:N13"/>
    <mergeCell ref="C14:N14"/>
    <mergeCell ref="C15:N15"/>
    <mergeCell ref="C16:N16"/>
    <mergeCell ref="C17:N17"/>
    <mergeCell ref="C30:N30"/>
    <mergeCell ref="C19:N19"/>
    <mergeCell ref="C20:N20"/>
    <mergeCell ref="C21:N21"/>
    <mergeCell ref="C22:N22"/>
    <mergeCell ref="C23:N23"/>
    <mergeCell ref="C24:N24"/>
    <mergeCell ref="C25:N25"/>
    <mergeCell ref="C26:N26"/>
    <mergeCell ref="C27:N27"/>
    <mergeCell ref="C28:N28"/>
    <mergeCell ref="C29:N29"/>
    <mergeCell ref="C42:N42"/>
    <mergeCell ref="C31:N31"/>
    <mergeCell ref="C32:N32"/>
    <mergeCell ref="C33:N33"/>
    <mergeCell ref="C34:N34"/>
    <mergeCell ref="C35:N35"/>
    <mergeCell ref="C36:N36"/>
    <mergeCell ref="C37:N37"/>
    <mergeCell ref="C38:N38"/>
    <mergeCell ref="C39:N39"/>
    <mergeCell ref="C40:N40"/>
    <mergeCell ref="C41:N41"/>
    <mergeCell ref="C54:N54"/>
    <mergeCell ref="C43:N43"/>
    <mergeCell ref="C44:N44"/>
    <mergeCell ref="C45:N45"/>
    <mergeCell ref="C46:N46"/>
    <mergeCell ref="C47:N47"/>
    <mergeCell ref="C48:N48"/>
    <mergeCell ref="C49:N49"/>
    <mergeCell ref="C50:N50"/>
    <mergeCell ref="C51:N51"/>
    <mergeCell ref="C52:N52"/>
    <mergeCell ref="C53:N53"/>
    <mergeCell ref="C61:N61"/>
    <mergeCell ref="C62:N62"/>
    <mergeCell ref="C55:N55"/>
    <mergeCell ref="C56:N56"/>
    <mergeCell ref="C57:N57"/>
    <mergeCell ref="C58:N58"/>
    <mergeCell ref="C59:N59"/>
    <mergeCell ref="C60:N60"/>
  </mergeCells>
  <pageMargins left="0.7" right="0.7" top="0.75" bottom="0.75" header="0.3" footer="0.3"/>
  <pageSetup orientation="portrait"/>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7030A0"/>
  </sheetPr>
  <dimension ref="A2:AA202"/>
  <sheetViews>
    <sheetView workbookViewId="0">
      <pane ySplit="4" topLeftCell="A5" activePane="bottomLeft" state="frozen"/>
      <selection pane="bottomLeft" activeCell="S10" sqref="S10"/>
    </sheetView>
  </sheetViews>
  <sheetFormatPr defaultColWidth="7.140625" defaultRowHeight="10.5" x14ac:dyDescent="0.25"/>
  <cols>
    <col min="1" max="1" width="1.42578125" style="35" customWidth="1"/>
    <col min="2" max="2" width="38.85546875" style="35" bestFit="1" customWidth="1"/>
    <col min="3" max="3" width="4" style="35" customWidth="1"/>
    <col min="4" max="4" width="1.7109375" style="35" customWidth="1"/>
    <col min="5" max="8" width="4" style="35" customWidth="1"/>
    <col min="9" max="9" width="1.7109375" style="35" customWidth="1"/>
    <col min="10" max="14" width="4" style="35" customWidth="1"/>
    <col min="15" max="15" width="4.42578125" style="35" customWidth="1"/>
    <col min="16" max="16" width="38.28515625" style="35" bestFit="1" customWidth="1"/>
    <col min="17" max="17" width="33.85546875" style="35" customWidth="1"/>
    <col min="18" max="18" width="7.140625" style="35"/>
    <col min="19" max="23" width="7.140625" style="35" customWidth="1"/>
    <col min="24" max="16384" width="7.140625" style="35"/>
  </cols>
  <sheetData>
    <row r="2" spans="1:27" ht="30.75" customHeight="1" x14ac:dyDescent="0.25">
      <c r="A2" s="2" t="s">
        <v>1</v>
      </c>
      <c r="B2"/>
      <c r="Q2" s="1" t="s">
        <v>870</v>
      </c>
      <c r="R2" s="1"/>
      <c r="U2" s="1"/>
    </row>
    <row r="3" spans="1:27" ht="9" customHeight="1" x14ac:dyDescent="0.25"/>
    <row r="4" spans="1:27" ht="15" x14ac:dyDescent="0.25">
      <c r="A4" s="5"/>
      <c r="AA4" s="35" t="s">
        <v>0</v>
      </c>
    </row>
    <row r="5" spans="1:27" ht="6" customHeight="1" x14ac:dyDescent="0.25">
      <c r="B5" s="113"/>
      <c r="C5" s="114"/>
      <c r="D5" s="25"/>
      <c r="E5" s="115"/>
      <c r="F5" s="115"/>
      <c r="G5" s="115"/>
      <c r="H5" s="115"/>
      <c r="I5" s="25"/>
      <c r="J5" s="116"/>
      <c r="K5" s="117"/>
      <c r="L5" s="118"/>
      <c r="M5" s="119"/>
      <c r="N5" s="116"/>
      <c r="O5" s="25"/>
      <c r="P5" s="6"/>
    </row>
    <row r="6" spans="1:27" ht="14.25" customHeight="1" x14ac:dyDescent="0.25">
      <c r="B6" s="6" t="s">
        <v>666</v>
      </c>
      <c r="C6" s="120" t="s">
        <v>667</v>
      </c>
      <c r="D6" s="25"/>
      <c r="E6" s="121" t="s">
        <v>668</v>
      </c>
      <c r="F6" s="121" t="s">
        <v>669</v>
      </c>
      <c r="G6" s="121" t="s">
        <v>670</v>
      </c>
      <c r="H6" s="121" t="s">
        <v>671</v>
      </c>
      <c r="I6" s="25"/>
      <c r="J6" s="121" t="s">
        <v>672</v>
      </c>
      <c r="K6" s="121" t="s">
        <v>673</v>
      </c>
      <c r="L6" s="121" t="s">
        <v>526</v>
      </c>
      <c r="M6" s="121" t="s">
        <v>674</v>
      </c>
      <c r="N6" s="121" t="s">
        <v>26</v>
      </c>
      <c r="O6" s="25"/>
      <c r="P6" s="6" t="s">
        <v>675</v>
      </c>
      <c r="Q6" s="6" t="s">
        <v>676</v>
      </c>
      <c r="S6" s="35" t="s">
        <v>677</v>
      </c>
    </row>
    <row r="7" spans="1:27" ht="5.25" customHeight="1" x14ac:dyDescent="0.25">
      <c r="B7" s="6"/>
      <c r="C7" s="122"/>
      <c r="D7" s="25"/>
      <c r="E7" s="122"/>
      <c r="F7" s="122"/>
      <c r="G7" s="122"/>
      <c r="H7" s="122"/>
      <c r="I7" s="25"/>
      <c r="J7" s="122"/>
      <c r="K7" s="122"/>
      <c r="L7" s="122"/>
      <c r="M7" s="122"/>
      <c r="N7" s="122"/>
      <c r="O7" s="25"/>
      <c r="P7" s="6"/>
      <c r="Q7" s="6"/>
    </row>
    <row r="8" spans="1:27" ht="14.25" customHeight="1" x14ac:dyDescent="0.25">
      <c r="A8" s="123"/>
      <c r="B8" s="107" t="s">
        <v>678</v>
      </c>
      <c r="C8" s="124"/>
      <c r="D8" s="125"/>
      <c r="E8" s="126"/>
      <c r="F8" s="126"/>
      <c r="G8" s="126"/>
      <c r="H8" s="126"/>
      <c r="I8" s="125"/>
      <c r="J8" s="126"/>
      <c r="K8" s="126"/>
      <c r="L8" s="126"/>
      <c r="M8" s="126"/>
      <c r="N8" s="126"/>
      <c r="O8" s="125"/>
      <c r="P8" s="127"/>
      <c r="Q8" s="128"/>
    </row>
    <row r="9" spans="1:27" ht="14.25" customHeight="1" x14ac:dyDescent="0.25">
      <c r="A9" s="123"/>
      <c r="B9" s="107" t="s">
        <v>679</v>
      </c>
      <c r="C9" s="124"/>
      <c r="D9" s="125"/>
      <c r="E9" s="126"/>
      <c r="F9" s="126"/>
      <c r="G9" s="126"/>
      <c r="H9" s="126"/>
      <c r="I9" s="125"/>
      <c r="J9" s="126"/>
      <c r="K9" s="126"/>
      <c r="L9" s="126"/>
      <c r="M9" s="126"/>
      <c r="N9" s="126"/>
      <c r="O9" s="125"/>
      <c r="P9" s="127"/>
      <c r="Q9" s="128"/>
    </row>
    <row r="10" spans="1:27" ht="14.25" customHeight="1" x14ac:dyDescent="0.25">
      <c r="A10" s="123"/>
      <c r="B10" s="107" t="s">
        <v>680</v>
      </c>
      <c r="C10" s="124"/>
      <c r="D10" s="125"/>
      <c r="E10" s="129"/>
      <c r="F10" s="129"/>
      <c r="G10" s="129"/>
      <c r="H10" s="129"/>
      <c r="I10" s="125"/>
      <c r="J10" s="126"/>
      <c r="K10" s="126"/>
      <c r="L10" s="126"/>
      <c r="M10" s="126"/>
      <c r="N10" s="126"/>
      <c r="O10" s="125"/>
      <c r="P10" s="127"/>
      <c r="Q10" s="128"/>
    </row>
    <row r="11" spans="1:27" ht="14.25" customHeight="1" x14ac:dyDescent="0.25">
      <c r="A11" s="130"/>
      <c r="B11" s="107" t="s">
        <v>681</v>
      </c>
      <c r="C11" s="126"/>
      <c r="D11" s="125"/>
      <c r="E11" s="131"/>
      <c r="F11" s="131"/>
      <c r="G11" s="131"/>
      <c r="H11" s="131"/>
      <c r="I11" s="125"/>
      <c r="J11" s="126"/>
      <c r="K11" s="126"/>
      <c r="L11" s="126"/>
      <c r="M11" s="126"/>
      <c r="N11" s="126"/>
      <c r="O11" s="125"/>
      <c r="P11" s="127"/>
      <c r="Q11" s="128"/>
    </row>
    <row r="12" spans="1:27" ht="14.25" customHeight="1" x14ac:dyDescent="0.25">
      <c r="A12" s="130"/>
      <c r="B12" s="107" t="s">
        <v>682</v>
      </c>
      <c r="C12" s="126"/>
      <c r="D12" s="125"/>
      <c r="E12" s="131"/>
      <c r="F12" s="131"/>
      <c r="G12" s="131"/>
      <c r="H12" s="131"/>
      <c r="I12" s="125"/>
      <c r="J12" s="126"/>
      <c r="K12" s="126"/>
      <c r="L12" s="126"/>
      <c r="M12" s="126"/>
      <c r="N12" s="126"/>
      <c r="O12" s="125"/>
      <c r="P12" s="132"/>
      <c r="Q12" s="133"/>
    </row>
    <row r="13" spans="1:27" ht="14.25" customHeight="1" x14ac:dyDescent="0.25">
      <c r="A13" s="130"/>
      <c r="B13" s="107" t="s">
        <v>683</v>
      </c>
      <c r="C13" s="126"/>
      <c r="D13" s="125"/>
      <c r="E13" s="131"/>
      <c r="F13" s="131"/>
      <c r="G13" s="131"/>
      <c r="H13" s="131"/>
      <c r="I13" s="125"/>
      <c r="J13" s="126"/>
      <c r="K13" s="126"/>
      <c r="L13" s="126"/>
      <c r="M13" s="126"/>
      <c r="N13" s="126"/>
      <c r="O13" s="125"/>
      <c r="P13" s="109" t="s">
        <v>684</v>
      </c>
      <c r="Q13" s="109" t="s">
        <v>685</v>
      </c>
    </row>
    <row r="14" spans="1:27" ht="14.25" customHeight="1" x14ac:dyDescent="0.25">
      <c r="A14" s="130"/>
      <c r="B14" s="107" t="s">
        <v>683</v>
      </c>
      <c r="C14" s="126"/>
      <c r="D14" s="125"/>
      <c r="E14" s="131"/>
      <c r="F14" s="131"/>
      <c r="G14" s="131"/>
      <c r="H14" s="131"/>
      <c r="I14" s="125"/>
      <c r="J14" s="126"/>
      <c r="K14" s="126"/>
      <c r="L14" s="126"/>
      <c r="M14" s="126"/>
      <c r="N14" s="126"/>
      <c r="O14" s="125"/>
      <c r="P14" s="109" t="s">
        <v>686</v>
      </c>
      <c r="Q14" s="109" t="s">
        <v>685</v>
      </c>
    </row>
    <row r="15" spans="1:27" ht="14.25" customHeight="1" x14ac:dyDescent="0.25">
      <c r="A15" s="130"/>
      <c r="B15" s="107" t="s">
        <v>687</v>
      </c>
      <c r="C15" s="126"/>
      <c r="D15" s="125"/>
      <c r="E15" s="131"/>
      <c r="F15" s="131"/>
      <c r="G15" s="131"/>
      <c r="H15" s="131"/>
      <c r="I15" s="125"/>
      <c r="J15" s="126"/>
      <c r="K15" s="126"/>
      <c r="L15" s="126"/>
      <c r="M15" s="126"/>
      <c r="N15" s="126"/>
      <c r="O15" s="125"/>
      <c r="P15" s="109" t="s">
        <v>688</v>
      </c>
      <c r="Q15" s="109" t="s">
        <v>689</v>
      </c>
    </row>
    <row r="16" spans="1:27" ht="14.25" customHeight="1" x14ac:dyDescent="0.25">
      <c r="A16" s="130"/>
      <c r="B16" s="107" t="s">
        <v>683</v>
      </c>
      <c r="C16" s="126"/>
      <c r="D16" s="125"/>
      <c r="E16" s="131"/>
      <c r="F16" s="131"/>
      <c r="G16" s="131"/>
      <c r="H16" s="131"/>
      <c r="I16" s="125"/>
      <c r="J16" s="126"/>
      <c r="K16" s="126"/>
      <c r="L16" s="126"/>
      <c r="M16" s="126"/>
      <c r="N16" s="126"/>
      <c r="O16" s="125"/>
      <c r="P16" s="109" t="s">
        <v>690</v>
      </c>
      <c r="Q16" s="109" t="s">
        <v>685</v>
      </c>
    </row>
    <row r="17" spans="1:17" ht="14.25" customHeight="1" x14ac:dyDescent="0.25">
      <c r="A17" s="130"/>
      <c r="B17" s="107" t="s">
        <v>683</v>
      </c>
      <c r="C17" s="126"/>
      <c r="D17" s="125"/>
      <c r="E17" s="131"/>
      <c r="F17" s="131"/>
      <c r="G17" s="131"/>
      <c r="H17" s="131"/>
      <c r="I17" s="125"/>
      <c r="J17" s="126"/>
      <c r="K17" s="126"/>
      <c r="L17" s="126"/>
      <c r="M17" s="126"/>
      <c r="N17" s="126"/>
      <c r="O17" s="125"/>
      <c r="P17" s="109" t="s">
        <v>691</v>
      </c>
      <c r="Q17" s="109" t="s">
        <v>689</v>
      </c>
    </row>
    <row r="18" spans="1:17" ht="14.25" customHeight="1" x14ac:dyDescent="0.25">
      <c r="A18" s="130"/>
      <c r="B18" s="107" t="s">
        <v>683</v>
      </c>
      <c r="C18" s="126"/>
      <c r="D18" s="125"/>
      <c r="E18" s="131"/>
      <c r="F18" s="131"/>
      <c r="G18" s="131"/>
      <c r="H18" s="131"/>
      <c r="I18" s="125"/>
      <c r="J18" s="126"/>
      <c r="K18" s="126"/>
      <c r="L18" s="126"/>
      <c r="M18" s="126"/>
      <c r="N18" s="126"/>
      <c r="O18" s="125"/>
      <c r="P18" s="109" t="s">
        <v>692</v>
      </c>
      <c r="Q18" s="109" t="s">
        <v>689</v>
      </c>
    </row>
    <row r="19" spans="1:17" ht="14.25" customHeight="1" x14ac:dyDescent="0.25">
      <c r="A19" s="130"/>
      <c r="B19" s="107" t="s">
        <v>683</v>
      </c>
      <c r="C19" s="126"/>
      <c r="D19" s="125"/>
      <c r="E19" s="131"/>
      <c r="F19" s="131"/>
      <c r="G19" s="131"/>
      <c r="H19" s="131"/>
      <c r="I19" s="125"/>
      <c r="J19" s="126"/>
      <c r="K19" s="126"/>
      <c r="L19" s="126"/>
      <c r="M19" s="126"/>
      <c r="N19" s="126"/>
      <c r="O19" s="125"/>
      <c r="P19" s="109" t="s">
        <v>693</v>
      </c>
      <c r="Q19" s="109" t="s">
        <v>694</v>
      </c>
    </row>
    <row r="20" spans="1:17" ht="14.25" customHeight="1" x14ac:dyDescent="0.25">
      <c r="A20" s="130"/>
      <c r="B20" s="107" t="s">
        <v>695</v>
      </c>
      <c r="C20" s="126"/>
      <c r="D20" s="125"/>
      <c r="E20" s="131"/>
      <c r="F20" s="131"/>
      <c r="G20" s="131"/>
      <c r="H20" s="131"/>
      <c r="I20" s="125"/>
      <c r="J20" s="126"/>
      <c r="K20" s="126"/>
      <c r="L20" s="126"/>
      <c r="M20" s="126"/>
      <c r="N20" s="126"/>
      <c r="O20" s="125"/>
      <c r="P20" s="134"/>
      <c r="Q20" s="135"/>
    </row>
    <row r="21" spans="1:17" ht="14.25" customHeight="1" x14ac:dyDescent="0.25">
      <c r="A21" s="130"/>
      <c r="B21" s="107" t="s">
        <v>696</v>
      </c>
      <c r="C21" s="126"/>
      <c r="D21" s="125"/>
      <c r="E21" s="131"/>
      <c r="F21" s="131"/>
      <c r="G21" s="131"/>
      <c r="H21" s="131"/>
      <c r="I21" s="125"/>
      <c r="J21" s="126"/>
      <c r="K21" s="126"/>
      <c r="L21" s="126"/>
      <c r="M21" s="126"/>
      <c r="N21" s="126"/>
      <c r="O21" s="125"/>
      <c r="P21" s="127"/>
      <c r="Q21" s="128"/>
    </row>
    <row r="22" spans="1:17" ht="14.25" customHeight="1" x14ac:dyDescent="0.25">
      <c r="A22" s="130"/>
      <c r="B22" s="107" t="s">
        <v>697</v>
      </c>
      <c r="C22" s="126"/>
      <c r="D22" s="125"/>
      <c r="E22" s="131"/>
      <c r="F22" s="131"/>
      <c r="G22" s="131"/>
      <c r="H22" s="131"/>
      <c r="I22" s="125"/>
      <c r="J22" s="126"/>
      <c r="K22" s="126"/>
      <c r="L22" s="126"/>
      <c r="M22" s="126"/>
      <c r="N22" s="126"/>
      <c r="O22" s="125"/>
      <c r="P22" s="127"/>
      <c r="Q22" s="128"/>
    </row>
    <row r="23" spans="1:17" ht="14.25" customHeight="1" x14ac:dyDescent="0.25">
      <c r="A23" s="130"/>
      <c r="B23" s="107" t="s">
        <v>698</v>
      </c>
      <c r="C23" s="126"/>
      <c r="D23" s="125"/>
      <c r="E23" s="131"/>
      <c r="F23" s="131"/>
      <c r="G23" s="131"/>
      <c r="H23" s="131"/>
      <c r="I23" s="125"/>
      <c r="J23" s="129"/>
      <c r="K23" s="126"/>
      <c r="L23" s="126"/>
      <c r="M23" s="126"/>
      <c r="N23" s="126"/>
      <c r="O23" s="125"/>
      <c r="P23" s="132"/>
      <c r="Q23" s="133"/>
    </row>
    <row r="24" spans="1:17" ht="14.25" customHeight="1" x14ac:dyDescent="0.25">
      <c r="A24" s="136"/>
      <c r="B24" s="107" t="s">
        <v>699</v>
      </c>
      <c r="C24" s="126"/>
      <c r="D24" s="125"/>
      <c r="E24" s="137"/>
      <c r="F24" s="137"/>
      <c r="G24" s="137"/>
      <c r="H24" s="137"/>
      <c r="I24" s="125"/>
      <c r="J24" s="138"/>
      <c r="K24" s="139"/>
      <c r="L24" s="126"/>
      <c r="M24" s="126"/>
      <c r="N24" s="126"/>
      <c r="O24" s="125"/>
      <c r="P24" s="109" t="s">
        <v>700</v>
      </c>
      <c r="Q24" s="8"/>
    </row>
    <row r="25" spans="1:17" ht="14.25" customHeight="1" x14ac:dyDescent="0.25">
      <c r="A25" s="136"/>
      <c r="B25" s="107" t="s">
        <v>701</v>
      </c>
      <c r="C25" s="126"/>
      <c r="D25" s="125"/>
      <c r="E25" s="126"/>
      <c r="F25" s="126"/>
      <c r="G25" s="126"/>
      <c r="H25" s="126"/>
      <c r="I25" s="125"/>
      <c r="J25" s="138"/>
      <c r="K25" s="139"/>
      <c r="L25" s="126"/>
      <c r="M25" s="126"/>
      <c r="N25" s="126"/>
      <c r="O25" s="125"/>
      <c r="P25" s="140"/>
      <c r="Q25" s="141"/>
    </row>
    <row r="26" spans="1:17" ht="14.25" customHeight="1" x14ac:dyDescent="0.25">
      <c r="A26" s="136"/>
      <c r="B26" s="107" t="s">
        <v>702</v>
      </c>
      <c r="C26" s="126"/>
      <c r="D26" s="125"/>
      <c r="E26" s="126"/>
      <c r="F26" s="126"/>
      <c r="G26" s="126"/>
      <c r="H26" s="126"/>
      <c r="I26" s="125"/>
      <c r="J26" s="138"/>
      <c r="K26" s="139"/>
      <c r="L26" s="126"/>
      <c r="M26" s="126"/>
      <c r="N26" s="126"/>
      <c r="O26" s="125"/>
      <c r="P26" s="127"/>
      <c r="Q26" s="128"/>
    </row>
    <row r="27" spans="1:17" ht="14.25" customHeight="1" x14ac:dyDescent="0.25">
      <c r="A27" s="136"/>
      <c r="B27" s="107" t="s">
        <v>703</v>
      </c>
      <c r="C27" s="126"/>
      <c r="D27" s="125"/>
      <c r="E27" s="126"/>
      <c r="F27" s="126"/>
      <c r="G27" s="126"/>
      <c r="H27" s="126"/>
      <c r="I27" s="125"/>
      <c r="J27" s="138"/>
      <c r="K27" s="142"/>
      <c r="L27" s="126"/>
      <c r="M27" s="126"/>
      <c r="N27" s="126"/>
      <c r="O27" s="125"/>
      <c r="P27" s="127"/>
      <c r="Q27" s="128"/>
    </row>
    <row r="28" spans="1:17" ht="14.25" customHeight="1" x14ac:dyDescent="0.25">
      <c r="A28" s="136"/>
      <c r="B28" s="107" t="s">
        <v>704</v>
      </c>
      <c r="C28" s="126"/>
      <c r="D28" s="125"/>
      <c r="E28" s="126"/>
      <c r="F28" s="126"/>
      <c r="G28" s="126"/>
      <c r="H28" s="126"/>
      <c r="I28" s="125"/>
      <c r="J28" s="138"/>
      <c r="K28" s="143"/>
      <c r="L28" s="139"/>
      <c r="M28" s="126"/>
      <c r="N28" s="126"/>
      <c r="O28" s="125"/>
      <c r="P28" s="144" t="s">
        <v>705</v>
      </c>
      <c r="Q28" s="128"/>
    </row>
    <row r="29" spans="1:17" ht="14.25" customHeight="1" x14ac:dyDescent="0.25">
      <c r="A29" s="145"/>
      <c r="B29" s="107" t="s">
        <v>706</v>
      </c>
      <c r="C29" s="126"/>
      <c r="D29" s="125"/>
      <c r="E29" s="126"/>
      <c r="F29" s="126"/>
      <c r="G29" s="126"/>
      <c r="H29" s="126"/>
      <c r="I29" s="125"/>
      <c r="J29" s="146"/>
      <c r="K29" s="147"/>
      <c r="L29" s="143"/>
      <c r="M29" s="126"/>
      <c r="N29" s="126"/>
      <c r="O29" s="125"/>
      <c r="P29" s="127" t="s">
        <v>707</v>
      </c>
      <c r="Q29" s="128"/>
    </row>
    <row r="30" spans="1:17" ht="14.25" customHeight="1" x14ac:dyDescent="0.25">
      <c r="A30" s="148"/>
      <c r="B30" s="107" t="s">
        <v>708</v>
      </c>
      <c r="C30" s="126"/>
      <c r="D30" s="125"/>
      <c r="E30" s="126"/>
      <c r="F30" s="126"/>
      <c r="G30" s="126"/>
      <c r="H30" s="126"/>
      <c r="I30" s="125"/>
      <c r="J30" s="126"/>
      <c r="K30" s="149"/>
      <c r="L30" s="150"/>
      <c r="M30" s="143"/>
      <c r="N30" s="126"/>
      <c r="O30" s="125"/>
      <c r="P30" s="127"/>
      <c r="Q30" s="128"/>
    </row>
    <row r="31" spans="1:17" ht="14.25" customHeight="1" x14ac:dyDescent="0.25">
      <c r="A31" s="151"/>
      <c r="B31" s="107" t="s">
        <v>709</v>
      </c>
      <c r="C31" s="126"/>
      <c r="D31" s="125"/>
      <c r="E31" s="126"/>
      <c r="F31" s="126"/>
      <c r="G31" s="126"/>
      <c r="H31" s="126"/>
      <c r="I31" s="125"/>
      <c r="J31" s="152"/>
      <c r="K31" s="152"/>
      <c r="L31" s="146"/>
      <c r="M31" s="153"/>
      <c r="N31" s="139"/>
      <c r="O31" s="125"/>
      <c r="P31" s="127"/>
      <c r="Q31" s="128"/>
    </row>
    <row r="32" spans="1:17" ht="14.25" customHeight="1" x14ac:dyDescent="0.25">
      <c r="A32" s="148"/>
      <c r="B32" s="107" t="s">
        <v>710</v>
      </c>
      <c r="C32" s="126"/>
      <c r="D32" s="125"/>
      <c r="E32" s="126"/>
      <c r="F32" s="126"/>
      <c r="G32" s="126"/>
      <c r="H32" s="126"/>
      <c r="I32" s="125"/>
      <c r="J32" s="126"/>
      <c r="K32" s="154"/>
      <c r="L32" s="150"/>
      <c r="M32" s="155"/>
      <c r="N32" s="126"/>
      <c r="O32" s="125"/>
      <c r="P32" s="127"/>
      <c r="Q32" s="128"/>
    </row>
    <row r="33" spans="1:17" ht="14.25" customHeight="1" x14ac:dyDescent="0.25">
      <c r="A33" s="148"/>
      <c r="B33" s="107" t="s">
        <v>711</v>
      </c>
      <c r="C33" s="126"/>
      <c r="D33" s="125"/>
      <c r="E33" s="126"/>
      <c r="F33" s="126"/>
      <c r="G33" s="126"/>
      <c r="H33" s="126"/>
      <c r="I33" s="125"/>
      <c r="J33" s="126"/>
      <c r="K33" s="154"/>
      <c r="L33" s="150"/>
      <c r="M33" s="139"/>
      <c r="N33" s="126"/>
      <c r="O33" s="125"/>
      <c r="P33" s="127"/>
      <c r="Q33" s="128"/>
    </row>
    <row r="34" spans="1:17" ht="14.25" customHeight="1" x14ac:dyDescent="0.25">
      <c r="A34" s="148"/>
      <c r="B34" s="107" t="s">
        <v>712</v>
      </c>
      <c r="C34" s="126"/>
      <c r="D34" s="125"/>
      <c r="E34" s="126"/>
      <c r="F34" s="126"/>
      <c r="G34" s="126"/>
      <c r="H34" s="126"/>
      <c r="I34" s="125"/>
      <c r="J34" s="126"/>
      <c r="K34" s="154"/>
      <c r="L34" s="150"/>
      <c r="M34" s="139"/>
      <c r="N34" s="126"/>
      <c r="O34" s="125"/>
      <c r="P34" s="127"/>
      <c r="Q34" s="128"/>
    </row>
    <row r="35" spans="1:17" ht="14.25" customHeight="1" x14ac:dyDescent="0.25">
      <c r="A35" s="148"/>
      <c r="B35" s="107" t="s">
        <v>713</v>
      </c>
      <c r="C35" s="126"/>
      <c r="D35" s="125"/>
      <c r="E35" s="126"/>
      <c r="F35" s="126"/>
      <c r="G35" s="126"/>
      <c r="H35" s="126"/>
      <c r="I35" s="125"/>
      <c r="J35" s="126"/>
      <c r="K35" s="154"/>
      <c r="L35" s="150"/>
      <c r="M35" s="139"/>
      <c r="N35" s="126"/>
      <c r="O35" s="125"/>
      <c r="P35" s="127"/>
      <c r="Q35" s="128" t="s">
        <v>714</v>
      </c>
    </row>
    <row r="36" spans="1:17" ht="14.25" customHeight="1" x14ac:dyDescent="0.25">
      <c r="A36" s="148"/>
      <c r="B36" s="107" t="s">
        <v>715</v>
      </c>
      <c r="C36" s="126"/>
      <c r="D36" s="125"/>
      <c r="E36" s="126"/>
      <c r="F36" s="126"/>
      <c r="G36" s="126"/>
      <c r="H36" s="126"/>
      <c r="I36" s="125"/>
      <c r="J36" s="126"/>
      <c r="K36" s="154"/>
      <c r="L36" s="150"/>
      <c r="M36" s="139"/>
      <c r="N36" s="126"/>
      <c r="O36" s="125"/>
      <c r="P36" s="127"/>
      <c r="Q36" s="128"/>
    </row>
    <row r="37" spans="1:17" ht="14.25" customHeight="1" x14ac:dyDescent="0.25">
      <c r="A37" s="148"/>
      <c r="B37" s="107" t="s">
        <v>716</v>
      </c>
      <c r="C37" s="126"/>
      <c r="D37" s="125"/>
      <c r="E37" s="126"/>
      <c r="F37" s="126"/>
      <c r="G37" s="126"/>
      <c r="H37" s="126"/>
      <c r="I37" s="125"/>
      <c r="J37" s="126"/>
      <c r="K37" s="154"/>
      <c r="L37" s="150"/>
      <c r="M37" s="139"/>
      <c r="N37" s="126"/>
      <c r="O37" s="125"/>
      <c r="P37" s="127"/>
      <c r="Q37" s="128"/>
    </row>
    <row r="38" spans="1:17" ht="14.25" customHeight="1" x14ac:dyDescent="0.25">
      <c r="A38" s="148"/>
      <c r="B38" s="107" t="s">
        <v>717</v>
      </c>
      <c r="C38" s="126"/>
      <c r="D38" s="125"/>
      <c r="E38" s="126"/>
      <c r="F38" s="126"/>
      <c r="G38" s="126"/>
      <c r="H38" s="126"/>
      <c r="I38" s="125"/>
      <c r="J38" s="126"/>
      <c r="K38" s="154"/>
      <c r="L38" s="150"/>
      <c r="M38" s="139"/>
      <c r="N38" s="126"/>
      <c r="O38" s="125"/>
      <c r="P38" s="127"/>
      <c r="Q38" s="128"/>
    </row>
    <row r="39" spans="1:17" ht="14.25" customHeight="1" x14ac:dyDescent="0.25">
      <c r="A39" s="119"/>
      <c r="B39" s="107" t="s">
        <v>718</v>
      </c>
      <c r="C39" s="126"/>
      <c r="D39" s="125"/>
      <c r="E39" s="126"/>
      <c r="F39" s="126"/>
      <c r="G39" s="126"/>
      <c r="H39" s="126"/>
      <c r="I39" s="125"/>
      <c r="J39" s="126"/>
      <c r="K39" s="126"/>
      <c r="L39" s="126"/>
      <c r="M39" s="153"/>
      <c r="N39" s="126"/>
      <c r="O39" s="125"/>
      <c r="P39" s="156"/>
      <c r="Q39" s="157"/>
    </row>
    <row r="40" spans="1:17" ht="14.25" customHeight="1" x14ac:dyDescent="0.25">
      <c r="A40" s="119"/>
      <c r="B40" s="107" t="s">
        <v>719</v>
      </c>
      <c r="C40" s="126"/>
      <c r="D40" s="125"/>
      <c r="E40" s="126"/>
      <c r="F40" s="126"/>
      <c r="G40" s="126"/>
      <c r="H40" s="126"/>
      <c r="I40" s="125"/>
      <c r="J40" s="126"/>
      <c r="K40" s="126"/>
      <c r="L40" s="126"/>
      <c r="M40" s="153"/>
      <c r="N40" s="126"/>
      <c r="O40" s="125"/>
      <c r="P40" s="109"/>
      <c r="Q40" s="109" t="s">
        <v>720</v>
      </c>
    </row>
    <row r="41" spans="1:17" ht="14.25" customHeight="1" x14ac:dyDescent="0.25">
      <c r="A41" s="119"/>
      <c r="B41" s="107" t="s">
        <v>719</v>
      </c>
      <c r="C41" s="126"/>
      <c r="D41" s="125"/>
      <c r="E41" s="126"/>
      <c r="F41" s="126"/>
      <c r="G41" s="126"/>
      <c r="H41" s="126"/>
      <c r="I41" s="125"/>
      <c r="J41" s="126"/>
      <c r="K41" s="126"/>
      <c r="L41" s="126"/>
      <c r="M41" s="153"/>
      <c r="N41" s="126"/>
      <c r="O41" s="125"/>
      <c r="P41" s="109"/>
      <c r="Q41" s="109" t="s">
        <v>721</v>
      </c>
    </row>
    <row r="42" spans="1:17" ht="14.25" customHeight="1" x14ac:dyDescent="0.25">
      <c r="A42" s="119"/>
      <c r="B42" s="107" t="s">
        <v>719</v>
      </c>
      <c r="C42" s="126"/>
      <c r="D42" s="125"/>
      <c r="E42" s="126"/>
      <c r="F42" s="126"/>
      <c r="G42" s="126"/>
      <c r="H42" s="126"/>
      <c r="I42" s="125"/>
      <c r="J42" s="126"/>
      <c r="K42" s="126"/>
      <c r="L42" s="126"/>
      <c r="M42" s="153"/>
      <c r="N42" s="126"/>
      <c r="O42" s="125"/>
      <c r="P42" s="109"/>
      <c r="Q42" s="8" t="s">
        <v>722</v>
      </c>
    </row>
    <row r="43" spans="1:17" ht="14.25" customHeight="1" x14ac:dyDescent="0.25">
      <c r="A43" s="117"/>
      <c r="B43" s="107" t="s">
        <v>723</v>
      </c>
      <c r="C43" s="126"/>
      <c r="D43" s="125"/>
      <c r="E43" s="126"/>
      <c r="F43" s="126"/>
      <c r="G43" s="126"/>
      <c r="H43" s="126"/>
      <c r="I43" s="125"/>
      <c r="J43" s="126"/>
      <c r="K43" s="147"/>
      <c r="L43" s="126"/>
      <c r="M43" s="126"/>
      <c r="N43" s="126"/>
      <c r="O43" s="125"/>
      <c r="P43" s="140"/>
      <c r="Q43" s="141"/>
    </row>
    <row r="44" spans="1:17" ht="14.25" customHeight="1" x14ac:dyDescent="0.25">
      <c r="A44" s="117"/>
      <c r="B44" s="107" t="s">
        <v>724</v>
      </c>
      <c r="C44" s="126"/>
      <c r="D44" s="125"/>
      <c r="E44" s="126"/>
      <c r="F44" s="126"/>
      <c r="G44" s="126"/>
      <c r="H44" s="126"/>
      <c r="I44" s="125"/>
      <c r="J44" s="126"/>
      <c r="K44" s="147"/>
      <c r="L44" s="126"/>
      <c r="M44" s="126"/>
      <c r="N44" s="126"/>
      <c r="O44" s="125"/>
      <c r="P44" s="127" t="s">
        <v>725</v>
      </c>
      <c r="Q44" s="127" t="s">
        <v>726</v>
      </c>
    </row>
    <row r="45" spans="1:17" ht="14.25" customHeight="1" x14ac:dyDescent="0.25">
      <c r="A45" s="117"/>
      <c r="B45" s="107" t="s">
        <v>727</v>
      </c>
      <c r="C45" s="126"/>
      <c r="D45" s="125"/>
      <c r="E45" s="126"/>
      <c r="F45" s="126"/>
      <c r="G45" s="126"/>
      <c r="H45" s="126"/>
      <c r="I45" s="125"/>
      <c r="J45" s="126"/>
      <c r="K45" s="147"/>
      <c r="L45" s="126"/>
      <c r="M45" s="126"/>
      <c r="N45" s="126"/>
      <c r="O45" s="125"/>
      <c r="P45" s="127"/>
      <c r="Q45" s="128"/>
    </row>
    <row r="46" spans="1:17" ht="14.25" customHeight="1" x14ac:dyDescent="0.25">
      <c r="A46" s="117"/>
      <c r="B46" s="107" t="s">
        <v>728</v>
      </c>
      <c r="C46" s="126"/>
      <c r="D46" s="125"/>
      <c r="E46" s="126"/>
      <c r="F46" s="126"/>
      <c r="G46" s="126"/>
      <c r="H46" s="126"/>
      <c r="I46" s="125"/>
      <c r="J46" s="126"/>
      <c r="K46" s="147"/>
      <c r="L46" s="126"/>
      <c r="M46" s="126"/>
      <c r="N46" s="126"/>
      <c r="O46" s="125"/>
      <c r="P46" s="127"/>
      <c r="Q46" s="128"/>
    </row>
    <row r="47" spans="1:17" ht="14.25" customHeight="1" x14ac:dyDescent="0.25">
      <c r="A47" s="117"/>
      <c r="B47" s="107" t="s">
        <v>729</v>
      </c>
      <c r="C47" s="126"/>
      <c r="D47" s="125"/>
      <c r="E47" s="126"/>
      <c r="F47" s="126"/>
      <c r="G47" s="126"/>
      <c r="H47" s="126"/>
      <c r="I47" s="125"/>
      <c r="J47" s="126"/>
      <c r="K47" s="147"/>
      <c r="L47" s="126"/>
      <c r="M47" s="126"/>
      <c r="N47" s="126"/>
      <c r="O47" s="125"/>
      <c r="P47" s="127"/>
      <c r="Q47" s="128"/>
    </row>
    <row r="48" spans="1:17" ht="14.25" customHeight="1" x14ac:dyDescent="0.25">
      <c r="A48" s="117"/>
      <c r="B48" s="107" t="s">
        <v>730</v>
      </c>
      <c r="C48" s="126"/>
      <c r="D48" s="125"/>
      <c r="E48" s="126"/>
      <c r="F48" s="126"/>
      <c r="G48" s="126"/>
      <c r="H48" s="126"/>
      <c r="I48" s="125"/>
      <c r="J48" s="126"/>
      <c r="K48" s="147"/>
      <c r="L48" s="126"/>
      <c r="M48" s="126"/>
      <c r="N48" s="126"/>
      <c r="O48" s="125"/>
      <c r="P48" s="473" t="s">
        <v>731</v>
      </c>
      <c r="Q48" s="473"/>
    </row>
    <row r="49" spans="1:17" ht="14.25" customHeight="1" x14ac:dyDescent="0.25">
      <c r="A49" s="117"/>
      <c r="B49" s="107" t="s">
        <v>732</v>
      </c>
      <c r="C49" s="126"/>
      <c r="D49" s="125"/>
      <c r="E49" s="126"/>
      <c r="F49" s="126"/>
      <c r="G49" s="126"/>
      <c r="H49" s="126"/>
      <c r="I49" s="125"/>
      <c r="J49" s="126"/>
      <c r="K49" s="147"/>
      <c r="L49" s="126"/>
      <c r="M49" s="126"/>
      <c r="N49" s="126"/>
      <c r="O49" s="125"/>
      <c r="P49" s="127"/>
      <c r="Q49" s="128"/>
    </row>
    <row r="50" spans="1:17" ht="14.25" customHeight="1" x14ac:dyDescent="0.25">
      <c r="A50" s="117"/>
      <c r="B50" s="107" t="s">
        <v>733</v>
      </c>
      <c r="C50" s="126"/>
      <c r="D50" s="125"/>
      <c r="E50" s="126"/>
      <c r="F50" s="126"/>
      <c r="G50" s="126"/>
      <c r="H50" s="126"/>
      <c r="I50" s="125"/>
      <c r="J50" s="126"/>
      <c r="K50" s="158"/>
      <c r="L50" s="126"/>
      <c r="M50" s="126"/>
      <c r="N50" s="126"/>
      <c r="O50" s="125"/>
      <c r="P50" s="127"/>
      <c r="Q50" s="128"/>
    </row>
    <row r="51" spans="1:17" ht="14.25" customHeight="1" x14ac:dyDescent="0.25">
      <c r="A51" s="117"/>
      <c r="B51" s="107" t="s">
        <v>734</v>
      </c>
      <c r="C51" s="126"/>
      <c r="D51" s="125"/>
      <c r="E51" s="126"/>
      <c r="F51" s="126"/>
      <c r="G51" s="126"/>
      <c r="H51" s="126"/>
      <c r="I51" s="125"/>
      <c r="J51" s="126"/>
      <c r="K51" s="147"/>
      <c r="L51" s="126"/>
      <c r="M51" s="126"/>
      <c r="N51" s="126"/>
      <c r="O51" s="125"/>
      <c r="P51" s="156"/>
      <c r="Q51" s="157"/>
    </row>
    <row r="52" spans="1:17" ht="14.25" customHeight="1" x14ac:dyDescent="0.25">
      <c r="A52" s="117"/>
      <c r="B52" s="107" t="s">
        <v>735</v>
      </c>
      <c r="C52" s="126"/>
      <c r="D52" s="125"/>
      <c r="E52" s="126"/>
      <c r="F52" s="126"/>
      <c r="G52" s="126"/>
      <c r="H52" s="126"/>
      <c r="I52" s="125"/>
      <c r="J52" s="126"/>
      <c r="K52" s="147"/>
      <c r="L52" s="126"/>
      <c r="M52" s="126"/>
      <c r="N52" s="126"/>
      <c r="O52" s="125"/>
      <c r="P52" s="291" t="s">
        <v>736</v>
      </c>
      <c r="Q52" s="291"/>
    </row>
    <row r="53" spans="1:17" ht="14.25" customHeight="1" x14ac:dyDescent="0.25">
      <c r="A53" s="117"/>
      <c r="B53" s="107" t="s">
        <v>735</v>
      </c>
      <c r="C53" s="126"/>
      <c r="D53" s="125"/>
      <c r="E53" s="126"/>
      <c r="F53" s="126"/>
      <c r="G53" s="126"/>
      <c r="H53" s="126"/>
      <c r="I53" s="125"/>
      <c r="J53" s="154"/>
      <c r="K53" s="147"/>
      <c r="L53" s="139"/>
      <c r="M53" s="126"/>
      <c r="N53" s="126"/>
      <c r="O53" s="125"/>
      <c r="P53" s="291" t="s">
        <v>737</v>
      </c>
      <c r="Q53" s="291"/>
    </row>
    <row r="54" spans="1:17" ht="14.25" customHeight="1" x14ac:dyDescent="0.25">
      <c r="A54" s="117"/>
      <c r="B54" s="107" t="s">
        <v>735</v>
      </c>
      <c r="C54" s="126"/>
      <c r="D54" s="125"/>
      <c r="E54" s="126"/>
      <c r="F54" s="126"/>
      <c r="G54" s="126"/>
      <c r="H54" s="126"/>
      <c r="I54" s="125"/>
      <c r="J54" s="154"/>
      <c r="K54" s="147"/>
      <c r="L54" s="139"/>
      <c r="M54" s="126"/>
      <c r="N54" s="126"/>
      <c r="O54" s="125"/>
      <c r="P54" s="291" t="s">
        <v>738</v>
      </c>
      <c r="Q54" s="291"/>
    </row>
    <row r="55" spans="1:17" ht="14.25" customHeight="1" x14ac:dyDescent="0.25">
      <c r="A55" s="117"/>
      <c r="B55" s="107" t="s">
        <v>735</v>
      </c>
      <c r="C55" s="126"/>
      <c r="D55" s="125"/>
      <c r="E55" s="126"/>
      <c r="F55" s="126"/>
      <c r="G55" s="126"/>
      <c r="H55" s="126"/>
      <c r="I55" s="125"/>
      <c r="J55" s="154"/>
      <c r="K55" s="147"/>
      <c r="L55" s="139"/>
      <c r="M55" s="126"/>
      <c r="N55" s="126"/>
      <c r="O55" s="125"/>
      <c r="P55" s="291" t="s">
        <v>739</v>
      </c>
      <c r="Q55" s="291"/>
    </row>
    <row r="56" spans="1:17" ht="14.25" customHeight="1" x14ac:dyDescent="0.25">
      <c r="A56" s="117"/>
      <c r="B56" s="107" t="s">
        <v>735</v>
      </c>
      <c r="C56" s="126"/>
      <c r="D56" s="125"/>
      <c r="E56" s="126"/>
      <c r="F56" s="126"/>
      <c r="G56" s="126"/>
      <c r="H56" s="126"/>
      <c r="I56" s="125"/>
      <c r="J56" s="154"/>
      <c r="K56" s="147"/>
      <c r="L56" s="139"/>
      <c r="M56" s="126"/>
      <c r="N56" s="126"/>
      <c r="O56" s="125"/>
      <c r="P56" s="291" t="s">
        <v>740</v>
      </c>
      <c r="Q56" s="291"/>
    </row>
    <row r="57" spans="1:17" ht="14.25" customHeight="1" x14ac:dyDescent="0.25">
      <c r="A57" s="117"/>
      <c r="B57" s="107" t="s">
        <v>735</v>
      </c>
      <c r="C57" s="126"/>
      <c r="D57" s="125"/>
      <c r="E57" s="126"/>
      <c r="F57" s="126"/>
      <c r="G57" s="126"/>
      <c r="H57" s="126"/>
      <c r="I57" s="125"/>
      <c r="J57" s="154"/>
      <c r="K57" s="147"/>
      <c r="L57" s="139"/>
      <c r="M57" s="126"/>
      <c r="N57" s="126"/>
      <c r="O57" s="125"/>
      <c r="P57" s="291" t="s">
        <v>741</v>
      </c>
      <c r="Q57" s="291"/>
    </row>
    <row r="58" spans="1:17" ht="14.25" customHeight="1" x14ac:dyDescent="0.25">
      <c r="A58" s="117"/>
      <c r="B58" s="107" t="s">
        <v>735</v>
      </c>
      <c r="C58" s="126"/>
      <c r="D58" s="125"/>
      <c r="E58" s="126"/>
      <c r="F58" s="126"/>
      <c r="G58" s="126"/>
      <c r="H58" s="126"/>
      <c r="I58" s="125"/>
      <c r="J58" s="154"/>
      <c r="K58" s="147"/>
      <c r="L58" s="139"/>
      <c r="M58" s="126"/>
      <c r="N58" s="126"/>
      <c r="O58" s="125"/>
      <c r="P58" s="291" t="s">
        <v>742</v>
      </c>
      <c r="Q58" s="291"/>
    </row>
    <row r="59" spans="1:17" ht="14.25" customHeight="1" x14ac:dyDescent="0.25">
      <c r="A59" s="117"/>
      <c r="B59" s="107" t="s">
        <v>735</v>
      </c>
      <c r="C59" s="126"/>
      <c r="D59" s="125"/>
      <c r="E59" s="126"/>
      <c r="F59" s="126"/>
      <c r="G59" s="126"/>
      <c r="H59" s="126"/>
      <c r="I59" s="125"/>
      <c r="J59" s="154"/>
      <c r="K59" s="147"/>
      <c r="L59" s="150"/>
      <c r="M59" s="153"/>
      <c r="N59" s="139"/>
      <c r="O59" s="125"/>
      <c r="P59" s="291" t="s">
        <v>743</v>
      </c>
      <c r="Q59" s="291"/>
    </row>
    <row r="60" spans="1:17" ht="14.25" customHeight="1" x14ac:dyDescent="0.25">
      <c r="A60" s="117"/>
      <c r="B60" s="107" t="s">
        <v>735</v>
      </c>
      <c r="C60" s="126"/>
      <c r="D60" s="125"/>
      <c r="E60" s="126"/>
      <c r="F60" s="126"/>
      <c r="G60" s="126"/>
      <c r="H60" s="126"/>
      <c r="I60" s="125"/>
      <c r="J60" s="154"/>
      <c r="K60" s="147"/>
      <c r="L60" s="139"/>
      <c r="M60" s="126"/>
      <c r="N60" s="126"/>
      <c r="O60" s="125"/>
      <c r="P60" s="291" t="s">
        <v>744</v>
      </c>
      <c r="Q60" s="291"/>
    </row>
    <row r="61" spans="1:17" ht="15" hidden="1" x14ac:dyDescent="0.25">
      <c r="A61" s="117"/>
      <c r="B61" s="107" t="s">
        <v>745</v>
      </c>
      <c r="C61" s="126"/>
      <c r="D61" s="125"/>
      <c r="E61" s="126"/>
      <c r="F61" s="126"/>
      <c r="G61" s="126"/>
      <c r="H61" s="126"/>
      <c r="I61" s="125"/>
      <c r="J61" s="126"/>
      <c r="K61" s="159"/>
      <c r="L61" s="126"/>
      <c r="M61" s="126"/>
      <c r="N61" s="126"/>
      <c r="O61" s="125"/>
      <c r="P61" s="109"/>
      <c r="Q61" s="8"/>
    </row>
    <row r="62" spans="1:17" ht="15" hidden="1" x14ac:dyDescent="0.25">
      <c r="A62" s="117"/>
      <c r="B62" s="107" t="s">
        <v>746</v>
      </c>
      <c r="C62" s="126"/>
      <c r="D62" s="125"/>
      <c r="E62" s="126"/>
      <c r="F62" s="126"/>
      <c r="G62" s="126"/>
      <c r="H62" s="126"/>
      <c r="I62" s="125"/>
      <c r="J62" s="126"/>
      <c r="K62" s="159"/>
      <c r="L62" s="126"/>
      <c r="M62" s="126"/>
      <c r="N62" s="126"/>
      <c r="O62" s="125"/>
      <c r="P62" s="109"/>
      <c r="Q62" s="8"/>
    </row>
    <row r="63" spans="1:17" ht="15" hidden="1" x14ac:dyDescent="0.25">
      <c r="A63" s="117"/>
      <c r="B63" s="107" t="s">
        <v>747</v>
      </c>
      <c r="C63" s="126"/>
      <c r="D63" s="125"/>
      <c r="E63" s="126"/>
      <c r="F63" s="126"/>
      <c r="G63" s="126"/>
      <c r="H63" s="126"/>
      <c r="I63" s="125"/>
      <c r="J63" s="126"/>
      <c r="K63" s="159"/>
      <c r="L63" s="126"/>
      <c r="M63" s="126"/>
      <c r="N63" s="126"/>
      <c r="O63" s="125"/>
      <c r="P63" s="109"/>
      <c r="Q63" s="8"/>
    </row>
    <row r="64" spans="1:17" ht="15" hidden="1" x14ac:dyDescent="0.25">
      <c r="A64" s="117"/>
      <c r="B64" s="107" t="s">
        <v>748</v>
      </c>
      <c r="C64" s="126"/>
      <c r="D64" s="125"/>
      <c r="E64" s="126"/>
      <c r="F64" s="126"/>
      <c r="G64" s="126"/>
      <c r="H64" s="126"/>
      <c r="I64" s="125"/>
      <c r="J64" s="126"/>
      <c r="K64" s="159"/>
      <c r="L64" s="126"/>
      <c r="M64" s="126"/>
      <c r="N64" s="126"/>
      <c r="O64" s="125"/>
      <c r="P64" s="109"/>
      <c r="Q64" s="8"/>
    </row>
    <row r="65" spans="1:17" ht="15" hidden="1" x14ac:dyDescent="0.25">
      <c r="A65" s="117"/>
      <c r="B65" s="107" t="s">
        <v>749</v>
      </c>
      <c r="C65" s="126"/>
      <c r="D65" s="125"/>
      <c r="E65" s="126"/>
      <c r="F65" s="126"/>
      <c r="G65" s="126"/>
      <c r="H65" s="126"/>
      <c r="I65" s="125"/>
      <c r="J65" s="126"/>
      <c r="K65" s="159"/>
      <c r="L65" s="126"/>
      <c r="M65" s="126"/>
      <c r="N65" s="126"/>
      <c r="O65" s="125"/>
      <c r="P65" s="109"/>
      <c r="Q65" s="8"/>
    </row>
    <row r="66" spans="1:17" ht="15" hidden="1" x14ac:dyDescent="0.25">
      <c r="A66" s="117"/>
      <c r="B66" s="107" t="s">
        <v>750</v>
      </c>
      <c r="C66" s="126"/>
      <c r="D66" s="125"/>
      <c r="E66" s="126"/>
      <c r="F66" s="126"/>
      <c r="G66" s="126"/>
      <c r="H66" s="126"/>
      <c r="I66" s="125"/>
      <c r="J66" s="126"/>
      <c r="K66" s="159"/>
      <c r="L66" s="126"/>
      <c r="M66" s="126"/>
      <c r="N66" s="126"/>
      <c r="O66" s="125"/>
      <c r="P66" s="109"/>
      <c r="Q66" s="8"/>
    </row>
    <row r="67" spans="1:17" ht="15" hidden="1" x14ac:dyDescent="0.25">
      <c r="A67" s="117"/>
      <c r="B67" s="107" t="s">
        <v>751</v>
      </c>
      <c r="C67" s="126"/>
      <c r="D67" s="125"/>
      <c r="E67" s="126"/>
      <c r="F67" s="126"/>
      <c r="G67" s="126"/>
      <c r="H67" s="126"/>
      <c r="I67" s="125"/>
      <c r="J67" s="126"/>
      <c r="K67" s="159"/>
      <c r="L67" s="126"/>
      <c r="M67" s="126"/>
      <c r="N67" s="126"/>
      <c r="O67" s="125"/>
      <c r="P67" s="109"/>
      <c r="Q67" s="8"/>
    </row>
    <row r="68" spans="1:17" ht="14.25" customHeight="1" x14ac:dyDescent="0.25">
      <c r="A68" s="115"/>
      <c r="B68" s="107" t="s">
        <v>752</v>
      </c>
      <c r="C68" s="126"/>
      <c r="D68" s="125"/>
      <c r="E68" s="160"/>
      <c r="F68" s="160"/>
      <c r="G68" s="160"/>
      <c r="H68" s="160"/>
      <c r="I68" s="125"/>
      <c r="J68" s="126"/>
      <c r="K68" s="126"/>
      <c r="L68" s="126"/>
      <c r="M68" s="126"/>
      <c r="N68" s="126"/>
      <c r="O68" s="125"/>
      <c r="P68" s="291" t="s">
        <v>753</v>
      </c>
      <c r="Q68" s="291"/>
    </row>
    <row r="69" spans="1:17" ht="14.25" customHeight="1" x14ac:dyDescent="0.25">
      <c r="A69" s="115"/>
      <c r="B69" s="107" t="s">
        <v>754</v>
      </c>
      <c r="C69" s="126"/>
      <c r="D69" s="125"/>
      <c r="E69" s="131"/>
      <c r="F69" s="131"/>
      <c r="G69" s="131"/>
      <c r="H69" s="131"/>
      <c r="I69" s="125"/>
      <c r="J69" s="126"/>
      <c r="K69" s="126"/>
      <c r="L69" s="126"/>
      <c r="M69" s="126"/>
      <c r="N69" s="126"/>
      <c r="O69" s="125"/>
      <c r="P69" s="134"/>
      <c r="Q69" s="135"/>
    </row>
    <row r="70" spans="1:17" ht="14.25" customHeight="1" x14ac:dyDescent="0.25">
      <c r="A70" s="115"/>
      <c r="B70" s="107" t="s">
        <v>755</v>
      </c>
      <c r="C70" s="126"/>
      <c r="D70" s="125"/>
      <c r="E70" s="131"/>
      <c r="F70" s="131"/>
      <c r="G70" s="131"/>
      <c r="H70" s="131"/>
      <c r="I70" s="125"/>
      <c r="J70" s="126"/>
      <c r="K70" s="126"/>
      <c r="L70" s="126"/>
      <c r="M70" s="126"/>
      <c r="N70" s="126"/>
      <c r="O70" s="125"/>
      <c r="P70" s="127"/>
      <c r="Q70" s="128"/>
    </row>
    <row r="71" spans="1:17" ht="14.25" customHeight="1" x14ac:dyDescent="0.25">
      <c r="A71" s="115"/>
      <c r="B71" s="107" t="s">
        <v>756</v>
      </c>
      <c r="C71" s="126"/>
      <c r="D71" s="125"/>
      <c r="E71" s="131"/>
      <c r="F71" s="131"/>
      <c r="G71" s="131"/>
      <c r="H71" s="131"/>
      <c r="I71" s="125"/>
      <c r="J71" s="126"/>
      <c r="K71" s="126"/>
      <c r="L71" s="126"/>
      <c r="M71" s="126"/>
      <c r="N71" s="126"/>
      <c r="O71" s="125"/>
      <c r="P71" s="127"/>
      <c r="Q71" s="128"/>
    </row>
    <row r="72" spans="1:17" ht="14.25" customHeight="1" x14ac:dyDescent="0.25">
      <c r="A72" s="115"/>
      <c r="B72" s="107" t="s">
        <v>757</v>
      </c>
      <c r="C72" s="126"/>
      <c r="D72" s="125"/>
      <c r="E72" s="131"/>
      <c r="F72" s="131"/>
      <c r="G72" s="131"/>
      <c r="H72" s="131"/>
      <c r="I72" s="125"/>
      <c r="J72" s="126"/>
      <c r="K72" s="126"/>
      <c r="L72" s="126"/>
      <c r="M72" s="126"/>
      <c r="N72" s="126"/>
      <c r="O72" s="125"/>
      <c r="P72" s="127"/>
      <c r="Q72" s="128"/>
    </row>
    <row r="73" spans="1:17" ht="14.25" customHeight="1" x14ac:dyDescent="0.25">
      <c r="A73" s="115"/>
      <c r="B73" s="107" t="s">
        <v>758</v>
      </c>
      <c r="C73" s="126"/>
      <c r="D73" s="125"/>
      <c r="E73" s="131"/>
      <c r="F73" s="131"/>
      <c r="G73" s="131"/>
      <c r="H73" s="131"/>
      <c r="I73" s="125"/>
      <c r="J73" s="126"/>
      <c r="K73" s="126"/>
      <c r="L73" s="126"/>
      <c r="M73" s="126"/>
      <c r="N73" s="126"/>
      <c r="O73" s="125"/>
      <c r="P73" s="127"/>
      <c r="Q73" s="128"/>
    </row>
    <row r="74" spans="1:17" ht="14.25" customHeight="1" x14ac:dyDescent="0.25">
      <c r="A74" s="115"/>
      <c r="B74" s="107" t="s">
        <v>759</v>
      </c>
      <c r="C74" s="126"/>
      <c r="D74" s="125"/>
      <c r="E74" s="131"/>
      <c r="F74" s="131"/>
      <c r="G74" s="131"/>
      <c r="H74" s="131"/>
      <c r="I74" s="125"/>
      <c r="J74" s="126"/>
      <c r="K74" s="126"/>
      <c r="L74" s="126"/>
      <c r="M74" s="126"/>
      <c r="N74" s="126"/>
      <c r="O74" s="125"/>
      <c r="P74" s="127"/>
      <c r="Q74" s="128"/>
    </row>
    <row r="75" spans="1:17" ht="14.25" customHeight="1" x14ac:dyDescent="0.25">
      <c r="A75" s="115"/>
      <c r="B75" s="107" t="s">
        <v>760</v>
      </c>
      <c r="C75" s="126"/>
      <c r="D75" s="125"/>
      <c r="E75" s="131"/>
      <c r="F75" s="131"/>
      <c r="G75" s="131"/>
      <c r="H75" s="131"/>
      <c r="I75" s="125"/>
      <c r="J75" s="126"/>
      <c r="K75" s="126"/>
      <c r="L75" s="126"/>
      <c r="M75" s="126"/>
      <c r="N75" s="126"/>
      <c r="O75" s="125"/>
      <c r="P75" s="127"/>
      <c r="Q75" s="128"/>
    </row>
    <row r="76" spans="1:17" ht="14.25" customHeight="1" x14ac:dyDescent="0.25">
      <c r="A76" s="115"/>
      <c r="B76" s="107" t="s">
        <v>761</v>
      </c>
      <c r="C76" s="126"/>
      <c r="D76" s="125"/>
      <c r="E76" s="131"/>
      <c r="F76" s="131"/>
      <c r="G76" s="131"/>
      <c r="H76" s="131"/>
      <c r="I76" s="125"/>
      <c r="J76" s="126"/>
      <c r="K76" s="126"/>
      <c r="L76" s="126"/>
      <c r="M76" s="126"/>
      <c r="N76" s="126"/>
      <c r="O76" s="125"/>
      <c r="P76" s="127"/>
      <c r="Q76" s="128"/>
    </row>
    <row r="77" spans="1:17" ht="14.25" customHeight="1" x14ac:dyDescent="0.25">
      <c r="A77" s="115"/>
      <c r="B77" s="107" t="s">
        <v>762</v>
      </c>
      <c r="C77" s="126"/>
      <c r="D77" s="125"/>
      <c r="E77" s="131"/>
      <c r="F77" s="131"/>
      <c r="G77" s="131"/>
      <c r="H77" s="131"/>
      <c r="I77" s="125"/>
      <c r="J77" s="126"/>
      <c r="K77" s="126"/>
      <c r="L77" s="126"/>
      <c r="M77" s="126"/>
      <c r="N77" s="126"/>
      <c r="O77" s="125"/>
      <c r="P77" s="127"/>
      <c r="Q77" s="128"/>
    </row>
    <row r="78" spans="1:17" ht="14.25" customHeight="1" x14ac:dyDescent="0.25">
      <c r="A78" s="115"/>
      <c r="B78" s="107" t="s">
        <v>763</v>
      </c>
      <c r="C78" s="126"/>
      <c r="D78" s="125"/>
      <c r="E78" s="131"/>
      <c r="F78" s="131"/>
      <c r="G78" s="131"/>
      <c r="H78" s="131"/>
      <c r="I78" s="125"/>
      <c r="J78" s="126"/>
      <c r="K78" s="126"/>
      <c r="L78" s="126"/>
      <c r="M78" s="126"/>
      <c r="N78" s="126"/>
      <c r="O78" s="125"/>
      <c r="P78" s="127"/>
      <c r="Q78" s="128"/>
    </row>
    <row r="79" spans="1:17" ht="14.25" customHeight="1" x14ac:dyDescent="0.25">
      <c r="A79" s="115"/>
      <c r="B79" s="107" t="s">
        <v>764</v>
      </c>
      <c r="C79" s="126"/>
      <c r="D79" s="125"/>
      <c r="E79" s="131"/>
      <c r="F79" s="131"/>
      <c r="G79" s="131"/>
      <c r="H79" s="131"/>
      <c r="I79" s="125"/>
      <c r="J79" s="126"/>
      <c r="K79" s="126"/>
      <c r="L79" s="126"/>
      <c r="M79" s="126"/>
      <c r="N79" s="126"/>
      <c r="O79" s="125"/>
      <c r="P79" s="127"/>
      <c r="Q79" s="128"/>
    </row>
    <row r="80" spans="1:17" ht="14.25" customHeight="1" x14ac:dyDescent="0.25">
      <c r="A80" s="115"/>
      <c r="B80" s="107" t="s">
        <v>765</v>
      </c>
      <c r="C80" s="126"/>
      <c r="D80" s="125"/>
      <c r="E80" s="131"/>
      <c r="F80" s="131"/>
      <c r="G80" s="131"/>
      <c r="H80" s="131"/>
      <c r="I80" s="125"/>
      <c r="J80" s="126"/>
      <c r="K80" s="126"/>
      <c r="L80" s="126"/>
      <c r="M80" s="126"/>
      <c r="N80" s="126"/>
      <c r="O80" s="125"/>
      <c r="P80" s="127"/>
      <c r="Q80" s="128"/>
    </row>
    <row r="81" spans="1:17" ht="14.25" customHeight="1" x14ac:dyDescent="0.25">
      <c r="A81" s="115"/>
      <c r="B81" s="107" t="s">
        <v>766</v>
      </c>
      <c r="C81" s="126"/>
      <c r="D81" s="125"/>
      <c r="E81" s="131"/>
      <c r="F81" s="131"/>
      <c r="G81" s="131"/>
      <c r="H81" s="131"/>
      <c r="I81" s="125"/>
      <c r="J81" s="126"/>
      <c r="K81" s="126"/>
      <c r="L81" s="126"/>
      <c r="M81" s="126"/>
      <c r="N81" s="126"/>
      <c r="O81" s="125"/>
      <c r="P81" s="127"/>
      <c r="Q81" s="128"/>
    </row>
    <row r="82" spans="1:17" ht="14.25" customHeight="1" x14ac:dyDescent="0.25">
      <c r="A82" s="115"/>
      <c r="B82" s="107" t="s">
        <v>702</v>
      </c>
      <c r="C82" s="126"/>
      <c r="D82" s="125"/>
      <c r="E82" s="131"/>
      <c r="F82" s="131"/>
      <c r="G82" s="131"/>
      <c r="H82" s="131"/>
      <c r="I82" s="125"/>
      <c r="J82" s="126"/>
      <c r="K82" s="126"/>
      <c r="L82" s="126"/>
      <c r="M82" s="126"/>
      <c r="N82" s="126"/>
      <c r="O82" s="125"/>
      <c r="P82" s="127"/>
      <c r="Q82" s="128"/>
    </row>
    <row r="83" spans="1:17" ht="14.25" customHeight="1" x14ac:dyDescent="0.25">
      <c r="A83" s="115"/>
      <c r="B83" s="107" t="s">
        <v>767</v>
      </c>
      <c r="C83" s="126"/>
      <c r="D83" s="125"/>
      <c r="E83" s="131"/>
      <c r="F83" s="131"/>
      <c r="G83" s="131"/>
      <c r="H83" s="131"/>
      <c r="I83" s="125"/>
      <c r="J83" s="126"/>
      <c r="K83" s="126"/>
      <c r="L83" s="126"/>
      <c r="M83" s="126"/>
      <c r="N83" s="126"/>
      <c r="O83" s="125"/>
      <c r="P83" s="132"/>
      <c r="Q83" s="133"/>
    </row>
    <row r="84" spans="1:17" ht="14.25" customHeight="1" x14ac:dyDescent="0.25">
      <c r="A84" s="116"/>
      <c r="B84" s="107" t="s">
        <v>768</v>
      </c>
      <c r="C84" s="126"/>
      <c r="D84" s="125"/>
      <c r="E84" s="126"/>
      <c r="F84" s="126"/>
      <c r="G84" s="126"/>
      <c r="H84" s="126"/>
      <c r="I84" s="125"/>
      <c r="J84" s="138"/>
      <c r="K84" s="147"/>
      <c r="L84" s="150"/>
      <c r="M84" s="153"/>
      <c r="N84" s="139"/>
      <c r="O84" s="125"/>
      <c r="P84" s="109" t="s">
        <v>769</v>
      </c>
      <c r="Q84" s="109" t="b">
        <v>0</v>
      </c>
    </row>
    <row r="85" spans="1:17" ht="14.25" customHeight="1" x14ac:dyDescent="0.25">
      <c r="A85" s="116"/>
      <c r="B85" s="107" t="s">
        <v>770</v>
      </c>
      <c r="C85" s="126"/>
      <c r="D85" s="125"/>
      <c r="E85" s="126"/>
      <c r="F85" s="126"/>
      <c r="G85" s="126"/>
      <c r="H85" s="126"/>
      <c r="I85" s="125"/>
      <c r="J85" s="138"/>
      <c r="K85" s="147"/>
      <c r="L85" s="150"/>
      <c r="M85" s="153"/>
      <c r="N85" s="139"/>
      <c r="O85" s="125"/>
      <c r="P85" s="109" t="s">
        <v>771</v>
      </c>
      <c r="Q85" s="109">
        <v>2</v>
      </c>
    </row>
    <row r="86" spans="1:17" ht="14.25" customHeight="1" x14ac:dyDescent="0.25">
      <c r="A86" s="116"/>
      <c r="B86" s="107" t="s">
        <v>772</v>
      </c>
      <c r="C86" s="126"/>
      <c r="D86" s="125"/>
      <c r="E86" s="126"/>
      <c r="F86" s="126"/>
      <c r="G86" s="126"/>
      <c r="H86" s="126"/>
      <c r="I86" s="125"/>
      <c r="J86" s="138"/>
      <c r="K86" s="147"/>
      <c r="L86" s="150"/>
      <c r="M86" s="153"/>
      <c r="N86" s="139"/>
      <c r="O86" s="125"/>
      <c r="P86" s="109" t="s">
        <v>773</v>
      </c>
      <c r="Q86" s="109">
        <v>1048576</v>
      </c>
    </row>
    <row r="87" spans="1:17" ht="14.25" customHeight="1" x14ac:dyDescent="0.25">
      <c r="A87" s="116"/>
      <c r="B87" s="107" t="s">
        <v>774</v>
      </c>
      <c r="C87" s="126"/>
      <c r="D87" s="125"/>
      <c r="E87" s="126"/>
      <c r="F87" s="126"/>
      <c r="G87" s="126"/>
      <c r="H87" s="126"/>
      <c r="I87" s="125"/>
      <c r="J87" s="138"/>
      <c r="K87" s="147"/>
      <c r="L87" s="150"/>
      <c r="M87" s="153"/>
      <c r="N87" s="139"/>
      <c r="O87" s="125"/>
      <c r="P87" s="109" t="s">
        <v>775</v>
      </c>
      <c r="Q87" s="109" t="b">
        <v>1</v>
      </c>
    </row>
    <row r="88" spans="1:17" ht="14.25" customHeight="1" x14ac:dyDescent="0.25">
      <c r="A88" s="116"/>
      <c r="B88" s="107" t="s">
        <v>776</v>
      </c>
      <c r="C88" s="126"/>
      <c r="D88" s="125"/>
      <c r="E88" s="126"/>
      <c r="F88" s="126"/>
      <c r="G88" s="126"/>
      <c r="H88" s="126"/>
      <c r="I88" s="125"/>
      <c r="J88" s="161"/>
      <c r="K88" s="158"/>
      <c r="L88" s="162"/>
      <c r="M88" s="163"/>
      <c r="N88" s="139"/>
      <c r="O88" s="125"/>
      <c r="P88" s="109" t="s">
        <v>777</v>
      </c>
      <c r="Q88" s="109" t="b">
        <v>1</v>
      </c>
    </row>
    <row r="89" spans="1:17" ht="14.25" customHeight="1" x14ac:dyDescent="0.25">
      <c r="A89" s="116"/>
      <c r="B89" s="107" t="s">
        <v>778</v>
      </c>
      <c r="C89" s="126"/>
      <c r="D89" s="125"/>
      <c r="E89" s="126"/>
      <c r="F89" s="126"/>
      <c r="G89" s="126"/>
      <c r="H89" s="126"/>
      <c r="I89" s="125"/>
      <c r="J89" s="138"/>
      <c r="K89" s="147"/>
      <c r="L89" s="150"/>
      <c r="M89" s="153"/>
      <c r="N89" s="139"/>
      <c r="O89" s="125"/>
      <c r="P89" s="109" t="s">
        <v>779</v>
      </c>
      <c r="Q89" s="109" t="b">
        <v>1</v>
      </c>
    </row>
    <row r="90" spans="1:17" ht="14.25" customHeight="1" x14ac:dyDescent="0.25">
      <c r="A90" s="116"/>
      <c r="B90" s="107" t="s">
        <v>780</v>
      </c>
      <c r="C90" s="126"/>
      <c r="D90" s="125"/>
      <c r="E90" s="126"/>
      <c r="F90" s="126"/>
      <c r="G90" s="126"/>
      <c r="H90" s="126"/>
      <c r="I90" s="125"/>
      <c r="J90" s="138"/>
      <c r="K90" s="147"/>
      <c r="L90" s="150"/>
      <c r="M90" s="153"/>
      <c r="N90" s="139"/>
      <c r="O90" s="125"/>
      <c r="P90" s="109" t="s">
        <v>781</v>
      </c>
      <c r="Q90" s="109" t="b">
        <v>1</v>
      </c>
    </row>
    <row r="91" spans="1:17" ht="14.25" customHeight="1" x14ac:dyDescent="0.25">
      <c r="A91" s="116"/>
      <c r="B91" s="107" t="s">
        <v>782</v>
      </c>
      <c r="C91" s="126"/>
      <c r="D91" s="125"/>
      <c r="E91" s="126"/>
      <c r="F91" s="126"/>
      <c r="G91" s="126"/>
      <c r="H91" s="126"/>
      <c r="I91" s="125"/>
      <c r="J91" s="138"/>
      <c r="K91" s="147"/>
      <c r="L91" s="150"/>
      <c r="M91" s="153"/>
      <c r="N91" s="139"/>
      <c r="O91" s="125"/>
      <c r="P91" s="109" t="s">
        <v>783</v>
      </c>
      <c r="Q91" s="109" t="b">
        <v>0</v>
      </c>
    </row>
    <row r="92" spans="1:17" ht="14.25" customHeight="1" x14ac:dyDescent="0.25">
      <c r="A92" s="116"/>
      <c r="B92" s="107" t="s">
        <v>784</v>
      </c>
      <c r="C92" s="126"/>
      <c r="D92" s="125"/>
      <c r="E92" s="126"/>
      <c r="F92" s="126"/>
      <c r="G92" s="126"/>
      <c r="H92" s="126"/>
      <c r="I92" s="125"/>
      <c r="J92" s="138"/>
      <c r="K92" s="147"/>
      <c r="L92" s="150"/>
      <c r="M92" s="153"/>
      <c r="N92" s="139"/>
      <c r="O92" s="125"/>
      <c r="P92" s="109" t="s">
        <v>785</v>
      </c>
      <c r="Q92" s="109" t="b">
        <v>1</v>
      </c>
    </row>
    <row r="93" spans="1:17" ht="14.25" customHeight="1" x14ac:dyDescent="0.25">
      <c r="A93" s="116"/>
      <c r="B93" s="107" t="s">
        <v>786</v>
      </c>
      <c r="C93" s="126"/>
      <c r="D93" s="125"/>
      <c r="E93" s="126"/>
      <c r="F93" s="126"/>
      <c r="G93" s="126"/>
      <c r="H93" s="126"/>
      <c r="I93" s="125"/>
      <c r="J93" s="161"/>
      <c r="K93" s="158"/>
      <c r="L93" s="162"/>
      <c r="M93" s="163"/>
      <c r="N93" s="139"/>
      <c r="O93" s="125"/>
      <c r="P93" s="109" t="s">
        <v>787</v>
      </c>
      <c r="Q93" s="109" t="s">
        <v>788</v>
      </c>
    </row>
    <row r="94" spans="1:17" ht="14.25" customHeight="1" x14ac:dyDescent="0.25">
      <c r="A94" s="116"/>
      <c r="B94" s="107" t="s">
        <v>789</v>
      </c>
      <c r="C94" s="126"/>
      <c r="D94" s="125"/>
      <c r="E94" s="126"/>
      <c r="F94" s="126"/>
      <c r="G94" s="126"/>
      <c r="H94" s="126"/>
      <c r="I94" s="125"/>
      <c r="J94" s="161"/>
      <c r="K94" s="158"/>
      <c r="L94" s="162"/>
      <c r="M94" s="163"/>
      <c r="N94" s="139"/>
      <c r="O94" s="125"/>
      <c r="P94" s="109" t="s">
        <v>790</v>
      </c>
      <c r="Q94" s="109" t="s">
        <v>791</v>
      </c>
    </row>
    <row r="95" spans="1:17" ht="14.25" customHeight="1" x14ac:dyDescent="0.25">
      <c r="A95" s="116"/>
      <c r="B95" s="107" t="s">
        <v>792</v>
      </c>
      <c r="C95" s="126"/>
      <c r="D95" s="125"/>
      <c r="E95" s="126"/>
      <c r="F95" s="126"/>
      <c r="G95" s="126"/>
      <c r="H95" s="126"/>
      <c r="I95" s="125"/>
      <c r="J95" s="161"/>
      <c r="K95" s="158"/>
      <c r="L95" s="162"/>
      <c r="M95" s="163"/>
      <c r="N95" s="139"/>
      <c r="O95" s="125"/>
      <c r="P95" s="109" t="s">
        <v>793</v>
      </c>
      <c r="Q95" s="109" t="s">
        <v>791</v>
      </c>
    </row>
    <row r="96" spans="1:17" ht="14.25" customHeight="1" x14ac:dyDescent="0.25">
      <c r="A96" s="116"/>
      <c r="B96" s="107" t="s">
        <v>794</v>
      </c>
      <c r="C96" s="126"/>
      <c r="D96" s="125"/>
      <c r="E96" s="126"/>
      <c r="F96" s="126"/>
      <c r="G96" s="126"/>
      <c r="H96" s="126"/>
      <c r="I96" s="125"/>
      <c r="J96" s="161"/>
      <c r="K96" s="158"/>
      <c r="L96" s="162"/>
      <c r="M96" s="163"/>
      <c r="N96" s="139"/>
      <c r="O96" s="125"/>
      <c r="P96" s="109" t="s">
        <v>795</v>
      </c>
      <c r="Q96" s="109" t="s">
        <v>796</v>
      </c>
    </row>
    <row r="97" spans="1:17" ht="14.25" customHeight="1" x14ac:dyDescent="0.25">
      <c r="A97" s="116"/>
      <c r="B97" s="107" t="s">
        <v>797</v>
      </c>
      <c r="C97" s="126"/>
      <c r="D97" s="125"/>
      <c r="E97" s="126"/>
      <c r="F97" s="126"/>
      <c r="G97" s="126"/>
      <c r="H97" s="126"/>
      <c r="I97" s="125"/>
      <c r="J97" s="138"/>
      <c r="K97" s="147"/>
      <c r="L97" s="150"/>
      <c r="M97" s="153"/>
      <c r="N97" s="139"/>
      <c r="O97" s="125"/>
      <c r="P97" s="109" t="s">
        <v>798</v>
      </c>
      <c r="Q97" s="109" t="b">
        <v>1</v>
      </c>
    </row>
    <row r="98" spans="1:17" ht="14.25" customHeight="1" x14ac:dyDescent="0.25">
      <c r="A98" s="116"/>
      <c r="B98" s="107" t="s">
        <v>799</v>
      </c>
      <c r="C98" s="126"/>
      <c r="D98" s="125"/>
      <c r="E98" s="126"/>
      <c r="F98" s="126"/>
      <c r="G98" s="126"/>
      <c r="H98" s="126"/>
      <c r="I98" s="125"/>
      <c r="J98" s="138"/>
      <c r="K98" s="147"/>
      <c r="L98" s="150"/>
      <c r="M98" s="153"/>
      <c r="N98" s="139"/>
      <c r="O98" s="125"/>
      <c r="P98" s="109" t="s">
        <v>800</v>
      </c>
      <c r="Q98" s="109" t="b">
        <v>1</v>
      </c>
    </row>
    <row r="99" spans="1:17" ht="14.25" customHeight="1" x14ac:dyDescent="0.25">
      <c r="A99" s="116"/>
      <c r="B99" s="107" t="s">
        <v>801</v>
      </c>
      <c r="C99" s="126"/>
      <c r="D99" s="125"/>
      <c r="E99" s="126"/>
      <c r="F99" s="126"/>
      <c r="G99" s="126"/>
      <c r="H99" s="126"/>
      <c r="I99" s="125"/>
      <c r="J99" s="138"/>
      <c r="K99" s="147"/>
      <c r="L99" s="150"/>
      <c r="M99" s="153"/>
      <c r="N99" s="139"/>
      <c r="O99" s="125"/>
      <c r="P99" s="109" t="s">
        <v>802</v>
      </c>
      <c r="Q99" s="109">
        <v>10</v>
      </c>
    </row>
    <row r="100" spans="1:17" ht="14.25" customHeight="1" x14ac:dyDescent="0.25">
      <c r="A100" s="116"/>
      <c r="B100" s="107" t="s">
        <v>803</v>
      </c>
      <c r="C100" s="126"/>
      <c r="D100" s="125"/>
      <c r="E100" s="126"/>
      <c r="F100" s="126"/>
      <c r="G100" s="126"/>
      <c r="H100" s="126"/>
      <c r="I100" s="125"/>
      <c r="J100" s="138"/>
      <c r="K100" s="147"/>
      <c r="L100" s="150"/>
      <c r="M100" s="153"/>
      <c r="N100" s="139"/>
      <c r="O100" s="125"/>
      <c r="P100" s="109" t="s">
        <v>804</v>
      </c>
      <c r="Q100" s="109">
        <v>100000</v>
      </c>
    </row>
    <row r="101" spans="1:17" ht="14.25" customHeight="1" x14ac:dyDescent="0.25">
      <c r="A101" s="116"/>
      <c r="B101" s="107" t="s">
        <v>805</v>
      </c>
      <c r="C101" s="126"/>
      <c r="D101" s="125"/>
      <c r="E101" s="126"/>
      <c r="F101" s="126"/>
      <c r="G101" s="126"/>
      <c r="H101" s="126"/>
      <c r="I101" s="125"/>
      <c r="J101" s="138"/>
      <c r="K101" s="147"/>
      <c r="L101" s="150"/>
      <c r="M101" s="153"/>
      <c r="N101" s="139"/>
      <c r="O101" s="125"/>
      <c r="P101" s="127"/>
      <c r="Q101" s="128"/>
    </row>
    <row r="102" spans="1:17" ht="14.25" customHeight="1" x14ac:dyDescent="0.25">
      <c r="A102" s="116"/>
      <c r="B102" s="107" t="s">
        <v>806</v>
      </c>
      <c r="C102" s="126"/>
      <c r="D102" s="125"/>
      <c r="E102" s="126"/>
      <c r="F102" s="126"/>
      <c r="G102" s="126"/>
      <c r="H102" s="126"/>
      <c r="I102" s="125"/>
      <c r="J102" s="138"/>
      <c r="K102" s="147"/>
      <c r="L102" s="150"/>
      <c r="M102" s="153"/>
      <c r="N102" s="139"/>
      <c r="O102" s="125"/>
      <c r="P102" s="127"/>
      <c r="Q102" s="128"/>
    </row>
    <row r="103" spans="1:17" ht="15" x14ac:dyDescent="0.25">
      <c r="A103" s="115"/>
      <c r="B103" s="107" t="s">
        <v>807</v>
      </c>
      <c r="C103" s="126"/>
      <c r="D103" s="125"/>
      <c r="E103" s="131"/>
      <c r="F103" s="131"/>
      <c r="G103" s="131"/>
      <c r="H103" s="131"/>
      <c r="I103" s="125"/>
      <c r="J103" s="126"/>
      <c r="K103" s="126"/>
      <c r="L103" s="126"/>
      <c r="M103" s="126"/>
      <c r="N103" s="126"/>
      <c r="O103" s="125"/>
      <c r="P103" s="127"/>
      <c r="Q103" s="128"/>
    </row>
    <row r="104" spans="1:17" ht="15" x14ac:dyDescent="0.25">
      <c r="A104" s="115"/>
      <c r="B104" s="107" t="s">
        <v>808</v>
      </c>
      <c r="C104" s="126"/>
      <c r="D104" s="125"/>
      <c r="E104" s="131"/>
      <c r="F104" s="131"/>
      <c r="G104" s="131"/>
      <c r="H104" s="131"/>
      <c r="I104" s="125"/>
      <c r="J104" s="126"/>
      <c r="K104" s="126"/>
      <c r="L104" s="126"/>
      <c r="M104" s="126"/>
      <c r="N104" s="126"/>
      <c r="O104" s="125"/>
      <c r="P104" s="132"/>
      <c r="Q104" s="133"/>
    </row>
    <row r="105" spans="1:17" ht="15" x14ac:dyDescent="0.25">
      <c r="A105" s="115"/>
      <c r="B105" s="107" t="s">
        <v>809</v>
      </c>
      <c r="C105" s="126"/>
      <c r="D105" s="125"/>
      <c r="E105" s="131"/>
      <c r="F105" s="131"/>
      <c r="G105" s="131"/>
      <c r="H105" s="131"/>
      <c r="I105" s="125"/>
      <c r="J105" s="126"/>
      <c r="K105" s="126"/>
      <c r="L105" s="126"/>
      <c r="M105" s="126"/>
      <c r="N105" s="126"/>
      <c r="O105" s="125"/>
      <c r="P105" s="109" t="s">
        <v>810</v>
      </c>
      <c r="Q105" s="109" t="s">
        <v>810</v>
      </c>
    </row>
    <row r="106" spans="1:17" ht="15" hidden="1" x14ac:dyDescent="0.25">
      <c r="A106" s="115"/>
      <c r="B106" s="107" t="s">
        <v>811</v>
      </c>
      <c r="C106" s="126"/>
      <c r="D106" s="125"/>
      <c r="E106" s="131"/>
      <c r="F106" s="131"/>
      <c r="G106" s="131"/>
      <c r="H106" s="131"/>
      <c r="I106" s="125"/>
      <c r="J106" s="126"/>
      <c r="K106" s="126"/>
      <c r="L106" s="126"/>
      <c r="M106" s="126"/>
      <c r="N106" s="126"/>
      <c r="O106" s="125"/>
      <c r="P106" s="291" t="s">
        <v>812</v>
      </c>
      <c r="Q106" s="291"/>
    </row>
    <row r="107" spans="1:17" ht="15" x14ac:dyDescent="0.25">
      <c r="A107" s="115"/>
      <c r="B107" s="107" t="s">
        <v>813</v>
      </c>
      <c r="C107" s="126"/>
      <c r="D107" s="125"/>
      <c r="E107" s="131"/>
      <c r="F107" s="131"/>
      <c r="G107" s="131"/>
      <c r="H107" s="131"/>
      <c r="I107" s="125"/>
      <c r="J107" s="126"/>
      <c r="K107" s="126"/>
      <c r="L107" s="126"/>
      <c r="M107" s="126"/>
      <c r="N107" s="126"/>
      <c r="O107" s="125"/>
      <c r="P107" s="109" t="s">
        <v>810</v>
      </c>
      <c r="Q107" s="109" t="s">
        <v>810</v>
      </c>
    </row>
    <row r="108" spans="1:17" ht="15" hidden="1" x14ac:dyDescent="0.25">
      <c r="A108" s="115"/>
      <c r="B108" s="107" t="s">
        <v>814</v>
      </c>
      <c r="C108" s="126"/>
      <c r="D108" s="125"/>
      <c r="E108" s="131"/>
      <c r="F108" s="131"/>
      <c r="G108" s="131"/>
      <c r="H108" s="131"/>
      <c r="I108" s="125"/>
      <c r="J108" s="126"/>
      <c r="K108" s="126"/>
      <c r="L108" s="126"/>
      <c r="M108" s="126"/>
      <c r="N108" s="126"/>
      <c r="O108" s="125"/>
      <c r="P108" s="109" t="s">
        <v>815</v>
      </c>
      <c r="Q108" s="109" t="s">
        <v>816</v>
      </c>
    </row>
    <row r="109" spans="1:17" ht="15" hidden="1" x14ac:dyDescent="0.25">
      <c r="A109" s="115"/>
      <c r="B109" s="107" t="s">
        <v>817</v>
      </c>
      <c r="C109" s="126"/>
      <c r="D109" s="125"/>
      <c r="E109" s="131"/>
      <c r="F109" s="131"/>
      <c r="G109" s="131"/>
      <c r="H109" s="131"/>
      <c r="I109" s="125"/>
      <c r="J109" s="126"/>
      <c r="K109" s="126"/>
      <c r="L109" s="126"/>
      <c r="M109" s="126"/>
      <c r="N109" s="126"/>
      <c r="O109" s="125"/>
      <c r="P109" s="109" t="s">
        <v>818</v>
      </c>
      <c r="Q109" s="109" t="s">
        <v>816</v>
      </c>
    </row>
    <row r="110" spans="1:17" ht="15" hidden="1" x14ac:dyDescent="0.25">
      <c r="A110" s="115"/>
      <c r="B110" s="107" t="s">
        <v>819</v>
      </c>
      <c r="C110" s="126"/>
      <c r="D110" s="125"/>
      <c r="E110" s="131"/>
      <c r="F110" s="131"/>
      <c r="G110" s="131"/>
      <c r="H110" s="131"/>
      <c r="I110" s="125"/>
      <c r="J110" s="126"/>
      <c r="K110" s="126"/>
      <c r="L110" s="126"/>
      <c r="M110" s="126"/>
      <c r="N110" s="126"/>
      <c r="O110" s="125"/>
      <c r="P110" s="109"/>
      <c r="Q110" s="109" t="s">
        <v>816</v>
      </c>
    </row>
    <row r="111" spans="1:17" ht="15" hidden="1" x14ac:dyDescent="0.25">
      <c r="A111" s="115"/>
      <c r="B111" s="107" t="s">
        <v>820</v>
      </c>
      <c r="C111" s="126"/>
      <c r="D111" s="125"/>
      <c r="E111" s="131"/>
      <c r="F111" s="131"/>
      <c r="G111" s="131"/>
      <c r="H111" s="131"/>
      <c r="I111" s="125"/>
      <c r="J111" s="126"/>
      <c r="K111" s="126"/>
      <c r="L111" s="126"/>
      <c r="M111" s="126"/>
      <c r="N111" s="126"/>
      <c r="O111" s="125"/>
      <c r="P111" s="109"/>
      <c r="Q111" s="109" t="s">
        <v>821</v>
      </c>
    </row>
    <row r="112" spans="1:17" ht="15" hidden="1" x14ac:dyDescent="0.25">
      <c r="A112" s="115"/>
      <c r="B112" s="107" t="s">
        <v>822</v>
      </c>
      <c r="C112" s="126"/>
      <c r="D112" s="125"/>
      <c r="E112" s="131"/>
      <c r="F112" s="131"/>
      <c r="G112" s="131"/>
      <c r="H112" s="131"/>
      <c r="I112" s="125"/>
      <c r="J112" s="126"/>
      <c r="K112" s="126"/>
      <c r="L112" s="126"/>
      <c r="M112" s="126"/>
      <c r="N112" s="126"/>
      <c r="O112" s="125"/>
      <c r="P112" s="109"/>
      <c r="Q112" s="109" t="s">
        <v>816</v>
      </c>
    </row>
    <row r="113" spans="1:17" ht="15" hidden="1" x14ac:dyDescent="0.25">
      <c r="A113" s="115"/>
      <c r="B113" s="107" t="s">
        <v>823</v>
      </c>
      <c r="C113" s="126"/>
      <c r="D113" s="125"/>
      <c r="E113" s="131"/>
      <c r="F113" s="131"/>
      <c r="G113" s="131"/>
      <c r="H113" s="131"/>
      <c r="I113" s="125"/>
      <c r="J113" s="126"/>
      <c r="K113" s="126"/>
      <c r="L113" s="126"/>
      <c r="M113" s="126"/>
      <c r="N113" s="126"/>
      <c r="O113" s="125"/>
      <c r="P113" s="109" t="s">
        <v>810</v>
      </c>
      <c r="Q113" s="109" t="s">
        <v>810</v>
      </c>
    </row>
    <row r="114" spans="1:17" ht="15" hidden="1" x14ac:dyDescent="0.25">
      <c r="A114" s="115"/>
      <c r="B114" s="107" t="s">
        <v>824</v>
      </c>
      <c r="C114" s="126"/>
      <c r="D114" s="125"/>
      <c r="E114" s="131"/>
      <c r="F114" s="131"/>
      <c r="G114" s="131"/>
      <c r="H114" s="131"/>
      <c r="I114" s="125"/>
      <c r="J114" s="126"/>
      <c r="K114" s="126"/>
      <c r="L114" s="126"/>
      <c r="M114" s="126"/>
      <c r="N114" s="126"/>
      <c r="O114" s="125"/>
      <c r="P114" s="109" t="s">
        <v>825</v>
      </c>
      <c r="Q114" s="109" t="s">
        <v>826</v>
      </c>
    </row>
    <row r="115" spans="1:17" ht="15" x14ac:dyDescent="0.25">
      <c r="A115" s="115"/>
      <c r="B115" s="107" t="s">
        <v>827</v>
      </c>
      <c r="C115" s="126"/>
      <c r="D115" s="125"/>
      <c r="E115" s="131"/>
      <c r="F115" s="131"/>
      <c r="G115" s="131"/>
      <c r="H115" s="131"/>
      <c r="I115" s="125"/>
      <c r="J115" s="126"/>
      <c r="K115" s="126"/>
      <c r="L115" s="126"/>
      <c r="M115" s="126"/>
      <c r="N115" s="126"/>
      <c r="O115" s="125"/>
      <c r="P115" s="109" t="s">
        <v>810</v>
      </c>
      <c r="Q115" s="109" t="s">
        <v>828</v>
      </c>
    </row>
    <row r="116" spans="1:17" ht="15" x14ac:dyDescent="0.25">
      <c r="A116" s="115"/>
      <c r="B116" s="107" t="s">
        <v>829</v>
      </c>
      <c r="C116" s="126"/>
      <c r="D116" s="125"/>
      <c r="E116" s="131"/>
      <c r="F116" s="131"/>
      <c r="G116" s="131"/>
      <c r="H116" s="131"/>
      <c r="I116" s="125"/>
      <c r="J116" s="126"/>
      <c r="K116" s="126"/>
      <c r="L116" s="126"/>
      <c r="M116" s="126"/>
      <c r="N116" s="126"/>
      <c r="O116" s="125"/>
      <c r="P116" s="109" t="s">
        <v>810</v>
      </c>
      <c r="Q116" s="109" t="s">
        <v>810</v>
      </c>
    </row>
    <row r="117" spans="1:17" ht="15" hidden="1" x14ac:dyDescent="0.25">
      <c r="A117" s="115"/>
      <c r="B117" s="107" t="s">
        <v>830</v>
      </c>
      <c r="C117" s="126"/>
      <c r="D117" s="125"/>
      <c r="E117" s="131"/>
      <c r="F117" s="131"/>
      <c r="G117" s="131"/>
      <c r="H117" s="131"/>
      <c r="I117" s="125"/>
      <c r="J117" s="126"/>
      <c r="K117" s="126"/>
      <c r="L117" s="126"/>
      <c r="M117" s="126"/>
      <c r="N117" s="126"/>
      <c r="O117" s="125"/>
      <c r="P117" s="109" t="s">
        <v>810</v>
      </c>
      <c r="Q117" s="109" t="s">
        <v>810</v>
      </c>
    </row>
    <row r="118" spans="1:17" ht="15" hidden="1" x14ac:dyDescent="0.25">
      <c r="A118" s="115"/>
      <c r="B118" s="107" t="s">
        <v>831</v>
      </c>
      <c r="C118" s="126"/>
      <c r="D118" s="125"/>
      <c r="E118" s="131"/>
      <c r="F118" s="131"/>
      <c r="G118" s="131"/>
      <c r="H118" s="131"/>
      <c r="I118" s="125"/>
      <c r="J118" s="126"/>
      <c r="K118" s="126"/>
      <c r="L118" s="126"/>
      <c r="M118" s="126"/>
      <c r="N118" s="126"/>
      <c r="O118" s="125"/>
      <c r="P118" s="109" t="s">
        <v>832</v>
      </c>
      <c r="Q118" s="109" t="s">
        <v>816</v>
      </c>
    </row>
    <row r="119" spans="1:17" ht="15" x14ac:dyDescent="0.25">
      <c r="A119" s="115"/>
      <c r="B119" s="107" t="s">
        <v>833</v>
      </c>
      <c r="C119" s="126"/>
      <c r="D119" s="125"/>
      <c r="E119" s="131"/>
      <c r="F119" s="131"/>
      <c r="G119" s="131"/>
      <c r="H119" s="131"/>
      <c r="I119" s="125"/>
      <c r="J119" s="126"/>
      <c r="K119" s="126"/>
      <c r="L119" s="126"/>
      <c r="M119" s="126"/>
      <c r="N119" s="126"/>
      <c r="O119" s="125"/>
      <c r="P119" s="109" t="s">
        <v>810</v>
      </c>
      <c r="Q119" s="109" t="s">
        <v>810</v>
      </c>
    </row>
    <row r="120" spans="1:17" ht="15" x14ac:dyDescent="0.25">
      <c r="A120" s="115"/>
      <c r="B120" s="107" t="s">
        <v>834</v>
      </c>
      <c r="C120" s="126"/>
      <c r="D120" s="125"/>
      <c r="E120" s="131"/>
      <c r="F120" s="131"/>
      <c r="G120" s="131"/>
      <c r="H120" s="131"/>
      <c r="I120" s="125"/>
      <c r="J120" s="126"/>
      <c r="K120" s="126"/>
      <c r="L120" s="126"/>
      <c r="M120" s="126"/>
      <c r="N120" s="126"/>
      <c r="O120" s="125"/>
      <c r="P120" s="109" t="s">
        <v>810</v>
      </c>
      <c r="Q120" s="109" t="s">
        <v>810</v>
      </c>
    </row>
    <row r="121" spans="1:17" ht="15" hidden="1" x14ac:dyDescent="0.25">
      <c r="A121" s="115"/>
      <c r="B121" s="107" t="s">
        <v>835</v>
      </c>
      <c r="C121" s="126"/>
      <c r="D121" s="125"/>
      <c r="E121" s="131"/>
      <c r="F121" s="131"/>
      <c r="G121" s="131"/>
      <c r="H121" s="131"/>
      <c r="I121" s="125"/>
      <c r="J121" s="126"/>
      <c r="K121" s="126"/>
      <c r="L121" s="126"/>
      <c r="M121" s="126"/>
      <c r="N121" s="126"/>
      <c r="O121" s="125"/>
      <c r="P121" s="109" t="s">
        <v>810</v>
      </c>
      <c r="Q121" s="109" t="s">
        <v>810</v>
      </c>
    </row>
    <row r="122" spans="1:17" ht="15" x14ac:dyDescent="0.25">
      <c r="A122" s="115"/>
      <c r="B122" s="107" t="s">
        <v>836</v>
      </c>
      <c r="C122" s="126"/>
      <c r="D122" s="125"/>
      <c r="E122" s="131"/>
      <c r="F122" s="131"/>
      <c r="G122" s="131"/>
      <c r="H122" s="131"/>
      <c r="I122" s="125"/>
      <c r="J122" s="126"/>
      <c r="K122" s="126"/>
      <c r="L122" s="126"/>
      <c r="M122" s="126"/>
      <c r="N122" s="126"/>
      <c r="O122" s="125"/>
      <c r="P122" s="109" t="s">
        <v>837</v>
      </c>
      <c r="Q122" s="109" t="s">
        <v>816</v>
      </c>
    </row>
    <row r="123" spans="1:17" ht="15" x14ac:dyDescent="0.25">
      <c r="A123" s="115"/>
      <c r="B123" s="107" t="s">
        <v>838</v>
      </c>
      <c r="C123" s="126"/>
      <c r="D123" s="125"/>
      <c r="E123" s="131"/>
      <c r="F123" s="131"/>
      <c r="G123" s="131"/>
      <c r="H123" s="131"/>
      <c r="I123" s="125"/>
      <c r="J123" s="126"/>
      <c r="K123" s="126"/>
      <c r="L123" s="126"/>
      <c r="M123" s="126"/>
      <c r="N123" s="126"/>
      <c r="O123" s="125"/>
      <c r="P123" s="109" t="s">
        <v>839</v>
      </c>
      <c r="Q123" s="109" t="s">
        <v>816</v>
      </c>
    </row>
    <row r="124" spans="1:17" ht="15" x14ac:dyDescent="0.25">
      <c r="A124" s="115"/>
      <c r="B124" s="107" t="s">
        <v>840</v>
      </c>
      <c r="C124" s="126"/>
      <c r="D124" s="125"/>
      <c r="E124" s="131"/>
      <c r="F124" s="131"/>
      <c r="G124" s="131"/>
      <c r="H124" s="131"/>
      <c r="I124" s="125"/>
      <c r="J124" s="126"/>
      <c r="K124" s="126"/>
      <c r="L124" s="126"/>
      <c r="M124" s="126"/>
      <c r="N124" s="126"/>
      <c r="O124" s="125"/>
      <c r="P124" s="109" t="s">
        <v>841</v>
      </c>
      <c r="Q124" s="109" t="s">
        <v>816</v>
      </c>
    </row>
    <row r="125" spans="1:17" ht="15" x14ac:dyDescent="0.25">
      <c r="A125" s="115"/>
      <c r="B125" s="107" t="s">
        <v>842</v>
      </c>
      <c r="C125" s="126"/>
      <c r="D125" s="125"/>
      <c r="E125" s="131"/>
      <c r="F125" s="131"/>
      <c r="G125" s="131"/>
      <c r="H125" s="131"/>
      <c r="I125" s="125"/>
      <c r="J125" s="126"/>
      <c r="K125" s="126"/>
      <c r="L125" s="126"/>
      <c r="M125" s="126"/>
      <c r="N125" s="126"/>
      <c r="O125" s="125"/>
      <c r="P125" s="109" t="s">
        <v>810</v>
      </c>
      <c r="Q125" s="109" t="s">
        <v>810</v>
      </c>
    </row>
    <row r="126" spans="1:17" ht="15" x14ac:dyDescent="0.25">
      <c r="A126" s="115"/>
      <c r="B126" s="107" t="s">
        <v>843</v>
      </c>
      <c r="C126" s="126"/>
      <c r="D126" s="125"/>
      <c r="E126" s="131"/>
      <c r="F126" s="131"/>
      <c r="G126" s="131"/>
      <c r="H126" s="131"/>
      <c r="I126" s="125"/>
      <c r="J126" s="126"/>
      <c r="K126" s="126"/>
      <c r="L126" s="126"/>
      <c r="M126" s="126"/>
      <c r="N126" s="126"/>
      <c r="O126" s="125"/>
      <c r="P126" s="109" t="s">
        <v>844</v>
      </c>
      <c r="Q126" s="109" t="s">
        <v>845</v>
      </c>
    </row>
    <row r="127" spans="1:17" ht="15" x14ac:dyDescent="0.25">
      <c r="A127" s="115"/>
      <c r="B127" s="107" t="s">
        <v>846</v>
      </c>
      <c r="C127" s="126"/>
      <c r="D127" s="125"/>
      <c r="E127" s="131"/>
      <c r="F127" s="131"/>
      <c r="G127" s="131"/>
      <c r="H127" s="131"/>
      <c r="I127" s="125"/>
      <c r="J127" s="126"/>
      <c r="K127" s="126"/>
      <c r="L127" s="126"/>
      <c r="M127" s="126"/>
      <c r="N127" s="126"/>
      <c r="O127" s="125"/>
      <c r="P127" s="134"/>
      <c r="Q127" s="135"/>
    </row>
    <row r="128" spans="1:17" ht="15" x14ac:dyDescent="0.25">
      <c r="A128" s="115"/>
      <c r="B128" s="107" t="s">
        <v>847</v>
      </c>
      <c r="C128" s="126"/>
      <c r="D128" s="125"/>
      <c r="E128" s="131"/>
      <c r="F128" s="131"/>
      <c r="G128" s="131"/>
      <c r="H128" s="131"/>
      <c r="I128" s="125"/>
      <c r="J128" s="126"/>
      <c r="K128" s="126"/>
      <c r="L128" s="126"/>
      <c r="M128" s="126"/>
      <c r="N128" s="126"/>
      <c r="O128" s="125"/>
      <c r="P128" s="291" t="s">
        <v>848</v>
      </c>
      <c r="Q128" s="291"/>
    </row>
    <row r="129" spans="1:17" ht="15" x14ac:dyDescent="0.25">
      <c r="A129" s="115"/>
      <c r="B129" s="107" t="s">
        <v>849</v>
      </c>
      <c r="C129" s="126"/>
      <c r="D129" s="125"/>
      <c r="E129" s="131"/>
      <c r="F129" s="131"/>
      <c r="G129" s="131"/>
      <c r="H129" s="131"/>
      <c r="I129" s="125"/>
      <c r="J129" s="126"/>
      <c r="K129" s="126"/>
      <c r="L129" s="126"/>
      <c r="M129" s="126"/>
      <c r="N129" s="126"/>
      <c r="O129" s="125"/>
      <c r="P129" s="291" t="s">
        <v>848</v>
      </c>
      <c r="Q129" s="291"/>
    </row>
    <row r="130" spans="1:17" ht="15" x14ac:dyDescent="0.25">
      <c r="A130" s="115"/>
      <c r="B130" s="107" t="s">
        <v>850</v>
      </c>
      <c r="C130" s="126"/>
      <c r="D130" s="125"/>
      <c r="E130" s="131"/>
      <c r="F130" s="131"/>
      <c r="G130" s="131"/>
      <c r="H130" s="131"/>
      <c r="I130" s="125"/>
      <c r="J130" s="126"/>
      <c r="K130" s="126"/>
      <c r="L130" s="126"/>
      <c r="M130" s="126"/>
      <c r="N130" s="126"/>
      <c r="O130" s="125"/>
      <c r="P130" s="132"/>
      <c r="Q130" s="133"/>
    </row>
    <row r="131" spans="1:17" ht="15" x14ac:dyDescent="0.25">
      <c r="A131" s="115"/>
      <c r="B131" s="107" t="s">
        <v>851</v>
      </c>
      <c r="C131" s="126"/>
      <c r="D131" s="125"/>
      <c r="E131" s="131"/>
      <c r="F131" s="131"/>
      <c r="G131" s="131"/>
      <c r="H131" s="131"/>
      <c r="I131" s="125"/>
      <c r="J131" s="126"/>
      <c r="K131" s="126"/>
      <c r="L131" s="126"/>
      <c r="M131" s="126"/>
      <c r="N131" s="126"/>
      <c r="O131" s="125"/>
      <c r="P131" s="291" t="s">
        <v>852</v>
      </c>
      <c r="Q131" s="291"/>
    </row>
    <row r="132" spans="1:17" ht="15" x14ac:dyDescent="0.25">
      <c r="A132" s="115"/>
      <c r="B132" s="107" t="s">
        <v>853</v>
      </c>
      <c r="C132" s="126"/>
      <c r="D132" s="125"/>
      <c r="E132" s="131"/>
      <c r="F132" s="131"/>
      <c r="G132" s="131"/>
      <c r="H132" s="131"/>
      <c r="I132" s="125"/>
      <c r="J132" s="126"/>
      <c r="K132" s="126"/>
      <c r="L132" s="126"/>
      <c r="M132" s="126"/>
      <c r="N132" s="126"/>
      <c r="O132" s="125"/>
      <c r="P132" s="134"/>
      <c r="Q132" s="135"/>
    </row>
    <row r="133" spans="1:17" ht="15" x14ac:dyDescent="0.25">
      <c r="A133" s="115"/>
      <c r="B133" s="107" t="s">
        <v>854</v>
      </c>
      <c r="C133" s="126"/>
      <c r="D133" s="125"/>
      <c r="E133" s="131"/>
      <c r="F133" s="131"/>
      <c r="G133" s="131"/>
      <c r="H133" s="131"/>
      <c r="I133" s="125"/>
      <c r="J133" s="126"/>
      <c r="K133" s="126"/>
      <c r="L133" s="126"/>
      <c r="M133" s="126"/>
      <c r="N133" s="126"/>
      <c r="O133" s="125"/>
      <c r="P133" s="127"/>
      <c r="Q133" s="128"/>
    </row>
    <row r="134" spans="1:17" ht="15" x14ac:dyDescent="0.25">
      <c r="A134" s="117"/>
      <c r="B134" s="107" t="s">
        <v>855</v>
      </c>
      <c r="C134" s="126"/>
      <c r="D134" s="125"/>
      <c r="E134" s="126"/>
      <c r="F134" s="126"/>
      <c r="G134" s="126"/>
      <c r="H134" s="126"/>
      <c r="I134" s="125"/>
      <c r="J134" s="154"/>
      <c r="K134" s="147"/>
      <c r="L134" s="139"/>
      <c r="M134" s="126"/>
      <c r="N134" s="126"/>
      <c r="O134" s="125"/>
      <c r="P134" s="127"/>
      <c r="Q134" s="128"/>
    </row>
    <row r="135" spans="1:17" ht="15" x14ac:dyDescent="0.25">
      <c r="A135" s="117"/>
      <c r="B135" s="107" t="s">
        <v>856</v>
      </c>
      <c r="C135" s="126"/>
      <c r="D135" s="125"/>
      <c r="E135" s="126"/>
      <c r="F135" s="126"/>
      <c r="G135" s="126"/>
      <c r="H135" s="126"/>
      <c r="I135" s="125"/>
      <c r="J135" s="154"/>
      <c r="K135" s="147"/>
      <c r="L135" s="139"/>
      <c r="M135" s="126"/>
      <c r="N135" s="126"/>
      <c r="O135" s="125"/>
      <c r="P135" s="127"/>
      <c r="Q135" s="128"/>
    </row>
    <row r="136" spans="1:17" ht="15" x14ac:dyDescent="0.25">
      <c r="A136" s="117"/>
      <c r="B136" s="107" t="s">
        <v>857</v>
      </c>
      <c r="C136" s="126"/>
      <c r="D136" s="125"/>
      <c r="E136" s="126"/>
      <c r="F136" s="126"/>
      <c r="G136" s="126"/>
      <c r="H136" s="126"/>
      <c r="I136" s="125"/>
      <c r="J136" s="154"/>
      <c r="K136" s="147"/>
      <c r="L136" s="139"/>
      <c r="M136" s="126"/>
      <c r="N136" s="126"/>
      <c r="O136" s="125"/>
      <c r="P136" s="127"/>
      <c r="Q136" s="128"/>
    </row>
    <row r="137" spans="1:17" ht="15" x14ac:dyDescent="0.25">
      <c r="A137" s="117"/>
      <c r="B137" s="107" t="s">
        <v>858</v>
      </c>
      <c r="C137" s="126"/>
      <c r="D137" s="125"/>
      <c r="E137" s="126"/>
      <c r="F137" s="126"/>
      <c r="G137" s="126"/>
      <c r="H137" s="126"/>
      <c r="I137" s="125"/>
      <c r="J137" s="154"/>
      <c r="K137" s="147"/>
      <c r="L137" s="139"/>
      <c r="M137" s="126"/>
      <c r="N137" s="126"/>
      <c r="O137" s="125"/>
      <c r="P137" s="127"/>
      <c r="Q137" s="128"/>
    </row>
    <row r="138" spans="1:17" ht="15" x14ac:dyDescent="0.25">
      <c r="A138" s="115"/>
      <c r="B138" s="107" t="s">
        <v>859</v>
      </c>
      <c r="C138" s="126"/>
      <c r="D138" s="125"/>
      <c r="E138" s="131"/>
      <c r="F138" s="131"/>
      <c r="G138" s="131"/>
      <c r="H138" s="131"/>
      <c r="I138" s="125"/>
      <c r="J138" s="126"/>
      <c r="K138" s="126"/>
      <c r="L138" s="126"/>
      <c r="M138" s="126"/>
      <c r="N138" s="126"/>
      <c r="O138" s="125"/>
      <c r="P138" s="127"/>
      <c r="Q138" s="128"/>
    </row>
    <row r="139" spans="1:17" ht="15" x14ac:dyDescent="0.25">
      <c r="A139" s="117"/>
      <c r="B139" s="107" t="s">
        <v>860</v>
      </c>
      <c r="C139" s="126"/>
      <c r="D139" s="125"/>
      <c r="E139" s="126"/>
      <c r="F139" s="126"/>
      <c r="G139" s="126"/>
      <c r="H139" s="126"/>
      <c r="I139" s="125"/>
      <c r="J139" s="154"/>
      <c r="K139" s="147"/>
      <c r="L139" s="139"/>
      <c r="M139" s="126"/>
      <c r="N139" s="126"/>
      <c r="O139" s="125"/>
      <c r="P139" s="127"/>
      <c r="Q139" s="128"/>
    </row>
    <row r="140" spans="1:17" ht="15" x14ac:dyDescent="0.25">
      <c r="A140" s="117"/>
      <c r="B140" s="107" t="s">
        <v>861</v>
      </c>
      <c r="C140" s="126"/>
      <c r="D140" s="125"/>
      <c r="E140" s="126"/>
      <c r="F140" s="126"/>
      <c r="G140" s="126"/>
      <c r="H140" s="126"/>
      <c r="I140" s="125"/>
      <c r="J140" s="154"/>
      <c r="K140" s="147"/>
      <c r="L140" s="139"/>
      <c r="M140" s="126"/>
      <c r="N140" s="126"/>
      <c r="O140" s="125"/>
      <c r="P140" s="127"/>
      <c r="Q140" s="128"/>
    </row>
    <row r="141" spans="1:17" ht="15" x14ac:dyDescent="0.25">
      <c r="A141" s="117"/>
      <c r="B141" s="107" t="s">
        <v>862</v>
      </c>
      <c r="C141" s="126"/>
      <c r="D141" s="125"/>
      <c r="E141" s="126"/>
      <c r="F141" s="126"/>
      <c r="G141" s="126"/>
      <c r="H141" s="126"/>
      <c r="I141" s="125"/>
      <c r="J141" s="154"/>
      <c r="K141" s="147"/>
      <c r="L141" s="139"/>
      <c r="M141" s="126"/>
      <c r="N141" s="126"/>
      <c r="O141" s="125"/>
      <c r="P141" s="127"/>
      <c r="Q141" s="128"/>
    </row>
    <row r="142" spans="1:17" ht="15" hidden="1" x14ac:dyDescent="0.25">
      <c r="A142" s="117"/>
      <c r="B142" s="107" t="s">
        <v>863</v>
      </c>
      <c r="C142" s="126"/>
      <c r="D142" s="125"/>
      <c r="E142" s="126"/>
      <c r="F142" s="126"/>
      <c r="G142" s="126"/>
      <c r="H142" s="126"/>
      <c r="I142" s="125"/>
      <c r="J142" s="154"/>
      <c r="K142" s="159"/>
      <c r="L142" s="139"/>
      <c r="M142" s="126"/>
      <c r="N142" s="126"/>
      <c r="O142" s="125"/>
      <c r="P142" s="127"/>
      <c r="Q142" s="128"/>
    </row>
    <row r="143" spans="1:17" ht="15" x14ac:dyDescent="0.25">
      <c r="A143" s="115"/>
      <c r="B143" s="107" t="s">
        <v>864</v>
      </c>
      <c r="C143" s="126"/>
      <c r="D143" s="125"/>
      <c r="E143" s="131"/>
      <c r="F143" s="131"/>
      <c r="G143" s="131"/>
      <c r="H143" s="131"/>
      <c r="I143" s="125"/>
      <c r="J143" s="126"/>
      <c r="K143" s="126"/>
      <c r="L143" s="126"/>
      <c r="M143" s="126"/>
      <c r="N143" s="126"/>
      <c r="O143" s="125"/>
      <c r="P143" s="127"/>
      <c r="Q143" s="128"/>
    </row>
    <row r="144" spans="1:17" ht="15" x14ac:dyDescent="0.25">
      <c r="A144" s="115"/>
      <c r="B144" s="107" t="s">
        <v>865</v>
      </c>
      <c r="C144" s="126"/>
      <c r="D144" s="125"/>
      <c r="E144" s="131"/>
      <c r="F144" s="131"/>
      <c r="G144" s="131"/>
      <c r="H144" s="131"/>
      <c r="I144" s="125"/>
      <c r="J144" s="126"/>
      <c r="K144" s="126"/>
      <c r="L144" s="126"/>
      <c r="M144" s="126"/>
      <c r="N144" s="126"/>
      <c r="O144" s="125"/>
      <c r="P144" s="127"/>
      <c r="Q144" s="128"/>
    </row>
    <row r="145" spans="2:17" ht="15" x14ac:dyDescent="0.25">
      <c r="B145" s="107"/>
      <c r="C145" s="126"/>
      <c r="D145" s="125"/>
      <c r="E145" s="126"/>
      <c r="F145" s="126"/>
      <c r="G145" s="126"/>
      <c r="H145" s="126"/>
      <c r="I145" s="125"/>
      <c r="J145" s="126"/>
      <c r="K145" s="126"/>
      <c r="L145" s="126"/>
      <c r="M145" s="126"/>
      <c r="N145" s="126"/>
      <c r="O145" s="125"/>
      <c r="P145" s="127"/>
      <c r="Q145" s="128"/>
    </row>
    <row r="146" spans="2:17" ht="14.25" customHeight="1" x14ac:dyDescent="0.25"/>
    <row r="147" spans="2:17" ht="14.25" customHeight="1" x14ac:dyDescent="0.25"/>
    <row r="148" spans="2:17" ht="14.25" customHeight="1" x14ac:dyDescent="0.25"/>
    <row r="149" spans="2:17" ht="14.25" customHeight="1" x14ac:dyDescent="0.25"/>
    <row r="150" spans="2:17" ht="14.25" customHeight="1" x14ac:dyDescent="0.25"/>
    <row r="151" spans="2:17" ht="14.25" customHeight="1" x14ac:dyDescent="0.25"/>
    <row r="152" spans="2:17" ht="14.25" customHeight="1" x14ac:dyDescent="0.25"/>
    <row r="153" spans="2:17" ht="14.25" customHeight="1" x14ac:dyDescent="0.25"/>
    <row r="154" spans="2:17" ht="14.25" customHeight="1" x14ac:dyDescent="0.25"/>
    <row r="155" spans="2:17" ht="14.25" customHeight="1" x14ac:dyDescent="0.25"/>
    <row r="156" spans="2:17" ht="14.25" customHeight="1" x14ac:dyDescent="0.25"/>
    <row r="157" spans="2:17" ht="14.25" customHeight="1" x14ac:dyDescent="0.25"/>
    <row r="158" spans="2:17" ht="14.25" customHeight="1" x14ac:dyDescent="0.25"/>
    <row r="159" spans="2:17" ht="14.25" customHeight="1" x14ac:dyDescent="0.25"/>
    <row r="160" spans="2:17"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sheetData>
  <mergeCells count="15">
    <mergeCell ref="P131:Q131"/>
    <mergeCell ref="P59:Q59"/>
    <mergeCell ref="P60:Q60"/>
    <mergeCell ref="P68:Q68"/>
    <mergeCell ref="P106:Q106"/>
    <mergeCell ref="P128:Q128"/>
    <mergeCell ref="P129:Q129"/>
    <mergeCell ref="P56:Q56"/>
    <mergeCell ref="P57:Q57"/>
    <mergeCell ref="P58:Q58"/>
    <mergeCell ref="P48:Q48"/>
    <mergeCell ref="P52:Q52"/>
    <mergeCell ref="P53:Q53"/>
    <mergeCell ref="P54:Q54"/>
    <mergeCell ref="P55:Q55"/>
  </mergeCells>
  <hyperlinks>
    <hyperlink ref="P28" r:id="rId1" xr:uid="{00000000-0004-0000-1800-000000000000}"/>
  </hyperlinks>
  <pageMargins left="0.7" right="0.7" top="0.75" bottom="0.75" header="0.3" footer="0.3"/>
  <pageSetup orientation="portrait"/>
  <drawing r:id="rId2"/>
  <legacy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70C0"/>
    <pageSetUpPr fitToPage="1"/>
  </sheetPr>
  <dimension ref="A2:V241"/>
  <sheetViews>
    <sheetView workbookViewId="0">
      <pane ySplit="4" topLeftCell="A5" activePane="bottomLeft" state="frozenSplit"/>
      <selection activeCell="N65" sqref="N65:P65"/>
      <selection pane="bottomLeft" activeCell="N65" sqref="N65:P65"/>
    </sheetView>
  </sheetViews>
  <sheetFormatPr defaultColWidth="7.140625" defaultRowHeight="10.5" x14ac:dyDescent="0.25"/>
  <cols>
    <col min="1" max="1" width="1.42578125" style="35" customWidth="1"/>
    <col min="2" max="2" width="35.7109375" style="35" customWidth="1"/>
    <col min="3" max="3" width="29.42578125" style="35" customWidth="1"/>
    <col min="4" max="4" width="10.140625" style="35" customWidth="1"/>
    <col min="5" max="5" width="7.140625" style="35"/>
    <col min="6" max="6" width="7.140625" style="35" customWidth="1"/>
    <col min="7" max="13" width="7.140625" style="35"/>
    <col min="14" max="14" width="7.140625" style="35" customWidth="1"/>
    <col min="15" max="16384" width="7.140625" style="35"/>
  </cols>
  <sheetData>
    <row r="2" spans="1:22" ht="30.75" customHeight="1" x14ac:dyDescent="0.25">
      <c r="A2" s="2" t="s">
        <v>1</v>
      </c>
      <c r="B2"/>
      <c r="O2" s="1" t="s">
        <v>1119</v>
      </c>
    </row>
    <row r="3" spans="1:22" ht="9" customHeight="1" x14ac:dyDescent="0.25"/>
    <row r="4" spans="1:22" ht="15" x14ac:dyDescent="0.25">
      <c r="A4" s="5" t="s">
        <v>1123</v>
      </c>
      <c r="T4" s="35" t="s">
        <v>0</v>
      </c>
    </row>
    <row r="5" spans="1:22" ht="14.25" customHeight="1" x14ac:dyDescent="0.25"/>
    <row r="6" spans="1:22" ht="14.25" hidden="1" customHeight="1" x14ac:dyDescent="0.25">
      <c r="B6" s="232" t="s">
        <v>1124</v>
      </c>
    </row>
    <row r="7" spans="1:22" ht="6" hidden="1" customHeight="1" x14ac:dyDescent="0.25">
      <c r="B7" s="232"/>
      <c r="C7" s="6"/>
    </row>
    <row r="8" spans="1:22" ht="14.25" hidden="1" customHeight="1" thickBot="1" x14ac:dyDescent="0.3">
      <c r="B8" s="230" t="s">
        <v>1126</v>
      </c>
      <c r="C8" s="235" t="s">
        <v>71</v>
      </c>
      <c r="D8" s="83"/>
      <c r="E8" s="83"/>
      <c r="F8" s="83"/>
      <c r="G8" s="83"/>
    </row>
    <row r="9" spans="1:22" ht="14.25" hidden="1" customHeight="1" x14ac:dyDescent="0.25">
      <c r="B9" s="208" t="str">
        <f>LOWER(CONCATENATE('7-Info'!$F$27,".",'Site Info'!$F$25))</f>
        <v>shpsan-01.speedcast.com</v>
      </c>
      <c r="C9" s="245">
        <f>'7-Info'!M30</f>
        <v>0</v>
      </c>
      <c r="D9" s="381"/>
      <c r="E9" s="381"/>
      <c r="F9" s="381"/>
      <c r="G9" s="381"/>
    </row>
    <row r="10" spans="1:22" ht="14.25" hidden="1" customHeight="1" x14ac:dyDescent="0.25">
      <c r="B10" s="208" t="str">
        <f>LOWER(CONCATENATE('7-Info'!$F$36,".",'Site Info'!$F$25))</f>
        <v>shpsan-02.speedcast.com</v>
      </c>
      <c r="C10" s="233">
        <f>'7-Info'!M39</f>
        <v>0</v>
      </c>
      <c r="D10" s="83"/>
      <c r="E10" s="83"/>
      <c r="F10" s="83"/>
      <c r="G10" s="83"/>
    </row>
    <row r="11" spans="1:22" ht="14.25" hidden="1" customHeight="1" x14ac:dyDescent="0.25">
      <c r="B11" s="208" t="str">
        <f>LOWER(CONCATENATE('7-Info'!$F$27,"-sp.",'Site Info'!$F$25))</f>
        <v>shpsan-01-sp.speedcast.com</v>
      </c>
      <c r="C11" s="234" t="str">
        <f>Inventory!R15</f>
        <v>10.126.131.169</v>
      </c>
      <c r="D11" s="381"/>
      <c r="E11" s="381"/>
      <c r="F11" s="381"/>
      <c r="G11" s="381"/>
    </row>
    <row r="12" spans="1:22" ht="14.25" hidden="1" customHeight="1" x14ac:dyDescent="0.25">
      <c r="B12" s="208" t="str">
        <f>LOWER(CONCATENATE('7-Info'!$F$36,"-sp.",'Site Info'!$F$25))</f>
        <v>shpsan-02-sp.speedcast.com</v>
      </c>
      <c r="C12" s="234" t="str">
        <f>Inventory!R16</f>
        <v>10.126.131.170</v>
      </c>
      <c r="D12" s="83"/>
      <c r="E12" s="83"/>
      <c r="F12" s="83" t="s">
        <v>1366</v>
      </c>
      <c r="G12" s="83"/>
      <c r="O12" s="35" t="s">
        <v>1367</v>
      </c>
    </row>
    <row r="13" spans="1:22" ht="14.25" hidden="1" customHeight="1" x14ac:dyDescent="0.25">
      <c r="B13" s="208" t="str">
        <f>LOWER(CONCATENATE('7-Info'!$F$27,":",'7-Info'!$J30))</f>
        <v>shpsan-01:</v>
      </c>
      <c r="C13" s="234">
        <f>'7-Info'!M30</f>
        <v>0</v>
      </c>
      <c r="D13" s="381"/>
      <c r="E13" s="381"/>
      <c r="F13" s="381"/>
      <c r="G13" s="381"/>
      <c r="O13" s="35" t="s">
        <v>1368</v>
      </c>
    </row>
    <row r="14" spans="1:22" ht="14.25" hidden="1" customHeight="1" x14ac:dyDescent="0.25">
      <c r="B14" s="208" t="str">
        <f>LOWER(CONCATENATE('7-Info'!$F$27,":",'7-Info'!$J31))</f>
        <v>shpsan-01:</v>
      </c>
      <c r="C14" s="234">
        <f>'7-Info'!M31</f>
        <v>0</v>
      </c>
      <c r="D14" s="83"/>
      <c r="E14" s="83"/>
      <c r="F14" s="83"/>
      <c r="G14" s="83"/>
      <c r="V14" s="35">
        <v>77048</v>
      </c>
    </row>
    <row r="15" spans="1:22" ht="14.25" hidden="1" customHeight="1" x14ac:dyDescent="0.25">
      <c r="B15" s="208" t="str">
        <f>LOWER(CONCATENATE('7-Info'!$F$27,":",'7-Info'!$J32))</f>
        <v>shpsan-01:</v>
      </c>
      <c r="C15" s="234">
        <f>'7-Info'!M32</f>
        <v>0</v>
      </c>
      <c r="D15" s="83"/>
      <c r="E15" s="246"/>
      <c r="F15" s="83"/>
      <c r="G15" s="83"/>
      <c r="L15" s="251"/>
    </row>
    <row r="16" spans="1:22" ht="14.25" hidden="1" customHeight="1" x14ac:dyDescent="0.25">
      <c r="B16" s="208" t="str">
        <f>LOWER(CONCATENATE('7-Info'!$F$27,":",'7-Info'!$J33))</f>
        <v>shpsan-01:</v>
      </c>
      <c r="C16" s="234">
        <f>'7-Info'!M33</f>
        <v>0</v>
      </c>
      <c r="D16" s="83"/>
      <c r="E16" s="83"/>
      <c r="F16" s="83"/>
      <c r="G16" s="83"/>
    </row>
    <row r="17" spans="2:17" ht="14.25" hidden="1" customHeight="1" x14ac:dyDescent="0.25">
      <c r="B17" s="208" t="str">
        <f>LOWER(CONCATENATE('7-Info'!$F$27,":",'7-Info'!$J34))</f>
        <v>shpsan-01:</v>
      </c>
      <c r="C17" s="234">
        <f>'7-Info'!M34</f>
        <v>0</v>
      </c>
      <c r="D17" s="381"/>
      <c r="E17" s="381"/>
      <c r="F17" s="381"/>
      <c r="G17" s="381"/>
    </row>
    <row r="18" spans="2:17" ht="14.25" hidden="1" customHeight="1" x14ac:dyDescent="0.25">
      <c r="B18" s="208" t="str">
        <f>LOWER(CONCATENATE('7-Info'!$F$36,":",'7-Info'!$J39))</f>
        <v>shpsan-02:</v>
      </c>
      <c r="C18" s="234">
        <f>'7-Info'!M39</f>
        <v>0</v>
      </c>
      <c r="D18" s="83"/>
      <c r="E18" s="83"/>
      <c r="F18" s="83" t="s">
        <v>1371</v>
      </c>
      <c r="G18" s="83"/>
      <c r="Q18" s="35" t="s">
        <v>1370</v>
      </c>
    </row>
    <row r="19" spans="2:17" ht="14.25" hidden="1" customHeight="1" x14ac:dyDescent="0.25">
      <c r="B19" s="208" t="str">
        <f>LOWER(CONCATENATE('7-Info'!$F$36,":",'7-Info'!$J40))</f>
        <v>shpsan-02:</v>
      </c>
      <c r="C19" s="234">
        <f>'7-Info'!M40</f>
        <v>0</v>
      </c>
      <c r="D19" s="83"/>
      <c r="E19" s="83"/>
      <c r="F19" s="83" t="s">
        <v>1372</v>
      </c>
      <c r="G19" s="83"/>
      <c r="Q19" s="35" t="s">
        <v>1373</v>
      </c>
    </row>
    <row r="20" spans="2:17" ht="14.25" hidden="1" customHeight="1" x14ac:dyDescent="0.25">
      <c r="B20" s="208" t="str">
        <f>LOWER(CONCATENATE('7-Info'!$F$36,":",'7-Info'!$J41))</f>
        <v>shpsan-02:</v>
      </c>
      <c r="C20" s="234">
        <f>'7-Info'!M41</f>
        <v>0</v>
      </c>
      <c r="D20" s="83"/>
      <c r="E20" s="83"/>
      <c r="F20" s="83"/>
      <c r="G20" s="83"/>
    </row>
    <row r="21" spans="2:17" ht="14.25" hidden="1" customHeight="1" x14ac:dyDescent="0.25">
      <c r="B21" s="208" t="str">
        <f>LOWER(CONCATENATE('7-Info'!$F$36,":",'7-Info'!$J42))</f>
        <v>shpsan-02:</v>
      </c>
      <c r="C21" s="234">
        <f>'7-Info'!M42</f>
        <v>0</v>
      </c>
      <c r="D21" s="83"/>
      <c r="E21" s="83"/>
      <c r="F21" s="83"/>
      <c r="G21" s="83"/>
    </row>
    <row r="22" spans="2:17" ht="14.25" hidden="1" customHeight="1" x14ac:dyDescent="0.25">
      <c r="B22" s="208" t="str">
        <f>LOWER(CONCATENATE('7-Info'!$F$36,":",'7-Info'!$J43))</f>
        <v>shpsan-02:</v>
      </c>
      <c r="C22" s="234">
        <f>'7-Info'!M43</f>
        <v>0</v>
      </c>
      <c r="D22" s="83"/>
      <c r="E22" s="83"/>
      <c r="F22" s="83"/>
      <c r="G22" s="83"/>
    </row>
    <row r="23" spans="2:17" ht="14.25" hidden="1" customHeight="1" x14ac:dyDescent="0.25">
      <c r="B23" s="208" t="str">
        <f>LOWER(CONCATENATE('7-Info'!C48,":",'7-Info'!$R48))</f>
        <v>:</v>
      </c>
      <c r="C23" s="234">
        <f>'7-Info'!U48</f>
        <v>0</v>
      </c>
      <c r="D23" s="83"/>
      <c r="E23" s="83"/>
      <c r="F23" s="83"/>
      <c r="G23" s="83"/>
    </row>
    <row r="24" spans="2:17" ht="14.25" hidden="1" customHeight="1" x14ac:dyDescent="0.25">
      <c r="B24" s="208" t="str">
        <f>LOWER(CONCATENATE('7-Info'!C49,":",'7-Info'!$R49))</f>
        <v>:</v>
      </c>
      <c r="C24" s="234">
        <f>'7-Info'!U49</f>
        <v>0</v>
      </c>
      <c r="D24" s="83"/>
      <c r="E24" s="83"/>
      <c r="F24" s="83"/>
      <c r="G24" s="83"/>
    </row>
    <row r="25" spans="2:17" ht="14.25" hidden="1" customHeight="1" x14ac:dyDescent="0.25">
      <c r="B25" s="208" t="str">
        <f>LOWER(CONCATENATE('7-Info'!C50,":",'7-Info'!$R50))</f>
        <v>:</v>
      </c>
      <c r="C25" s="234">
        <f>'7-Info'!U50</f>
        <v>0</v>
      </c>
      <c r="F25" s="35" t="s">
        <v>1372</v>
      </c>
    </row>
    <row r="26" spans="2:17" ht="14.25" hidden="1" customHeight="1" x14ac:dyDescent="0.25">
      <c r="B26" s="208" t="str">
        <f>LOWER(CONCATENATE('7-Info'!C51,":",'7-Info'!$R51))</f>
        <v>:</v>
      </c>
      <c r="C26" s="234">
        <f>'7-Info'!U51</f>
        <v>0</v>
      </c>
      <c r="F26" s="35" t="s">
        <v>1374</v>
      </c>
      <c r="I26" s="35" t="s">
        <v>1375</v>
      </c>
    </row>
    <row r="27" spans="2:17" ht="14.25" hidden="1" customHeight="1" x14ac:dyDescent="0.25">
      <c r="B27" s="208" t="str">
        <f>LOWER(CONCATENATE('7-Info'!C52,":",'7-Info'!$R52))</f>
        <v>:</v>
      </c>
      <c r="C27" s="234">
        <f>'7-Info'!U52</f>
        <v>0</v>
      </c>
    </row>
    <row r="28" spans="2:17" ht="14.25" hidden="1" customHeight="1" x14ac:dyDescent="0.25">
      <c r="B28" s="232"/>
      <c r="F28" s="35" t="s">
        <v>1374</v>
      </c>
      <c r="I28" s="35" t="s">
        <v>1376</v>
      </c>
      <c r="Q28" s="35" t="s">
        <v>1374</v>
      </c>
    </row>
    <row r="29" spans="2:17" ht="14.25" customHeight="1" x14ac:dyDescent="0.25"/>
    <row r="30" spans="2:17" ht="14.25" customHeight="1" x14ac:dyDescent="0.25">
      <c r="B30" s="236" t="s">
        <v>1125</v>
      </c>
    </row>
    <row r="31" spans="2:17" ht="9.75" customHeight="1" x14ac:dyDescent="0.25">
      <c r="B31" s="236"/>
      <c r="C31" s="6"/>
    </row>
    <row r="32" spans="2:17" ht="14.25" customHeight="1" thickBot="1" x14ac:dyDescent="0.3">
      <c r="B32" s="235" t="s">
        <v>1127</v>
      </c>
      <c r="C32" s="235" t="s">
        <v>71</v>
      </c>
    </row>
    <row r="33" spans="2:14" ht="14.25" customHeight="1" x14ac:dyDescent="0.25">
      <c r="B33" s="208" t="str">
        <f>LOWER(CONCATENATE(Inventory!$C80))</f>
        <v>shpsan-sw-ci-01</v>
      </c>
      <c r="C33" s="233">
        <f>Inventory!Q80</f>
        <v>0</v>
      </c>
    </row>
    <row r="34" spans="2:14" ht="14.25" customHeight="1" x14ac:dyDescent="0.25">
      <c r="B34" s="208" t="str">
        <f>LOWER(CONCATENATE(Inventory!$C81))</f>
        <v>shpsan-sw-ci-02</v>
      </c>
      <c r="C34" s="233">
        <f>Inventory!Q81</f>
        <v>0</v>
      </c>
    </row>
    <row r="35" spans="2:14" ht="14.25" customHeight="1" x14ac:dyDescent="0.25">
      <c r="B35" s="208" t="str">
        <f>LOWER(CONCATENATE(Inventory!$C82))</f>
        <v>shpsan-sw-mgt-01</v>
      </c>
      <c r="C35" s="233">
        <f>Inventory!Q82</f>
        <v>0</v>
      </c>
      <c r="G35" s="35">
        <v>1852</v>
      </c>
      <c r="H35" s="35" t="s">
        <v>1377</v>
      </c>
      <c r="N35" s="35" t="s">
        <v>1378</v>
      </c>
    </row>
    <row r="36" spans="2:14" ht="14.25" customHeight="1" x14ac:dyDescent="0.25">
      <c r="B36" s="208" t="str">
        <f>LOWER(CONCATENATE(Inventory!$C83))</f>
        <v>shpsan-sw-mgt-02</v>
      </c>
      <c r="C36" s="233">
        <f>Inventory!Q83</f>
        <v>0</v>
      </c>
      <c r="G36" s="35">
        <v>1852</v>
      </c>
      <c r="H36" s="35" t="s">
        <v>1377</v>
      </c>
      <c r="N36" s="35" t="s">
        <v>1378</v>
      </c>
    </row>
    <row r="37" spans="2:14" ht="14.25" customHeight="1" x14ac:dyDescent="0.25">
      <c r="B37" s="208" t="str">
        <f>LOWER(CONCATENATE(Inventory!$G$12,":cluster_mgmt"))</f>
        <v>shpsan:cluster_mgmt</v>
      </c>
      <c r="C37" s="233" t="str">
        <f>'c-Cluster'!J34</f>
        <v>10.126.131.173</v>
      </c>
    </row>
    <row r="38" spans="2:14" ht="14.25" customHeight="1" x14ac:dyDescent="0.25">
      <c r="B38" s="208" t="str">
        <f>LOWER(CONCATENATE(Inventory!$C15,":mgmt1"))</f>
        <v>shpsan-01:mgmt1</v>
      </c>
      <c r="C38" s="233" t="str">
        <f>'c-Cluster'!J43</f>
        <v>10.126.131.171</v>
      </c>
    </row>
    <row r="39" spans="2:14" ht="14.25" customHeight="1" x14ac:dyDescent="0.25">
      <c r="B39" s="208" t="str">
        <f>LOWER(CONCATENATE(Inventory!$C16,":mgmt1"))</f>
        <v>shpsan-02:mgmt1</v>
      </c>
      <c r="C39" s="233" t="str">
        <f>'c-Cluster'!J44</f>
        <v>10.126.131.172</v>
      </c>
      <c r="G39" s="35">
        <v>1852</v>
      </c>
      <c r="H39" s="35" t="s">
        <v>1377</v>
      </c>
      <c r="N39" s="35" t="s">
        <v>1378</v>
      </c>
    </row>
    <row r="40" spans="2:14" ht="14.25" customHeight="1" x14ac:dyDescent="0.25">
      <c r="B40" s="208" t="str">
        <f>LOWER(CONCATENATE(Inventory!$C17,":mgmt1"))</f>
        <v>:mgmt1</v>
      </c>
      <c r="C40" s="233">
        <f>'c-Cluster'!J45</f>
        <v>0</v>
      </c>
    </row>
    <row r="41" spans="2:14" ht="14.25" customHeight="1" x14ac:dyDescent="0.25">
      <c r="B41" s="208" t="str">
        <f>LOWER(CONCATENATE(Inventory!$C18,":mgmt1"))</f>
        <v>:mgmt1</v>
      </c>
      <c r="C41" s="233">
        <f>'c-Cluster'!J46</f>
        <v>0</v>
      </c>
    </row>
    <row r="42" spans="2:14" ht="14.25" customHeight="1" x14ac:dyDescent="0.25">
      <c r="B42" s="208" t="str">
        <f>LOWER(CONCATENATE(Inventory!$C19,":mgmt1"))</f>
        <v>:mgmt1</v>
      </c>
      <c r="C42" s="238">
        <f>'c-Cluster'!J47</f>
        <v>0</v>
      </c>
    </row>
    <row r="43" spans="2:14" ht="14.25" customHeight="1" x14ac:dyDescent="0.25">
      <c r="B43" s="208" t="str">
        <f>LOWER(CONCATENATE(Inventory!$C20,":mgmt1"))</f>
        <v>:mgmt1</v>
      </c>
      <c r="C43" s="238">
        <f>'c-Cluster'!J48</f>
        <v>0</v>
      </c>
    </row>
    <row r="44" spans="2:14" ht="14.25" customHeight="1" x14ac:dyDescent="0.25">
      <c r="B44" s="208" t="str">
        <f>LOWER(CONCATENATE(Inventory!$C21,":mgmt1"))</f>
        <v>:mgmt1</v>
      </c>
      <c r="C44" s="238">
        <f>'c-Cluster'!J49</f>
        <v>0</v>
      </c>
    </row>
    <row r="45" spans="2:14" ht="14.25" customHeight="1" x14ac:dyDescent="0.25">
      <c r="B45" s="208" t="str">
        <f>LOWER(CONCATENATE(Inventory!$C22,":mgmt1"))</f>
        <v>:mgmt1</v>
      </c>
      <c r="C45" s="238">
        <f>'c-Cluster'!J50</f>
        <v>0</v>
      </c>
    </row>
    <row r="46" spans="2:14" ht="14.25" customHeight="1" x14ac:dyDescent="0.25">
      <c r="B46" s="208" t="str">
        <f>LOWER(CONCATENATE(Inventory!$C15,":",'c-Cluster'!$M59))</f>
        <v>shpsan-01:</v>
      </c>
      <c r="C46" s="233">
        <f>'c-Cluster'!J59</f>
        <v>0</v>
      </c>
    </row>
    <row r="47" spans="2:14" ht="14.25" customHeight="1" x14ac:dyDescent="0.25">
      <c r="B47" s="208" t="str">
        <f>LOWER(CONCATENATE(Inventory!$C16,":",'c-Cluster'!$M60))</f>
        <v>shpsan-02:</v>
      </c>
      <c r="C47" s="233">
        <f>'c-Cluster'!J60</f>
        <v>0</v>
      </c>
    </row>
    <row r="48" spans="2:14" ht="14.25" customHeight="1" x14ac:dyDescent="0.25">
      <c r="B48" s="208" t="str">
        <f>LOWER(CONCATENATE(Inventory!$C17,":",'c-Cluster'!$M61))</f>
        <v>:</v>
      </c>
      <c r="C48" s="233">
        <f>'c-Cluster'!J61</f>
        <v>0</v>
      </c>
    </row>
    <row r="49" spans="2:14" ht="14.25" customHeight="1" x14ac:dyDescent="0.25">
      <c r="B49" s="208" t="str">
        <f>LOWER(CONCATENATE(Inventory!$C18,":",'c-Cluster'!$M62))</f>
        <v>:</v>
      </c>
      <c r="C49" s="233">
        <f>'c-Cluster'!J62</f>
        <v>0</v>
      </c>
      <c r="G49" s="35">
        <v>1852</v>
      </c>
      <c r="H49" s="35" t="s">
        <v>1377</v>
      </c>
      <c r="K49" s="35" t="s">
        <v>1349</v>
      </c>
      <c r="N49" s="35" t="s">
        <v>1378</v>
      </c>
    </row>
    <row r="50" spans="2:14" ht="14.25" customHeight="1" x14ac:dyDescent="0.25">
      <c r="B50" s="208" t="str">
        <f>LOWER(CONCATENATE(Inventory!$C19,":",'c-Cluster'!$M63))</f>
        <v>:</v>
      </c>
      <c r="C50" s="233">
        <f>'c-Cluster'!J63</f>
        <v>0</v>
      </c>
    </row>
    <row r="51" spans="2:14" ht="14.25" customHeight="1" x14ac:dyDescent="0.25">
      <c r="B51" s="208" t="str">
        <f>LOWER(CONCATENATE(Inventory!$C20,":",'c-Cluster'!$M64))</f>
        <v>:</v>
      </c>
      <c r="C51" s="233">
        <f>'c-Cluster'!J64</f>
        <v>0</v>
      </c>
    </row>
    <row r="52" spans="2:14" ht="14.25" customHeight="1" x14ac:dyDescent="0.25">
      <c r="B52" s="208" t="str">
        <f>LOWER(CONCATENATE(Inventory!$C21,":",'c-Cluster'!$M65))</f>
        <v>:</v>
      </c>
      <c r="C52" s="233">
        <f>'c-Cluster'!J65</f>
        <v>0</v>
      </c>
    </row>
    <row r="53" spans="2:14" ht="14.25" customHeight="1" x14ac:dyDescent="0.25">
      <c r="B53" s="208" t="str">
        <f>LOWER(CONCATENATE(Inventory!$C22,":",'c-Cluster'!$M66))</f>
        <v>:</v>
      </c>
      <c r="C53" s="233">
        <f>'c-Cluster'!J66</f>
        <v>0</v>
      </c>
      <c r="G53" s="35">
        <v>11</v>
      </c>
      <c r="H53" s="35" t="s">
        <v>1379</v>
      </c>
      <c r="K53" s="35" t="s">
        <v>1349</v>
      </c>
      <c r="N53" s="35" t="s">
        <v>1380</v>
      </c>
    </row>
    <row r="54" spans="2:14" ht="14.25" customHeight="1" x14ac:dyDescent="0.25">
      <c r="B54" s="208" t="str">
        <f>CONCATENATE(Inventory!$C15,":NSE")</f>
        <v>shpsan-01:NSE</v>
      </c>
      <c r="C54" s="238">
        <f>'c-Cluster'!L123</f>
        <v>0</v>
      </c>
    </row>
    <row r="55" spans="2:14" ht="14.25" customHeight="1" x14ac:dyDescent="0.25">
      <c r="B55" s="208" t="str">
        <f>CONCATENATE(Inventory!$C16,":NSE")</f>
        <v>shpsan-02:NSE</v>
      </c>
      <c r="C55" s="238">
        <f>'c-Cluster'!L124</f>
        <v>0</v>
      </c>
    </row>
    <row r="56" spans="2:14" ht="14.25" customHeight="1" x14ac:dyDescent="0.25">
      <c r="B56" s="208" t="str">
        <f>CONCATENATE(Inventory!$C17,":NSE")</f>
        <v>:NSE</v>
      </c>
      <c r="C56" s="238">
        <f>'c-Cluster'!L125</f>
        <v>0</v>
      </c>
    </row>
    <row r="57" spans="2:14" ht="14.25" customHeight="1" x14ac:dyDescent="0.25">
      <c r="B57" s="208" t="str">
        <f>CONCATENATE(Inventory!$C18,":NSE")</f>
        <v>:NSE</v>
      </c>
      <c r="C57" s="238">
        <f>'c-Cluster'!L126</f>
        <v>0</v>
      </c>
    </row>
    <row r="58" spans="2:14" ht="14.25" customHeight="1" x14ac:dyDescent="0.25">
      <c r="B58" s="208" t="str">
        <f>CONCATENATE(Inventory!$C19,":NSE")</f>
        <v>:NSE</v>
      </c>
      <c r="C58" s="238">
        <f>'c-Cluster'!L127</f>
        <v>0</v>
      </c>
    </row>
    <row r="59" spans="2:14" ht="14.25" customHeight="1" x14ac:dyDescent="0.25">
      <c r="B59" s="208" t="str">
        <f>CONCATENATE(Inventory!$C20,":NSE")</f>
        <v>:NSE</v>
      </c>
      <c r="C59" s="238">
        <f>'c-Cluster'!L128</f>
        <v>0</v>
      </c>
    </row>
    <row r="60" spans="2:14" ht="14.25" customHeight="1" x14ac:dyDescent="0.25">
      <c r="B60" s="208" t="str">
        <f>CONCATENATE(Inventory!$C21,":NSE")</f>
        <v>:NSE</v>
      </c>
      <c r="C60" s="238">
        <f>'c-Cluster'!L129</f>
        <v>0</v>
      </c>
    </row>
    <row r="61" spans="2:14" ht="14.25" customHeight="1" x14ac:dyDescent="0.25">
      <c r="B61" s="208" t="str">
        <f>CONCATENATE(Inventory!$C22,":NSE")</f>
        <v>:NSE</v>
      </c>
      <c r="C61" s="238">
        <f>'c-Cluster'!L130</f>
        <v>0</v>
      </c>
    </row>
    <row r="62" spans="2:14" ht="14.25" customHeight="1" x14ac:dyDescent="0.25">
      <c r="B62" s="208" t="str">
        <f>'c-SVM-CIFS'!M25</f>
        <v>shpsan-nas-01-admin</v>
      </c>
      <c r="C62" s="234">
        <f>'c-SVM-CIFS'!J25</f>
        <v>0</v>
      </c>
    </row>
    <row r="63" spans="2:14" ht="14.25" customHeight="1" x14ac:dyDescent="0.25">
      <c r="B63" s="244" t="str">
        <f>'c-SVM-CIFS'!M35</f>
        <v>shpsan-nas-01-01</v>
      </c>
      <c r="C63" s="234" t="str">
        <f>'c-SVM-CIFS'!J35</f>
        <v>10.126.131.177</v>
      </c>
    </row>
    <row r="64" spans="2:14" ht="14.25" customHeight="1" x14ac:dyDescent="0.25">
      <c r="B64" s="244" t="str">
        <f>'c-SVM-CIFS'!M36</f>
        <v>shpsan-nas-01-02</v>
      </c>
      <c r="C64" s="239" t="str">
        <f>'c-SVM-CIFS'!J36</f>
        <v>10.126.131.178</v>
      </c>
      <c r="G64" s="35">
        <v>1852</v>
      </c>
      <c r="H64" s="35" t="s">
        <v>1377</v>
      </c>
      <c r="K64" s="35" t="s">
        <v>1349</v>
      </c>
      <c r="N64" s="35" t="s">
        <v>1378</v>
      </c>
    </row>
    <row r="65" spans="2:3" ht="14.25" customHeight="1" x14ac:dyDescent="0.25">
      <c r="B65" s="244" t="str">
        <f>'c-SVM-CIFS'!M37</f>
        <v/>
      </c>
      <c r="C65" s="239">
        <f>'c-SVM-CIFS'!J37</f>
        <v>0</v>
      </c>
    </row>
    <row r="66" spans="2:3" ht="14.25" customHeight="1" x14ac:dyDescent="0.25">
      <c r="B66" s="244" t="str">
        <f>'c-SVM-CIFS'!M38</f>
        <v/>
      </c>
      <c r="C66" s="239">
        <f>'c-SVM-CIFS'!J38</f>
        <v>0</v>
      </c>
    </row>
    <row r="67" spans="2:3" ht="14.25" customHeight="1" x14ac:dyDescent="0.25">
      <c r="B67" s="244" t="str">
        <f>'c-SVM-CIFS'!M39</f>
        <v/>
      </c>
      <c r="C67" s="239">
        <f>'c-SVM-CIFS'!J39</f>
        <v>0</v>
      </c>
    </row>
    <row r="68" spans="2:3" ht="14.25" customHeight="1" x14ac:dyDescent="0.25">
      <c r="B68" s="244" t="str">
        <f>'c-SVM-CIFS'!M40</f>
        <v/>
      </c>
      <c r="C68" s="239">
        <f>'c-SVM-CIFS'!J40</f>
        <v>0</v>
      </c>
    </row>
    <row r="69" spans="2:3" ht="14.25" customHeight="1" x14ac:dyDescent="0.25">
      <c r="B69" s="244" t="str">
        <f>'c-SVM-CIFS'!M41</f>
        <v/>
      </c>
      <c r="C69" s="239">
        <f>'c-SVM-CIFS'!J41</f>
        <v>0</v>
      </c>
    </row>
    <row r="70" spans="2:3" ht="14.25" customHeight="1" x14ac:dyDescent="0.25">
      <c r="B70" s="244" t="str">
        <f>'c-SVM-CIFS'!M42</f>
        <v/>
      </c>
      <c r="C70" s="239">
        <f>'c-SVM-CIFS'!J42</f>
        <v>0</v>
      </c>
    </row>
    <row r="71" spans="2:3" ht="14.25" customHeight="1" x14ac:dyDescent="0.25">
      <c r="B71" s="208" t="str">
        <f>'c-SVM-NFS'!M25</f>
        <v>shpsan-nfs-01-admin</v>
      </c>
      <c r="C71" s="239" t="str">
        <f>'c-SVM-NFS'!J25</f>
        <v>192.168.12.13</v>
      </c>
    </row>
    <row r="72" spans="2:3" ht="14.25" customHeight="1" x14ac:dyDescent="0.25">
      <c r="B72" s="208" t="str">
        <f>'c-SVM-NFS'!M51</f>
        <v>shpsan-nfs-01-01</v>
      </c>
      <c r="C72" s="239" t="str">
        <f>'c-SVM-NFS'!J51</f>
        <v>192.168.30.11</v>
      </c>
    </row>
    <row r="73" spans="2:3" ht="14.25" customHeight="1" x14ac:dyDescent="0.25">
      <c r="B73" s="208" t="str">
        <f>'c-SVM-NFS'!M52</f>
        <v>shpsan-nfs-01-02</v>
      </c>
      <c r="C73" s="239" t="str">
        <f>'c-SVM-NFS'!J52</f>
        <v>192.168.30.12</v>
      </c>
    </row>
    <row r="74" spans="2:3" ht="14.25" customHeight="1" x14ac:dyDescent="0.25">
      <c r="B74" s="208" t="str">
        <f>'c-SVM-NFS'!M53</f>
        <v/>
      </c>
      <c r="C74" s="239">
        <f>'c-SVM-NFS'!J53</f>
        <v>0</v>
      </c>
    </row>
    <row r="75" spans="2:3" ht="14.25" customHeight="1" x14ac:dyDescent="0.25">
      <c r="B75" s="208" t="str">
        <f>'c-SVM-NFS'!M54</f>
        <v/>
      </c>
      <c r="C75" s="239">
        <f>'c-SVM-NFS'!J54</f>
        <v>0</v>
      </c>
    </row>
    <row r="76" spans="2:3" ht="14.25" customHeight="1" x14ac:dyDescent="0.25">
      <c r="B76" s="208" t="str">
        <f>'c-SVM-NFS'!M55</f>
        <v/>
      </c>
      <c r="C76" s="239">
        <f>'c-SVM-NFS'!J55</f>
        <v>0</v>
      </c>
    </row>
    <row r="77" spans="2:3" ht="14.25" customHeight="1" x14ac:dyDescent="0.25">
      <c r="B77" s="208" t="str">
        <f>'c-SVM-NFS'!M56</f>
        <v/>
      </c>
      <c r="C77" s="239">
        <f>'c-SVM-NFS'!J56</f>
        <v>0</v>
      </c>
    </row>
    <row r="78" spans="2:3" ht="14.25" customHeight="1" x14ac:dyDescent="0.25">
      <c r="B78" s="208" t="str">
        <f>'c-SVM-NFS'!M57</f>
        <v/>
      </c>
      <c r="C78" s="239">
        <f>'c-SVM-NFS'!J57</f>
        <v>0</v>
      </c>
    </row>
    <row r="79" spans="2:3" ht="14.25" customHeight="1" x14ac:dyDescent="0.25">
      <c r="B79" s="208" t="str">
        <f>'c-SVM-NFS'!M58</f>
        <v/>
      </c>
      <c r="C79" s="239">
        <f>'c-SVM-NFS'!J58</f>
        <v>0</v>
      </c>
    </row>
    <row r="80" spans="2:3" ht="14.25" customHeight="1" x14ac:dyDescent="0.25">
      <c r="B80" s="208" t="str">
        <f>'c-SVM-Block'!M25</f>
        <v>shpsan-block-01-admin</v>
      </c>
      <c r="C80" s="239" t="str">
        <f>'c-SVM-Block'!J25</f>
        <v>10.126.131.179</v>
      </c>
    </row>
    <row r="81" spans="2:3" ht="14.25" customHeight="1" x14ac:dyDescent="0.25">
      <c r="B81" s="208" t="str">
        <f>'c-SVM-Block'!M67</f>
        <v>shpsan-block-01-i01-01</v>
      </c>
      <c r="C81" s="239" t="str">
        <f>'c-SVM-Block'!J67</f>
        <v>192.168.20.11</v>
      </c>
    </row>
    <row r="82" spans="2:3" ht="14.25" customHeight="1" x14ac:dyDescent="0.25">
      <c r="B82" s="208" t="str">
        <f>'c-SVM-Block'!M68</f>
        <v>shpsan-block-01-i02-01</v>
      </c>
      <c r="C82" s="239" t="str">
        <f>'c-SVM-Block'!J68</f>
        <v>192.168.20.12</v>
      </c>
    </row>
    <row r="83" spans="2:3" ht="14.25" customHeight="1" x14ac:dyDescent="0.25">
      <c r="B83" s="208" t="str">
        <f>'c-SVM-Block'!M69</f>
        <v xml:space="preserve"> </v>
      </c>
      <c r="C83" s="239">
        <f>'c-SVM-Block'!J69</f>
        <v>0</v>
      </c>
    </row>
    <row r="84" spans="2:3" ht="14.25" customHeight="1" x14ac:dyDescent="0.25">
      <c r="B84" s="208" t="str">
        <f>'c-SVM-Block'!M70</f>
        <v xml:space="preserve"> </v>
      </c>
      <c r="C84" s="239">
        <f>'c-SVM-Block'!J70</f>
        <v>0</v>
      </c>
    </row>
    <row r="85" spans="2:3" ht="14.25" customHeight="1" x14ac:dyDescent="0.25">
      <c r="B85" s="208" t="str">
        <f>'c-SVM-Block'!M71</f>
        <v xml:space="preserve"> </v>
      </c>
      <c r="C85" s="239">
        <f>'c-SVM-Block'!J71</f>
        <v>0</v>
      </c>
    </row>
    <row r="86" spans="2:3" ht="14.25" customHeight="1" x14ac:dyDescent="0.25">
      <c r="B86" s="208" t="str">
        <f>'c-SVM-Block'!M72</f>
        <v xml:space="preserve"> </v>
      </c>
      <c r="C86" s="239">
        <f>'c-SVM-Block'!J72</f>
        <v>0</v>
      </c>
    </row>
    <row r="87" spans="2:3" ht="14.25" customHeight="1" x14ac:dyDescent="0.25">
      <c r="B87" s="208" t="str">
        <f>'c-SVM-Block'!M73</f>
        <v xml:space="preserve"> </v>
      </c>
      <c r="C87" s="239">
        <f>'c-SVM-Block'!J73</f>
        <v>0</v>
      </c>
    </row>
    <row r="88" spans="2:3" ht="14.25" customHeight="1" x14ac:dyDescent="0.25">
      <c r="B88" s="208" t="str">
        <f>'c-SVM-Block'!M83</f>
        <v>shpsan-block-01-i01-02</v>
      </c>
      <c r="C88" s="239" t="str">
        <f>'c-SVM-Block'!J83</f>
        <v>192.168.21.11</v>
      </c>
    </row>
    <row r="89" spans="2:3" ht="14.25" customHeight="1" x14ac:dyDescent="0.25">
      <c r="B89" s="208" t="str">
        <f>'c-SVM-Block'!M84</f>
        <v>shpsan-block-01-i02-02</v>
      </c>
      <c r="C89" s="239" t="str">
        <f>'c-SVM-Block'!J84</f>
        <v>192.168.21.12</v>
      </c>
    </row>
    <row r="90" spans="2:3" ht="14.25" customHeight="1" x14ac:dyDescent="0.25">
      <c r="B90" s="208" t="str">
        <f>'c-SVM-Block'!M85</f>
        <v xml:space="preserve"> </v>
      </c>
      <c r="C90" s="239">
        <f>'c-SVM-Block'!J85</f>
        <v>0</v>
      </c>
    </row>
    <row r="91" spans="2:3" ht="14.25" customHeight="1" x14ac:dyDescent="0.25">
      <c r="B91" s="208" t="str">
        <f>'c-SVM-Block'!M86</f>
        <v xml:space="preserve"> </v>
      </c>
      <c r="C91" s="239">
        <f>'c-SVM-Block'!J86</f>
        <v>0</v>
      </c>
    </row>
    <row r="92" spans="2:3" ht="14.25" customHeight="1" x14ac:dyDescent="0.25">
      <c r="B92" s="208" t="str">
        <f>'c-SVM-Block'!M87</f>
        <v xml:space="preserve"> </v>
      </c>
      <c r="C92" s="239">
        <f>'c-SVM-Block'!J87</f>
        <v>0</v>
      </c>
    </row>
    <row r="93" spans="2:3" ht="14.25" customHeight="1" x14ac:dyDescent="0.25">
      <c r="B93" s="208" t="str">
        <f>'c-SVM-Block'!M88</f>
        <v xml:space="preserve"> </v>
      </c>
      <c r="C93" s="239">
        <f>'c-SVM-Block'!J88</f>
        <v>0</v>
      </c>
    </row>
    <row r="94" spans="2:3" ht="14.25" customHeight="1" x14ac:dyDescent="0.25">
      <c r="B94" s="208" t="str">
        <f>'c-SVM-Block'!M89</f>
        <v xml:space="preserve"> </v>
      </c>
      <c r="C94" s="239">
        <f>'c-SVM-Block'!J89</f>
        <v>0</v>
      </c>
    </row>
    <row r="95" spans="2:3" ht="14.25" customHeight="1" x14ac:dyDescent="0.25">
      <c r="B95" s="208" t="str">
        <f>'c-SVM-Block'!M90</f>
        <v xml:space="preserve"> </v>
      </c>
      <c r="C95" s="239">
        <f>'c-SVM-Block'!J90</f>
        <v>0</v>
      </c>
    </row>
    <row r="96" spans="2:3" ht="14.25" customHeight="1" x14ac:dyDescent="0.25">
      <c r="B96" s="208" t="str">
        <f>'c-SVM-HyperV'!M25</f>
        <v>shpsan-hyperv-01-admin</v>
      </c>
      <c r="C96" s="239">
        <f>'c-SVM-HyperV'!J25</f>
        <v>0</v>
      </c>
    </row>
    <row r="97" spans="2:3" ht="14.25" customHeight="1" x14ac:dyDescent="0.25">
      <c r="B97" s="208" t="str">
        <f>'c-SVM-HyperV'!M35</f>
        <v>shpsan-hyperv-01-01</v>
      </c>
      <c r="C97" s="239">
        <f>'c-SVM-HyperV'!J35</f>
        <v>0</v>
      </c>
    </row>
    <row r="98" spans="2:3" ht="14.25" customHeight="1" x14ac:dyDescent="0.25">
      <c r="B98" s="208" t="str">
        <f>'c-SVM-HyperV'!M36</f>
        <v>shpsan-hyperv-01-02</v>
      </c>
      <c r="C98" s="239">
        <f>'c-SVM-HyperV'!J36</f>
        <v>0</v>
      </c>
    </row>
    <row r="99" spans="2:3" ht="14.25" customHeight="1" x14ac:dyDescent="0.25">
      <c r="B99" s="208" t="str">
        <f>'c-SVM-HyperV'!M37</f>
        <v/>
      </c>
      <c r="C99" s="239">
        <f>'c-SVM-HyperV'!J37</f>
        <v>0</v>
      </c>
    </row>
    <row r="100" spans="2:3" ht="14.25" customHeight="1" x14ac:dyDescent="0.25">
      <c r="B100" s="208" t="str">
        <f>'c-SVM-HyperV'!M38</f>
        <v/>
      </c>
      <c r="C100" s="239">
        <f>'c-SVM-HyperV'!J38</f>
        <v>0</v>
      </c>
    </row>
    <row r="101" spans="2:3" ht="14.25" customHeight="1" x14ac:dyDescent="0.25">
      <c r="B101" s="208" t="str">
        <f>'c-SVM-HyperV'!M39</f>
        <v/>
      </c>
      <c r="C101" s="239">
        <f>'c-SVM-HyperV'!J39</f>
        <v>0</v>
      </c>
    </row>
    <row r="102" spans="2:3" ht="14.25" customHeight="1" x14ac:dyDescent="0.25">
      <c r="B102" s="208" t="str">
        <f>'c-SVM-HyperV'!M40</f>
        <v/>
      </c>
      <c r="C102" s="239">
        <f>'c-SVM-HyperV'!J40</f>
        <v>0</v>
      </c>
    </row>
    <row r="103" spans="2:3" ht="14.25" customHeight="1" x14ac:dyDescent="0.25">
      <c r="B103" s="208" t="str">
        <f>'c-SVM-HyperV'!M41</f>
        <v/>
      </c>
      <c r="C103" s="239">
        <f>'c-SVM-HyperV'!J41</f>
        <v>0</v>
      </c>
    </row>
    <row r="104" spans="2:3" ht="14.25" customHeight="1" x14ac:dyDescent="0.25">
      <c r="B104" s="208" t="str">
        <f>'c-SVM-HyperV'!M42</f>
        <v/>
      </c>
      <c r="C104" s="239">
        <f>'c-SVM-HyperV'!J42</f>
        <v>0</v>
      </c>
    </row>
    <row r="105" spans="2:3" ht="14.25" customHeight="1" x14ac:dyDescent="0.25">
      <c r="B105" s="208" t="str">
        <f>'c-SVM-InfiniteVol'!M25</f>
        <v>shpsan-infinitevol-01-admin</v>
      </c>
      <c r="C105" s="239">
        <f>'c-SVM-InfiniteVol'!J25</f>
        <v>0</v>
      </c>
    </row>
    <row r="106" spans="2:3" ht="14.25" customHeight="1" x14ac:dyDescent="0.25">
      <c r="B106" s="208" t="str">
        <f>'c-SVM-InfiniteVol'!M35</f>
        <v>shpsan-infinitevol-01-01</v>
      </c>
      <c r="C106" s="239">
        <f>'c-SVM-InfiniteVol'!J35</f>
        <v>0</v>
      </c>
    </row>
    <row r="107" spans="2:3" ht="14.25" customHeight="1" x14ac:dyDescent="0.25">
      <c r="B107" s="208" t="str">
        <f>'c-SVM-InfiniteVol'!M36</f>
        <v>shpsan-infinitevol-01-02</v>
      </c>
      <c r="C107" s="239">
        <f>'c-SVM-InfiniteVol'!J36</f>
        <v>0</v>
      </c>
    </row>
    <row r="108" spans="2:3" ht="14.25" customHeight="1" x14ac:dyDescent="0.25">
      <c r="B108" s="208" t="str">
        <f>'c-SVM-InfiniteVol'!M37</f>
        <v/>
      </c>
      <c r="C108" s="239">
        <f>'c-SVM-InfiniteVol'!J37</f>
        <v>0</v>
      </c>
    </row>
    <row r="109" spans="2:3" ht="14.25" customHeight="1" x14ac:dyDescent="0.25">
      <c r="B109" s="208" t="str">
        <f>'c-SVM-InfiniteVol'!M38</f>
        <v/>
      </c>
      <c r="C109" s="239">
        <f>'c-SVM-InfiniteVol'!J38</f>
        <v>0</v>
      </c>
    </row>
    <row r="110" spans="2:3" ht="14.25" customHeight="1" x14ac:dyDescent="0.25"/>
    <row r="111" spans="2:3" ht="14.25" hidden="1" customHeight="1" x14ac:dyDescent="0.25"/>
    <row r="112" spans="2:3" ht="14.25" hidden="1" customHeight="1" x14ac:dyDescent="0.25">
      <c r="B112" s="242" t="s">
        <v>1132</v>
      </c>
    </row>
    <row r="113" spans="2:3" ht="9.75" hidden="1" customHeight="1" x14ac:dyDescent="0.25">
      <c r="B113" s="242"/>
    </row>
    <row r="114" spans="2:3" ht="14.25" hidden="1" customHeight="1" thickBot="1" x14ac:dyDescent="0.3">
      <c r="B114" s="240" t="s">
        <v>1126</v>
      </c>
      <c r="C114" s="240" t="s">
        <v>71</v>
      </c>
    </row>
    <row r="115" spans="2:3" ht="14.25" hidden="1" customHeight="1" x14ac:dyDescent="0.25">
      <c r="B115" s="248" t="str">
        <f>CONCATENATE(Inventory!C27,":A")</f>
        <v>:A</v>
      </c>
      <c r="C115" s="249">
        <f>Inventory!O27</f>
        <v>0</v>
      </c>
    </row>
    <row r="116" spans="2:3" ht="14.25" hidden="1" customHeight="1" x14ac:dyDescent="0.25">
      <c r="B116" s="243" t="str">
        <f>CONCATENATE(Inventory!C27,":B")</f>
        <v>:B</v>
      </c>
      <c r="C116" s="239">
        <f>Inventory!R27</f>
        <v>0</v>
      </c>
    </row>
    <row r="117" spans="2:3" ht="14.25" hidden="1" customHeight="1" x14ac:dyDescent="0.25">
      <c r="B117" s="243" t="str">
        <f>CONCATENATE(Inventory!C28,":A")</f>
        <v>:A</v>
      </c>
      <c r="C117" s="239">
        <f>Inventory!O28</f>
        <v>0</v>
      </c>
    </row>
    <row r="118" spans="2:3" ht="14.25" hidden="1" customHeight="1" x14ac:dyDescent="0.25">
      <c r="B118" s="243" t="str">
        <f>CONCATENATE(Inventory!C28,":B")</f>
        <v>:B</v>
      </c>
      <c r="C118" s="239">
        <f>Inventory!R28</f>
        <v>0</v>
      </c>
    </row>
    <row r="119" spans="2:3" ht="14.25" hidden="1" customHeight="1" x14ac:dyDescent="0.25">
      <c r="B119" s="243" t="str">
        <f>CONCATENATE('E-Series'!C37,":",'E-Series'!G37)</f>
        <v>:</v>
      </c>
      <c r="C119" s="239">
        <f>'E-Series'!I37</f>
        <v>0</v>
      </c>
    </row>
    <row r="120" spans="2:3" ht="14.25" hidden="1" customHeight="1" x14ac:dyDescent="0.25">
      <c r="B120" s="243" t="str">
        <f>CONCATENATE('E-Series'!C38,":",'E-Series'!G38)</f>
        <v>:</v>
      </c>
      <c r="C120" s="239">
        <f>'E-Series'!I38</f>
        <v>0</v>
      </c>
    </row>
    <row r="121" spans="2:3" ht="14.25" hidden="1" customHeight="1" x14ac:dyDescent="0.25">
      <c r="B121" s="243" t="str">
        <f>CONCATENATE('E-Series'!C39,":",'E-Series'!G39)</f>
        <v>:</v>
      </c>
      <c r="C121" s="239">
        <f>'E-Series'!I39</f>
        <v>0</v>
      </c>
    </row>
    <row r="122" spans="2:3" ht="14.25" hidden="1" customHeight="1" x14ac:dyDescent="0.25">
      <c r="B122" s="243" t="str">
        <f>CONCATENATE('E-Series'!C40,":",'E-Series'!G40)</f>
        <v>:</v>
      </c>
      <c r="C122" s="239">
        <f>'E-Series'!I40</f>
        <v>0</v>
      </c>
    </row>
    <row r="123" spans="2:3" ht="14.25" hidden="1" customHeight="1" x14ac:dyDescent="0.25">
      <c r="B123" s="242"/>
    </row>
    <row r="124" spans="2:3" ht="14.25" hidden="1" customHeight="1" x14ac:dyDescent="0.25"/>
    <row r="125" spans="2:3" ht="14.25" hidden="1" customHeight="1" x14ac:dyDescent="0.25">
      <c r="B125" s="242" t="s">
        <v>1129</v>
      </c>
    </row>
    <row r="126" spans="2:3" ht="8.25" hidden="1" customHeight="1" x14ac:dyDescent="0.25"/>
    <row r="127" spans="2:3" ht="14.25" hidden="1" customHeight="1" thickBot="1" x14ac:dyDescent="0.3">
      <c r="B127" s="240" t="s">
        <v>1126</v>
      </c>
      <c r="C127" s="240" t="s">
        <v>71</v>
      </c>
    </row>
    <row r="128" spans="2:3" ht="14.25" hidden="1" customHeight="1" x14ac:dyDescent="0.25">
      <c r="B128" s="248">
        <f>MetroCluster!G9</f>
        <v>0</v>
      </c>
      <c r="C128" s="249">
        <f>MetroCluster!J9</f>
        <v>0</v>
      </c>
    </row>
    <row r="129" spans="2:3" ht="14.25" hidden="1" customHeight="1" x14ac:dyDescent="0.25">
      <c r="B129" s="243">
        <f>MetroCluster!G10</f>
        <v>0</v>
      </c>
      <c r="C129" s="239">
        <f>MetroCluster!J10</f>
        <v>0</v>
      </c>
    </row>
    <row r="130" spans="2:3" ht="14.25" hidden="1" customHeight="1" x14ac:dyDescent="0.25">
      <c r="B130" s="243">
        <f>MetroCluster!G11</f>
        <v>0</v>
      </c>
      <c r="C130" s="239">
        <f>MetroCluster!J11</f>
        <v>0</v>
      </c>
    </row>
    <row r="131" spans="2:3" ht="14.25" hidden="1" customHeight="1" x14ac:dyDescent="0.25">
      <c r="B131" s="243">
        <f>MetroCluster!G12</f>
        <v>0</v>
      </c>
      <c r="C131" s="239">
        <f>MetroCluster!J12</f>
        <v>0</v>
      </c>
    </row>
    <row r="132" spans="2:3" ht="14.25" hidden="1" customHeight="1" x14ac:dyDescent="0.25">
      <c r="B132" s="243">
        <f>MetroCluster!I16</f>
        <v>0</v>
      </c>
      <c r="C132" s="239">
        <f>MetroCluster!L16</f>
        <v>0</v>
      </c>
    </row>
    <row r="133" spans="2:3" ht="14.25" hidden="1" customHeight="1" x14ac:dyDescent="0.25">
      <c r="B133" s="243">
        <f>MetroCluster!I17</f>
        <v>0</v>
      </c>
      <c r="C133" s="239">
        <f>MetroCluster!L17</f>
        <v>0</v>
      </c>
    </row>
    <row r="134" spans="2:3" ht="14.25" hidden="1" customHeight="1" x14ac:dyDescent="0.25">
      <c r="B134" s="243">
        <f>MetroCluster!I18</f>
        <v>0</v>
      </c>
      <c r="C134" s="239">
        <f>MetroCluster!L18</f>
        <v>0</v>
      </c>
    </row>
    <row r="135" spans="2:3" ht="14.25" hidden="1" customHeight="1" x14ac:dyDescent="0.25">
      <c r="B135" s="243">
        <f>MetroCluster!I19</f>
        <v>0</v>
      </c>
      <c r="C135" s="239">
        <f>MetroCluster!L19</f>
        <v>0</v>
      </c>
    </row>
    <row r="136" spans="2:3" ht="14.25" hidden="1" customHeight="1" x14ac:dyDescent="0.25">
      <c r="B136" s="243">
        <f>MetroCluster!I20</f>
        <v>0</v>
      </c>
      <c r="C136" s="239">
        <f>MetroCluster!L20</f>
        <v>0</v>
      </c>
    </row>
    <row r="137" spans="2:3" ht="14.25" hidden="1" customHeight="1" x14ac:dyDescent="0.25">
      <c r="B137" s="243">
        <f>MetroCluster!I21</f>
        <v>0</v>
      </c>
      <c r="C137" s="239">
        <f>MetroCluster!L21</f>
        <v>0</v>
      </c>
    </row>
    <row r="138" spans="2:3" ht="14.25" hidden="1" customHeight="1" x14ac:dyDescent="0.25">
      <c r="B138" s="243">
        <f>MetroCluster!I22</f>
        <v>0</v>
      </c>
      <c r="C138" s="239">
        <f>MetroCluster!L22</f>
        <v>0</v>
      </c>
    </row>
    <row r="139" spans="2:3" ht="14.25" hidden="1" customHeight="1" x14ac:dyDescent="0.25">
      <c r="B139" s="243">
        <f>MetroCluster!I23</f>
        <v>0</v>
      </c>
      <c r="C139" s="239">
        <f>MetroCluster!L23</f>
        <v>0</v>
      </c>
    </row>
    <row r="140" spans="2:3" ht="14.25" hidden="1" customHeight="1" x14ac:dyDescent="0.25"/>
    <row r="141" spans="2:3" ht="14.25" hidden="1" customHeight="1" x14ac:dyDescent="0.25"/>
    <row r="142" spans="2:3" ht="14.25" hidden="1" customHeight="1" x14ac:dyDescent="0.25">
      <c r="B142" s="242" t="s">
        <v>1131</v>
      </c>
    </row>
    <row r="143" spans="2:3" ht="9.75" hidden="1" customHeight="1" x14ac:dyDescent="0.25"/>
    <row r="144" spans="2:3" ht="14.25" hidden="1" customHeight="1" thickBot="1" x14ac:dyDescent="0.3">
      <c r="B144" s="240" t="s">
        <v>1126</v>
      </c>
      <c r="C144" s="240" t="s">
        <v>71</v>
      </c>
    </row>
    <row r="145" spans="2:3" ht="14.25" hidden="1" customHeight="1" x14ac:dyDescent="0.25">
      <c r="B145" s="248" t="str">
        <f>UCS!F39</f>
        <v>-9k-a</v>
      </c>
      <c r="C145" s="249">
        <f>UCS!O40</f>
        <v>0</v>
      </c>
    </row>
    <row r="146" spans="2:3" ht="14.25" hidden="1" customHeight="1" x14ac:dyDescent="0.25">
      <c r="B146" s="243" t="str">
        <f>UCS!F40</f>
        <v>-9k-b</v>
      </c>
      <c r="C146" s="239">
        <f>UCS!O41</f>
        <v>0</v>
      </c>
    </row>
    <row r="147" spans="2:3" ht="14.25" hidden="1" customHeight="1" x14ac:dyDescent="0.25">
      <c r="B147" s="243" t="str">
        <f>Inventory!C97</f>
        <v>-3048-a</v>
      </c>
      <c r="C147" s="238">
        <f>Inventory!Q97</f>
        <v>0</v>
      </c>
    </row>
    <row r="148" spans="2:3" ht="14.25" hidden="1" customHeight="1" x14ac:dyDescent="0.25">
      <c r="B148" s="243" t="str">
        <f>Inventory!C98</f>
        <v>-3048-b</v>
      </c>
      <c r="C148" s="238">
        <f>Inventory!Q98</f>
        <v>0</v>
      </c>
    </row>
    <row r="149" spans="2:3" ht="14.25" hidden="1" customHeight="1" x14ac:dyDescent="0.25">
      <c r="B149" s="243">
        <f>UCS!F46</f>
        <v>0</v>
      </c>
      <c r="C149" s="238">
        <f>UCS!O47</f>
        <v>0</v>
      </c>
    </row>
    <row r="150" spans="2:3" ht="14.25" hidden="1" customHeight="1" x14ac:dyDescent="0.25">
      <c r="B150" s="243" t="str">
        <f>UCS!F47</f>
        <v>-a</v>
      </c>
      <c r="C150" s="238">
        <f>UCS!O48</f>
        <v>0</v>
      </c>
    </row>
    <row r="151" spans="2:3" ht="14.25" hidden="1" customHeight="1" x14ac:dyDescent="0.25">
      <c r="B151" s="243" t="str">
        <f>UCS!F48</f>
        <v>-b</v>
      </c>
      <c r="C151" s="238">
        <f>UCS!O49</f>
        <v>0</v>
      </c>
    </row>
    <row r="152" spans="2:3" ht="14.25" hidden="1" customHeight="1" x14ac:dyDescent="0.25">
      <c r="B152" s="243" t="str">
        <f>UCS!B53</f>
        <v xml:space="preserve">KVM/Management IP Pool: </v>
      </c>
      <c r="C152" s="238" t="str">
        <f>CONCATENATE(UCS!F53," : ",UCS!J53)</f>
        <v xml:space="preserve"> : </v>
      </c>
    </row>
    <row r="153" spans="2:3" ht="14.25" hidden="1" customHeight="1" x14ac:dyDescent="0.25">
      <c r="B153" s="243" t="str">
        <f>UCS!B81</f>
        <v xml:space="preserve">IP iscsi-a block: </v>
      </c>
      <c r="C153" s="238" t="str">
        <f>CONCATENATE(UCS!F81," - ",UCS!J81)</f>
        <v xml:space="preserve"> - </v>
      </c>
    </row>
    <row r="154" spans="2:3" ht="14.25" hidden="1" customHeight="1" x14ac:dyDescent="0.25">
      <c r="B154" s="243" t="str">
        <f>UCS!B86</f>
        <v xml:space="preserve">IP iscsi-b block: </v>
      </c>
      <c r="C154" s="238" t="str">
        <f>CONCATENATE(UCS!F86," - ",UCS!J86)</f>
        <v xml:space="preserve"> - </v>
      </c>
    </row>
    <row r="155" spans="2:3" ht="14.25" hidden="1" customHeight="1" x14ac:dyDescent="0.25">
      <c r="B155" s="286">
        <f>UCS!B138</f>
        <v>0</v>
      </c>
      <c r="C155" s="282">
        <f>UCS!E138</f>
        <v>0</v>
      </c>
    </row>
    <row r="156" spans="2:3" ht="14.25" hidden="1" customHeight="1" x14ac:dyDescent="0.25">
      <c r="B156" s="286">
        <f>UCS!B139</f>
        <v>0</v>
      </c>
      <c r="C156" s="282">
        <f>UCS!E139</f>
        <v>0</v>
      </c>
    </row>
    <row r="157" spans="2:3" ht="14.25" hidden="1" customHeight="1" x14ac:dyDescent="0.25">
      <c r="B157" s="286">
        <f>UCS!B140</f>
        <v>0</v>
      </c>
      <c r="C157" s="282">
        <f>UCS!E140</f>
        <v>0</v>
      </c>
    </row>
    <row r="158" spans="2:3" ht="14.25" hidden="1" customHeight="1" x14ac:dyDescent="0.25">
      <c r="B158" s="286">
        <f>UCS!B141</f>
        <v>0</v>
      </c>
      <c r="C158" s="282">
        <f>UCS!E141</f>
        <v>0</v>
      </c>
    </row>
    <row r="159" spans="2:3" ht="14.25" hidden="1" customHeight="1" x14ac:dyDescent="0.25">
      <c r="B159" s="286">
        <f>UCS!B142</f>
        <v>0</v>
      </c>
      <c r="C159" s="282">
        <f>UCS!E142</f>
        <v>0</v>
      </c>
    </row>
    <row r="160" spans="2:3" ht="14.25" hidden="1" customHeight="1" x14ac:dyDescent="0.25">
      <c r="B160" s="51"/>
      <c r="C160" s="284"/>
    </row>
    <row r="161" spans="2:3" ht="14.25" hidden="1" customHeight="1" x14ac:dyDescent="0.25"/>
    <row r="162" spans="2:3" ht="14.25" hidden="1" customHeight="1" x14ac:dyDescent="0.25"/>
    <row r="163" spans="2:3" ht="14.25" hidden="1" customHeight="1" x14ac:dyDescent="0.25">
      <c r="B163" s="242" t="s">
        <v>1133</v>
      </c>
    </row>
    <row r="164" spans="2:3" ht="6.75" hidden="1" customHeight="1" x14ac:dyDescent="0.25"/>
    <row r="165" spans="2:3" ht="14.25" hidden="1" customHeight="1" thickBot="1" x14ac:dyDescent="0.3">
      <c r="B165" s="240" t="s">
        <v>1126</v>
      </c>
      <c r="C165" s="240" t="s">
        <v>71</v>
      </c>
    </row>
    <row r="166" spans="2:3" ht="14.25" hidden="1" customHeight="1" x14ac:dyDescent="0.25">
      <c r="B166" s="248" t="str">
        <f>Inventory!C47</f>
        <v>vCOPS Analytics (no host name)</v>
      </c>
      <c r="C166" s="249">
        <f>Inventory!T47</f>
        <v>0</v>
      </c>
    </row>
    <row r="167" spans="2:3" ht="14.25" hidden="1" customHeight="1" x14ac:dyDescent="0.25">
      <c r="B167" s="243">
        <f>Inventory!C48</f>
        <v>0</v>
      </c>
      <c r="C167" s="239">
        <f>Inventory!T48</f>
        <v>0</v>
      </c>
    </row>
    <row r="168" spans="2:3" ht="14.25" hidden="1" customHeight="1" x14ac:dyDescent="0.25">
      <c r="B168" s="243" t="str">
        <f>CONCATENATE(VMware!C43,":mgmt")</f>
        <v>:mgmt</v>
      </c>
      <c r="C168" s="239">
        <f>VMware!K43</f>
        <v>0</v>
      </c>
    </row>
    <row r="169" spans="2:3" ht="14.25" hidden="1" customHeight="1" x14ac:dyDescent="0.25">
      <c r="B169" s="243" t="str">
        <f>CONCATENATE(VMware!C43,":vMotion")</f>
        <v>:vMotion</v>
      </c>
      <c r="C169" s="239">
        <f>VMware!N43</f>
        <v>0</v>
      </c>
    </row>
    <row r="170" spans="2:3" ht="14.25" hidden="1" customHeight="1" x14ac:dyDescent="0.25">
      <c r="B170" s="243" t="str">
        <f>CONCATENATE(VMware!C43,":NFS")</f>
        <v>:NFS</v>
      </c>
      <c r="C170" s="239">
        <f>VMware!Q43</f>
        <v>0</v>
      </c>
    </row>
    <row r="171" spans="2:3" ht="14.25" hidden="1" customHeight="1" x14ac:dyDescent="0.25">
      <c r="B171" s="243" t="str">
        <f>CONCATENATE(VMware!C43,":iSCSI-A")</f>
        <v>:iSCSI-A</v>
      </c>
      <c r="C171" s="239">
        <f>VMware!T43</f>
        <v>0</v>
      </c>
    </row>
    <row r="172" spans="2:3" ht="14.25" hidden="1" customHeight="1" x14ac:dyDescent="0.25">
      <c r="B172" s="243" t="str">
        <f>CONCATENATE(VMware!C43,":iSCSI-B")</f>
        <v>:iSCSI-B</v>
      </c>
      <c r="C172" s="239">
        <f>VMware!W43</f>
        <v>0</v>
      </c>
    </row>
    <row r="173" spans="2:3" ht="14.25" hidden="1" customHeight="1" x14ac:dyDescent="0.25">
      <c r="B173" s="243" t="str">
        <f>CONCATENATE(VMware!C44,":mgmt")</f>
        <v>:mgmt</v>
      </c>
      <c r="C173" s="239">
        <f>VMware!K44</f>
        <v>0</v>
      </c>
    </row>
    <row r="174" spans="2:3" ht="14.25" hidden="1" customHeight="1" x14ac:dyDescent="0.25">
      <c r="B174" s="243" t="str">
        <f>CONCATENATE(VMware!C44,":vMotion")</f>
        <v>:vMotion</v>
      </c>
      <c r="C174" s="239">
        <f>VMware!N44</f>
        <v>0</v>
      </c>
    </row>
    <row r="175" spans="2:3" ht="14.25" hidden="1" customHeight="1" x14ac:dyDescent="0.25">
      <c r="B175" s="243" t="str">
        <f>CONCATENATE(VMware!C44,":NFS")</f>
        <v>:NFS</v>
      </c>
      <c r="C175" s="239">
        <f>VMware!Q44</f>
        <v>0</v>
      </c>
    </row>
    <row r="176" spans="2:3" ht="14.25" hidden="1" customHeight="1" x14ac:dyDescent="0.25">
      <c r="B176" s="243" t="str">
        <f>CONCATENATE(VMware!C44,":iSCSI-A")</f>
        <v>:iSCSI-A</v>
      </c>
      <c r="C176" s="239">
        <f>VMware!T44</f>
        <v>0</v>
      </c>
    </row>
    <row r="177" spans="2:3" ht="14.25" hidden="1" customHeight="1" x14ac:dyDescent="0.25">
      <c r="B177" s="243" t="str">
        <f>CONCATENATE(VMware!C44,":iSCSI-B")</f>
        <v>:iSCSI-B</v>
      </c>
      <c r="C177" s="239">
        <f>VMware!W44</f>
        <v>0</v>
      </c>
    </row>
    <row r="178" spans="2:3" ht="14.25" hidden="1" customHeight="1" x14ac:dyDescent="0.25">
      <c r="B178" s="243" t="str">
        <f>CONCATENATE(VMware!C45,":mgmt")</f>
        <v>:mgmt</v>
      </c>
      <c r="C178" s="239">
        <f>VMware!K45</f>
        <v>0</v>
      </c>
    </row>
    <row r="179" spans="2:3" ht="14.25" hidden="1" customHeight="1" x14ac:dyDescent="0.25">
      <c r="B179" s="243" t="str">
        <f>CONCATENATE(VMware!C45,":vMotion")</f>
        <v>:vMotion</v>
      </c>
      <c r="C179" s="239">
        <f>VMware!N45</f>
        <v>0</v>
      </c>
    </row>
    <row r="180" spans="2:3" ht="14.25" hidden="1" customHeight="1" x14ac:dyDescent="0.25">
      <c r="B180" s="243" t="str">
        <f>CONCATENATE(VMware!C45,":NFS")</f>
        <v>:NFS</v>
      </c>
      <c r="C180" s="239">
        <f>VMware!Q45</f>
        <v>0</v>
      </c>
    </row>
    <row r="181" spans="2:3" ht="14.25" hidden="1" customHeight="1" x14ac:dyDescent="0.25">
      <c r="B181" s="243" t="str">
        <f>CONCATENATE(VMware!C45,":iSCSI-A")</f>
        <v>:iSCSI-A</v>
      </c>
      <c r="C181" s="239">
        <f>VMware!T45</f>
        <v>0</v>
      </c>
    </row>
    <row r="182" spans="2:3" ht="14.25" hidden="1" customHeight="1" x14ac:dyDescent="0.25">
      <c r="B182" s="243" t="str">
        <f>CONCATENATE(VMware!C45,":iSCSI-B")</f>
        <v>:iSCSI-B</v>
      </c>
      <c r="C182" s="239">
        <f>VMware!W45</f>
        <v>0</v>
      </c>
    </row>
    <row r="183" spans="2:3" ht="14.25" hidden="1" customHeight="1" x14ac:dyDescent="0.25">
      <c r="B183" s="243" t="str">
        <f>CONCATENATE(VMware!C46,":mgmt")</f>
        <v>:mgmt</v>
      </c>
      <c r="C183" s="239">
        <f>VMware!K46</f>
        <v>0</v>
      </c>
    </row>
    <row r="184" spans="2:3" ht="14.25" hidden="1" customHeight="1" x14ac:dyDescent="0.25">
      <c r="B184" s="243" t="str">
        <f>CONCATENATE(VMware!C46,":vMotion")</f>
        <v>:vMotion</v>
      </c>
      <c r="C184" s="239">
        <f>VMware!N46</f>
        <v>0</v>
      </c>
    </row>
    <row r="185" spans="2:3" ht="14.25" hidden="1" customHeight="1" x14ac:dyDescent="0.25">
      <c r="B185" s="243" t="str">
        <f>CONCATENATE(VMware!C46,":NFS")</f>
        <v>:NFS</v>
      </c>
      <c r="C185" s="239">
        <f>VMware!Q46</f>
        <v>0</v>
      </c>
    </row>
    <row r="186" spans="2:3" ht="14.25" hidden="1" customHeight="1" x14ac:dyDescent="0.25">
      <c r="B186" s="243" t="str">
        <f>CONCATENATE(VMware!C46,":iSCSI-A")</f>
        <v>:iSCSI-A</v>
      </c>
      <c r="C186" s="239">
        <f>VMware!T46</f>
        <v>0</v>
      </c>
    </row>
    <row r="187" spans="2:3" ht="14.25" hidden="1" customHeight="1" x14ac:dyDescent="0.25">
      <c r="B187" s="243" t="str">
        <f>CONCATENATE(VMware!C46,":iSCSI-B")</f>
        <v>:iSCSI-B</v>
      </c>
      <c r="C187" s="239">
        <f>VMware!W46</f>
        <v>0</v>
      </c>
    </row>
    <row r="188" spans="2:3" ht="14.25" hidden="1" customHeight="1" x14ac:dyDescent="0.25">
      <c r="B188" s="243" t="str">
        <f>CONCATENATE(VMware!C47,":mgmt")</f>
        <v>:mgmt</v>
      </c>
      <c r="C188" s="239">
        <f>VMware!K47</f>
        <v>0</v>
      </c>
    </row>
    <row r="189" spans="2:3" ht="14.25" hidden="1" customHeight="1" x14ac:dyDescent="0.25">
      <c r="B189" s="243" t="str">
        <f>CONCATENATE(VMware!C47,":vMotion")</f>
        <v>:vMotion</v>
      </c>
      <c r="C189" s="239">
        <f>VMware!N47</f>
        <v>0</v>
      </c>
    </row>
    <row r="190" spans="2:3" ht="14.25" hidden="1" customHeight="1" x14ac:dyDescent="0.25">
      <c r="B190" s="243" t="str">
        <f>CONCATENATE(VMware!C47,":NFS")</f>
        <v>:NFS</v>
      </c>
      <c r="C190" s="239">
        <f>VMware!Q47</f>
        <v>0</v>
      </c>
    </row>
    <row r="191" spans="2:3" ht="14.25" hidden="1" customHeight="1" x14ac:dyDescent="0.25">
      <c r="B191" s="243" t="str">
        <f>CONCATENATE(VMware!C47,":iSCSI-A")</f>
        <v>:iSCSI-A</v>
      </c>
      <c r="C191" s="239">
        <f>VMware!T47</f>
        <v>0</v>
      </c>
    </row>
    <row r="192" spans="2:3" ht="14.25" hidden="1" customHeight="1" x14ac:dyDescent="0.25">
      <c r="B192" s="243" t="str">
        <f>CONCATENATE(VMware!C47,":iSCSI-B")</f>
        <v>:iSCSI-B</v>
      </c>
      <c r="C192" s="239">
        <f>VMware!W47</f>
        <v>0</v>
      </c>
    </row>
    <row r="193" spans="2:3" ht="14.25" hidden="1" customHeight="1" x14ac:dyDescent="0.25">
      <c r="B193" s="243" t="str">
        <f>CONCATENATE(VMware!C48,":mgmt")</f>
        <v>:mgmt</v>
      </c>
      <c r="C193" s="239">
        <f>VMware!K48</f>
        <v>0</v>
      </c>
    </row>
    <row r="194" spans="2:3" ht="14.25" hidden="1" customHeight="1" x14ac:dyDescent="0.25">
      <c r="B194" s="243" t="str">
        <f>CONCATENATE(VMware!C48,":vMotion")</f>
        <v>:vMotion</v>
      </c>
      <c r="C194" s="239">
        <f>VMware!N48</f>
        <v>0</v>
      </c>
    </row>
    <row r="195" spans="2:3" ht="14.25" hidden="1" customHeight="1" x14ac:dyDescent="0.25">
      <c r="B195" s="243" t="str">
        <f>CONCATENATE(VMware!C48,":NFS")</f>
        <v>:NFS</v>
      </c>
      <c r="C195" s="239">
        <f>VMware!Q48</f>
        <v>0</v>
      </c>
    </row>
    <row r="196" spans="2:3" ht="14.25" hidden="1" customHeight="1" x14ac:dyDescent="0.25">
      <c r="B196" s="243" t="str">
        <f>CONCATENATE(VMware!C48,":iSCSI-A")</f>
        <v>:iSCSI-A</v>
      </c>
      <c r="C196" s="239">
        <f>VMware!T48</f>
        <v>0</v>
      </c>
    </row>
    <row r="197" spans="2:3" ht="14.25" hidden="1" customHeight="1" x14ac:dyDescent="0.25">
      <c r="B197" s="243" t="str">
        <f>CONCATENATE(VMware!C48,":iSCSI-B")</f>
        <v>:iSCSI-B</v>
      </c>
      <c r="C197" s="239">
        <f>VMware!W48</f>
        <v>0</v>
      </c>
    </row>
    <row r="198" spans="2:3" ht="14.25" hidden="1" customHeight="1" x14ac:dyDescent="0.25">
      <c r="B198" s="243" t="str">
        <f>CONCATENATE(VMware!C49,":mgmt")</f>
        <v>:mgmt</v>
      </c>
      <c r="C198" s="239" t="str">
        <f>VMware!K49</f>
        <v>255.255.255.0</v>
      </c>
    </row>
    <row r="199" spans="2:3" ht="14.25" hidden="1" customHeight="1" x14ac:dyDescent="0.25">
      <c r="B199" s="243" t="str">
        <f>CONCATENATE(VMware!C49,":vMotion")</f>
        <v>:vMotion</v>
      </c>
      <c r="C199" s="239" t="str">
        <f>VMware!N49</f>
        <v>10.126.131.1</v>
      </c>
    </row>
    <row r="200" spans="2:3" ht="14.25" hidden="1" customHeight="1" x14ac:dyDescent="0.25">
      <c r="B200" s="243" t="str">
        <f>CONCATENATE(VMware!C49,":NFS")</f>
        <v>:NFS</v>
      </c>
      <c r="C200" s="239">
        <f>VMware!Q49</f>
        <v>0</v>
      </c>
    </row>
    <row r="201" spans="2:3" ht="14.25" hidden="1" customHeight="1" x14ac:dyDescent="0.25">
      <c r="B201" s="243" t="str">
        <f>CONCATENATE(VMware!C49,":iSCSI-A")</f>
        <v>:iSCSI-A</v>
      </c>
      <c r="C201" s="239">
        <f>VMware!T49</f>
        <v>0</v>
      </c>
    </row>
    <row r="202" spans="2:3" ht="14.25" hidden="1" customHeight="1" x14ac:dyDescent="0.25">
      <c r="B202" s="243" t="str">
        <f>CONCATENATE(VMware!C49,":iSCSI-B")</f>
        <v>:iSCSI-B</v>
      </c>
      <c r="C202" s="239">
        <f>VMware!W49</f>
        <v>0</v>
      </c>
    </row>
    <row r="203" spans="2:3" ht="14.25" hidden="1" customHeight="1" x14ac:dyDescent="0.25">
      <c r="B203" s="243" t="str">
        <f>CONCATENATE(VMware!C50,":mgmt")</f>
        <v>:mgmt</v>
      </c>
      <c r="C203" s="239">
        <f>VMware!K50</f>
        <v>0</v>
      </c>
    </row>
    <row r="204" spans="2:3" ht="14.25" hidden="1" customHeight="1" x14ac:dyDescent="0.25">
      <c r="B204" s="243" t="str">
        <f>CONCATENATE(VMware!C50,":vMotion")</f>
        <v>:vMotion</v>
      </c>
      <c r="C204" s="239">
        <f>VMware!N50</f>
        <v>0</v>
      </c>
    </row>
    <row r="205" spans="2:3" ht="14.25" hidden="1" customHeight="1" x14ac:dyDescent="0.25">
      <c r="B205" s="243" t="str">
        <f>CONCATENATE(VMware!C50,":NFS")</f>
        <v>:NFS</v>
      </c>
      <c r="C205" s="239">
        <f>VMware!Q50</f>
        <v>0</v>
      </c>
    </row>
    <row r="206" spans="2:3" ht="14.25" hidden="1" customHeight="1" x14ac:dyDescent="0.25">
      <c r="B206" s="243" t="str">
        <f>CONCATENATE(VMware!C50,":iSCSI-A")</f>
        <v>:iSCSI-A</v>
      </c>
      <c r="C206" s="239">
        <f>VMware!T50</f>
        <v>0</v>
      </c>
    </row>
    <row r="207" spans="2:3" ht="14.25" hidden="1" customHeight="1" x14ac:dyDescent="0.25">
      <c r="B207" s="243" t="str">
        <f>CONCATENATE(VMware!C50,":iSCSI-B")</f>
        <v>:iSCSI-B</v>
      </c>
      <c r="C207" s="239">
        <f>VMware!W50</f>
        <v>0</v>
      </c>
    </row>
    <row r="208" spans="2:3" ht="14.25" hidden="1" customHeight="1" x14ac:dyDescent="0.25"/>
    <row r="209" spans="2:3" ht="14.25" hidden="1" customHeight="1" x14ac:dyDescent="0.25"/>
    <row r="210" spans="2:3" ht="14.25" hidden="1" customHeight="1" x14ac:dyDescent="0.25">
      <c r="B210" s="242" t="s">
        <v>1153</v>
      </c>
    </row>
    <row r="211" spans="2:3" ht="10.5" hidden="1" customHeight="1" x14ac:dyDescent="0.25"/>
    <row r="212" spans="2:3" ht="14.25" hidden="1" customHeight="1" thickBot="1" x14ac:dyDescent="0.3">
      <c r="B212" s="240" t="s">
        <v>1126</v>
      </c>
      <c r="C212" s="240" t="s">
        <v>71</v>
      </c>
    </row>
    <row r="213" spans="2:3" ht="14.25" hidden="1" customHeight="1" x14ac:dyDescent="0.25">
      <c r="B213" s="248">
        <f>Inventory!C72</f>
        <v>0</v>
      </c>
      <c r="C213" s="249">
        <f>Inventory!S72</f>
        <v>0</v>
      </c>
    </row>
    <row r="214" spans="2:3" ht="14.25" hidden="1" customHeight="1" x14ac:dyDescent="0.25">
      <c r="B214" s="243">
        <f>Inventory!C73</f>
        <v>0</v>
      </c>
      <c r="C214" s="238">
        <f>Inventory!S73</f>
        <v>0</v>
      </c>
    </row>
    <row r="215" spans="2:3" ht="14.25" hidden="1" customHeight="1" x14ac:dyDescent="0.25">
      <c r="B215" s="243">
        <f>Inventory!C74</f>
        <v>0</v>
      </c>
      <c r="C215" s="238">
        <f>Inventory!S74</f>
        <v>0</v>
      </c>
    </row>
    <row r="216" spans="2:3" ht="14.25" hidden="1" customHeight="1" x14ac:dyDescent="0.25">
      <c r="B216" s="243">
        <f>Inventory!C75</f>
        <v>0</v>
      </c>
      <c r="C216" s="238">
        <f>Inventory!S75</f>
        <v>0</v>
      </c>
    </row>
    <row r="217" spans="2:3" ht="14.25" hidden="1" customHeight="1" x14ac:dyDescent="0.25">
      <c r="B217" s="243">
        <f>Inventory!C39</f>
        <v>0</v>
      </c>
      <c r="C217" s="238">
        <f>Inventory!T39</f>
        <v>0</v>
      </c>
    </row>
    <row r="218" spans="2:3" ht="14.25" hidden="1" customHeight="1" x14ac:dyDescent="0.25">
      <c r="B218" s="243">
        <f>Inventory!C40</f>
        <v>0</v>
      </c>
      <c r="C218" s="239">
        <f>Inventory!T40</f>
        <v>0</v>
      </c>
    </row>
    <row r="219" spans="2:3" ht="14.25" hidden="1" customHeight="1" x14ac:dyDescent="0.25">
      <c r="B219" s="243">
        <f>Inventory!C41</f>
        <v>0</v>
      </c>
      <c r="C219" s="239">
        <f>Inventory!T41</f>
        <v>0</v>
      </c>
    </row>
    <row r="220" spans="2:3" ht="14.25" hidden="1" customHeight="1" x14ac:dyDescent="0.25">
      <c r="B220" s="243">
        <f>Inventory!C42</f>
        <v>0</v>
      </c>
      <c r="C220" s="239">
        <f>Inventory!T42</f>
        <v>0</v>
      </c>
    </row>
    <row r="221" spans="2:3" ht="14.25" hidden="1" customHeight="1" x14ac:dyDescent="0.25">
      <c r="B221" s="243">
        <f>Inventory!C43</f>
        <v>0</v>
      </c>
      <c r="C221" s="239">
        <f>Inventory!T43</f>
        <v>0</v>
      </c>
    </row>
    <row r="222" spans="2:3" ht="14.25" hidden="1" customHeight="1" x14ac:dyDescent="0.25">
      <c r="B222" s="243">
        <f>Inventory!C44</f>
        <v>0</v>
      </c>
      <c r="C222" s="239">
        <f>Inventory!T44</f>
        <v>0</v>
      </c>
    </row>
    <row r="223" spans="2:3" ht="14.25" hidden="1" customHeight="1" x14ac:dyDescent="0.25">
      <c r="B223" s="262">
        <f>Inventory!C45</f>
        <v>0</v>
      </c>
      <c r="C223" s="239">
        <f>Inventory!T45</f>
        <v>0</v>
      </c>
    </row>
    <row r="224" spans="2:3" ht="14.25" hidden="1" customHeight="1" x14ac:dyDescent="0.25">
      <c r="B224" s="262">
        <f>Inventory!C46</f>
        <v>0</v>
      </c>
      <c r="C224" s="254">
        <f>Inventory!T46</f>
        <v>0</v>
      </c>
    </row>
    <row r="225" spans="2:3" ht="14.25" hidden="1" customHeight="1" x14ac:dyDescent="0.25">
      <c r="B225" s="262" t="str">
        <f>Inventory!C47</f>
        <v>vCOPS Analytics (no host name)</v>
      </c>
      <c r="C225" s="254">
        <f>Inventory!T47</f>
        <v>0</v>
      </c>
    </row>
    <row r="226" spans="2:3" ht="14.25" hidden="1" customHeight="1" x14ac:dyDescent="0.25">
      <c r="B226" s="262">
        <f>Inventory!C48</f>
        <v>0</v>
      </c>
      <c r="C226" s="254">
        <f>Inventory!T48</f>
        <v>0</v>
      </c>
    </row>
    <row r="227" spans="2:3" ht="14.25" hidden="1" customHeight="1" x14ac:dyDescent="0.25">
      <c r="B227" s="262">
        <f>Inventory!C49</f>
        <v>0</v>
      </c>
      <c r="C227" s="254">
        <f>Inventory!T49</f>
        <v>0</v>
      </c>
    </row>
    <row r="228" spans="2:3" ht="14.25" hidden="1" customHeight="1" x14ac:dyDescent="0.25">
      <c r="B228" s="269">
        <f>Inventory!C50</f>
        <v>0</v>
      </c>
      <c r="C228" s="265">
        <f>Inventory!T50</f>
        <v>0</v>
      </c>
    </row>
    <row r="229" spans="2:3" ht="14.25" hidden="1" customHeight="1" x14ac:dyDescent="0.25">
      <c r="B229" s="269">
        <f>Inventory!C51</f>
        <v>0</v>
      </c>
      <c r="C229" s="265">
        <f>Inventory!T51</f>
        <v>0</v>
      </c>
    </row>
    <row r="230" spans="2:3" ht="14.25" hidden="1" customHeight="1" x14ac:dyDescent="0.25">
      <c r="B230" s="262">
        <f>Inventory!C52</f>
        <v>0</v>
      </c>
      <c r="C230" s="254">
        <f>Inventory!T52</f>
        <v>0</v>
      </c>
    </row>
    <row r="231" spans="2:3" ht="14.25" hidden="1" customHeight="1" x14ac:dyDescent="0.25">
      <c r="B231" s="262">
        <f>Inventory!C53</f>
        <v>0</v>
      </c>
      <c r="C231" s="254">
        <f>Inventory!T53</f>
        <v>0</v>
      </c>
    </row>
    <row r="232" spans="2:3" ht="14.25" hidden="1" customHeight="1" x14ac:dyDescent="0.25"/>
    <row r="233" spans="2:3" ht="14.25" hidden="1" customHeight="1" x14ac:dyDescent="0.25"/>
    <row r="234" spans="2:3" ht="14.25" hidden="1" customHeight="1" x14ac:dyDescent="0.25"/>
    <row r="235" spans="2:3" ht="14.25" customHeight="1" x14ac:dyDescent="0.25"/>
    <row r="236" spans="2:3" ht="14.25" customHeight="1" x14ac:dyDescent="0.25"/>
    <row r="237" spans="2:3" ht="14.25" customHeight="1" x14ac:dyDescent="0.25"/>
    <row r="238" spans="2:3" ht="14.25" customHeight="1" x14ac:dyDescent="0.25"/>
    <row r="239" spans="2:3" ht="14.25" customHeight="1" x14ac:dyDescent="0.25"/>
    <row r="240" spans="2:3" ht="14.25" customHeight="1" x14ac:dyDescent="0.25"/>
    <row r="241" ht="14.25" customHeight="1" x14ac:dyDescent="0.25"/>
  </sheetData>
  <mergeCells count="4">
    <mergeCell ref="D9:G9"/>
    <mergeCell ref="D11:G11"/>
    <mergeCell ref="D13:G13"/>
    <mergeCell ref="D17:G17"/>
  </mergeCells>
  <printOptions gridLines="1"/>
  <pageMargins left="0.75" right="0.25" top="0.25" bottom="0.75" header="0.3" footer="0.3"/>
  <pageSetup paperSize="3" fitToHeight="0" orientation="landscape" r:id="rId1"/>
  <headerFooter>
    <oddFooter>&amp;R&amp;A
&amp;P</oddFooter>
  </headerFooter>
  <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70C0"/>
    <pageSetUpPr fitToPage="1"/>
  </sheetPr>
  <dimension ref="A2:V240"/>
  <sheetViews>
    <sheetView workbookViewId="0">
      <pane ySplit="4" topLeftCell="A206" activePane="bottomLeft" state="frozenSplit"/>
      <selection activeCell="N65" sqref="N65:P65"/>
      <selection pane="bottomLeft" activeCell="N65" sqref="N65:P65"/>
    </sheetView>
  </sheetViews>
  <sheetFormatPr defaultColWidth="7.140625" defaultRowHeight="10.5" x14ac:dyDescent="0.25"/>
  <cols>
    <col min="1" max="1" width="1.42578125" style="35" customWidth="1"/>
    <col min="2" max="2" width="35.7109375" style="35" customWidth="1"/>
    <col min="3" max="3" width="28.85546875" style="35" customWidth="1"/>
    <col min="4" max="4" width="10.140625" style="35" customWidth="1"/>
    <col min="5" max="5" width="7.140625" style="35"/>
    <col min="6" max="6" width="7.140625" style="35" customWidth="1"/>
    <col min="7" max="13" width="7.140625" style="35"/>
    <col min="14" max="14" width="7.140625" style="35" customWidth="1"/>
    <col min="15" max="16384" width="7.140625" style="35"/>
  </cols>
  <sheetData>
    <row r="2" spans="1:22" ht="30.75" customHeight="1" x14ac:dyDescent="0.25">
      <c r="A2" s="2" t="s">
        <v>1</v>
      </c>
      <c r="B2" s="247"/>
      <c r="C2" s="83"/>
      <c r="P2" s="1" t="s">
        <v>1135</v>
      </c>
    </row>
    <row r="3" spans="1:22" ht="9" customHeight="1" x14ac:dyDescent="0.25">
      <c r="B3" s="83"/>
      <c r="C3" s="83"/>
    </row>
    <row r="4" spans="1:22" ht="15" x14ac:dyDescent="0.25">
      <c r="A4" s="5" t="s">
        <v>1123</v>
      </c>
      <c r="B4" s="83"/>
      <c r="C4" s="83"/>
      <c r="T4" s="35" t="s">
        <v>0</v>
      </c>
    </row>
    <row r="5" spans="1:22" ht="14.25" customHeight="1" x14ac:dyDescent="0.25">
      <c r="B5" s="83"/>
      <c r="C5" s="83"/>
    </row>
    <row r="6" spans="1:22" ht="14.25" customHeight="1" x14ac:dyDescent="0.25">
      <c r="B6" s="111" t="s">
        <v>1134</v>
      </c>
      <c r="C6" s="83"/>
    </row>
    <row r="7" spans="1:22" ht="6" customHeight="1" x14ac:dyDescent="0.25">
      <c r="B7" s="111"/>
      <c r="C7" s="241"/>
    </row>
    <row r="8" spans="1:22" ht="14.25" customHeight="1" thickBot="1" x14ac:dyDescent="0.3">
      <c r="B8" s="240" t="s">
        <v>1126</v>
      </c>
      <c r="C8" s="240" t="s">
        <v>71</v>
      </c>
      <c r="D8" s="83"/>
      <c r="E8" s="83"/>
      <c r="F8" s="83"/>
      <c r="G8" s="83"/>
    </row>
    <row r="9" spans="1:22" ht="14.25" customHeight="1" x14ac:dyDescent="0.25">
      <c r="B9" s="208" t="str">
        <f>'IP Summary'!B9</f>
        <v>shpsan-01.speedcast.com</v>
      </c>
      <c r="C9" s="250">
        <f>'IP Summary'!C9</f>
        <v>0</v>
      </c>
      <c r="D9" s="474" t="s">
        <v>1130</v>
      </c>
      <c r="E9" s="474"/>
      <c r="F9" s="474"/>
      <c r="G9" s="474"/>
    </row>
    <row r="10" spans="1:22" ht="14.25" customHeight="1" x14ac:dyDescent="0.25">
      <c r="B10" s="208" t="str">
        <f>'IP Summary'!B10</f>
        <v>shpsan-02.speedcast.com</v>
      </c>
      <c r="C10" s="250">
        <f>'IP Summary'!C10</f>
        <v>0</v>
      </c>
    </row>
    <row r="11" spans="1:22" ht="14.25" customHeight="1" x14ac:dyDescent="0.25">
      <c r="B11" s="208" t="str">
        <f>'IP Summary'!B11</f>
        <v>shpsan-01-sp.speedcast.com</v>
      </c>
      <c r="C11" s="250" t="str">
        <f>'IP Summary'!C11</f>
        <v>10.126.131.169</v>
      </c>
    </row>
    <row r="12" spans="1:22" ht="14.25" customHeight="1" x14ac:dyDescent="0.25">
      <c r="B12" s="208" t="str">
        <f>'IP Summary'!B12</f>
        <v>shpsan-02-sp.speedcast.com</v>
      </c>
      <c r="C12" s="250" t="str">
        <f>'IP Summary'!C12</f>
        <v>10.126.131.170</v>
      </c>
      <c r="F12" s="35" t="s">
        <v>1366</v>
      </c>
      <c r="O12" s="35" t="s">
        <v>1367</v>
      </c>
    </row>
    <row r="13" spans="1:22" ht="14.25" customHeight="1" x14ac:dyDescent="0.25">
      <c r="B13" s="208" t="str">
        <f>'IP Summary'!B13</f>
        <v>shpsan-01:</v>
      </c>
      <c r="C13" s="250">
        <f>'IP Summary'!C13</f>
        <v>0</v>
      </c>
      <c r="F13" s="35" t="s">
        <v>1369</v>
      </c>
      <c r="O13" s="35" t="s">
        <v>1368</v>
      </c>
    </row>
    <row r="14" spans="1:22" ht="14.25" customHeight="1" x14ac:dyDescent="0.25">
      <c r="B14" s="208" t="str">
        <f>'IP Summary'!B14</f>
        <v>shpsan-01:</v>
      </c>
      <c r="C14" s="250">
        <f>'IP Summary'!C14</f>
        <v>0</v>
      </c>
      <c r="V14" s="35">
        <v>77048</v>
      </c>
    </row>
    <row r="15" spans="1:22" ht="14.25" customHeight="1" x14ac:dyDescent="0.25">
      <c r="B15" s="208" t="str">
        <f>'IP Summary'!B15</f>
        <v>shpsan-01:</v>
      </c>
      <c r="C15" s="250">
        <f>'IP Summary'!C15</f>
        <v>0</v>
      </c>
    </row>
    <row r="16" spans="1:22" ht="14.25" customHeight="1" x14ac:dyDescent="0.25">
      <c r="B16" s="208" t="str">
        <f>'IP Summary'!B16</f>
        <v>shpsan-01:</v>
      </c>
      <c r="C16" s="250">
        <f>'IP Summary'!C16</f>
        <v>0</v>
      </c>
    </row>
    <row r="17" spans="2:17" ht="14.25" customHeight="1" x14ac:dyDescent="0.25">
      <c r="B17" s="208" t="str">
        <f>'IP Summary'!B17</f>
        <v>shpsan-01:</v>
      </c>
      <c r="C17" s="250">
        <f>'IP Summary'!C17</f>
        <v>0</v>
      </c>
    </row>
    <row r="18" spans="2:17" ht="14.25" customHeight="1" x14ac:dyDescent="0.25">
      <c r="B18" s="208" t="str">
        <f>'IP Summary'!B18</f>
        <v>shpsan-02:</v>
      </c>
      <c r="C18" s="250">
        <f>'IP Summary'!C18</f>
        <v>0</v>
      </c>
      <c r="F18" s="35" t="s">
        <v>1371</v>
      </c>
      <c r="Q18" s="35" t="s">
        <v>1370</v>
      </c>
    </row>
    <row r="19" spans="2:17" ht="14.25" customHeight="1" x14ac:dyDescent="0.25">
      <c r="B19" s="208" t="str">
        <f>'IP Summary'!B19</f>
        <v>shpsan-02:</v>
      </c>
      <c r="C19" s="250">
        <f>'IP Summary'!C19</f>
        <v>0</v>
      </c>
      <c r="F19" s="35" t="s">
        <v>1372</v>
      </c>
      <c r="Q19" s="35" t="s">
        <v>1373</v>
      </c>
    </row>
    <row r="20" spans="2:17" ht="14.25" customHeight="1" x14ac:dyDescent="0.25">
      <c r="B20" s="208" t="str">
        <f>'IP Summary'!B20</f>
        <v>shpsan-02:</v>
      </c>
      <c r="C20" s="250">
        <f>'IP Summary'!C20</f>
        <v>0</v>
      </c>
    </row>
    <row r="21" spans="2:17" ht="14.25" customHeight="1" x14ac:dyDescent="0.25">
      <c r="B21" s="208" t="str">
        <f>'IP Summary'!B21</f>
        <v>shpsan-02:</v>
      </c>
      <c r="C21" s="250">
        <f>'IP Summary'!C21</f>
        <v>0</v>
      </c>
    </row>
    <row r="22" spans="2:17" ht="14.25" customHeight="1" x14ac:dyDescent="0.25">
      <c r="B22" s="208" t="str">
        <f>'IP Summary'!B22</f>
        <v>shpsan-02:</v>
      </c>
      <c r="C22" s="250">
        <f>'IP Summary'!C22</f>
        <v>0</v>
      </c>
    </row>
    <row r="23" spans="2:17" ht="14.25" customHeight="1" x14ac:dyDescent="0.25">
      <c r="B23" s="208" t="str">
        <f>'IP Summary'!B23</f>
        <v>:</v>
      </c>
      <c r="C23" s="250">
        <f>'IP Summary'!C23</f>
        <v>0</v>
      </c>
    </row>
    <row r="24" spans="2:17" ht="14.25" customHeight="1" x14ac:dyDescent="0.25">
      <c r="B24" s="208" t="str">
        <f>'IP Summary'!B24</f>
        <v>:</v>
      </c>
      <c r="C24" s="250">
        <f>'IP Summary'!C24</f>
        <v>0</v>
      </c>
    </row>
    <row r="25" spans="2:17" ht="14.25" customHeight="1" x14ac:dyDescent="0.25">
      <c r="B25" s="208" t="str">
        <f>'IP Summary'!B25</f>
        <v>:</v>
      </c>
      <c r="C25" s="250">
        <f>'IP Summary'!C25</f>
        <v>0</v>
      </c>
      <c r="F25" s="35" t="s">
        <v>1372</v>
      </c>
    </row>
    <row r="26" spans="2:17" ht="14.25" customHeight="1" x14ac:dyDescent="0.25">
      <c r="B26" s="208" t="str">
        <f>'IP Summary'!B26</f>
        <v>:</v>
      </c>
      <c r="C26" s="250">
        <f>'IP Summary'!C26</f>
        <v>0</v>
      </c>
      <c r="F26" s="35" t="s">
        <v>1374</v>
      </c>
      <c r="I26" s="35" t="s">
        <v>1375</v>
      </c>
    </row>
    <row r="27" spans="2:17" ht="14.25" customHeight="1" x14ac:dyDescent="0.25">
      <c r="B27" s="208" t="str">
        <f>'IP Summary'!B27</f>
        <v>:</v>
      </c>
      <c r="C27" s="250">
        <f>'IP Summary'!C27</f>
        <v>0</v>
      </c>
    </row>
    <row r="28" spans="2:17" ht="14.25" customHeight="1" x14ac:dyDescent="0.25">
      <c r="B28" s="208">
        <f>'IP Summary'!B28</f>
        <v>0</v>
      </c>
      <c r="C28" s="250">
        <f>'IP Summary'!C28</f>
        <v>0</v>
      </c>
      <c r="F28" s="35" t="s">
        <v>1374</v>
      </c>
      <c r="I28" s="35" t="s">
        <v>1376</v>
      </c>
      <c r="Q28" s="35" t="s">
        <v>1374</v>
      </c>
    </row>
    <row r="29" spans="2:17" ht="14.25" customHeight="1" x14ac:dyDescent="0.25">
      <c r="B29" s="208">
        <f>'IP Summary'!B29</f>
        <v>0</v>
      </c>
      <c r="C29" s="250">
        <f>'IP Summary'!C29</f>
        <v>0</v>
      </c>
    </row>
    <row r="30" spans="2:17" ht="14.25" customHeight="1" x14ac:dyDescent="0.25">
      <c r="B30" s="208" t="str">
        <f>'IP Summary'!B30</f>
        <v>NetApp : cDOT Entries</v>
      </c>
      <c r="C30" s="250">
        <f>'IP Summary'!C30</f>
        <v>0</v>
      </c>
    </row>
    <row r="31" spans="2:17" ht="14.25" customHeight="1" x14ac:dyDescent="0.25">
      <c r="B31" s="208">
        <f>'IP Summary'!B31</f>
        <v>0</v>
      </c>
      <c r="C31" s="250">
        <f>'IP Summary'!C31</f>
        <v>0</v>
      </c>
    </row>
    <row r="32" spans="2:17" ht="14.25" customHeight="1" x14ac:dyDescent="0.25">
      <c r="B32" s="208" t="str">
        <f>'IP Summary'!B32</f>
        <v>Host/LIF</v>
      </c>
      <c r="C32" s="250" t="str">
        <f>'IP Summary'!C32</f>
        <v>IP Address</v>
      </c>
    </row>
    <row r="33" spans="2:14" ht="14.25" customHeight="1" x14ac:dyDescent="0.25">
      <c r="B33" s="208" t="str">
        <f>'IP Summary'!B33</f>
        <v>shpsan-sw-ci-01</v>
      </c>
      <c r="C33" s="250">
        <f>'IP Summary'!C33</f>
        <v>0</v>
      </c>
    </row>
    <row r="34" spans="2:14" ht="14.25" customHeight="1" x14ac:dyDescent="0.25">
      <c r="B34" s="208" t="str">
        <f>'IP Summary'!B34</f>
        <v>shpsan-sw-ci-02</v>
      </c>
      <c r="C34" s="250">
        <f>'IP Summary'!C34</f>
        <v>0</v>
      </c>
    </row>
    <row r="35" spans="2:14" ht="14.25" customHeight="1" x14ac:dyDescent="0.25">
      <c r="B35" s="208" t="str">
        <f>'IP Summary'!B35</f>
        <v>shpsan-sw-mgt-01</v>
      </c>
      <c r="C35" s="250">
        <f>'IP Summary'!C35</f>
        <v>0</v>
      </c>
      <c r="G35" s="35">
        <v>1852</v>
      </c>
      <c r="H35" s="35" t="s">
        <v>1377</v>
      </c>
      <c r="N35" s="35" t="s">
        <v>1378</v>
      </c>
    </row>
    <row r="36" spans="2:14" ht="14.25" customHeight="1" x14ac:dyDescent="0.25">
      <c r="B36" s="208" t="str">
        <f>'IP Summary'!B36</f>
        <v>shpsan-sw-mgt-02</v>
      </c>
      <c r="C36" s="250">
        <f>'IP Summary'!C36</f>
        <v>0</v>
      </c>
      <c r="G36" s="35">
        <v>1852</v>
      </c>
      <c r="H36" s="35" t="s">
        <v>1377</v>
      </c>
      <c r="N36" s="35" t="s">
        <v>1378</v>
      </c>
    </row>
    <row r="37" spans="2:14" ht="14.25" customHeight="1" x14ac:dyDescent="0.25">
      <c r="B37" s="208" t="str">
        <f>'IP Summary'!B37</f>
        <v>shpsan:cluster_mgmt</v>
      </c>
      <c r="C37" s="250" t="str">
        <f>'IP Summary'!C37</f>
        <v>10.126.131.173</v>
      </c>
    </row>
    <row r="38" spans="2:14" ht="14.25" customHeight="1" x14ac:dyDescent="0.25">
      <c r="B38" s="208" t="str">
        <f>'IP Summary'!B38</f>
        <v>shpsan-01:mgmt1</v>
      </c>
      <c r="C38" s="250" t="str">
        <f>'IP Summary'!C38</f>
        <v>10.126.131.171</v>
      </c>
    </row>
    <row r="39" spans="2:14" ht="14.25" customHeight="1" x14ac:dyDescent="0.25">
      <c r="B39" s="208" t="str">
        <f>'IP Summary'!B39</f>
        <v>shpsan-02:mgmt1</v>
      </c>
      <c r="C39" s="250" t="str">
        <f>'IP Summary'!C39</f>
        <v>10.126.131.172</v>
      </c>
      <c r="G39" s="35">
        <v>1852</v>
      </c>
      <c r="H39" s="35" t="s">
        <v>1377</v>
      </c>
      <c r="N39" s="35" t="s">
        <v>1378</v>
      </c>
    </row>
    <row r="40" spans="2:14" ht="14.25" customHeight="1" x14ac:dyDescent="0.25">
      <c r="B40" s="208" t="str">
        <f>'IP Summary'!B40</f>
        <v>:mgmt1</v>
      </c>
      <c r="C40" s="250">
        <f>'IP Summary'!C40</f>
        <v>0</v>
      </c>
    </row>
    <row r="41" spans="2:14" ht="14.25" customHeight="1" x14ac:dyDescent="0.25">
      <c r="B41" s="208" t="str">
        <f>'IP Summary'!B41</f>
        <v>:mgmt1</v>
      </c>
      <c r="C41" s="250">
        <f>'IP Summary'!C41</f>
        <v>0</v>
      </c>
    </row>
    <row r="42" spans="2:14" ht="14.25" customHeight="1" x14ac:dyDescent="0.25">
      <c r="B42" s="208" t="str">
        <f>'IP Summary'!B42</f>
        <v>:mgmt1</v>
      </c>
      <c r="C42" s="250">
        <f>'IP Summary'!C42</f>
        <v>0</v>
      </c>
    </row>
    <row r="43" spans="2:14" ht="14.25" customHeight="1" x14ac:dyDescent="0.25">
      <c r="B43" s="208" t="str">
        <f>'IP Summary'!B43</f>
        <v>:mgmt1</v>
      </c>
      <c r="C43" s="250">
        <f>'IP Summary'!C43</f>
        <v>0</v>
      </c>
    </row>
    <row r="44" spans="2:14" ht="14.25" customHeight="1" x14ac:dyDescent="0.25">
      <c r="B44" s="208" t="str">
        <f>'IP Summary'!B44</f>
        <v>:mgmt1</v>
      </c>
      <c r="C44" s="250">
        <f>'IP Summary'!C44</f>
        <v>0</v>
      </c>
    </row>
    <row r="45" spans="2:14" ht="14.25" customHeight="1" x14ac:dyDescent="0.25">
      <c r="B45" s="208" t="str">
        <f>'IP Summary'!B45</f>
        <v>:mgmt1</v>
      </c>
      <c r="C45" s="250">
        <f>'IP Summary'!C45</f>
        <v>0</v>
      </c>
    </row>
    <row r="46" spans="2:14" ht="14.25" customHeight="1" x14ac:dyDescent="0.25">
      <c r="B46" s="208" t="str">
        <f>'IP Summary'!B46</f>
        <v>shpsan-01:</v>
      </c>
      <c r="C46" s="250">
        <f>'IP Summary'!C46</f>
        <v>0</v>
      </c>
    </row>
    <row r="47" spans="2:14" ht="14.25" customHeight="1" x14ac:dyDescent="0.25">
      <c r="B47" s="208" t="str">
        <f>'IP Summary'!B47</f>
        <v>shpsan-02:</v>
      </c>
      <c r="C47" s="250">
        <f>'IP Summary'!C47</f>
        <v>0</v>
      </c>
    </row>
    <row r="48" spans="2:14" ht="14.25" customHeight="1" x14ac:dyDescent="0.25">
      <c r="B48" s="208" t="str">
        <f>'IP Summary'!B48</f>
        <v>:</v>
      </c>
      <c r="C48" s="250">
        <f>'IP Summary'!C48</f>
        <v>0</v>
      </c>
    </row>
    <row r="49" spans="2:14" ht="14.25" customHeight="1" x14ac:dyDescent="0.25">
      <c r="B49" s="208" t="str">
        <f>'IP Summary'!B49</f>
        <v>:</v>
      </c>
      <c r="C49" s="250">
        <f>'IP Summary'!C49</f>
        <v>0</v>
      </c>
      <c r="G49" s="35">
        <v>1852</v>
      </c>
      <c r="H49" s="35" t="s">
        <v>1377</v>
      </c>
      <c r="K49" s="35" t="s">
        <v>1349</v>
      </c>
      <c r="N49" s="35" t="s">
        <v>1378</v>
      </c>
    </row>
    <row r="50" spans="2:14" ht="14.25" customHeight="1" x14ac:dyDescent="0.25">
      <c r="B50" s="208" t="str">
        <f>'IP Summary'!B50</f>
        <v>:</v>
      </c>
      <c r="C50" s="250">
        <f>'IP Summary'!C50</f>
        <v>0</v>
      </c>
    </row>
    <row r="51" spans="2:14" ht="14.25" customHeight="1" x14ac:dyDescent="0.25">
      <c r="B51" s="208" t="str">
        <f>'IP Summary'!B51</f>
        <v>:</v>
      </c>
      <c r="C51" s="250">
        <f>'IP Summary'!C51</f>
        <v>0</v>
      </c>
    </row>
    <row r="52" spans="2:14" ht="14.25" customHeight="1" x14ac:dyDescent="0.25">
      <c r="B52" s="208" t="str">
        <f>'IP Summary'!B52</f>
        <v>:</v>
      </c>
      <c r="C52" s="250">
        <f>'IP Summary'!C52</f>
        <v>0</v>
      </c>
    </row>
    <row r="53" spans="2:14" ht="14.25" customHeight="1" x14ac:dyDescent="0.25">
      <c r="B53" s="208" t="str">
        <f>'IP Summary'!B53</f>
        <v>:</v>
      </c>
      <c r="C53" s="250">
        <f>'IP Summary'!C53</f>
        <v>0</v>
      </c>
      <c r="G53" s="35">
        <v>11</v>
      </c>
      <c r="H53" s="35" t="s">
        <v>1379</v>
      </c>
      <c r="K53" s="35" t="s">
        <v>1349</v>
      </c>
      <c r="N53" s="35" t="s">
        <v>1380</v>
      </c>
    </row>
    <row r="54" spans="2:14" ht="14.25" customHeight="1" x14ac:dyDescent="0.25">
      <c r="B54" s="208" t="str">
        <f>'IP Summary'!B54</f>
        <v>shpsan-01:NSE</v>
      </c>
      <c r="C54" s="250">
        <f>'IP Summary'!C54</f>
        <v>0</v>
      </c>
    </row>
    <row r="55" spans="2:14" ht="14.25" customHeight="1" x14ac:dyDescent="0.25">
      <c r="B55" s="208" t="str">
        <f>'IP Summary'!B55</f>
        <v>shpsan-02:NSE</v>
      </c>
      <c r="C55" s="250">
        <f>'IP Summary'!C55</f>
        <v>0</v>
      </c>
    </row>
    <row r="56" spans="2:14" ht="14.25" customHeight="1" x14ac:dyDescent="0.25">
      <c r="B56" s="208" t="str">
        <f>'IP Summary'!B56</f>
        <v>:NSE</v>
      </c>
      <c r="C56" s="250">
        <f>'IP Summary'!C56</f>
        <v>0</v>
      </c>
    </row>
    <row r="57" spans="2:14" ht="14.25" customHeight="1" x14ac:dyDescent="0.25">
      <c r="B57" s="208" t="str">
        <f>'IP Summary'!B57</f>
        <v>:NSE</v>
      </c>
      <c r="C57" s="250">
        <f>'IP Summary'!C57</f>
        <v>0</v>
      </c>
    </row>
    <row r="58" spans="2:14" ht="14.25" customHeight="1" x14ac:dyDescent="0.25">
      <c r="B58" s="208" t="str">
        <f>'IP Summary'!B58</f>
        <v>:NSE</v>
      </c>
      <c r="C58" s="250">
        <f>'IP Summary'!C58</f>
        <v>0</v>
      </c>
    </row>
    <row r="59" spans="2:14" ht="14.25" customHeight="1" x14ac:dyDescent="0.25">
      <c r="B59" s="208" t="str">
        <f>'IP Summary'!B59</f>
        <v>:NSE</v>
      </c>
      <c r="C59" s="250">
        <f>'IP Summary'!C59</f>
        <v>0</v>
      </c>
    </row>
    <row r="60" spans="2:14" ht="14.25" customHeight="1" x14ac:dyDescent="0.25">
      <c r="B60" s="208" t="str">
        <f>'IP Summary'!B60</f>
        <v>:NSE</v>
      </c>
      <c r="C60" s="250">
        <f>'IP Summary'!C60</f>
        <v>0</v>
      </c>
    </row>
    <row r="61" spans="2:14" ht="14.25" customHeight="1" x14ac:dyDescent="0.25">
      <c r="B61" s="208" t="str">
        <f>'IP Summary'!B61</f>
        <v>:NSE</v>
      </c>
      <c r="C61" s="250">
        <f>'IP Summary'!C61</f>
        <v>0</v>
      </c>
    </row>
    <row r="62" spans="2:14" ht="14.25" customHeight="1" x14ac:dyDescent="0.25">
      <c r="B62" s="208" t="str">
        <f>'IP Summary'!B62</f>
        <v>shpsan-nas-01-admin</v>
      </c>
      <c r="C62" s="250">
        <f>'IP Summary'!C62</f>
        <v>0</v>
      </c>
    </row>
    <row r="63" spans="2:14" ht="14.25" customHeight="1" x14ac:dyDescent="0.25">
      <c r="B63" s="208" t="str">
        <f>'IP Summary'!B63</f>
        <v>shpsan-nas-01-01</v>
      </c>
      <c r="C63" s="250" t="str">
        <f>'IP Summary'!C63</f>
        <v>10.126.131.177</v>
      </c>
    </row>
    <row r="64" spans="2:14" ht="14.25" customHeight="1" x14ac:dyDescent="0.25">
      <c r="B64" s="208" t="str">
        <f>'IP Summary'!B64</f>
        <v>shpsan-nas-01-02</v>
      </c>
      <c r="C64" s="250" t="str">
        <f>'IP Summary'!C64</f>
        <v>10.126.131.178</v>
      </c>
      <c r="G64" s="35">
        <v>1852</v>
      </c>
      <c r="H64" s="35" t="s">
        <v>1377</v>
      </c>
      <c r="K64" s="35" t="s">
        <v>1349</v>
      </c>
      <c r="N64" s="35" t="s">
        <v>1378</v>
      </c>
    </row>
    <row r="65" spans="2:3" ht="14.25" customHeight="1" x14ac:dyDescent="0.25">
      <c r="B65" s="208" t="str">
        <f>'IP Summary'!B65</f>
        <v/>
      </c>
      <c r="C65" s="250">
        <f>'IP Summary'!C65</f>
        <v>0</v>
      </c>
    </row>
    <row r="66" spans="2:3" ht="14.25" customHeight="1" x14ac:dyDescent="0.25">
      <c r="B66" s="208" t="str">
        <f>'IP Summary'!B66</f>
        <v/>
      </c>
      <c r="C66" s="250">
        <f>'IP Summary'!C66</f>
        <v>0</v>
      </c>
    </row>
    <row r="67" spans="2:3" ht="14.25" customHeight="1" x14ac:dyDescent="0.25">
      <c r="B67" s="208" t="str">
        <f>'IP Summary'!B67</f>
        <v/>
      </c>
      <c r="C67" s="250">
        <f>'IP Summary'!C67</f>
        <v>0</v>
      </c>
    </row>
    <row r="68" spans="2:3" ht="14.25" customHeight="1" x14ac:dyDescent="0.25">
      <c r="B68" s="208" t="str">
        <f>'IP Summary'!B68</f>
        <v/>
      </c>
      <c r="C68" s="250">
        <f>'IP Summary'!C68</f>
        <v>0</v>
      </c>
    </row>
    <row r="69" spans="2:3" ht="14.25" customHeight="1" x14ac:dyDescent="0.25">
      <c r="B69" s="208" t="str">
        <f>'IP Summary'!B69</f>
        <v/>
      </c>
      <c r="C69" s="250">
        <f>'IP Summary'!C69</f>
        <v>0</v>
      </c>
    </row>
    <row r="70" spans="2:3" ht="14.25" customHeight="1" x14ac:dyDescent="0.25">
      <c r="B70" s="208" t="str">
        <f>'IP Summary'!B70</f>
        <v/>
      </c>
      <c r="C70" s="250">
        <f>'IP Summary'!C70</f>
        <v>0</v>
      </c>
    </row>
    <row r="71" spans="2:3" ht="14.25" customHeight="1" x14ac:dyDescent="0.25">
      <c r="B71" s="208" t="str">
        <f>'IP Summary'!B71</f>
        <v>shpsan-nfs-01-admin</v>
      </c>
      <c r="C71" s="250" t="str">
        <f>'IP Summary'!C71</f>
        <v>192.168.12.13</v>
      </c>
    </row>
    <row r="72" spans="2:3" ht="14.25" customHeight="1" x14ac:dyDescent="0.25">
      <c r="B72" s="208" t="str">
        <f>'IP Summary'!B72</f>
        <v>shpsan-nfs-01-01</v>
      </c>
      <c r="C72" s="250" t="str">
        <f>'IP Summary'!C72</f>
        <v>192.168.30.11</v>
      </c>
    </row>
    <row r="73" spans="2:3" ht="14.25" customHeight="1" x14ac:dyDescent="0.25">
      <c r="B73" s="208" t="str">
        <f>'IP Summary'!B73</f>
        <v>shpsan-nfs-01-02</v>
      </c>
      <c r="C73" s="250" t="str">
        <f>'IP Summary'!C73</f>
        <v>192.168.30.12</v>
      </c>
    </row>
    <row r="74" spans="2:3" ht="14.25" customHeight="1" x14ac:dyDescent="0.25">
      <c r="B74" s="208" t="str">
        <f>'IP Summary'!B74</f>
        <v/>
      </c>
      <c r="C74" s="250">
        <f>'IP Summary'!C74</f>
        <v>0</v>
      </c>
    </row>
    <row r="75" spans="2:3" ht="14.25" customHeight="1" x14ac:dyDescent="0.25">
      <c r="B75" s="208" t="str">
        <f>'IP Summary'!B75</f>
        <v/>
      </c>
      <c r="C75" s="250">
        <f>'IP Summary'!C75</f>
        <v>0</v>
      </c>
    </row>
    <row r="76" spans="2:3" ht="14.25" customHeight="1" x14ac:dyDescent="0.25">
      <c r="B76" s="208" t="str">
        <f>'IP Summary'!B76</f>
        <v/>
      </c>
      <c r="C76" s="250">
        <f>'IP Summary'!C76</f>
        <v>0</v>
      </c>
    </row>
    <row r="77" spans="2:3" ht="14.25" customHeight="1" x14ac:dyDescent="0.25">
      <c r="B77" s="208" t="str">
        <f>'IP Summary'!B77</f>
        <v/>
      </c>
      <c r="C77" s="250">
        <f>'IP Summary'!C77</f>
        <v>0</v>
      </c>
    </row>
    <row r="78" spans="2:3" ht="14.25" customHeight="1" x14ac:dyDescent="0.25">
      <c r="B78" s="208" t="str">
        <f>'IP Summary'!B78</f>
        <v/>
      </c>
      <c r="C78" s="250">
        <f>'IP Summary'!C78</f>
        <v>0</v>
      </c>
    </row>
    <row r="79" spans="2:3" ht="14.25" customHeight="1" x14ac:dyDescent="0.25">
      <c r="B79" s="208" t="str">
        <f>'IP Summary'!B79</f>
        <v/>
      </c>
      <c r="C79" s="250">
        <f>'IP Summary'!C79</f>
        <v>0</v>
      </c>
    </row>
    <row r="80" spans="2:3" ht="14.25" customHeight="1" x14ac:dyDescent="0.25">
      <c r="B80" s="208" t="str">
        <f>'IP Summary'!B80</f>
        <v>shpsan-block-01-admin</v>
      </c>
      <c r="C80" s="250" t="str">
        <f>'IP Summary'!C80</f>
        <v>10.126.131.179</v>
      </c>
    </row>
    <row r="81" spans="2:3" ht="14.25" customHeight="1" x14ac:dyDescent="0.25">
      <c r="B81" s="208" t="str">
        <f>'IP Summary'!B81</f>
        <v>shpsan-block-01-i01-01</v>
      </c>
      <c r="C81" s="250" t="str">
        <f>'IP Summary'!C81</f>
        <v>192.168.20.11</v>
      </c>
    </row>
    <row r="82" spans="2:3" ht="14.25" customHeight="1" x14ac:dyDescent="0.25">
      <c r="B82" s="208" t="str">
        <f>'IP Summary'!B82</f>
        <v>shpsan-block-01-i02-01</v>
      </c>
      <c r="C82" s="250" t="str">
        <f>'IP Summary'!C82</f>
        <v>192.168.20.12</v>
      </c>
    </row>
    <row r="83" spans="2:3" ht="14.25" customHeight="1" x14ac:dyDescent="0.25">
      <c r="B83" s="208" t="str">
        <f>'IP Summary'!B83</f>
        <v xml:space="preserve"> </v>
      </c>
      <c r="C83" s="250">
        <f>'IP Summary'!C83</f>
        <v>0</v>
      </c>
    </row>
    <row r="84" spans="2:3" ht="14.25" customHeight="1" x14ac:dyDescent="0.25">
      <c r="B84" s="208" t="str">
        <f>'IP Summary'!B84</f>
        <v xml:space="preserve"> </v>
      </c>
      <c r="C84" s="250">
        <f>'IP Summary'!C84</f>
        <v>0</v>
      </c>
    </row>
    <row r="85" spans="2:3" ht="14.25" customHeight="1" x14ac:dyDescent="0.25">
      <c r="B85" s="208" t="str">
        <f>'IP Summary'!B85</f>
        <v xml:space="preserve"> </v>
      </c>
      <c r="C85" s="250">
        <f>'IP Summary'!C85</f>
        <v>0</v>
      </c>
    </row>
    <row r="86" spans="2:3" ht="14.25" customHeight="1" x14ac:dyDescent="0.25">
      <c r="B86" s="208" t="str">
        <f>'IP Summary'!B86</f>
        <v xml:space="preserve"> </v>
      </c>
      <c r="C86" s="250">
        <f>'IP Summary'!C86</f>
        <v>0</v>
      </c>
    </row>
    <row r="87" spans="2:3" ht="14.25" customHeight="1" x14ac:dyDescent="0.25">
      <c r="B87" s="208" t="str">
        <f>'IP Summary'!B87</f>
        <v xml:space="preserve"> </v>
      </c>
      <c r="C87" s="250">
        <f>'IP Summary'!C87</f>
        <v>0</v>
      </c>
    </row>
    <row r="88" spans="2:3" ht="14.25" customHeight="1" x14ac:dyDescent="0.25">
      <c r="B88" s="208" t="str">
        <f>'IP Summary'!B88</f>
        <v>shpsan-block-01-i01-02</v>
      </c>
      <c r="C88" s="250" t="str">
        <f>'IP Summary'!C88</f>
        <v>192.168.21.11</v>
      </c>
    </row>
    <row r="89" spans="2:3" ht="14.25" customHeight="1" x14ac:dyDescent="0.25">
      <c r="B89" s="208" t="str">
        <f>'IP Summary'!B89</f>
        <v>shpsan-block-01-i02-02</v>
      </c>
      <c r="C89" s="250" t="str">
        <f>'IP Summary'!C89</f>
        <v>192.168.21.12</v>
      </c>
    </row>
    <row r="90" spans="2:3" ht="14.25" customHeight="1" x14ac:dyDescent="0.25">
      <c r="B90" s="208" t="str">
        <f>'IP Summary'!B90</f>
        <v xml:space="preserve"> </v>
      </c>
      <c r="C90" s="250">
        <f>'IP Summary'!C90</f>
        <v>0</v>
      </c>
    </row>
    <row r="91" spans="2:3" ht="14.25" customHeight="1" x14ac:dyDescent="0.25">
      <c r="B91" s="208" t="str">
        <f>'IP Summary'!B91</f>
        <v xml:space="preserve"> </v>
      </c>
      <c r="C91" s="250">
        <f>'IP Summary'!C91</f>
        <v>0</v>
      </c>
    </row>
    <row r="92" spans="2:3" ht="14.25" customHeight="1" x14ac:dyDescent="0.25">
      <c r="B92" s="208" t="str">
        <f>'IP Summary'!B92</f>
        <v xml:space="preserve"> </v>
      </c>
      <c r="C92" s="250">
        <f>'IP Summary'!C92</f>
        <v>0</v>
      </c>
    </row>
    <row r="93" spans="2:3" ht="14.25" customHeight="1" x14ac:dyDescent="0.25">
      <c r="B93" s="208" t="str">
        <f>'IP Summary'!B93</f>
        <v xml:space="preserve"> </v>
      </c>
      <c r="C93" s="250">
        <f>'IP Summary'!C93</f>
        <v>0</v>
      </c>
    </row>
    <row r="94" spans="2:3" ht="14.25" customHeight="1" x14ac:dyDescent="0.25">
      <c r="B94" s="208" t="str">
        <f>'IP Summary'!B94</f>
        <v xml:space="preserve"> </v>
      </c>
      <c r="C94" s="250">
        <f>'IP Summary'!C94</f>
        <v>0</v>
      </c>
    </row>
    <row r="95" spans="2:3" ht="14.25" customHeight="1" x14ac:dyDescent="0.25">
      <c r="B95" s="208" t="str">
        <f>'IP Summary'!B95</f>
        <v xml:space="preserve"> </v>
      </c>
      <c r="C95" s="250">
        <f>'IP Summary'!C95</f>
        <v>0</v>
      </c>
    </row>
    <row r="96" spans="2:3" ht="14.25" customHeight="1" x14ac:dyDescent="0.25">
      <c r="B96" s="208" t="str">
        <f>'IP Summary'!B96</f>
        <v>shpsan-hyperv-01-admin</v>
      </c>
      <c r="C96" s="250">
        <f>'IP Summary'!C96</f>
        <v>0</v>
      </c>
    </row>
    <row r="97" spans="2:3" ht="14.25" customHeight="1" x14ac:dyDescent="0.25">
      <c r="B97" s="208" t="str">
        <f>'IP Summary'!B97</f>
        <v>shpsan-hyperv-01-01</v>
      </c>
      <c r="C97" s="250">
        <f>'IP Summary'!C97</f>
        <v>0</v>
      </c>
    </row>
    <row r="98" spans="2:3" ht="14.25" customHeight="1" x14ac:dyDescent="0.25">
      <c r="B98" s="208" t="str">
        <f>'IP Summary'!B98</f>
        <v>shpsan-hyperv-01-02</v>
      </c>
      <c r="C98" s="250">
        <f>'IP Summary'!C98</f>
        <v>0</v>
      </c>
    </row>
    <row r="99" spans="2:3" ht="14.25" customHeight="1" x14ac:dyDescent="0.25">
      <c r="B99" s="208" t="str">
        <f>'IP Summary'!B99</f>
        <v/>
      </c>
      <c r="C99" s="250">
        <f>'IP Summary'!C99</f>
        <v>0</v>
      </c>
    </row>
    <row r="100" spans="2:3" ht="14.25" customHeight="1" x14ac:dyDescent="0.25">
      <c r="B100" s="208" t="str">
        <f>'IP Summary'!B100</f>
        <v/>
      </c>
      <c r="C100" s="250">
        <f>'IP Summary'!C100</f>
        <v>0</v>
      </c>
    </row>
    <row r="101" spans="2:3" ht="14.25" customHeight="1" x14ac:dyDescent="0.25">
      <c r="B101" s="208" t="str">
        <f>'IP Summary'!B101</f>
        <v/>
      </c>
      <c r="C101" s="250">
        <f>'IP Summary'!C101</f>
        <v>0</v>
      </c>
    </row>
    <row r="102" spans="2:3" ht="14.25" customHeight="1" x14ac:dyDescent="0.25">
      <c r="B102" s="208" t="str">
        <f>'IP Summary'!B102</f>
        <v/>
      </c>
      <c r="C102" s="250">
        <f>'IP Summary'!C102</f>
        <v>0</v>
      </c>
    </row>
    <row r="103" spans="2:3" ht="14.25" customHeight="1" x14ac:dyDescent="0.25">
      <c r="B103" s="208" t="str">
        <f>'IP Summary'!B103</f>
        <v/>
      </c>
      <c r="C103" s="250">
        <f>'IP Summary'!C103</f>
        <v>0</v>
      </c>
    </row>
    <row r="104" spans="2:3" ht="14.25" customHeight="1" x14ac:dyDescent="0.25">
      <c r="B104" s="208" t="str">
        <f>'IP Summary'!B104</f>
        <v/>
      </c>
      <c r="C104" s="250">
        <f>'IP Summary'!C104</f>
        <v>0</v>
      </c>
    </row>
    <row r="105" spans="2:3" ht="14.25" customHeight="1" x14ac:dyDescent="0.25">
      <c r="B105" s="208" t="str">
        <f>'IP Summary'!B105</f>
        <v>shpsan-infinitevol-01-admin</v>
      </c>
      <c r="C105" s="250">
        <f>'IP Summary'!C105</f>
        <v>0</v>
      </c>
    </row>
    <row r="106" spans="2:3" ht="14.25" customHeight="1" x14ac:dyDescent="0.25">
      <c r="B106" s="208" t="str">
        <f>'IP Summary'!B106</f>
        <v>shpsan-infinitevol-01-01</v>
      </c>
      <c r="C106" s="250">
        <f>'IP Summary'!C106</f>
        <v>0</v>
      </c>
    </row>
    <row r="107" spans="2:3" ht="14.25" customHeight="1" x14ac:dyDescent="0.25">
      <c r="B107" s="208" t="str">
        <f>'IP Summary'!B107</f>
        <v>shpsan-infinitevol-01-02</v>
      </c>
      <c r="C107" s="250">
        <f>'IP Summary'!C107</f>
        <v>0</v>
      </c>
    </row>
    <row r="108" spans="2:3" ht="14.25" customHeight="1" x14ac:dyDescent="0.25">
      <c r="B108" s="208" t="str">
        <f>'IP Summary'!B108</f>
        <v/>
      </c>
      <c r="C108" s="250">
        <f>'IP Summary'!C108</f>
        <v>0</v>
      </c>
    </row>
    <row r="109" spans="2:3" ht="14.25" customHeight="1" x14ac:dyDescent="0.25">
      <c r="B109" s="208" t="str">
        <f>'IP Summary'!B109</f>
        <v/>
      </c>
      <c r="C109" s="250">
        <f>'IP Summary'!C109</f>
        <v>0</v>
      </c>
    </row>
    <row r="110" spans="2:3" ht="14.25" customHeight="1" x14ac:dyDescent="0.25">
      <c r="B110" s="208">
        <f>'IP Summary'!B110</f>
        <v>0</v>
      </c>
      <c r="C110" s="250">
        <f>'IP Summary'!C110</f>
        <v>0</v>
      </c>
    </row>
    <row r="111" spans="2:3" ht="14.25" customHeight="1" x14ac:dyDescent="0.25">
      <c r="B111" s="208">
        <f>'IP Summary'!B111</f>
        <v>0</v>
      </c>
      <c r="C111" s="250">
        <f>'IP Summary'!C111</f>
        <v>0</v>
      </c>
    </row>
    <row r="112" spans="2:3" ht="14.25" customHeight="1" x14ac:dyDescent="0.25">
      <c r="B112" s="208" t="str">
        <f>'IP Summary'!B112</f>
        <v>NetApp : E-Series Entries</v>
      </c>
      <c r="C112" s="250">
        <f>'IP Summary'!C112</f>
        <v>0</v>
      </c>
    </row>
    <row r="113" spans="2:3" ht="14.25" customHeight="1" x14ac:dyDescent="0.25">
      <c r="B113" s="208">
        <f>'IP Summary'!B113</f>
        <v>0</v>
      </c>
      <c r="C113" s="250">
        <f>'IP Summary'!C113</f>
        <v>0</v>
      </c>
    </row>
    <row r="114" spans="2:3" ht="14.25" customHeight="1" x14ac:dyDescent="0.25">
      <c r="B114" s="208" t="str">
        <f>'IP Summary'!B114</f>
        <v>Host/Interface</v>
      </c>
      <c r="C114" s="250" t="str">
        <f>'IP Summary'!C114</f>
        <v>IP Address</v>
      </c>
    </row>
    <row r="115" spans="2:3" ht="14.25" customHeight="1" x14ac:dyDescent="0.25">
      <c r="B115" s="208" t="str">
        <f>'IP Summary'!B115</f>
        <v>:A</v>
      </c>
      <c r="C115" s="250">
        <f>'IP Summary'!C115</f>
        <v>0</v>
      </c>
    </row>
    <row r="116" spans="2:3" ht="14.25" customHeight="1" x14ac:dyDescent="0.25">
      <c r="B116" s="208" t="str">
        <f>'IP Summary'!B116</f>
        <v>:B</v>
      </c>
      <c r="C116" s="250">
        <f>'IP Summary'!C116</f>
        <v>0</v>
      </c>
    </row>
    <row r="117" spans="2:3" ht="14.25" customHeight="1" x14ac:dyDescent="0.25">
      <c r="B117" s="208" t="str">
        <f>'IP Summary'!B117</f>
        <v>:A</v>
      </c>
      <c r="C117" s="250">
        <f>'IP Summary'!C117</f>
        <v>0</v>
      </c>
    </row>
    <row r="118" spans="2:3" ht="14.25" customHeight="1" x14ac:dyDescent="0.25">
      <c r="B118" s="208" t="str">
        <f>'IP Summary'!B118</f>
        <v>:B</v>
      </c>
      <c r="C118" s="250">
        <f>'IP Summary'!C118</f>
        <v>0</v>
      </c>
    </row>
    <row r="119" spans="2:3" ht="14.25" customHeight="1" x14ac:dyDescent="0.25">
      <c r="B119" s="208" t="str">
        <f>'IP Summary'!B119</f>
        <v>:</v>
      </c>
      <c r="C119" s="250">
        <f>'IP Summary'!C119</f>
        <v>0</v>
      </c>
    </row>
    <row r="120" spans="2:3" ht="14.25" customHeight="1" x14ac:dyDescent="0.25">
      <c r="B120" s="208" t="str">
        <f>'IP Summary'!B120</f>
        <v>:</v>
      </c>
      <c r="C120" s="250">
        <f>'IP Summary'!C120</f>
        <v>0</v>
      </c>
    </row>
    <row r="121" spans="2:3" ht="14.25" customHeight="1" x14ac:dyDescent="0.25">
      <c r="B121" s="208" t="str">
        <f>'IP Summary'!B121</f>
        <v>:</v>
      </c>
      <c r="C121" s="250">
        <f>'IP Summary'!C121</f>
        <v>0</v>
      </c>
    </row>
    <row r="122" spans="2:3" ht="14.25" customHeight="1" x14ac:dyDescent="0.25">
      <c r="B122" s="208" t="str">
        <f>'IP Summary'!B122</f>
        <v>:</v>
      </c>
      <c r="C122" s="250">
        <f>'IP Summary'!C122</f>
        <v>0</v>
      </c>
    </row>
    <row r="123" spans="2:3" ht="14.25" customHeight="1" x14ac:dyDescent="0.25">
      <c r="B123" s="208">
        <f>'IP Summary'!B123</f>
        <v>0</v>
      </c>
      <c r="C123" s="250">
        <f>'IP Summary'!C123</f>
        <v>0</v>
      </c>
    </row>
    <row r="124" spans="2:3" ht="14.25" customHeight="1" x14ac:dyDescent="0.25">
      <c r="B124" s="208">
        <f>'IP Summary'!B124</f>
        <v>0</v>
      </c>
      <c r="C124" s="250">
        <f>'IP Summary'!C124</f>
        <v>0</v>
      </c>
    </row>
    <row r="125" spans="2:3" ht="14.25" customHeight="1" x14ac:dyDescent="0.25">
      <c r="B125" s="208" t="str">
        <f>'IP Summary'!B125</f>
        <v>NetApp : MultiStore Entries</v>
      </c>
      <c r="C125" s="250">
        <f>'IP Summary'!C125</f>
        <v>0</v>
      </c>
    </row>
    <row r="126" spans="2:3" ht="14.25" customHeight="1" x14ac:dyDescent="0.25">
      <c r="B126" s="208">
        <f>'IP Summary'!B126</f>
        <v>0</v>
      </c>
      <c r="C126" s="250">
        <f>'IP Summary'!C126</f>
        <v>0</v>
      </c>
    </row>
    <row r="127" spans="2:3" ht="14.25" customHeight="1" x14ac:dyDescent="0.25">
      <c r="B127" s="208" t="str">
        <f>'IP Summary'!B127</f>
        <v>Host/Interface</v>
      </c>
      <c r="C127" s="250" t="str">
        <f>'IP Summary'!C127</f>
        <v>IP Address</v>
      </c>
    </row>
    <row r="128" spans="2:3" ht="14.25" customHeight="1" x14ac:dyDescent="0.25">
      <c r="B128" s="208">
        <f>'IP Summary'!B128</f>
        <v>0</v>
      </c>
      <c r="C128" s="250">
        <f>'IP Summary'!C128</f>
        <v>0</v>
      </c>
    </row>
    <row r="129" spans="2:3" ht="14.25" customHeight="1" x14ac:dyDescent="0.25">
      <c r="B129" s="208">
        <f>'IP Summary'!B129</f>
        <v>0</v>
      </c>
      <c r="C129" s="250">
        <f>'IP Summary'!C129</f>
        <v>0</v>
      </c>
    </row>
    <row r="130" spans="2:3" ht="14.25" customHeight="1" x14ac:dyDescent="0.25">
      <c r="B130" s="208">
        <f>'IP Summary'!B130</f>
        <v>0</v>
      </c>
      <c r="C130" s="250">
        <f>'IP Summary'!C130</f>
        <v>0</v>
      </c>
    </row>
    <row r="131" spans="2:3" ht="14.25" customHeight="1" x14ac:dyDescent="0.25">
      <c r="B131" s="208">
        <f>'IP Summary'!B131</f>
        <v>0</v>
      </c>
      <c r="C131" s="250">
        <f>'IP Summary'!C131</f>
        <v>0</v>
      </c>
    </row>
    <row r="132" spans="2:3" ht="14.25" customHeight="1" x14ac:dyDescent="0.25">
      <c r="B132" s="208">
        <f>'IP Summary'!B132</f>
        <v>0</v>
      </c>
      <c r="C132" s="250">
        <f>'IP Summary'!C132</f>
        <v>0</v>
      </c>
    </row>
    <row r="133" spans="2:3" ht="14.25" customHeight="1" x14ac:dyDescent="0.25">
      <c r="B133" s="208">
        <f>'IP Summary'!B133</f>
        <v>0</v>
      </c>
      <c r="C133" s="250">
        <f>'IP Summary'!C133</f>
        <v>0</v>
      </c>
    </row>
    <row r="134" spans="2:3" ht="14.25" customHeight="1" x14ac:dyDescent="0.25">
      <c r="B134" s="208">
        <f>'IP Summary'!B134</f>
        <v>0</v>
      </c>
      <c r="C134" s="250">
        <f>'IP Summary'!C134</f>
        <v>0</v>
      </c>
    </row>
    <row r="135" spans="2:3" ht="14.25" customHeight="1" x14ac:dyDescent="0.25">
      <c r="B135" s="208">
        <f>'IP Summary'!B135</f>
        <v>0</v>
      </c>
      <c r="C135" s="250">
        <f>'IP Summary'!C135</f>
        <v>0</v>
      </c>
    </row>
    <row r="136" spans="2:3" ht="14.25" customHeight="1" x14ac:dyDescent="0.25">
      <c r="B136" s="208">
        <f>'IP Summary'!B136</f>
        <v>0</v>
      </c>
      <c r="C136" s="250">
        <f>'IP Summary'!C136</f>
        <v>0</v>
      </c>
    </row>
    <row r="137" spans="2:3" ht="14.25" customHeight="1" x14ac:dyDescent="0.25">
      <c r="B137" s="208">
        <f>'IP Summary'!B137</f>
        <v>0</v>
      </c>
      <c r="C137" s="250">
        <f>'IP Summary'!C137</f>
        <v>0</v>
      </c>
    </row>
    <row r="138" spans="2:3" ht="14.25" customHeight="1" x14ac:dyDescent="0.25">
      <c r="B138" s="208">
        <f>'IP Summary'!B138</f>
        <v>0</v>
      </c>
      <c r="C138" s="250">
        <f>'IP Summary'!C138</f>
        <v>0</v>
      </c>
    </row>
    <row r="139" spans="2:3" ht="14.25" customHeight="1" x14ac:dyDescent="0.25">
      <c r="B139" s="208">
        <f>'IP Summary'!B139</f>
        <v>0</v>
      </c>
      <c r="C139" s="250">
        <f>'IP Summary'!C139</f>
        <v>0</v>
      </c>
    </row>
    <row r="140" spans="2:3" ht="14.25" customHeight="1" x14ac:dyDescent="0.25">
      <c r="B140" s="208">
        <f>'IP Summary'!B140</f>
        <v>0</v>
      </c>
      <c r="C140" s="250">
        <f>'IP Summary'!C140</f>
        <v>0</v>
      </c>
    </row>
    <row r="141" spans="2:3" ht="14.25" customHeight="1" x14ac:dyDescent="0.25">
      <c r="B141" s="208">
        <f>'IP Summary'!B141</f>
        <v>0</v>
      </c>
      <c r="C141" s="250">
        <f>'IP Summary'!C141</f>
        <v>0</v>
      </c>
    </row>
    <row r="142" spans="2:3" ht="14.25" customHeight="1" x14ac:dyDescent="0.25">
      <c r="B142" s="208" t="str">
        <f>'IP Summary'!B142</f>
        <v>Cisco : UCS Entries</v>
      </c>
      <c r="C142" s="250">
        <f>'IP Summary'!C142</f>
        <v>0</v>
      </c>
    </row>
    <row r="143" spans="2:3" ht="14.25" customHeight="1" x14ac:dyDescent="0.25">
      <c r="B143" s="208">
        <f>'IP Summary'!B143</f>
        <v>0</v>
      </c>
      <c r="C143" s="250">
        <f>'IP Summary'!C143</f>
        <v>0</v>
      </c>
    </row>
    <row r="144" spans="2:3" ht="14.25" customHeight="1" x14ac:dyDescent="0.25">
      <c r="B144" s="208" t="str">
        <f>'IP Summary'!B144</f>
        <v>Host/Interface</v>
      </c>
      <c r="C144" s="250" t="str">
        <f>'IP Summary'!C144</f>
        <v>IP Address</v>
      </c>
    </row>
    <row r="145" spans="2:3" ht="14.25" customHeight="1" x14ac:dyDescent="0.25">
      <c r="B145" s="208" t="str">
        <f>'IP Summary'!B145</f>
        <v>-9k-a</v>
      </c>
      <c r="C145" s="250">
        <f>'IP Summary'!C145</f>
        <v>0</v>
      </c>
    </row>
    <row r="146" spans="2:3" ht="14.25" customHeight="1" x14ac:dyDescent="0.25">
      <c r="B146" s="208" t="str">
        <f>'IP Summary'!B146</f>
        <v>-9k-b</v>
      </c>
      <c r="C146" s="250">
        <f>'IP Summary'!C146</f>
        <v>0</v>
      </c>
    </row>
    <row r="147" spans="2:3" ht="14.25" customHeight="1" x14ac:dyDescent="0.25">
      <c r="B147" s="208" t="str">
        <f>'IP Summary'!B147</f>
        <v>-3048-a</v>
      </c>
      <c r="C147" s="250">
        <f>'IP Summary'!C147</f>
        <v>0</v>
      </c>
    </row>
    <row r="148" spans="2:3" ht="14.25" customHeight="1" x14ac:dyDescent="0.25">
      <c r="B148" s="208" t="str">
        <f>'IP Summary'!B148</f>
        <v>-3048-b</v>
      </c>
      <c r="C148" s="250">
        <f>'IP Summary'!C148</f>
        <v>0</v>
      </c>
    </row>
    <row r="149" spans="2:3" ht="14.25" customHeight="1" x14ac:dyDescent="0.25">
      <c r="B149" s="208">
        <f>'IP Summary'!B149</f>
        <v>0</v>
      </c>
      <c r="C149" s="250">
        <f>'IP Summary'!C149</f>
        <v>0</v>
      </c>
    </row>
    <row r="150" spans="2:3" ht="14.25" customHeight="1" x14ac:dyDescent="0.25">
      <c r="B150" s="208" t="str">
        <f>'IP Summary'!B150</f>
        <v>-a</v>
      </c>
      <c r="C150" s="250">
        <f>'IP Summary'!C150</f>
        <v>0</v>
      </c>
    </row>
    <row r="151" spans="2:3" ht="14.25" customHeight="1" x14ac:dyDescent="0.25">
      <c r="B151" s="208" t="str">
        <f>'IP Summary'!B151</f>
        <v>-b</v>
      </c>
      <c r="C151" s="250">
        <f>'IP Summary'!C151</f>
        <v>0</v>
      </c>
    </row>
    <row r="152" spans="2:3" ht="14.25" customHeight="1" x14ac:dyDescent="0.25">
      <c r="B152" s="208" t="str">
        <f>'IP Summary'!B152</f>
        <v xml:space="preserve">KVM/Management IP Pool: </v>
      </c>
      <c r="C152" s="250" t="str">
        <f>'IP Summary'!C152</f>
        <v xml:space="preserve"> : </v>
      </c>
    </row>
    <row r="153" spans="2:3" ht="14.25" customHeight="1" x14ac:dyDescent="0.25">
      <c r="B153" s="208" t="str">
        <f>'IP Summary'!B153</f>
        <v xml:space="preserve">IP iscsi-a block: </v>
      </c>
      <c r="C153" s="250" t="str">
        <f>'IP Summary'!C153</f>
        <v xml:space="preserve"> - </v>
      </c>
    </row>
    <row r="154" spans="2:3" ht="14.25" customHeight="1" x14ac:dyDescent="0.25">
      <c r="B154" s="208" t="str">
        <f>'IP Summary'!B154</f>
        <v xml:space="preserve">IP iscsi-b block: </v>
      </c>
      <c r="C154" s="250" t="str">
        <f>'IP Summary'!C154</f>
        <v xml:space="preserve"> - </v>
      </c>
    </row>
    <row r="155" spans="2:3" ht="14.25" customHeight="1" x14ac:dyDescent="0.25">
      <c r="B155" s="208">
        <f>'IP Summary'!B161</f>
        <v>0</v>
      </c>
      <c r="C155" s="250">
        <f>'IP Summary'!C161</f>
        <v>0</v>
      </c>
    </row>
    <row r="156" spans="2:3" ht="14.25" customHeight="1" x14ac:dyDescent="0.25">
      <c r="B156" s="208">
        <f>'IP Summary'!B162</f>
        <v>0</v>
      </c>
      <c r="C156" s="250">
        <f>'IP Summary'!C162</f>
        <v>0</v>
      </c>
    </row>
    <row r="157" spans="2:3" ht="14.25" customHeight="1" x14ac:dyDescent="0.25">
      <c r="B157" s="208" t="str">
        <f>'IP Summary'!B163</f>
        <v>VMware Entries</v>
      </c>
      <c r="C157" s="250">
        <f>'IP Summary'!C163</f>
        <v>0</v>
      </c>
    </row>
    <row r="158" spans="2:3" ht="14.25" customHeight="1" x14ac:dyDescent="0.25">
      <c r="B158" s="208">
        <f>'IP Summary'!B164</f>
        <v>0</v>
      </c>
      <c r="C158" s="250">
        <f>'IP Summary'!C164</f>
        <v>0</v>
      </c>
    </row>
    <row r="159" spans="2:3" ht="14.25" customHeight="1" x14ac:dyDescent="0.25">
      <c r="B159" s="208" t="str">
        <f>'IP Summary'!B165</f>
        <v>Host/Interface</v>
      </c>
      <c r="C159" s="250" t="str">
        <f>'IP Summary'!C165</f>
        <v>IP Address</v>
      </c>
    </row>
    <row r="160" spans="2:3" ht="14.25" customHeight="1" x14ac:dyDescent="0.25">
      <c r="B160" s="208" t="str">
        <f>'IP Summary'!B166</f>
        <v>vCOPS Analytics (no host name)</v>
      </c>
      <c r="C160" s="250">
        <f>'IP Summary'!C166</f>
        <v>0</v>
      </c>
    </row>
    <row r="161" spans="2:3" ht="14.25" customHeight="1" x14ac:dyDescent="0.25">
      <c r="B161" s="208" t="e">
        <f>'IP Summary'!#REF!</f>
        <v>#REF!</v>
      </c>
      <c r="C161" s="250" t="e">
        <f>'IP Summary'!#REF!</f>
        <v>#REF!</v>
      </c>
    </row>
    <row r="162" spans="2:3" ht="14.25" customHeight="1" x14ac:dyDescent="0.25">
      <c r="B162" s="208">
        <f>'IP Summary'!B167</f>
        <v>0</v>
      </c>
      <c r="C162" s="250">
        <f>'IP Summary'!C167</f>
        <v>0</v>
      </c>
    </row>
    <row r="163" spans="2:3" ht="14.25" customHeight="1" x14ac:dyDescent="0.25">
      <c r="B163" s="208" t="str">
        <f>'IP Summary'!B168</f>
        <v>:mgmt</v>
      </c>
      <c r="C163" s="250">
        <f>'IP Summary'!C168</f>
        <v>0</v>
      </c>
    </row>
    <row r="164" spans="2:3" ht="14.25" customHeight="1" x14ac:dyDescent="0.25">
      <c r="B164" s="208" t="str">
        <f>'IP Summary'!B169</f>
        <v>:vMotion</v>
      </c>
      <c r="C164" s="250">
        <f>'IP Summary'!C169</f>
        <v>0</v>
      </c>
    </row>
    <row r="165" spans="2:3" ht="14.25" customHeight="1" x14ac:dyDescent="0.25">
      <c r="B165" s="208" t="str">
        <f>'IP Summary'!B170</f>
        <v>:NFS</v>
      </c>
      <c r="C165" s="250">
        <f>'IP Summary'!C170</f>
        <v>0</v>
      </c>
    </row>
    <row r="166" spans="2:3" ht="14.25" customHeight="1" x14ac:dyDescent="0.25">
      <c r="B166" s="208" t="str">
        <f>'IP Summary'!B171</f>
        <v>:iSCSI-A</v>
      </c>
      <c r="C166" s="250">
        <f>'IP Summary'!C171</f>
        <v>0</v>
      </c>
    </row>
    <row r="167" spans="2:3" ht="14.25" customHeight="1" x14ac:dyDescent="0.25">
      <c r="B167" s="208" t="str">
        <f>'IP Summary'!B172</f>
        <v>:iSCSI-B</v>
      </c>
      <c r="C167" s="250">
        <f>'IP Summary'!C172</f>
        <v>0</v>
      </c>
    </row>
    <row r="168" spans="2:3" ht="14.25" customHeight="1" x14ac:dyDescent="0.25">
      <c r="B168" s="208" t="str">
        <f>'IP Summary'!B173</f>
        <v>:mgmt</v>
      </c>
      <c r="C168" s="250">
        <f>'IP Summary'!C173</f>
        <v>0</v>
      </c>
    </row>
    <row r="169" spans="2:3" ht="14.25" customHeight="1" x14ac:dyDescent="0.25">
      <c r="B169" s="208" t="str">
        <f>'IP Summary'!B174</f>
        <v>:vMotion</v>
      </c>
      <c r="C169" s="250">
        <f>'IP Summary'!C174</f>
        <v>0</v>
      </c>
    </row>
    <row r="170" spans="2:3" ht="14.25" customHeight="1" x14ac:dyDescent="0.25">
      <c r="B170" s="208" t="str">
        <f>'IP Summary'!B175</f>
        <v>:NFS</v>
      </c>
      <c r="C170" s="250">
        <f>'IP Summary'!C175</f>
        <v>0</v>
      </c>
    </row>
    <row r="171" spans="2:3" ht="14.25" customHeight="1" x14ac:dyDescent="0.25">
      <c r="B171" s="208" t="str">
        <f>'IP Summary'!B176</f>
        <v>:iSCSI-A</v>
      </c>
      <c r="C171" s="250">
        <f>'IP Summary'!C176</f>
        <v>0</v>
      </c>
    </row>
    <row r="172" spans="2:3" ht="14.25" customHeight="1" x14ac:dyDescent="0.25">
      <c r="B172" s="208" t="str">
        <f>'IP Summary'!B177</f>
        <v>:iSCSI-B</v>
      </c>
      <c r="C172" s="250">
        <f>'IP Summary'!C177</f>
        <v>0</v>
      </c>
    </row>
    <row r="173" spans="2:3" ht="14.25" customHeight="1" x14ac:dyDescent="0.25">
      <c r="B173" s="208" t="str">
        <f>'IP Summary'!B178</f>
        <v>:mgmt</v>
      </c>
      <c r="C173" s="250">
        <f>'IP Summary'!C178</f>
        <v>0</v>
      </c>
    </row>
    <row r="174" spans="2:3" ht="14.25" customHeight="1" x14ac:dyDescent="0.25">
      <c r="B174" s="208" t="str">
        <f>'IP Summary'!B179</f>
        <v>:vMotion</v>
      </c>
      <c r="C174" s="250">
        <f>'IP Summary'!C179</f>
        <v>0</v>
      </c>
    </row>
    <row r="175" spans="2:3" ht="14.25" customHeight="1" x14ac:dyDescent="0.25">
      <c r="B175" s="208" t="str">
        <f>'IP Summary'!B180</f>
        <v>:NFS</v>
      </c>
      <c r="C175" s="250">
        <f>'IP Summary'!C180</f>
        <v>0</v>
      </c>
    </row>
    <row r="176" spans="2:3" ht="14.25" customHeight="1" x14ac:dyDescent="0.25">
      <c r="B176" s="208" t="str">
        <f>'IP Summary'!B181</f>
        <v>:iSCSI-A</v>
      </c>
      <c r="C176" s="250">
        <f>'IP Summary'!C181</f>
        <v>0</v>
      </c>
    </row>
    <row r="177" spans="2:3" ht="14.25" customHeight="1" x14ac:dyDescent="0.25">
      <c r="B177" s="208" t="str">
        <f>'IP Summary'!B182</f>
        <v>:iSCSI-B</v>
      </c>
      <c r="C177" s="250">
        <f>'IP Summary'!C182</f>
        <v>0</v>
      </c>
    </row>
    <row r="178" spans="2:3" ht="14.25" customHeight="1" x14ac:dyDescent="0.25">
      <c r="B178" s="208" t="str">
        <f>'IP Summary'!B183</f>
        <v>:mgmt</v>
      </c>
      <c r="C178" s="250">
        <f>'IP Summary'!C183</f>
        <v>0</v>
      </c>
    </row>
    <row r="179" spans="2:3" ht="14.25" customHeight="1" x14ac:dyDescent="0.25">
      <c r="B179" s="208" t="str">
        <f>'IP Summary'!B184</f>
        <v>:vMotion</v>
      </c>
      <c r="C179" s="250">
        <f>'IP Summary'!C184</f>
        <v>0</v>
      </c>
    </row>
    <row r="180" spans="2:3" ht="14.25" customHeight="1" x14ac:dyDescent="0.25">
      <c r="B180" s="208" t="str">
        <f>'IP Summary'!B185</f>
        <v>:NFS</v>
      </c>
      <c r="C180" s="250">
        <f>'IP Summary'!C185</f>
        <v>0</v>
      </c>
    </row>
    <row r="181" spans="2:3" ht="14.25" customHeight="1" x14ac:dyDescent="0.25">
      <c r="B181" s="208" t="str">
        <f>'IP Summary'!B186</f>
        <v>:iSCSI-A</v>
      </c>
      <c r="C181" s="250">
        <f>'IP Summary'!C186</f>
        <v>0</v>
      </c>
    </row>
    <row r="182" spans="2:3" ht="14.25" customHeight="1" x14ac:dyDescent="0.25">
      <c r="B182" s="208" t="str">
        <f>'IP Summary'!B187</f>
        <v>:iSCSI-B</v>
      </c>
      <c r="C182" s="250">
        <f>'IP Summary'!C187</f>
        <v>0</v>
      </c>
    </row>
    <row r="183" spans="2:3" ht="14.25" customHeight="1" x14ac:dyDescent="0.25">
      <c r="B183" s="208" t="str">
        <f>'IP Summary'!B188</f>
        <v>:mgmt</v>
      </c>
      <c r="C183" s="250">
        <f>'IP Summary'!C188</f>
        <v>0</v>
      </c>
    </row>
    <row r="184" spans="2:3" ht="14.25" customHeight="1" x14ac:dyDescent="0.25">
      <c r="B184" s="208" t="str">
        <f>'IP Summary'!B189</f>
        <v>:vMotion</v>
      </c>
      <c r="C184" s="250">
        <f>'IP Summary'!C189</f>
        <v>0</v>
      </c>
    </row>
    <row r="185" spans="2:3" ht="14.25" customHeight="1" x14ac:dyDescent="0.25">
      <c r="B185" s="208" t="str">
        <f>'IP Summary'!B190</f>
        <v>:NFS</v>
      </c>
      <c r="C185" s="250">
        <f>'IP Summary'!C190</f>
        <v>0</v>
      </c>
    </row>
    <row r="186" spans="2:3" ht="14.25" customHeight="1" x14ac:dyDescent="0.25">
      <c r="B186" s="208" t="str">
        <f>'IP Summary'!B191</f>
        <v>:iSCSI-A</v>
      </c>
      <c r="C186" s="250">
        <f>'IP Summary'!C191</f>
        <v>0</v>
      </c>
    </row>
    <row r="187" spans="2:3" ht="14.25" customHeight="1" x14ac:dyDescent="0.25">
      <c r="B187" s="208" t="str">
        <f>'IP Summary'!B192</f>
        <v>:iSCSI-B</v>
      </c>
      <c r="C187" s="250">
        <f>'IP Summary'!C192</f>
        <v>0</v>
      </c>
    </row>
    <row r="188" spans="2:3" ht="14.25" customHeight="1" x14ac:dyDescent="0.25">
      <c r="B188" s="208" t="str">
        <f>'IP Summary'!B193</f>
        <v>:mgmt</v>
      </c>
      <c r="C188" s="250">
        <f>'IP Summary'!C193</f>
        <v>0</v>
      </c>
    </row>
    <row r="189" spans="2:3" ht="14.25" customHeight="1" x14ac:dyDescent="0.25">
      <c r="B189" s="208" t="str">
        <f>'IP Summary'!B194</f>
        <v>:vMotion</v>
      </c>
      <c r="C189" s="250">
        <f>'IP Summary'!C194</f>
        <v>0</v>
      </c>
    </row>
    <row r="190" spans="2:3" ht="14.25" customHeight="1" x14ac:dyDescent="0.25">
      <c r="B190" s="208" t="str">
        <f>'IP Summary'!B195</f>
        <v>:NFS</v>
      </c>
      <c r="C190" s="250">
        <f>'IP Summary'!C195</f>
        <v>0</v>
      </c>
    </row>
    <row r="191" spans="2:3" ht="14.25" customHeight="1" x14ac:dyDescent="0.25">
      <c r="B191" s="208" t="str">
        <f>'IP Summary'!B196</f>
        <v>:iSCSI-A</v>
      </c>
      <c r="C191" s="250">
        <f>'IP Summary'!C196</f>
        <v>0</v>
      </c>
    </row>
    <row r="192" spans="2:3" ht="14.25" customHeight="1" x14ac:dyDescent="0.25">
      <c r="B192" s="208" t="str">
        <f>'IP Summary'!B197</f>
        <v>:iSCSI-B</v>
      </c>
      <c r="C192" s="250">
        <f>'IP Summary'!C197</f>
        <v>0</v>
      </c>
    </row>
    <row r="193" spans="2:3" ht="14.25" customHeight="1" x14ac:dyDescent="0.25">
      <c r="B193" s="208" t="str">
        <f>'IP Summary'!B198</f>
        <v>:mgmt</v>
      </c>
      <c r="C193" s="250" t="str">
        <f>'IP Summary'!C198</f>
        <v>255.255.255.0</v>
      </c>
    </row>
    <row r="194" spans="2:3" ht="14.25" customHeight="1" x14ac:dyDescent="0.25">
      <c r="B194" s="208" t="str">
        <f>'IP Summary'!B199</f>
        <v>:vMotion</v>
      </c>
      <c r="C194" s="250" t="str">
        <f>'IP Summary'!C199</f>
        <v>10.126.131.1</v>
      </c>
    </row>
    <row r="195" spans="2:3" ht="14.25" customHeight="1" x14ac:dyDescent="0.25">
      <c r="B195" s="208" t="str">
        <f>'IP Summary'!B200</f>
        <v>:NFS</v>
      </c>
      <c r="C195" s="250">
        <f>'IP Summary'!C200</f>
        <v>0</v>
      </c>
    </row>
    <row r="196" spans="2:3" ht="14.25" customHeight="1" x14ac:dyDescent="0.25">
      <c r="B196" s="208" t="str">
        <f>'IP Summary'!B201</f>
        <v>:iSCSI-A</v>
      </c>
      <c r="C196" s="250">
        <f>'IP Summary'!C201</f>
        <v>0</v>
      </c>
    </row>
    <row r="197" spans="2:3" ht="14.25" customHeight="1" x14ac:dyDescent="0.25">
      <c r="B197" s="208" t="str">
        <f>'IP Summary'!B202</f>
        <v>:iSCSI-B</v>
      </c>
      <c r="C197" s="250">
        <f>'IP Summary'!C202</f>
        <v>0</v>
      </c>
    </row>
    <row r="198" spans="2:3" ht="14.25" customHeight="1" x14ac:dyDescent="0.25">
      <c r="B198" s="208" t="str">
        <f>'IP Summary'!B203</f>
        <v>:mgmt</v>
      </c>
      <c r="C198" s="250">
        <f>'IP Summary'!C203</f>
        <v>0</v>
      </c>
    </row>
    <row r="199" spans="2:3" ht="14.25" customHeight="1" x14ac:dyDescent="0.25">
      <c r="B199" s="208" t="str">
        <f>'IP Summary'!B204</f>
        <v>:vMotion</v>
      </c>
      <c r="C199" s="250">
        <f>'IP Summary'!C204</f>
        <v>0</v>
      </c>
    </row>
    <row r="200" spans="2:3" ht="14.25" customHeight="1" x14ac:dyDescent="0.25">
      <c r="B200" s="208" t="str">
        <f>'IP Summary'!B205</f>
        <v>:NFS</v>
      </c>
      <c r="C200" s="250">
        <f>'IP Summary'!C205</f>
        <v>0</v>
      </c>
    </row>
    <row r="201" spans="2:3" ht="14.25" customHeight="1" x14ac:dyDescent="0.25">
      <c r="B201" s="208" t="str">
        <f>'IP Summary'!B206</f>
        <v>:iSCSI-A</v>
      </c>
      <c r="C201" s="250">
        <f>'IP Summary'!C206</f>
        <v>0</v>
      </c>
    </row>
    <row r="202" spans="2:3" ht="14.25" customHeight="1" x14ac:dyDescent="0.25">
      <c r="B202" s="208" t="str">
        <f>'IP Summary'!B207</f>
        <v>:iSCSI-B</v>
      </c>
      <c r="C202" s="250">
        <f>'IP Summary'!C207</f>
        <v>0</v>
      </c>
    </row>
    <row r="203" spans="2:3" ht="14.25" customHeight="1" x14ac:dyDescent="0.25">
      <c r="B203" s="208">
        <f>'IP Summary'!B208</f>
        <v>0</v>
      </c>
      <c r="C203" s="250">
        <f>'IP Summary'!C208</f>
        <v>0</v>
      </c>
    </row>
    <row r="204" spans="2:3" ht="14.25" customHeight="1" x14ac:dyDescent="0.25">
      <c r="B204" s="208">
        <f>'IP Summary'!B209</f>
        <v>0</v>
      </c>
      <c r="C204" s="250">
        <f>'IP Summary'!C209</f>
        <v>0</v>
      </c>
    </row>
    <row r="205" spans="2:3" ht="14.25" customHeight="1" x14ac:dyDescent="0.25">
      <c r="B205" s="208" t="str">
        <f>'IP Summary'!B210</f>
        <v>Infrastructure Entries</v>
      </c>
      <c r="C205" s="250">
        <f>'IP Summary'!C210</f>
        <v>0</v>
      </c>
    </row>
    <row r="206" spans="2:3" ht="14.25" customHeight="1" x14ac:dyDescent="0.25">
      <c r="B206" s="208">
        <f>'IP Summary'!B211</f>
        <v>0</v>
      </c>
      <c r="C206" s="250">
        <f>'IP Summary'!C211</f>
        <v>0</v>
      </c>
    </row>
    <row r="207" spans="2:3" ht="14.25" customHeight="1" x14ac:dyDescent="0.25">
      <c r="B207" s="208" t="str">
        <f>'IP Summary'!B212</f>
        <v>Host/Interface</v>
      </c>
      <c r="C207" s="250" t="str">
        <f>'IP Summary'!C212</f>
        <v>IP Address</v>
      </c>
    </row>
    <row r="208" spans="2:3" ht="14.25" customHeight="1" x14ac:dyDescent="0.25">
      <c r="B208" s="208">
        <f>'IP Summary'!B213</f>
        <v>0</v>
      </c>
      <c r="C208" s="250">
        <f>'IP Summary'!C213</f>
        <v>0</v>
      </c>
    </row>
    <row r="209" spans="2:3" ht="14.25" customHeight="1" x14ac:dyDescent="0.25">
      <c r="B209" s="208">
        <f>'IP Summary'!B214</f>
        <v>0</v>
      </c>
      <c r="C209" s="250">
        <f>'IP Summary'!C214</f>
        <v>0</v>
      </c>
    </row>
    <row r="210" spans="2:3" ht="14.25" customHeight="1" x14ac:dyDescent="0.25">
      <c r="B210" s="208">
        <f>'IP Summary'!B215</f>
        <v>0</v>
      </c>
      <c r="C210" s="250">
        <f>'IP Summary'!C215</f>
        <v>0</v>
      </c>
    </row>
    <row r="211" spans="2:3" ht="14.25" customHeight="1" x14ac:dyDescent="0.25">
      <c r="B211" s="208">
        <f>'IP Summary'!B216</f>
        <v>0</v>
      </c>
      <c r="C211" s="250">
        <f>'IP Summary'!C216</f>
        <v>0</v>
      </c>
    </row>
    <row r="212" spans="2:3" ht="14.25" customHeight="1" x14ac:dyDescent="0.25">
      <c r="B212" s="208">
        <f>'IP Summary'!B217</f>
        <v>0</v>
      </c>
      <c r="C212" s="250">
        <f>'IP Summary'!C217</f>
        <v>0</v>
      </c>
    </row>
    <row r="213" spans="2:3" ht="14.25" customHeight="1" x14ac:dyDescent="0.25">
      <c r="B213" s="208">
        <f>'IP Summary'!B218</f>
        <v>0</v>
      </c>
      <c r="C213" s="250">
        <f>'IP Summary'!C218</f>
        <v>0</v>
      </c>
    </row>
    <row r="214" spans="2:3" ht="14.25" customHeight="1" x14ac:dyDescent="0.25">
      <c r="B214" s="208">
        <f>'IP Summary'!B219</f>
        <v>0</v>
      </c>
      <c r="C214" s="250">
        <f>'IP Summary'!C219</f>
        <v>0</v>
      </c>
    </row>
    <row r="215" spans="2:3" ht="14.25" customHeight="1" x14ac:dyDescent="0.25">
      <c r="B215" s="208">
        <f>'IP Summary'!B220</f>
        <v>0</v>
      </c>
      <c r="C215" s="250">
        <f>'IP Summary'!C220</f>
        <v>0</v>
      </c>
    </row>
    <row r="216" spans="2:3" ht="14.25" customHeight="1" x14ac:dyDescent="0.25">
      <c r="B216" s="208">
        <f>'IP Summary'!B221</f>
        <v>0</v>
      </c>
      <c r="C216" s="250">
        <f>'IP Summary'!C221</f>
        <v>0</v>
      </c>
    </row>
    <row r="217" spans="2:3" ht="14.25" customHeight="1" x14ac:dyDescent="0.25">
      <c r="B217" s="208">
        <f>'IP Summary'!B222</f>
        <v>0</v>
      </c>
      <c r="C217" s="250">
        <f>'IP Summary'!C222</f>
        <v>0</v>
      </c>
    </row>
    <row r="218" spans="2:3" ht="14.25" customHeight="1" x14ac:dyDescent="0.25">
      <c r="B218" s="208">
        <f>'IP Summary'!B223</f>
        <v>0</v>
      </c>
      <c r="C218" s="250">
        <f>'IP Summary'!C223</f>
        <v>0</v>
      </c>
    </row>
    <row r="219" spans="2:3" ht="14.25" customHeight="1" x14ac:dyDescent="0.25">
      <c r="B219" s="208">
        <f>'IP Summary'!B224</f>
        <v>0</v>
      </c>
      <c r="C219" s="250">
        <f>'IP Summary'!C224</f>
        <v>0</v>
      </c>
    </row>
    <row r="220" spans="2:3" ht="14.25" customHeight="1" x14ac:dyDescent="0.25">
      <c r="B220" s="208" t="str">
        <f>'IP Summary'!B225</f>
        <v>vCOPS Analytics (no host name)</v>
      </c>
      <c r="C220" s="250">
        <f>'IP Summary'!C225</f>
        <v>0</v>
      </c>
    </row>
    <row r="221" spans="2:3" ht="14.25" customHeight="1" x14ac:dyDescent="0.25">
      <c r="B221" s="208">
        <f>'IP Summary'!B226</f>
        <v>0</v>
      </c>
      <c r="C221" s="250">
        <f>'IP Summary'!C226</f>
        <v>0</v>
      </c>
    </row>
    <row r="222" spans="2:3" ht="14.25" customHeight="1" x14ac:dyDescent="0.25">
      <c r="B222" s="208">
        <f>'IP Summary'!B227</f>
        <v>0</v>
      </c>
      <c r="C222" s="250">
        <f>'IP Summary'!C227</f>
        <v>0</v>
      </c>
    </row>
    <row r="223" spans="2:3" ht="14.25" customHeight="1" x14ac:dyDescent="0.25">
      <c r="B223" s="208">
        <f>'IP Summary'!B230</f>
        <v>0</v>
      </c>
      <c r="C223" s="250">
        <f>'IP Summary'!C230</f>
        <v>0</v>
      </c>
    </row>
    <row r="224" spans="2:3" ht="14.25" customHeight="1" x14ac:dyDescent="0.25">
      <c r="B224" s="208">
        <f>'IP Summary'!B231</f>
        <v>0</v>
      </c>
      <c r="C224" s="250">
        <f>'IP Summary'!C231</f>
        <v>0</v>
      </c>
    </row>
    <row r="225" spans="2:3" ht="14.25" customHeight="1" x14ac:dyDescent="0.25">
      <c r="B225" s="208">
        <f>'IP Summary'!B232</f>
        <v>0</v>
      </c>
      <c r="C225" s="250">
        <f>'IP Summary'!C232</f>
        <v>0</v>
      </c>
    </row>
    <row r="226" spans="2:3" ht="14.25" customHeight="1" x14ac:dyDescent="0.25">
      <c r="B226" s="208">
        <f>'IP Summary'!B233</f>
        <v>0</v>
      </c>
      <c r="C226" s="250">
        <f>'IP Summary'!C233</f>
        <v>0</v>
      </c>
    </row>
    <row r="227" spans="2:3" ht="14.25" customHeight="1" x14ac:dyDescent="0.25">
      <c r="B227" s="208">
        <f>'IP Summary'!B234</f>
        <v>0</v>
      </c>
      <c r="C227" s="250">
        <f>'IP Summary'!C234</f>
        <v>0</v>
      </c>
    </row>
    <row r="228" spans="2:3" ht="14.25" customHeight="1" x14ac:dyDescent="0.25">
      <c r="B228" s="208">
        <f>'IP Summary'!B235</f>
        <v>0</v>
      </c>
      <c r="C228" s="250">
        <f>'IP Summary'!C235</f>
        <v>0</v>
      </c>
    </row>
    <row r="229" spans="2:3" ht="14.25" customHeight="1" x14ac:dyDescent="0.25">
      <c r="B229" s="208">
        <f>'IP Summary'!B236</f>
        <v>0</v>
      </c>
      <c r="C229" s="250">
        <f>'IP Summary'!C236</f>
        <v>0</v>
      </c>
    </row>
    <row r="230" spans="2:3" ht="14.25" customHeight="1" x14ac:dyDescent="0.25">
      <c r="B230" s="208">
        <f>'IP Summary'!B237</f>
        <v>0</v>
      </c>
      <c r="C230" s="250">
        <f>'IP Summary'!C237</f>
        <v>0</v>
      </c>
    </row>
    <row r="231" spans="2:3" ht="14.25" customHeight="1" x14ac:dyDescent="0.25">
      <c r="B231" s="208">
        <f>'IP Summary'!B238</f>
        <v>0</v>
      </c>
      <c r="C231" s="250">
        <f>'IP Summary'!C238</f>
        <v>0</v>
      </c>
    </row>
    <row r="232" spans="2:3" ht="14.25" customHeight="1" x14ac:dyDescent="0.25">
      <c r="B232" s="208">
        <f>'IP Summary'!B239</f>
        <v>0</v>
      </c>
      <c r="C232" s="250">
        <f>'IP Summary'!C239</f>
        <v>0</v>
      </c>
    </row>
    <row r="233" spans="2:3" ht="14.25" customHeight="1" x14ac:dyDescent="0.25">
      <c r="B233" s="208">
        <f>'IP Summary'!B240</f>
        <v>0</v>
      </c>
      <c r="C233" s="250">
        <f>'IP Summary'!C240</f>
        <v>0</v>
      </c>
    </row>
    <row r="234" spans="2:3" ht="14.25" customHeight="1" x14ac:dyDescent="0.25">
      <c r="B234" s="208">
        <f>'IP Summary'!B241</f>
        <v>0</v>
      </c>
      <c r="C234" s="250">
        <f>'IP Summary'!C241</f>
        <v>0</v>
      </c>
    </row>
    <row r="235" spans="2:3" ht="14.25" customHeight="1" x14ac:dyDescent="0.25">
      <c r="B235" s="208">
        <f>'IP Summary'!B242</f>
        <v>0</v>
      </c>
      <c r="C235" s="250">
        <f>'IP Summary'!C242</f>
        <v>0</v>
      </c>
    </row>
    <row r="236" spans="2:3" ht="14.25" customHeight="1" x14ac:dyDescent="0.25">
      <c r="B236" s="208">
        <f>'IP Summary'!B243</f>
        <v>0</v>
      </c>
      <c r="C236" s="250">
        <f>'IP Summary'!C243</f>
        <v>0</v>
      </c>
    </row>
    <row r="237" spans="2:3" ht="14.25" customHeight="1" x14ac:dyDescent="0.25">
      <c r="B237" s="208">
        <f>'IP Summary'!B244</f>
        <v>0</v>
      </c>
      <c r="C237" s="250">
        <f>'IP Summary'!C244</f>
        <v>0</v>
      </c>
    </row>
    <row r="238" spans="2:3" ht="14.25" customHeight="1" x14ac:dyDescent="0.25">
      <c r="B238" s="208">
        <f>'IP Summary'!B245</f>
        <v>0</v>
      </c>
      <c r="C238" s="250">
        <f>'IP Summary'!C245</f>
        <v>0</v>
      </c>
    </row>
    <row r="239" spans="2:3" ht="14.25" customHeight="1" x14ac:dyDescent="0.25">
      <c r="B239" s="208">
        <f>'IP Summary'!B246</f>
        <v>0</v>
      </c>
      <c r="C239" s="250">
        <f>'IP Summary'!C246</f>
        <v>0</v>
      </c>
    </row>
    <row r="240" spans="2:3" ht="14.25" customHeight="1" x14ac:dyDescent="0.25">
      <c r="B240" s="208">
        <f>'IP Summary'!B247</f>
        <v>0</v>
      </c>
      <c r="C240" s="250">
        <f>'IP Summary'!C247</f>
        <v>0</v>
      </c>
    </row>
  </sheetData>
  <sortState xmlns:xlrd2="http://schemas.microsoft.com/office/spreadsheetml/2017/richdata2" ref="B9:C230">
    <sortCondition ref="C9:C220"/>
  </sortState>
  <mergeCells count="1">
    <mergeCell ref="D9:G9"/>
  </mergeCells>
  <printOptions gridLines="1"/>
  <pageMargins left="0.75" right="0.25" top="0.25" bottom="0.75" header="0.3" footer="0.3"/>
  <pageSetup paperSize="3" fitToHeight="0" orientation="landscape" r:id="rId1"/>
  <headerFooter>
    <oddFooter>&amp;R&amp;A
&amp;P</oddFooter>
  </headerFooter>
  <drawing r:id="rId2"/>
  <legacy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0" tint="-0.34998626667073579"/>
    <pageSetUpPr fitToPage="1"/>
  </sheetPr>
  <dimension ref="A2:V64"/>
  <sheetViews>
    <sheetView workbookViewId="0">
      <pane ySplit="4" topLeftCell="A5" activePane="bottomLeft" state="frozenSplit"/>
      <selection activeCell="N65" sqref="N65:P65"/>
      <selection pane="bottomLeft" activeCell="N65" sqref="N65:P65"/>
    </sheetView>
  </sheetViews>
  <sheetFormatPr defaultColWidth="7.140625" defaultRowHeight="10.5" x14ac:dyDescent="0.25"/>
  <cols>
    <col min="1" max="1" width="1.42578125" style="35" customWidth="1"/>
    <col min="2" max="19" width="7.140625" style="35"/>
    <col min="20" max="20" width="7.140625" style="35" customWidth="1"/>
    <col min="21" max="16384" width="7.140625" style="35"/>
  </cols>
  <sheetData>
    <row r="2" spans="1:22" ht="30.75" customHeight="1" x14ac:dyDescent="0.25">
      <c r="A2" s="2" t="s">
        <v>1</v>
      </c>
      <c r="B2"/>
      <c r="V2" s="1" t="s">
        <v>642</v>
      </c>
    </row>
    <row r="3" spans="1:22" ht="9" customHeight="1" x14ac:dyDescent="0.25"/>
    <row r="4" spans="1:22" ht="14.25" customHeight="1" x14ac:dyDescent="0.25"/>
    <row r="5" spans="1:22" ht="14.25" customHeight="1" x14ac:dyDescent="0.25"/>
    <row r="6" spans="1:22" ht="14.25" customHeight="1" x14ac:dyDescent="0.25">
      <c r="B6" s="303" t="s">
        <v>643</v>
      </c>
      <c r="C6" s="303"/>
      <c r="D6" s="303"/>
      <c r="E6" s="303"/>
      <c r="F6" s="303"/>
      <c r="G6" s="303"/>
      <c r="H6" s="179">
        <v>6.5</v>
      </c>
    </row>
    <row r="7" spans="1:22" ht="14.25" customHeight="1" x14ac:dyDescent="0.25"/>
    <row r="8" spans="1:22" ht="14.25" customHeight="1" x14ac:dyDescent="0.25"/>
    <row r="9" spans="1:22" ht="14.25" customHeight="1" thickBot="1" x14ac:dyDescent="0.3">
      <c r="C9" s="311" t="s">
        <v>644</v>
      </c>
      <c r="D9" s="311"/>
      <c r="E9" s="311"/>
      <c r="F9" s="311" t="s">
        <v>645</v>
      </c>
      <c r="G9" s="311"/>
      <c r="H9" s="311"/>
      <c r="I9" s="311" t="s">
        <v>647</v>
      </c>
      <c r="J9" s="311"/>
      <c r="K9" s="311"/>
      <c r="L9" s="311"/>
      <c r="M9" s="311"/>
      <c r="N9" s="311"/>
      <c r="O9" s="311"/>
      <c r="P9" s="311"/>
      <c r="Q9" s="311"/>
      <c r="R9" s="104" t="s">
        <v>642</v>
      </c>
    </row>
    <row r="10" spans="1:22" ht="14.25" customHeight="1" x14ac:dyDescent="0.25">
      <c r="C10" s="477">
        <v>41409</v>
      </c>
      <c r="D10" s="302"/>
      <c r="E10" s="302"/>
      <c r="F10" s="302" t="s">
        <v>646</v>
      </c>
      <c r="G10" s="302"/>
      <c r="H10" s="302"/>
      <c r="I10" s="465" t="s">
        <v>648</v>
      </c>
      <c r="J10" s="465"/>
      <c r="K10" s="465"/>
      <c r="L10" s="465"/>
      <c r="M10" s="465"/>
      <c r="N10" s="465"/>
      <c r="O10" s="465"/>
      <c r="P10" s="465"/>
      <c r="Q10" s="465"/>
      <c r="R10" s="102">
        <v>4.18</v>
      </c>
    </row>
    <row r="11" spans="1:22" ht="14.25" customHeight="1" x14ac:dyDescent="0.25">
      <c r="C11" s="476">
        <v>41418</v>
      </c>
      <c r="D11" s="291"/>
      <c r="E11" s="291"/>
      <c r="F11" s="291" t="s">
        <v>646</v>
      </c>
      <c r="G11" s="291"/>
      <c r="H11" s="291"/>
      <c r="I11" s="305" t="s">
        <v>867</v>
      </c>
      <c r="J11" s="305"/>
      <c r="K11" s="305"/>
      <c r="L11" s="305"/>
      <c r="M11" s="305"/>
      <c r="N11" s="305"/>
      <c r="O11" s="305"/>
      <c r="P11" s="305"/>
      <c r="Q11" s="305"/>
      <c r="R11" s="103">
        <v>4.1900000000000004</v>
      </c>
    </row>
    <row r="12" spans="1:22" ht="14.25" customHeight="1" x14ac:dyDescent="0.25">
      <c r="C12" s="476">
        <v>41462</v>
      </c>
      <c r="D12" s="291"/>
      <c r="E12" s="291"/>
      <c r="F12" s="291" t="s">
        <v>1366</v>
      </c>
      <c r="G12" s="291"/>
      <c r="H12" s="291"/>
      <c r="I12" s="305" t="s">
        <v>905</v>
      </c>
      <c r="J12" s="305"/>
      <c r="K12" s="305"/>
      <c r="L12" s="305"/>
      <c r="M12" s="305"/>
      <c r="N12" s="305"/>
      <c r="O12" s="305"/>
      <c r="P12" s="305"/>
      <c r="Q12" s="305"/>
      <c r="R12" s="170">
        <v>4.2</v>
      </c>
    </row>
    <row r="13" spans="1:22" ht="14.25" customHeight="1" x14ac:dyDescent="0.25">
      <c r="C13" s="476">
        <v>41474</v>
      </c>
      <c r="D13" s="291"/>
      <c r="E13" s="291"/>
      <c r="F13" s="291" t="s">
        <v>1369</v>
      </c>
      <c r="G13" s="291"/>
      <c r="H13" s="291"/>
      <c r="I13" s="305" t="s">
        <v>908</v>
      </c>
      <c r="J13" s="305"/>
      <c r="K13" s="305"/>
      <c r="L13" s="305"/>
      <c r="M13" s="305"/>
      <c r="N13" s="305"/>
      <c r="O13" s="305"/>
      <c r="P13" s="305"/>
      <c r="Q13" s="305"/>
      <c r="R13" s="170">
        <v>4.21</v>
      </c>
    </row>
    <row r="14" spans="1:22" ht="14.25" customHeight="1" x14ac:dyDescent="0.25">
      <c r="C14" s="476">
        <v>41564</v>
      </c>
      <c r="D14" s="291"/>
      <c r="E14" s="291"/>
      <c r="F14" s="291" t="s">
        <v>904</v>
      </c>
      <c r="G14" s="291"/>
      <c r="H14" s="291"/>
      <c r="I14" s="305" t="s">
        <v>909</v>
      </c>
      <c r="J14" s="305"/>
      <c r="K14" s="305"/>
      <c r="L14" s="305"/>
      <c r="M14" s="305"/>
      <c r="N14" s="305"/>
      <c r="O14" s="305"/>
      <c r="P14" s="305"/>
      <c r="Q14" s="305"/>
      <c r="R14" s="170">
        <v>4.22</v>
      </c>
      <c r="V14" s="35">
        <v>77048</v>
      </c>
    </row>
    <row r="15" spans="1:22" ht="14.25" customHeight="1" x14ac:dyDescent="0.25">
      <c r="C15" s="476">
        <v>41584</v>
      </c>
      <c r="D15" s="291"/>
      <c r="E15" s="291"/>
      <c r="F15" s="291" t="s">
        <v>930</v>
      </c>
      <c r="G15" s="291"/>
      <c r="H15" s="291"/>
      <c r="I15" s="305" t="s">
        <v>931</v>
      </c>
      <c r="J15" s="305"/>
      <c r="K15" s="305"/>
      <c r="L15" s="305"/>
      <c r="M15" s="305"/>
      <c r="N15" s="305"/>
      <c r="O15" s="305"/>
      <c r="P15" s="305"/>
      <c r="Q15" s="305"/>
      <c r="R15" s="170">
        <v>4.3</v>
      </c>
    </row>
    <row r="16" spans="1:22" ht="14.25" customHeight="1" x14ac:dyDescent="0.25">
      <c r="C16" s="476">
        <v>41631</v>
      </c>
      <c r="D16" s="291"/>
      <c r="E16" s="291"/>
      <c r="F16" s="291" t="s">
        <v>930</v>
      </c>
      <c r="G16" s="291"/>
      <c r="H16" s="291"/>
      <c r="I16" s="305" t="s">
        <v>974</v>
      </c>
      <c r="J16" s="305"/>
      <c r="K16" s="305"/>
      <c r="L16" s="305"/>
      <c r="M16" s="305"/>
      <c r="N16" s="305"/>
      <c r="O16" s="305"/>
      <c r="P16" s="305"/>
      <c r="Q16" s="305"/>
      <c r="R16" s="170">
        <v>4.3099999999999996</v>
      </c>
    </row>
    <row r="17" spans="3:18" ht="14.25" customHeight="1" x14ac:dyDescent="0.25">
      <c r="C17" s="475">
        <v>41661</v>
      </c>
      <c r="D17" s="289"/>
      <c r="E17" s="290"/>
      <c r="F17" s="288" t="s">
        <v>930</v>
      </c>
      <c r="G17" s="289"/>
      <c r="H17" s="290"/>
      <c r="I17" s="439" t="s">
        <v>1008</v>
      </c>
      <c r="J17" s="440"/>
      <c r="K17" s="440"/>
      <c r="L17" s="440"/>
      <c r="M17" s="440"/>
      <c r="N17" s="440"/>
      <c r="O17" s="440"/>
      <c r="P17" s="440"/>
      <c r="Q17" s="441"/>
      <c r="R17" s="170">
        <v>4.4000000000000004</v>
      </c>
    </row>
    <row r="18" spans="3:18" ht="14.25" customHeight="1" x14ac:dyDescent="0.25">
      <c r="C18" s="475">
        <v>41702</v>
      </c>
      <c r="D18" s="289"/>
      <c r="E18" s="290"/>
      <c r="F18" s="288" t="s">
        <v>1371</v>
      </c>
      <c r="G18" s="289"/>
      <c r="H18" s="290"/>
      <c r="I18" s="439" t="s">
        <v>1016</v>
      </c>
      <c r="J18" s="440"/>
      <c r="K18" s="440"/>
      <c r="L18" s="440"/>
      <c r="M18" s="440"/>
      <c r="N18" s="440"/>
      <c r="O18" s="440"/>
      <c r="P18" s="440"/>
      <c r="Q18" s="441"/>
      <c r="R18" s="170">
        <v>4.5</v>
      </c>
    </row>
    <row r="19" spans="3:18" ht="14.25" customHeight="1" x14ac:dyDescent="0.25">
      <c r="C19" s="475">
        <v>41733</v>
      </c>
      <c r="D19" s="289"/>
      <c r="E19" s="290"/>
      <c r="F19" s="288" t="s">
        <v>1372</v>
      </c>
      <c r="G19" s="289"/>
      <c r="H19" s="290"/>
      <c r="I19" s="439" t="s">
        <v>1038</v>
      </c>
      <c r="J19" s="440"/>
      <c r="K19" s="440"/>
      <c r="L19" s="440"/>
      <c r="M19" s="440"/>
      <c r="N19" s="440"/>
      <c r="O19" s="440"/>
      <c r="P19" s="440"/>
      <c r="Q19" s="441"/>
      <c r="R19" s="170">
        <v>4.5999999999999996</v>
      </c>
    </row>
    <row r="20" spans="3:18" ht="14.25" customHeight="1" x14ac:dyDescent="0.25">
      <c r="C20" s="475">
        <v>41767</v>
      </c>
      <c r="D20" s="289"/>
      <c r="E20" s="290"/>
      <c r="F20" s="288" t="s">
        <v>904</v>
      </c>
      <c r="G20" s="289"/>
      <c r="H20" s="290"/>
      <c r="I20" s="439" t="s">
        <v>1053</v>
      </c>
      <c r="J20" s="440"/>
      <c r="K20" s="440"/>
      <c r="L20" s="440"/>
      <c r="M20" s="440"/>
      <c r="N20" s="440"/>
      <c r="O20" s="440"/>
      <c r="P20" s="440"/>
      <c r="Q20" s="441"/>
      <c r="R20" s="170">
        <v>4.7</v>
      </c>
    </row>
    <row r="21" spans="3:18" ht="14.25" customHeight="1" x14ac:dyDescent="0.25">
      <c r="C21" s="475">
        <v>41768</v>
      </c>
      <c r="D21" s="289"/>
      <c r="E21" s="290"/>
      <c r="F21" s="288" t="s">
        <v>930</v>
      </c>
      <c r="G21" s="289"/>
      <c r="H21" s="290"/>
      <c r="I21" s="439" t="s">
        <v>1060</v>
      </c>
      <c r="J21" s="440"/>
      <c r="K21" s="440"/>
      <c r="L21" s="440"/>
      <c r="M21" s="440"/>
      <c r="N21" s="440"/>
      <c r="O21" s="440"/>
      <c r="P21" s="440"/>
      <c r="Q21" s="441"/>
      <c r="R21" s="170">
        <v>4.8</v>
      </c>
    </row>
    <row r="22" spans="3:18" ht="14.25" customHeight="1" x14ac:dyDescent="0.25">
      <c r="C22" s="475">
        <v>41773</v>
      </c>
      <c r="D22" s="289"/>
      <c r="E22" s="290"/>
      <c r="F22" s="288" t="s">
        <v>930</v>
      </c>
      <c r="G22" s="289"/>
      <c r="H22" s="290"/>
      <c r="I22" s="439" t="s">
        <v>1062</v>
      </c>
      <c r="J22" s="440"/>
      <c r="K22" s="440"/>
      <c r="L22" s="440"/>
      <c r="M22" s="440"/>
      <c r="N22" s="440"/>
      <c r="O22" s="440"/>
      <c r="P22" s="440"/>
      <c r="Q22" s="441"/>
      <c r="R22" s="170">
        <v>4.9000000000000004</v>
      </c>
    </row>
    <row r="23" spans="3:18" ht="14.25" customHeight="1" x14ac:dyDescent="0.25">
      <c r="C23" s="475">
        <v>41793</v>
      </c>
      <c r="D23" s="289"/>
      <c r="E23" s="290"/>
      <c r="F23" s="288" t="s">
        <v>930</v>
      </c>
      <c r="G23" s="289"/>
      <c r="H23" s="290"/>
      <c r="I23" s="439" t="s">
        <v>1103</v>
      </c>
      <c r="J23" s="440"/>
      <c r="K23" s="440"/>
      <c r="L23" s="440"/>
      <c r="M23" s="440"/>
      <c r="N23" s="440"/>
      <c r="O23" s="440"/>
      <c r="P23" s="440"/>
      <c r="Q23" s="441"/>
      <c r="R23" s="170">
        <v>5</v>
      </c>
    </row>
    <row r="24" spans="3:18" ht="14.25" customHeight="1" x14ac:dyDescent="0.25">
      <c r="C24" s="475">
        <v>41817</v>
      </c>
      <c r="D24" s="289"/>
      <c r="E24" s="290"/>
      <c r="F24" s="288" t="s">
        <v>930</v>
      </c>
      <c r="G24" s="289"/>
      <c r="H24" s="290"/>
      <c r="I24" s="439" t="s">
        <v>1113</v>
      </c>
      <c r="J24" s="440"/>
      <c r="K24" s="440"/>
      <c r="L24" s="440"/>
      <c r="M24" s="440"/>
      <c r="N24" s="440"/>
      <c r="O24" s="440"/>
      <c r="P24" s="440"/>
      <c r="Q24" s="441"/>
      <c r="R24" s="170">
        <v>5.0999999999999996</v>
      </c>
    </row>
    <row r="25" spans="3:18" ht="14.25" customHeight="1" x14ac:dyDescent="0.25">
      <c r="C25" s="475">
        <v>41857</v>
      </c>
      <c r="D25" s="289"/>
      <c r="E25" s="290"/>
      <c r="F25" s="288" t="s">
        <v>1372</v>
      </c>
      <c r="G25" s="289"/>
      <c r="H25" s="290"/>
      <c r="I25" s="439" t="s">
        <v>1154</v>
      </c>
      <c r="J25" s="440"/>
      <c r="K25" s="440"/>
      <c r="L25" s="440"/>
      <c r="M25" s="440"/>
      <c r="N25" s="440"/>
      <c r="O25" s="440"/>
      <c r="P25" s="440"/>
      <c r="Q25" s="441"/>
      <c r="R25" s="170">
        <v>5.2</v>
      </c>
    </row>
    <row r="26" spans="3:18" ht="14.25" customHeight="1" x14ac:dyDescent="0.25">
      <c r="C26" s="475">
        <v>41932</v>
      </c>
      <c r="D26" s="289"/>
      <c r="E26" s="290"/>
      <c r="F26" s="288" t="s">
        <v>1374</v>
      </c>
      <c r="G26" s="289"/>
      <c r="H26" s="290"/>
      <c r="I26" s="439" t="s">
        <v>1375</v>
      </c>
      <c r="J26" s="440"/>
      <c r="K26" s="440"/>
      <c r="L26" s="440"/>
      <c r="M26" s="440"/>
      <c r="N26" s="440"/>
      <c r="O26" s="440"/>
      <c r="P26" s="440"/>
      <c r="Q26" s="441"/>
      <c r="R26" s="170">
        <v>5.3</v>
      </c>
    </row>
    <row r="27" spans="3:18" ht="14.25" customHeight="1" x14ac:dyDescent="0.25">
      <c r="C27" s="475">
        <v>42013</v>
      </c>
      <c r="D27" s="289"/>
      <c r="E27" s="290"/>
      <c r="F27" s="288" t="s">
        <v>930</v>
      </c>
      <c r="G27" s="289"/>
      <c r="H27" s="290"/>
      <c r="I27" s="439" t="s">
        <v>1194</v>
      </c>
      <c r="J27" s="440"/>
      <c r="K27" s="440"/>
      <c r="L27" s="440"/>
      <c r="M27" s="440"/>
      <c r="N27" s="440"/>
      <c r="O27" s="440"/>
      <c r="P27" s="440"/>
      <c r="Q27" s="441"/>
      <c r="R27" s="170">
        <v>5.4</v>
      </c>
    </row>
    <row r="28" spans="3:18" ht="14.25" customHeight="1" x14ac:dyDescent="0.25">
      <c r="C28" s="475">
        <v>42045</v>
      </c>
      <c r="D28" s="289"/>
      <c r="E28" s="290"/>
      <c r="F28" s="288" t="s">
        <v>1374</v>
      </c>
      <c r="G28" s="289"/>
      <c r="H28" s="290"/>
      <c r="I28" s="439" t="s">
        <v>1376</v>
      </c>
      <c r="J28" s="440"/>
      <c r="K28" s="440"/>
      <c r="L28" s="440"/>
      <c r="M28" s="440"/>
      <c r="N28" s="440"/>
      <c r="O28" s="440"/>
      <c r="P28" s="440"/>
      <c r="Q28" s="441"/>
      <c r="R28" s="170">
        <v>5.5</v>
      </c>
    </row>
    <row r="29" spans="3:18" ht="14.25" customHeight="1" x14ac:dyDescent="0.25">
      <c r="C29" s="475">
        <v>42097</v>
      </c>
      <c r="D29" s="289"/>
      <c r="E29" s="290"/>
      <c r="F29" s="288" t="s">
        <v>930</v>
      </c>
      <c r="G29" s="289"/>
      <c r="H29" s="290"/>
      <c r="I29" s="439" t="s">
        <v>1285</v>
      </c>
      <c r="J29" s="440"/>
      <c r="K29" s="440"/>
      <c r="L29" s="440"/>
      <c r="M29" s="440"/>
      <c r="N29" s="440"/>
      <c r="O29" s="440"/>
      <c r="P29" s="440"/>
      <c r="Q29" s="441"/>
      <c r="R29" s="170">
        <v>6</v>
      </c>
    </row>
    <row r="30" spans="3:18" ht="14.25" customHeight="1" x14ac:dyDescent="0.25">
      <c r="C30" s="475">
        <v>42114</v>
      </c>
      <c r="D30" s="289"/>
      <c r="E30" s="290"/>
      <c r="F30" s="288" t="s">
        <v>930</v>
      </c>
      <c r="G30" s="289"/>
      <c r="H30" s="290"/>
      <c r="I30" s="439" t="s">
        <v>1292</v>
      </c>
      <c r="J30" s="440"/>
      <c r="K30" s="440"/>
      <c r="L30" s="440"/>
      <c r="M30" s="440"/>
      <c r="N30" s="440"/>
      <c r="O30" s="440"/>
      <c r="P30" s="440"/>
      <c r="Q30" s="441"/>
      <c r="R30" s="170">
        <v>6.1</v>
      </c>
    </row>
    <row r="31" spans="3:18" ht="14.25" customHeight="1" x14ac:dyDescent="0.25">
      <c r="C31" s="475">
        <v>42130</v>
      </c>
      <c r="D31" s="289"/>
      <c r="E31" s="290"/>
      <c r="F31" s="288" t="s">
        <v>930</v>
      </c>
      <c r="G31" s="289"/>
      <c r="H31" s="290"/>
      <c r="I31" s="439" t="s">
        <v>1296</v>
      </c>
      <c r="J31" s="440"/>
      <c r="K31" s="440"/>
      <c r="L31" s="440"/>
      <c r="M31" s="440"/>
      <c r="N31" s="440"/>
      <c r="O31" s="440"/>
      <c r="P31" s="440"/>
      <c r="Q31" s="441"/>
      <c r="R31" s="170">
        <v>6.2</v>
      </c>
    </row>
    <row r="32" spans="3:18" ht="14.25" customHeight="1" x14ac:dyDescent="0.25">
      <c r="C32" s="475">
        <v>42256</v>
      </c>
      <c r="D32" s="289"/>
      <c r="E32" s="290"/>
      <c r="F32" s="288" t="s">
        <v>930</v>
      </c>
      <c r="G32" s="289"/>
      <c r="H32" s="290"/>
      <c r="I32" s="439" t="s">
        <v>1300</v>
      </c>
      <c r="J32" s="440"/>
      <c r="K32" s="440"/>
      <c r="L32" s="440"/>
      <c r="M32" s="440"/>
      <c r="N32" s="440"/>
      <c r="O32" s="440"/>
      <c r="P32" s="440"/>
      <c r="Q32" s="441"/>
      <c r="R32" s="170">
        <v>6.3</v>
      </c>
    </row>
    <row r="33" spans="3:18" ht="14.25" customHeight="1" x14ac:dyDescent="0.25">
      <c r="C33" s="475">
        <v>42340</v>
      </c>
      <c r="D33" s="289"/>
      <c r="E33" s="290"/>
      <c r="F33" s="288" t="s">
        <v>930</v>
      </c>
      <c r="G33" s="289"/>
      <c r="H33" s="290"/>
      <c r="I33" s="439" t="s">
        <v>1313</v>
      </c>
      <c r="J33" s="440"/>
      <c r="K33" s="440"/>
      <c r="L33" s="440"/>
      <c r="M33" s="440"/>
      <c r="N33" s="440"/>
      <c r="O33" s="440"/>
      <c r="P33" s="440"/>
      <c r="Q33" s="441"/>
      <c r="R33" s="170">
        <v>6.4</v>
      </c>
    </row>
    <row r="34" spans="3:18" ht="14.25" customHeight="1" x14ac:dyDescent="0.25">
      <c r="C34" s="475">
        <v>42432</v>
      </c>
      <c r="D34" s="289"/>
      <c r="E34" s="290"/>
      <c r="F34" s="288" t="s">
        <v>930</v>
      </c>
      <c r="G34" s="289"/>
      <c r="H34" s="290"/>
      <c r="I34" s="439" t="s">
        <v>1332</v>
      </c>
      <c r="J34" s="440"/>
      <c r="K34" s="440"/>
      <c r="L34" s="440"/>
      <c r="M34" s="440"/>
      <c r="N34" s="440"/>
      <c r="O34" s="440"/>
      <c r="P34" s="440"/>
      <c r="Q34" s="441"/>
      <c r="R34" s="170">
        <v>6.5</v>
      </c>
    </row>
    <row r="35" spans="3:18" ht="14.25" customHeight="1" x14ac:dyDescent="0.25">
      <c r="C35" s="475">
        <v>42612</v>
      </c>
      <c r="D35" s="289"/>
      <c r="E35" s="290"/>
      <c r="F35" s="288" t="s">
        <v>1347</v>
      </c>
      <c r="G35" s="289"/>
      <c r="H35" s="290"/>
      <c r="I35" s="439" t="s">
        <v>1348</v>
      </c>
      <c r="J35" s="440"/>
      <c r="K35" s="440"/>
      <c r="L35" s="440"/>
      <c r="M35" s="440"/>
      <c r="N35" s="440"/>
      <c r="O35" s="440"/>
      <c r="P35" s="440"/>
      <c r="Q35" s="441"/>
      <c r="R35" s="170">
        <v>6.51</v>
      </c>
    </row>
    <row r="36" spans="3:18" ht="14.25" customHeight="1" x14ac:dyDescent="0.25">
      <c r="G36" s="35">
        <v>1852</v>
      </c>
      <c r="H36" s="35" t="s">
        <v>1377</v>
      </c>
      <c r="N36" s="35" t="s">
        <v>1378</v>
      </c>
    </row>
    <row r="37" spans="3:18" ht="14.25" customHeight="1" x14ac:dyDescent="0.25"/>
    <row r="38" spans="3:18" ht="14.25" customHeight="1" x14ac:dyDescent="0.25"/>
    <row r="39" spans="3:18" ht="14.25" customHeight="1" x14ac:dyDescent="0.25">
      <c r="G39" s="35">
        <v>1852</v>
      </c>
      <c r="H39" s="35" t="s">
        <v>1377</v>
      </c>
      <c r="N39" s="35" t="s">
        <v>1378</v>
      </c>
    </row>
    <row r="40" spans="3:18" ht="14.25" customHeight="1" x14ac:dyDescent="0.25"/>
    <row r="41" spans="3:18" ht="14.25" customHeight="1" x14ac:dyDescent="0.25"/>
    <row r="42" spans="3:18" ht="14.25" customHeight="1" x14ac:dyDescent="0.25"/>
    <row r="43" spans="3:18" ht="14.25" customHeight="1" x14ac:dyDescent="0.25"/>
    <row r="44" spans="3:18" ht="14.25" customHeight="1" x14ac:dyDescent="0.25"/>
    <row r="49" spans="7:14" x14ac:dyDescent="0.25">
      <c r="G49" s="35">
        <v>1852</v>
      </c>
      <c r="H49" s="35" t="s">
        <v>1377</v>
      </c>
      <c r="K49" s="35" t="s">
        <v>1349</v>
      </c>
      <c r="N49" s="35" t="s">
        <v>1378</v>
      </c>
    </row>
    <row r="53" spans="7:14" x14ac:dyDescent="0.25">
      <c r="G53" s="35">
        <v>11</v>
      </c>
      <c r="H53" s="35" t="s">
        <v>1379</v>
      </c>
      <c r="K53" s="35" t="s">
        <v>1349</v>
      </c>
      <c r="N53" s="35" t="s">
        <v>1380</v>
      </c>
    </row>
    <row r="64" spans="7:14" x14ac:dyDescent="0.25">
      <c r="G64" s="35">
        <v>1852</v>
      </c>
      <c r="H64" s="35" t="s">
        <v>1377</v>
      </c>
      <c r="K64" s="35" t="s">
        <v>1349</v>
      </c>
      <c r="N64" s="35" t="s">
        <v>1378</v>
      </c>
    </row>
  </sheetData>
  <mergeCells count="82">
    <mergeCell ref="C35:E35"/>
    <mergeCell ref="F35:H35"/>
    <mergeCell ref="I35:Q35"/>
    <mergeCell ref="C13:E13"/>
    <mergeCell ref="F13:H13"/>
    <mergeCell ref="I13:Q13"/>
    <mergeCell ref="C17:E17"/>
    <mergeCell ref="F17:H17"/>
    <mergeCell ref="I17:Q17"/>
    <mergeCell ref="C15:E15"/>
    <mergeCell ref="F15:H15"/>
    <mergeCell ref="I15:Q15"/>
    <mergeCell ref="C16:E16"/>
    <mergeCell ref="F16:H16"/>
    <mergeCell ref="I16:Q16"/>
    <mergeCell ref="C18:E18"/>
    <mergeCell ref="B6:G6"/>
    <mergeCell ref="C14:E14"/>
    <mergeCell ref="F14:H14"/>
    <mergeCell ref="I14:Q14"/>
    <mergeCell ref="I9:Q9"/>
    <mergeCell ref="C10:E10"/>
    <mergeCell ref="F10:H10"/>
    <mergeCell ref="I10:Q10"/>
    <mergeCell ref="C11:E11"/>
    <mergeCell ref="F11:H11"/>
    <mergeCell ref="I11:Q11"/>
    <mergeCell ref="C12:E12"/>
    <mergeCell ref="C9:E9"/>
    <mergeCell ref="F9:H9"/>
    <mergeCell ref="F12:H12"/>
    <mergeCell ref="I12:Q12"/>
    <mergeCell ref="F18:H18"/>
    <mergeCell ref="I18:Q18"/>
    <mergeCell ref="C19:E19"/>
    <mergeCell ref="F19:H19"/>
    <mergeCell ref="I19:Q19"/>
    <mergeCell ref="C20:E20"/>
    <mergeCell ref="F20:H20"/>
    <mergeCell ref="I20:Q20"/>
    <mergeCell ref="C21:E21"/>
    <mergeCell ref="F21:H21"/>
    <mergeCell ref="I21:Q21"/>
    <mergeCell ref="C22:E22"/>
    <mergeCell ref="F22:H22"/>
    <mergeCell ref="I22:Q22"/>
    <mergeCell ref="C23:E23"/>
    <mergeCell ref="F23:H23"/>
    <mergeCell ref="I23:Q23"/>
    <mergeCell ref="C24:E24"/>
    <mergeCell ref="F24:H24"/>
    <mergeCell ref="I24:Q24"/>
    <mergeCell ref="C25:E25"/>
    <mergeCell ref="F25:H25"/>
    <mergeCell ref="I25:Q25"/>
    <mergeCell ref="C26:E26"/>
    <mergeCell ref="F26:H26"/>
    <mergeCell ref="I26:Q26"/>
    <mergeCell ref="C27:E27"/>
    <mergeCell ref="F27:H27"/>
    <mergeCell ref="I27:Q27"/>
    <mergeCell ref="C28:E28"/>
    <mergeCell ref="F28:H28"/>
    <mergeCell ref="I28:Q28"/>
    <mergeCell ref="C29:E29"/>
    <mergeCell ref="F29:H29"/>
    <mergeCell ref="I29:Q29"/>
    <mergeCell ref="C30:E30"/>
    <mergeCell ref="F30:H30"/>
    <mergeCell ref="I30:Q30"/>
    <mergeCell ref="C31:E31"/>
    <mergeCell ref="F31:H31"/>
    <mergeCell ref="I31:Q31"/>
    <mergeCell ref="C34:E34"/>
    <mergeCell ref="F34:H34"/>
    <mergeCell ref="I34:Q34"/>
    <mergeCell ref="C32:E32"/>
    <mergeCell ref="F32:H32"/>
    <mergeCell ref="I32:Q32"/>
    <mergeCell ref="C33:E33"/>
    <mergeCell ref="F33:H33"/>
    <mergeCell ref="I33:Q33"/>
  </mergeCells>
  <printOptions gridLines="1"/>
  <pageMargins left="0.75" right="0.25" top="0.25" bottom="0.75" header="0.3" footer="0.3"/>
  <pageSetup paperSize="3" fitToHeight="0" orientation="landscape" r:id="rId1"/>
  <headerFooter>
    <oddFooter>&amp;R&amp;A
&amp;P</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2:Z100"/>
  <sheetViews>
    <sheetView workbookViewId="0">
      <pane ySplit="4" topLeftCell="A5" activePane="bottomLeft" state="frozen"/>
      <selection pane="bottomLeft" activeCell="B10" sqref="B10:E10"/>
    </sheetView>
  </sheetViews>
  <sheetFormatPr defaultColWidth="7.140625" defaultRowHeight="10.5" x14ac:dyDescent="0.25"/>
  <cols>
    <col min="1" max="1" width="1.42578125" style="3" customWidth="1"/>
    <col min="2" max="19" width="7.140625" style="3"/>
    <col min="20" max="20" width="7.140625" style="3" customWidth="1"/>
    <col min="21" max="16384" width="7.140625" style="3"/>
  </cols>
  <sheetData>
    <row r="2" spans="1:26" ht="30.75" customHeight="1" x14ac:dyDescent="0.25">
      <c r="A2" s="2" t="s">
        <v>1</v>
      </c>
      <c r="B2"/>
      <c r="V2" s="1" t="s">
        <v>3</v>
      </c>
    </row>
    <row r="3" spans="1:26" ht="9" customHeight="1" x14ac:dyDescent="0.25"/>
    <row r="4" spans="1:26" ht="15" x14ac:dyDescent="0.25">
      <c r="A4" s="5" t="s">
        <v>4</v>
      </c>
      <c r="Z4" s="3" t="s">
        <v>0</v>
      </c>
    </row>
    <row r="5" spans="1:26" ht="14.25" customHeight="1" x14ac:dyDescent="0.25"/>
    <row r="6" spans="1:26" ht="14.25" customHeight="1" x14ac:dyDescent="0.25">
      <c r="B6" s="303" t="s">
        <v>5</v>
      </c>
      <c r="C6" s="303"/>
      <c r="D6" s="303"/>
      <c r="E6" s="303"/>
      <c r="F6" s="288"/>
      <c r="G6" s="289"/>
      <c r="H6" s="290"/>
      <c r="I6" s="3" t="s">
        <v>6</v>
      </c>
      <c r="Q6" s="7" t="s">
        <v>14</v>
      </c>
      <c r="R6" s="9"/>
      <c r="S6" s="3" t="s">
        <v>18</v>
      </c>
    </row>
    <row r="7" spans="1:26" ht="14.25" customHeight="1" x14ac:dyDescent="0.25">
      <c r="R7" s="9"/>
      <c r="S7" s="3" t="s">
        <v>19</v>
      </c>
    </row>
    <row r="8" spans="1:26" ht="14.25" customHeight="1" x14ac:dyDescent="0.25">
      <c r="B8" s="303" t="s">
        <v>5</v>
      </c>
      <c r="C8" s="303"/>
      <c r="D8" s="303"/>
      <c r="E8" s="303"/>
      <c r="F8" s="288"/>
      <c r="G8" s="289"/>
      <c r="H8" s="290"/>
      <c r="I8" s="3" t="s">
        <v>7</v>
      </c>
    </row>
    <row r="9" spans="1:26" ht="14.25" customHeight="1" x14ac:dyDescent="0.25"/>
    <row r="10" spans="1:26" ht="14.25" customHeight="1" x14ac:dyDescent="0.25">
      <c r="B10" s="303" t="s">
        <v>5</v>
      </c>
      <c r="C10" s="303"/>
      <c r="D10" s="303"/>
      <c r="E10" s="303"/>
      <c r="F10" s="288"/>
      <c r="G10" s="289"/>
      <c r="H10" s="289"/>
      <c r="I10" s="290"/>
      <c r="J10" s="3" t="s">
        <v>8</v>
      </c>
      <c r="P10" s="11" t="s">
        <v>23</v>
      </c>
    </row>
    <row r="11" spans="1:26" ht="14.25" customHeight="1" x14ac:dyDescent="0.25">
      <c r="P11" s="3" t="s">
        <v>20</v>
      </c>
    </row>
    <row r="12" spans="1:26" ht="14.25" customHeight="1" x14ac:dyDescent="0.25">
      <c r="B12" s="303" t="s">
        <v>5</v>
      </c>
      <c r="C12" s="303"/>
      <c r="D12" s="303"/>
      <c r="E12" s="303"/>
      <c r="F12" s="288"/>
      <c r="G12" s="289"/>
      <c r="H12" s="289"/>
      <c r="I12" s="290"/>
      <c r="J12" s="3" t="s">
        <v>9</v>
      </c>
      <c r="P12" s="3" t="s">
        <v>21</v>
      </c>
    </row>
    <row r="13" spans="1:26" ht="14.25" customHeight="1" x14ac:dyDescent="0.25">
      <c r="P13" s="3" t="s">
        <v>22</v>
      </c>
    </row>
    <row r="14" spans="1:26" ht="14.25" customHeight="1" x14ac:dyDescent="0.25">
      <c r="B14" s="303" t="s">
        <v>5</v>
      </c>
      <c r="C14" s="303"/>
      <c r="D14" s="303"/>
      <c r="E14" s="303"/>
      <c r="F14" s="288"/>
      <c r="G14" s="289"/>
      <c r="H14" s="289"/>
      <c r="I14" s="289"/>
      <c r="J14" s="290"/>
      <c r="K14" s="3" t="s">
        <v>12</v>
      </c>
    </row>
    <row r="15" spans="1:26" ht="14.25" customHeight="1" x14ac:dyDescent="0.25"/>
    <row r="16" spans="1:26" ht="14.25" customHeight="1" x14ac:dyDescent="0.25">
      <c r="B16" s="303" t="s">
        <v>5</v>
      </c>
      <c r="C16" s="303"/>
      <c r="D16" s="303"/>
      <c r="E16" s="303"/>
      <c r="F16" s="288"/>
      <c r="G16" s="289"/>
      <c r="H16" s="289"/>
      <c r="I16" s="289"/>
      <c r="J16" s="290"/>
      <c r="K16" s="3" t="s">
        <v>13</v>
      </c>
      <c r="P16" s="303" t="s">
        <v>5</v>
      </c>
      <c r="Q16" s="303"/>
      <c r="R16" s="303"/>
      <c r="S16" s="303"/>
      <c r="T16" s="8"/>
    </row>
    <row r="17" spans="2:20" ht="14.25" customHeight="1" x14ac:dyDescent="0.25"/>
    <row r="18" spans="2:20" ht="14.25" customHeight="1" x14ac:dyDescent="0.25">
      <c r="B18" s="303" t="s">
        <v>5</v>
      </c>
      <c r="C18" s="303"/>
      <c r="D18" s="303"/>
      <c r="E18" s="303"/>
      <c r="F18" s="288"/>
      <c r="G18" s="289"/>
      <c r="H18" s="289"/>
      <c r="I18" s="289"/>
      <c r="J18" s="289"/>
      <c r="K18" s="290"/>
      <c r="L18" s="3" t="s">
        <v>10</v>
      </c>
      <c r="P18" s="303" t="s">
        <v>5</v>
      </c>
      <c r="Q18" s="303"/>
      <c r="R18" s="303"/>
      <c r="S18" s="303"/>
      <c r="T18" s="8"/>
    </row>
    <row r="19" spans="2:20" ht="14.25" customHeight="1" x14ac:dyDescent="0.25"/>
    <row r="20" spans="2:20" ht="14.25" customHeight="1" x14ac:dyDescent="0.25">
      <c r="B20" s="303" t="s">
        <v>5</v>
      </c>
      <c r="C20" s="303"/>
      <c r="D20" s="303"/>
      <c r="E20" s="303"/>
      <c r="F20" s="288"/>
      <c r="G20" s="289"/>
      <c r="H20" s="289"/>
      <c r="I20" s="289"/>
      <c r="J20" s="289"/>
      <c r="K20" s="290"/>
      <c r="L20" s="3" t="s">
        <v>11</v>
      </c>
    </row>
    <row r="21" spans="2:20" ht="14.25" customHeight="1" x14ac:dyDescent="0.25"/>
    <row r="22" spans="2:20" ht="14.25" customHeight="1" x14ac:dyDescent="0.25"/>
    <row r="23" spans="2:20" ht="14.25" customHeight="1" x14ac:dyDescent="0.25"/>
    <row r="24" spans="2:20" ht="14.25" customHeight="1" x14ac:dyDescent="0.25"/>
    <row r="25" spans="2:20" ht="14.25" customHeight="1" x14ac:dyDescent="0.25"/>
    <row r="26" spans="2:20" ht="14.25" customHeight="1" x14ac:dyDescent="0.25"/>
    <row r="27" spans="2:20" ht="14.25" customHeight="1" x14ac:dyDescent="0.25"/>
    <row r="28" spans="2:20" ht="14.25" customHeight="1" x14ac:dyDescent="0.25"/>
    <row r="29" spans="2:20" ht="14.25" customHeight="1" x14ac:dyDescent="0.25"/>
    <row r="30" spans="2:20" ht="14.25" customHeight="1" x14ac:dyDescent="0.25"/>
    <row r="31" spans="2:20" ht="14.25" customHeight="1" x14ac:dyDescent="0.25"/>
    <row r="32" spans="2:20"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sheetData>
  <mergeCells count="18">
    <mergeCell ref="B6:E6"/>
    <mergeCell ref="F6:H6"/>
    <mergeCell ref="B8:E8"/>
    <mergeCell ref="F8:H8"/>
    <mergeCell ref="F10:I10"/>
    <mergeCell ref="F14:J14"/>
    <mergeCell ref="F16:J16"/>
    <mergeCell ref="B10:E10"/>
    <mergeCell ref="B12:E12"/>
    <mergeCell ref="B14:E14"/>
    <mergeCell ref="B16:E16"/>
    <mergeCell ref="F12:I12"/>
    <mergeCell ref="F18:K18"/>
    <mergeCell ref="F20:K20"/>
    <mergeCell ref="B18:E18"/>
    <mergeCell ref="B20:E20"/>
    <mergeCell ref="P16:S16"/>
    <mergeCell ref="P18:S18"/>
  </mergeCells>
  <conditionalFormatting sqref="F6 F10 F14 F18 R6">
    <cfRule type="containsBlanks" dxfId="3" priority="12">
      <formula>LEN(TRIM(F6))=0</formula>
    </cfRule>
  </conditionalFormatting>
  <conditionalFormatting sqref="F8 F12 F16 F20 R7">
    <cfRule type="containsBlanks" dxfId="2" priority="3">
      <formula>LEN(TRIM(F7))=0</formula>
    </cfRule>
  </conditionalFormatting>
  <conditionalFormatting sqref="T16">
    <cfRule type="containsBlanks" dxfId="1" priority="2">
      <formula>LEN(TRIM(T16))=0</formula>
    </cfRule>
  </conditionalFormatting>
  <conditionalFormatting sqref="T18">
    <cfRule type="containsBlanks" dxfId="0" priority="1">
      <formula>LEN(TRIM(T18))=0</formula>
    </cfRule>
  </conditionalFormatting>
  <pageMargins left="0.7" right="0.7" top="0.75" bottom="0.75" header="0.3" footer="0.3"/>
  <pageSetup orientation="portrait"/>
  <drawing r:id="rId1"/>
  <extLst>
    <ext xmlns:x14="http://schemas.microsoft.com/office/spreadsheetml/2009/9/main" uri="{CCE6A557-97BC-4b89-ADB6-D9C93CAAB3DF}">
      <x14:dataValidations xmlns:xm="http://schemas.microsoft.com/office/excel/2006/main" count="1">
        <x14:dataValidation type="list" allowBlank="1" xr:uid="{00000000-0002-0000-1C00-000000000000}">
          <x14:formula1>
            <xm:f>Dropdowns!$B$3:$B$4</xm:f>
          </x14:formula1>
          <xm:sqref>R6:R7</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3EC95C7B22FBC47A516E581993F5A62" ma:contentTypeVersion="2" ma:contentTypeDescription="Create a new document." ma:contentTypeScope="" ma:versionID="19151d40fc612954e4931330952cd0a1">
  <xsd:schema xmlns:xsd="http://www.w3.org/2001/XMLSchema" xmlns:xs="http://www.w3.org/2001/XMLSchema" xmlns:p="http://schemas.microsoft.com/office/2006/metadata/properties" xmlns:ns2="8071904d-1ec9-43ce-950f-76c5f38ae8d4" targetNamespace="http://schemas.microsoft.com/office/2006/metadata/properties" ma:root="true" ma:fieldsID="d532f721f4bb88e48d818fd90a5a9c15" ns2:_="">
    <xsd:import namespace="8071904d-1ec9-43ce-950f-76c5f38ae8d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71904d-1ec9-43ce-950f-76c5f38ae8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D0930E-114D-46ED-B3CC-AE699C3337B1}">
  <ds:schemaRefs>
    <ds:schemaRef ds:uri="http://schemas.microsoft.com/sharepoint/v3/contenttype/forms"/>
  </ds:schemaRefs>
</ds:datastoreItem>
</file>

<file path=customXml/itemProps2.xml><?xml version="1.0" encoding="utf-8"?>
<ds:datastoreItem xmlns:ds="http://schemas.openxmlformats.org/officeDocument/2006/customXml" ds:itemID="{7C1C6DF9-1D3B-4A4C-A4B2-E591B962B4A5}">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1AA46EE-1538-4554-92C8-B8BE6F9F13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71904d-1ec9-43ce-950f-76c5f38ae8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vt:i4>
      </vt:variant>
    </vt:vector>
  </HeadingPairs>
  <TitlesOfParts>
    <vt:vector size="30" baseType="lpstr">
      <vt:lpstr>Dropdowns</vt:lpstr>
      <vt:lpstr>Site Info</vt:lpstr>
      <vt:lpstr>Inventory</vt:lpstr>
      <vt:lpstr>7-Info</vt:lpstr>
      <vt:lpstr>c-Cluster</vt:lpstr>
      <vt:lpstr>E-Series</vt:lpstr>
      <vt:lpstr>c-SVM-CIFS</vt:lpstr>
      <vt:lpstr>c-SVM-NFS</vt:lpstr>
      <vt:lpstr>c-SVM-Block</vt:lpstr>
      <vt:lpstr>c-SVM-HyperV</vt:lpstr>
      <vt:lpstr>c-SVM-InfiniteVol</vt:lpstr>
      <vt:lpstr>MetroCluster</vt:lpstr>
      <vt:lpstr>UCS</vt:lpstr>
      <vt:lpstr>VMware</vt:lpstr>
      <vt:lpstr>Test Plan</vt:lpstr>
      <vt:lpstr>Cabling Info</vt:lpstr>
      <vt:lpstr>Setup-DNS Entries</vt:lpstr>
      <vt:lpstr>Setup-7-mode</vt:lpstr>
      <vt:lpstr>Setup-c-mode</vt:lpstr>
      <vt:lpstr>Setup-vServer-CIFS</vt:lpstr>
      <vt:lpstr>Setup-vServer-HyperV</vt:lpstr>
      <vt:lpstr>Setup-vServer-NFS</vt:lpstr>
      <vt:lpstr>Setup-vServer-InfiniteVol</vt:lpstr>
      <vt:lpstr>Setup-vServer-Block</vt:lpstr>
      <vt:lpstr>Setup-VMware</vt:lpstr>
      <vt:lpstr>IP Summary</vt:lpstr>
      <vt:lpstr>Sorted IP Summary</vt:lpstr>
      <vt:lpstr>Version</vt:lpstr>
      <vt:lpstr>Template</vt:lpstr>
      <vt:lpstr>VLANBlanksRange</vt:lpstr>
    </vt:vector>
  </TitlesOfParts>
  <Company>CDW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Jackson</dc:creator>
  <cp:lastModifiedBy>Hao Nguyen</cp:lastModifiedBy>
  <cp:lastPrinted>2019-11-19T14:26:08Z</cp:lastPrinted>
  <dcterms:created xsi:type="dcterms:W3CDTF">2013-02-25T23:17:41Z</dcterms:created>
  <dcterms:modified xsi:type="dcterms:W3CDTF">2021-08-06T14:57:33Z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0x01010053EC95C7B22FBC47A516E581993F5A62</vt:lpwstr>
  </property>
</Properties>
</file>