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InkAnnotation="0" codeName="ThisWorkbook" defaultThemeVersion="124226"/>
  <mc:AlternateContent xmlns:mc="http://schemas.openxmlformats.org/markup-compatibility/2006">
    <mc:Choice Requires="x15">
      <x15ac:absPath xmlns:x15ac="http://schemas.microsoft.com/office/spreadsheetml/2010/11/ac" url="C:\Users\MarkJohnston\OneDrive - Watkins Consulting\FFIEC\"/>
    </mc:Choice>
  </mc:AlternateContent>
  <xr:revisionPtr revIDLastSave="199" documentId="8_{45932AEE-B564-44D7-869A-EBFA5E2CE66A}" xr6:coauthVersionLast="41" xr6:coauthVersionMax="41" xr10:uidLastSave="{D5980B27-ABCC-4143-AEEE-F197D00F4C94}"/>
  <bookViews>
    <workbookView xWindow="28680" yWindow="-120" windowWidth="29040" windowHeight="15840" tabRatio="914" xr2:uid="{00000000-000D-0000-FFFF-FFFF00000000}"/>
  </bookViews>
  <sheets>
    <sheet name="Information" sheetId="18" r:id="rId1"/>
    <sheet name="Log" sheetId="20" r:id="rId2"/>
    <sheet name="Risk-Maturity Summary" sheetId="13" r:id="rId3"/>
    <sheet name="Risk Rollup" sheetId="8" r:id="rId4"/>
    <sheet name="Technology and Connection Types" sheetId="1" r:id="rId5"/>
    <sheet name="Delivery Channels" sheetId="3" r:id="rId6"/>
    <sheet name="Online, Mobile and Services" sheetId="4" r:id="rId7"/>
    <sheet name="Organizational Characteristics" sheetId="5" r:id="rId8"/>
    <sheet name="External Threats" sheetId="6" r:id="rId9"/>
    <sheet name="TOC" sheetId="21" r:id="rId10"/>
    <sheet name="Maturity Summary" sheetId="19" r:id="rId11"/>
    <sheet name="Maturity Roll Up" sheetId="9" r:id="rId12"/>
    <sheet name="Risk Management and Oversight" sheetId="10" r:id="rId13"/>
    <sheet name="Threat Intel and Collaboration" sheetId="11" r:id="rId14"/>
    <sheet name="Cybersecurity Controls" sheetId="15" r:id="rId15"/>
    <sheet name="External Dependency" sheetId="16" r:id="rId16"/>
    <sheet name="Cyber Incidence" sheetId="17" r:id="rId17"/>
    <sheet name="Appendix A" sheetId="25" r:id="rId18"/>
    <sheet name="Verify Baseline Links" sheetId="26" state="hidden" r:id="rId19"/>
    <sheet name="Appendix A inline" sheetId="22" state="hidden" r:id="rId20"/>
    <sheet name="Pivot Reports" sheetId="23" r:id="rId21"/>
    <sheet name="Table Roll Up" sheetId="24" r:id="rId22"/>
    <sheet name="Support Information" sheetId="12" state="hidden" r:id="rId23"/>
  </sheets>
  <definedNames>
    <definedName name="altPDFLink">'Support Information'!$K$6</definedName>
    <definedName name="assessmentDate">Information!$B$19</definedName>
    <definedName name="bookletAudit">Information!$B$41</definedName>
    <definedName name="bookletBCP">Information!$B$37</definedName>
    <definedName name="bookletEB">Information!$B$38</definedName>
    <definedName name="bookletIS">Information!$B$39</definedName>
    <definedName name="bookletOps">Information!$B$42</definedName>
    <definedName name="bookletOut">Information!$B$40</definedName>
    <definedName name="bookletWP">Information!$B$44</definedName>
    <definedName name="controlMaturity">'Maturity Roll Up'!$K$20</definedName>
    <definedName name="d1LinkType">'Risk Management and Oversight'!$F$4</definedName>
    <definedName name="d2LinkType">'Threat Intel and Collaboration'!$F$4</definedName>
    <definedName name="d3LinkType">'Cybersecurity Controls'!$F$4</definedName>
    <definedName name="d4LinkType">'External Dependency'!$F$4</definedName>
    <definedName name="d5LinkType">'Cyber Incidence'!$F$4</definedName>
    <definedName name="defaultHandbookURL">'Support Information'!$X$1</definedName>
    <definedName name="dependencyMaturity">'Maturity Roll Up'!$K$30</definedName>
    <definedName name="Disclaimer">Information!$G$17</definedName>
    <definedName name="displayNN">'Risk-Maturity Summary'!$I$15</definedName>
    <definedName name="domain1Display">'Risk-Maturity Summary'!$M$17</definedName>
    <definedName name="domain1Maturity">'Risk-Maturity Summary'!$E$17</definedName>
    <definedName name="domain2Display">'Risk-Maturity Summary'!$M$18</definedName>
    <definedName name="domain2Maturity">'Risk-Maturity Summary'!$E$18</definedName>
    <definedName name="domain3Display">'Risk-Maturity Summary'!$M$19</definedName>
    <definedName name="domain3Maturity">'Risk-Maturity Summary'!$E$19</definedName>
    <definedName name="domain4Display">'Risk-Maturity Summary'!$M$20</definedName>
    <definedName name="domain4Maturity">'Risk-Maturity Summary'!$E$20</definedName>
    <definedName name="domain5Display">'Risk-Maturity Summary'!$M$21</definedName>
    <definedName name="domain5Maturity">'Risk-Maturity Summary'!$E$21</definedName>
    <definedName name="firmName">Information!$B$18</definedName>
    <definedName name="generalNotes">Information!$B$21</definedName>
    <definedName name="handbookURLBase">'Support Information'!$N$7</definedName>
    <definedName name="hideRegNotice">Information!$B$22</definedName>
    <definedName name="incidenceMaturity">'Maturity Roll Up'!$K$35</definedName>
    <definedName name="Information">'Support Information'!$P$4</definedName>
    <definedName name="inherentRisk">'Risk Rollup'!$C$17</definedName>
    <definedName name="intelMaturity">'Maturity Roll Up'!$K$16</definedName>
    <definedName name="JustYesNo">'Support Information'!$BB$4:$BB$5</definedName>
    <definedName name="lowMedHigh">'Support Information'!$C$4:$C$6</definedName>
    <definedName name="maturityLevels">'Support Information'!$E$4:$E$9</definedName>
    <definedName name="namesOrNumbers">'Support Information'!$I$4:$I$5</definedName>
    <definedName name="no">'Support Information'!$A$6</definedName>
    <definedName name="nOTA">'Support Information'!$E$4</definedName>
    <definedName name="NotAvail">'Support Information'!$A$7</definedName>
    <definedName name="PDFLink">'Support Information'!$K$4</definedName>
    <definedName name="prefLink">'Support Information'!$K$4:$K$5</definedName>
    <definedName name="_xlnm.Print_Area" localSheetId="16">'Cyber Incidence'!$A$1:$G$91</definedName>
    <definedName name="_xlnm.Print_Area" localSheetId="14">'Cybersecurity Controls'!$A$1:$G$182</definedName>
    <definedName name="_xlnm.Print_Area" localSheetId="5">'Delivery Channels'!$A$1:$I$12</definedName>
    <definedName name="_xlnm.Print_Area" localSheetId="15">'External Dependency'!$A$1:$G$59</definedName>
    <definedName name="_xlnm.Print_Area" localSheetId="8">'External Threats'!$A$1:$I$9</definedName>
    <definedName name="_xlnm.Print_Area" localSheetId="0">Information!$A$1:$J$33</definedName>
    <definedName name="_xlnm.Print_Area" localSheetId="11">'Maturity Roll Up'!$A$1:$K$39</definedName>
    <definedName name="_xlnm.Print_Area" localSheetId="10">'Maturity Summary'!$A$1:$J$37</definedName>
    <definedName name="_xlnm.Print_Area" localSheetId="6">'Online, Mobile and Services'!$A$1:$I$24</definedName>
    <definedName name="_xlnm.Print_Area" localSheetId="7">'Organizational Characteristics'!$A$1:$I$16</definedName>
    <definedName name="_xlnm.Print_Area" localSheetId="12">'Risk Management and Oversight'!$A$1:$G$149</definedName>
    <definedName name="_xlnm.Print_Area" localSheetId="3">'Risk Rollup'!$A$1:$H$24</definedName>
    <definedName name="_xlnm.Print_Area" localSheetId="2">'Risk-Maturity Summary'!$A$1:$H$21</definedName>
    <definedName name="_xlnm.Print_Area" localSheetId="4">'Technology and Connection Types'!$A$1:$I$22</definedName>
    <definedName name="_xlnm.Print_Area" localSheetId="13">'Threat Intel and Collaboration'!$A$1:$N$54</definedName>
    <definedName name="_xlnm.Print_Titles" localSheetId="16">'Cyber Incidence'!$1:$8</definedName>
    <definedName name="_xlnm.Print_Titles" localSheetId="14">'Cybersecurity Controls'!$1:$8</definedName>
    <definedName name="_xlnm.Print_Titles" localSheetId="15">'External Dependency'!$1:$8</definedName>
    <definedName name="_xlnm.Print_Titles" localSheetId="6">'Online, Mobile and Services'!$1:$8</definedName>
    <definedName name="_xlnm.Print_Titles" localSheetId="12">'Risk Management and Oversight'!$1:$8</definedName>
    <definedName name="_xlnm.Print_Titles" localSheetId="4">'Technology and Connection Types'!$1:$8</definedName>
    <definedName name="_xlnm.Print_Titles" localSheetId="13">'Threat Intel and Collaboration'!$1:$8</definedName>
    <definedName name="responsiblePerson">Information!$B$20</definedName>
    <definedName name="riskLeast">'Support Information'!$G$4</definedName>
    <definedName name="riskLevels">'Support Information'!$G$4:$G$8</definedName>
    <definedName name="riskMaturity">'Maturity Roll Up'!$K$6</definedName>
    <definedName name="riskMinimal">'Support Information'!$G$5</definedName>
    <definedName name="riskModerate">'Support Information'!$G$6</definedName>
    <definedName name="riskMost">'Support Information'!$G$8</definedName>
    <definedName name="riskSignificant">'Support Information'!$G$7</definedName>
    <definedName name="sumLeast">'Risk Rollup'!$E$15</definedName>
    <definedName name="sumMinimal">'Risk Rollup'!$F$15</definedName>
    <definedName name="sumModerate">'Risk Rollup'!$G$15</definedName>
    <definedName name="sumMost">'Risk Rollup'!$I$15</definedName>
    <definedName name="sumSignificant">'Risk Rollup'!$H$15</definedName>
    <definedName name="textHigh">'Support Information'!$C$6</definedName>
    <definedName name="textLow">'Support Information'!$C$4</definedName>
    <definedName name="textMedium">'Support Information'!$C$5</definedName>
    <definedName name="userManualrURL">'Support Information'!$N$4</definedName>
    <definedName name="versionID">Information!$E$26</definedName>
    <definedName name="warn1">'Support Information'!$AH$4</definedName>
    <definedName name="warn2">'Support Information'!$AH$5</definedName>
    <definedName name="warningText">'Maturity Roll Up'!$S$1</definedName>
    <definedName name="webPageLink">'Support Information'!$K$5</definedName>
    <definedName name="websiteHTTP">'Support Information'!$N$5</definedName>
    <definedName name="webSiteURL">'Support Information'!$N$6</definedName>
    <definedName name="weightLeast">'Risk Rollup'!$E$13</definedName>
    <definedName name="weightMinimal">'Risk Rollup'!$F$13</definedName>
    <definedName name="weightModerate">'Risk Rollup'!$G$13</definedName>
    <definedName name="weightMost">'Risk Rollup'!$I$13</definedName>
    <definedName name="weightSignificant">'Risk Rollup'!$H$13</definedName>
    <definedName name="workbookInfo">Information!$F$9</definedName>
    <definedName name="workbookVersionLabel">Information!$A$2</definedName>
    <definedName name="yes">'Support Information'!$A$4</definedName>
    <definedName name="yesCC">'Support Information'!$A$5</definedName>
    <definedName name="yesNo">'Support Information'!$A$4:$A$7</definedName>
  </definedNames>
  <calcPr calcId="191029"/>
  <pivotCaches>
    <pivotCache cacheId="0" r:id="rId2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8" l="1"/>
  <c r="E26" i="18"/>
  <c r="A1" i="3" l="1"/>
  <c r="H9" i="10" l="1"/>
  <c r="Y6" i="25" l="1"/>
  <c r="Y7" i="25"/>
  <c r="Y8" i="25"/>
  <c r="Y9" i="25"/>
  <c r="Y75" i="25"/>
  <c r="Y71" i="25"/>
  <c r="AA71" i="25" s="1"/>
  <c r="Y12" i="25"/>
  <c r="Y13" i="25"/>
  <c r="Y14" i="25"/>
  <c r="Y15" i="25"/>
  <c r="Y16" i="25"/>
  <c r="Y17" i="25"/>
  <c r="Y79" i="25"/>
  <c r="Y80" i="25"/>
  <c r="Y20" i="25"/>
  <c r="Y21" i="25"/>
  <c r="AA21" i="25" s="1"/>
  <c r="Y22" i="25"/>
  <c r="Y23" i="25"/>
  <c r="Y24" i="25"/>
  <c r="Y286" i="25"/>
  <c r="Y298" i="25"/>
  <c r="Y300" i="25"/>
  <c r="AA300" i="25" s="1"/>
  <c r="Y28" i="25"/>
  <c r="Y29" i="25"/>
  <c r="Y30" i="25"/>
  <c r="Y26" i="25"/>
  <c r="Y32" i="25"/>
  <c r="Y33" i="25"/>
  <c r="Y34" i="25"/>
  <c r="Y304" i="25"/>
  <c r="Y36" i="25"/>
  <c r="Y37" i="25"/>
  <c r="AA37" i="25" s="1"/>
  <c r="Y38" i="25"/>
  <c r="Y39" i="25"/>
  <c r="Y40" i="25"/>
  <c r="Y307" i="25"/>
  <c r="Y42" i="25"/>
  <c r="Y43" i="25"/>
  <c r="AA43" i="25" s="1"/>
  <c r="Y44" i="25"/>
  <c r="Y45" i="25"/>
  <c r="Y46" i="25"/>
  <c r="Y47" i="25"/>
  <c r="Y48" i="25"/>
  <c r="Y49" i="25"/>
  <c r="Y50" i="25"/>
  <c r="Y51" i="25"/>
  <c r="Y52" i="25"/>
  <c r="Y53" i="25"/>
  <c r="AA53" i="25" s="1"/>
  <c r="Y54" i="25"/>
  <c r="Y55" i="25"/>
  <c r="Y56" i="25"/>
  <c r="Y57" i="25"/>
  <c r="Y58" i="25"/>
  <c r="Y59" i="25"/>
  <c r="AA59" i="25" s="1"/>
  <c r="Y309" i="25"/>
  <c r="Y61" i="25"/>
  <c r="Y62" i="25"/>
  <c r="Y63" i="25"/>
  <c r="Y27" i="25"/>
  <c r="Y65" i="25"/>
  <c r="Y66" i="25"/>
  <c r="Y67" i="25"/>
  <c r="Y68" i="25"/>
  <c r="Y69" i="25"/>
  <c r="AA69" i="25" s="1"/>
  <c r="Y70" i="25"/>
  <c r="Y287" i="25"/>
  <c r="Y72" i="25"/>
  <c r="Y73" i="25"/>
  <c r="Y299" i="25"/>
  <c r="Y288" i="25"/>
  <c r="AA288" i="25" s="1"/>
  <c r="Y310" i="25"/>
  <c r="Y76" i="25"/>
  <c r="Y77" i="25"/>
  <c r="Y81" i="25"/>
  <c r="Y82" i="25"/>
  <c r="Y301" i="25"/>
  <c r="Y308" i="25"/>
  <c r="Y83" i="25"/>
  <c r="Y84" i="25"/>
  <c r="Y305" i="25"/>
  <c r="AA305" i="25" s="1"/>
  <c r="Y86" i="25"/>
  <c r="Y87" i="25"/>
  <c r="Y203" i="25"/>
  <c r="Y89" i="25"/>
  <c r="Y90" i="25"/>
  <c r="Y208" i="25"/>
  <c r="AA208" i="25" s="1"/>
  <c r="Y243" i="25"/>
  <c r="Y93" i="25"/>
  <c r="Y94" i="25"/>
  <c r="Y95" i="25"/>
  <c r="Y204" i="25"/>
  <c r="Y97" i="25"/>
  <c r="Y98" i="25"/>
  <c r="Y99" i="25"/>
  <c r="AA99" i="25" s="1"/>
  <c r="Y100" i="25"/>
  <c r="Y101" i="25"/>
  <c r="AA101" i="25" s="1"/>
  <c r="Y205" i="25"/>
  <c r="Y102" i="25"/>
  <c r="Y104" i="25"/>
  <c r="Y105" i="25"/>
  <c r="Y209" i="25"/>
  <c r="AA209" i="25" s="1"/>
  <c r="Y107" i="25"/>
  <c r="Y108" i="25"/>
  <c r="Y109" i="25"/>
  <c r="Y110" i="25"/>
  <c r="AA110" i="25" s="1"/>
  <c r="Y111" i="25"/>
  <c r="Y112" i="25"/>
  <c r="Y113" i="25"/>
  <c r="Y144" i="25"/>
  <c r="AA144" i="25" s="1"/>
  <c r="Y114" i="25"/>
  <c r="Y103" i="25"/>
  <c r="Y117" i="25"/>
  <c r="Y118" i="25"/>
  <c r="AA118" i="25" s="1"/>
  <c r="Y119" i="25"/>
  <c r="Y120" i="25"/>
  <c r="Y121" i="25"/>
  <c r="Y122" i="25"/>
  <c r="AA122" i="25" s="1"/>
  <c r="Y123" i="25"/>
  <c r="Y124" i="25"/>
  <c r="Y125" i="25"/>
  <c r="Y126" i="25"/>
  <c r="AA126" i="25" s="1"/>
  <c r="Y127" i="25"/>
  <c r="Y128" i="25"/>
  <c r="Y129" i="25"/>
  <c r="Y130" i="25"/>
  <c r="AA130" i="25" s="1"/>
  <c r="Y131" i="25"/>
  <c r="Y132" i="25"/>
  <c r="Y133" i="25"/>
  <c r="Y134" i="25"/>
  <c r="AA134" i="25" s="1"/>
  <c r="Y135" i="25"/>
  <c r="Y35" i="25"/>
  <c r="Y106" i="25"/>
  <c r="Y136" i="25"/>
  <c r="AA136" i="25" s="1"/>
  <c r="Y139" i="25"/>
  <c r="Y140" i="25"/>
  <c r="Y141" i="25"/>
  <c r="Y142" i="25"/>
  <c r="Y143" i="25"/>
  <c r="Y145" i="25"/>
  <c r="Y96" i="25"/>
  <c r="Y146" i="25"/>
  <c r="Y147" i="25"/>
  <c r="Y148" i="25"/>
  <c r="Y149" i="25"/>
  <c r="Y150" i="25"/>
  <c r="Y151" i="25"/>
  <c r="Y152" i="25"/>
  <c r="Y153" i="25"/>
  <c r="Y154" i="25"/>
  <c r="Y155" i="25"/>
  <c r="Y156" i="25"/>
  <c r="Y157" i="25"/>
  <c r="Y158" i="25"/>
  <c r="Y159" i="25"/>
  <c r="Y160" i="25"/>
  <c r="Y161" i="25"/>
  <c r="Y162" i="25"/>
  <c r="Y163" i="25"/>
  <c r="Y164" i="25"/>
  <c r="Y165" i="25"/>
  <c r="Y166" i="25"/>
  <c r="Y167" i="25"/>
  <c r="Y168" i="25"/>
  <c r="Y169" i="25"/>
  <c r="Y170" i="25"/>
  <c r="Y171" i="25"/>
  <c r="Y172" i="25"/>
  <c r="Y173" i="25"/>
  <c r="Y174" i="25"/>
  <c r="Y175" i="25"/>
  <c r="Y176" i="25"/>
  <c r="Y177" i="25"/>
  <c r="Y178" i="25"/>
  <c r="Y179" i="25"/>
  <c r="Y180" i="25"/>
  <c r="Y181" i="25"/>
  <c r="Y182" i="25"/>
  <c r="Y183" i="25"/>
  <c r="Y184" i="25"/>
  <c r="Y185" i="25"/>
  <c r="Y186" i="25"/>
  <c r="Y187" i="25"/>
  <c r="Y188" i="25"/>
  <c r="Y189" i="25"/>
  <c r="Y190" i="25"/>
  <c r="Y191" i="25"/>
  <c r="Y192" i="25"/>
  <c r="Y193" i="25"/>
  <c r="Y194" i="25"/>
  <c r="Y195" i="25"/>
  <c r="Y196" i="25"/>
  <c r="Y197" i="25"/>
  <c r="Y198" i="25"/>
  <c r="Y199" i="25"/>
  <c r="Y200" i="25"/>
  <c r="Y201" i="25"/>
  <c r="Y202" i="25"/>
  <c r="Y18" i="25"/>
  <c r="Y289" i="25"/>
  <c r="Y115" i="25"/>
  <c r="Y206" i="25"/>
  <c r="Y207" i="25"/>
  <c r="Y210" i="25"/>
  <c r="Y19" i="25"/>
  <c r="Y211" i="25"/>
  <c r="Y212" i="25"/>
  <c r="Y213" i="25"/>
  <c r="Y10" i="25"/>
  <c r="Y214" i="25"/>
  <c r="Y215" i="25"/>
  <c r="Y216" i="25"/>
  <c r="Y217" i="25"/>
  <c r="Y218" i="25"/>
  <c r="Y219" i="25"/>
  <c r="Y220" i="25"/>
  <c r="Y221" i="25"/>
  <c r="Y88" i="25"/>
  <c r="Y323" i="25"/>
  <c r="Y224" i="25"/>
  <c r="Y225" i="25"/>
  <c r="Y11" i="25"/>
  <c r="Y227" i="25"/>
  <c r="Y228" i="25"/>
  <c r="Y229" i="25"/>
  <c r="Y230" i="25"/>
  <c r="Y231" i="25"/>
  <c r="Y232" i="25"/>
  <c r="Y233" i="25"/>
  <c r="Y234" i="25"/>
  <c r="Y235" i="25"/>
  <c r="Y236" i="25"/>
  <c r="Y237" i="25"/>
  <c r="Y238" i="25"/>
  <c r="Y116" i="25"/>
  <c r="Y320" i="25"/>
  <c r="Y60" i="25"/>
  <c r="Y25" i="25"/>
  <c r="Y31" i="25"/>
  <c r="Y244" i="25"/>
  <c r="Y245" i="25"/>
  <c r="Y246" i="25"/>
  <c r="Y247" i="25"/>
  <c r="Y248" i="25"/>
  <c r="Y249" i="25"/>
  <c r="Y250" i="25"/>
  <c r="Y251" i="25"/>
  <c r="Y252" i="25"/>
  <c r="Y253" i="25"/>
  <c r="Y254" i="25"/>
  <c r="Y255" i="25"/>
  <c r="Y256" i="25"/>
  <c r="Y257" i="25"/>
  <c r="Y283" i="25"/>
  <c r="Y91" i="25"/>
  <c r="Y92" i="25"/>
  <c r="Y85" i="25"/>
  <c r="Y260" i="25"/>
  <c r="Y261" i="25"/>
  <c r="Y262" i="25"/>
  <c r="Y265" i="25"/>
  <c r="Y266" i="25"/>
  <c r="Y267" i="25"/>
  <c r="Y268" i="25"/>
  <c r="Y269" i="25"/>
  <c r="Y270" i="25"/>
  <c r="Y271" i="25"/>
  <c r="Y272" i="25"/>
  <c r="Y74" i="25"/>
  <c r="Y64" i="25"/>
  <c r="Y275" i="25"/>
  <c r="Y276" i="25"/>
  <c r="Y239" i="25"/>
  <c r="Y241" i="25"/>
  <c r="Y279" i="25"/>
  <c r="Y280" i="25"/>
  <c r="Y281" i="25"/>
  <c r="Y282" i="25"/>
  <c r="Y137" i="25"/>
  <c r="Y330" i="25"/>
  <c r="Y78" i="25"/>
  <c r="Y331" i="25"/>
  <c r="Y240" i="25"/>
  <c r="Y242" i="25"/>
  <c r="Y290" i="25"/>
  <c r="Y291" i="25"/>
  <c r="Y138" i="25"/>
  <c r="Y292" i="25"/>
  <c r="Y293" i="25"/>
  <c r="Y294" i="25"/>
  <c r="Y295" i="25"/>
  <c r="Y296" i="25"/>
  <c r="Y297" i="25"/>
  <c r="Y273" i="25"/>
  <c r="Y277" i="25"/>
  <c r="Y302" i="25"/>
  <c r="Y303" i="25"/>
  <c r="Y258" i="25"/>
  <c r="Y284" i="25"/>
  <c r="Y306" i="25"/>
  <c r="Y41" i="25"/>
  <c r="Y263" i="25"/>
  <c r="Y226" i="25"/>
  <c r="Y278" i="25"/>
  <c r="Y264" i="25"/>
  <c r="Y259" i="25"/>
  <c r="Y311" i="25"/>
  <c r="Y312" i="25"/>
  <c r="Y313" i="25"/>
  <c r="Y314" i="25"/>
  <c r="Y315" i="25"/>
  <c r="Y316" i="25"/>
  <c r="Y317" i="25"/>
  <c r="Y318" i="25"/>
  <c r="Y319" i="25"/>
  <c r="Y321" i="25"/>
  <c r="Y322" i="25"/>
  <c r="Y274" i="25"/>
  <c r="Y324" i="25"/>
  <c r="Y325" i="25"/>
  <c r="Y326" i="25"/>
  <c r="Y327" i="25"/>
  <c r="Y285" i="25"/>
  <c r="Y328" i="25"/>
  <c r="Y329" i="25"/>
  <c r="Y222" i="25"/>
  <c r="Y223" i="25"/>
  <c r="AA322" i="25" l="1"/>
  <c r="AB322" i="25" s="1"/>
  <c r="J322" i="25" s="1"/>
  <c r="AA264" i="25"/>
  <c r="AB264" i="25" s="1"/>
  <c r="J264" i="25" s="1"/>
  <c r="AA297" i="25"/>
  <c r="AB297" i="25" s="1"/>
  <c r="J297" i="25" s="1"/>
  <c r="AA78" i="25"/>
  <c r="AB78" i="25" s="1"/>
  <c r="J78" i="25" s="1"/>
  <c r="AA74" i="25"/>
  <c r="AB74" i="25" s="1"/>
  <c r="J74" i="25" s="1"/>
  <c r="AA85" i="25"/>
  <c r="AB85" i="25" s="1"/>
  <c r="J85" i="25" s="1"/>
  <c r="AA249" i="25"/>
  <c r="AB249" i="25" s="1"/>
  <c r="J249" i="25" s="1"/>
  <c r="AA60" i="25"/>
  <c r="AB60" i="25" s="1"/>
  <c r="J60" i="25" s="1"/>
  <c r="AA229" i="25"/>
  <c r="AB229" i="25" s="1"/>
  <c r="J229" i="25" s="1"/>
  <c r="AA10" i="25"/>
  <c r="AB10" i="25" s="1"/>
  <c r="J10" i="25" s="1"/>
  <c r="AA197" i="25"/>
  <c r="AB197" i="25" s="1"/>
  <c r="J197" i="25" s="1"/>
  <c r="AA185" i="25"/>
  <c r="AB185" i="25" s="1"/>
  <c r="J185" i="25" s="1"/>
  <c r="AA173" i="25"/>
  <c r="AB173" i="25" s="1"/>
  <c r="J173" i="25" s="1"/>
  <c r="AA161" i="25"/>
  <c r="AB161" i="25" s="1"/>
  <c r="J161" i="25" s="1"/>
  <c r="AA149" i="25"/>
  <c r="AB149" i="25" s="1"/>
  <c r="J149" i="25" s="1"/>
  <c r="AA106" i="25"/>
  <c r="AB106" i="25" s="1"/>
  <c r="J106" i="25" s="1"/>
  <c r="AA125" i="25"/>
  <c r="AB125" i="25" s="1"/>
  <c r="J125" i="25" s="1"/>
  <c r="AA113" i="25"/>
  <c r="AB113" i="25" s="1"/>
  <c r="J113" i="25" s="1"/>
  <c r="AA325" i="25"/>
  <c r="AB325" i="25" s="1"/>
  <c r="J325" i="25" s="1"/>
  <c r="AA312" i="25"/>
  <c r="AB312" i="25" s="1"/>
  <c r="J312" i="25" s="1"/>
  <c r="AA296" i="25"/>
  <c r="AB296" i="25" s="1"/>
  <c r="J296" i="25" s="1"/>
  <c r="AA280" i="25"/>
  <c r="AB280" i="25" s="1"/>
  <c r="J280" i="25" s="1"/>
  <c r="AA272" i="25"/>
  <c r="AB272" i="25" s="1"/>
  <c r="J272" i="25" s="1"/>
  <c r="AA256" i="25"/>
  <c r="AB256" i="25" s="1"/>
  <c r="J256" i="25" s="1"/>
  <c r="AA248" i="25"/>
  <c r="AB248" i="25" s="1"/>
  <c r="J248" i="25" s="1"/>
  <c r="AA320" i="25"/>
  <c r="AB320" i="25" s="1"/>
  <c r="J320" i="25" s="1"/>
  <c r="AA232" i="25"/>
  <c r="AB232" i="25" s="1"/>
  <c r="J232" i="25" s="1"/>
  <c r="AA224" i="25"/>
  <c r="AB224" i="25" s="1"/>
  <c r="J224" i="25" s="1"/>
  <c r="AA220" i="25"/>
  <c r="AB220" i="25" s="1"/>
  <c r="J220" i="25" s="1"/>
  <c r="AA216" i="25"/>
  <c r="AB216" i="25" s="1"/>
  <c r="J216" i="25" s="1"/>
  <c r="AA213" i="25"/>
  <c r="AB213" i="25" s="1"/>
  <c r="J213" i="25" s="1"/>
  <c r="AA210" i="25"/>
  <c r="AB210" i="25" s="1"/>
  <c r="J210" i="25" s="1"/>
  <c r="AA289" i="25"/>
  <c r="AB289" i="25" s="1"/>
  <c r="J289" i="25" s="1"/>
  <c r="AA200" i="25"/>
  <c r="AB200" i="25" s="1"/>
  <c r="J200" i="25" s="1"/>
  <c r="AA196" i="25"/>
  <c r="AB196" i="25" s="1"/>
  <c r="J196" i="25" s="1"/>
  <c r="AA192" i="25"/>
  <c r="AB192" i="25" s="1"/>
  <c r="J192" i="25" s="1"/>
  <c r="AA188" i="25"/>
  <c r="AB188" i="25" s="1"/>
  <c r="J188" i="25" s="1"/>
  <c r="AA184" i="25"/>
  <c r="AB184" i="25" s="1"/>
  <c r="J184" i="25" s="1"/>
  <c r="AA180" i="25"/>
  <c r="AB180" i="25" s="1"/>
  <c r="J180" i="25" s="1"/>
  <c r="AA176" i="25"/>
  <c r="AB176" i="25" s="1"/>
  <c r="J176" i="25" s="1"/>
  <c r="AA172" i="25"/>
  <c r="AB172" i="25" s="1"/>
  <c r="J172" i="25" s="1"/>
  <c r="AA168" i="25"/>
  <c r="AB168" i="25" s="1"/>
  <c r="J168" i="25" s="1"/>
  <c r="AA164" i="25"/>
  <c r="AB164" i="25" s="1"/>
  <c r="J164" i="25" s="1"/>
  <c r="AA160" i="25"/>
  <c r="AB160" i="25" s="1"/>
  <c r="J160" i="25" s="1"/>
  <c r="AA156" i="25"/>
  <c r="AB156" i="25" s="1"/>
  <c r="J156" i="25" s="1"/>
  <c r="AA152" i="25"/>
  <c r="AB152" i="25" s="1"/>
  <c r="J152" i="25" s="1"/>
  <c r="AA148" i="25"/>
  <c r="AB148" i="25" s="1"/>
  <c r="J148" i="25" s="1"/>
  <c r="AA145" i="25"/>
  <c r="AB145" i="25" s="1"/>
  <c r="J145" i="25" s="1"/>
  <c r="AA140" i="25"/>
  <c r="AB140" i="25" s="1"/>
  <c r="J140" i="25" s="1"/>
  <c r="AA35" i="25"/>
  <c r="AB35" i="25" s="1"/>
  <c r="J35" i="25" s="1"/>
  <c r="AA132" i="25"/>
  <c r="AB132" i="25" s="1"/>
  <c r="J132" i="25" s="1"/>
  <c r="AA128" i="25"/>
  <c r="AB128" i="25" s="1"/>
  <c r="J128" i="25" s="1"/>
  <c r="AA124" i="25"/>
  <c r="AB124" i="25" s="1"/>
  <c r="J124" i="25" s="1"/>
  <c r="AA120" i="25"/>
  <c r="AB120" i="25" s="1"/>
  <c r="J120" i="25" s="1"/>
  <c r="AA103" i="25"/>
  <c r="AB103" i="25" s="1"/>
  <c r="J103" i="25" s="1"/>
  <c r="AA112" i="25"/>
  <c r="AB112" i="25" s="1"/>
  <c r="J112" i="25" s="1"/>
  <c r="AA108" i="25"/>
  <c r="AB108" i="25" s="1"/>
  <c r="J108" i="25" s="1"/>
  <c r="AA104" i="25"/>
  <c r="AB104" i="25" s="1"/>
  <c r="J104" i="25" s="1"/>
  <c r="AA100" i="25"/>
  <c r="AB100" i="25" s="1"/>
  <c r="J100" i="25" s="1"/>
  <c r="AA204" i="25"/>
  <c r="AB204" i="25" s="1"/>
  <c r="J204" i="25" s="1"/>
  <c r="AA243" i="25"/>
  <c r="AB243" i="25" s="1"/>
  <c r="J243" i="25" s="1"/>
  <c r="AA203" i="25"/>
  <c r="AB203" i="25" s="1"/>
  <c r="J203" i="25" s="1"/>
  <c r="AA84" i="25"/>
  <c r="AB84" i="25" s="1"/>
  <c r="J84" i="25" s="1"/>
  <c r="AA82" i="25"/>
  <c r="AB82" i="25" s="1"/>
  <c r="J82" i="25" s="1"/>
  <c r="AA310" i="25"/>
  <c r="AB310" i="25" s="1"/>
  <c r="J310" i="25" s="1"/>
  <c r="AA72" i="25"/>
  <c r="AB72" i="25" s="1"/>
  <c r="J72" i="25" s="1"/>
  <c r="AA68" i="25"/>
  <c r="AB68" i="25" s="1"/>
  <c r="J68" i="25" s="1"/>
  <c r="AA27" i="25"/>
  <c r="AB27" i="25" s="1"/>
  <c r="J27" i="25" s="1"/>
  <c r="AA309" i="25"/>
  <c r="AB309" i="25" s="1"/>
  <c r="J309" i="25" s="1"/>
  <c r="AA56" i="25"/>
  <c r="AB56" i="25" s="1"/>
  <c r="J56" i="25" s="1"/>
  <c r="AA52" i="25"/>
  <c r="AB52" i="25" s="1"/>
  <c r="J52" i="25" s="1"/>
  <c r="AA48" i="25"/>
  <c r="AB48" i="25" s="1"/>
  <c r="J48" i="25" s="1"/>
  <c r="AA44" i="25"/>
  <c r="AB44" i="25" s="1"/>
  <c r="J44" i="25" s="1"/>
  <c r="AA40" i="25"/>
  <c r="AB40" i="25" s="1"/>
  <c r="J40" i="25" s="1"/>
  <c r="AA36" i="25"/>
  <c r="AB36" i="25" s="1"/>
  <c r="J36" i="25" s="1"/>
  <c r="AA32" i="25"/>
  <c r="AB32" i="25" s="1"/>
  <c r="J32" i="25" s="1"/>
  <c r="AA28" i="25"/>
  <c r="AB28" i="25" s="1"/>
  <c r="J28" i="25" s="1"/>
  <c r="AA24" i="25"/>
  <c r="AB24" i="25" s="1"/>
  <c r="J24" i="25" s="1"/>
  <c r="AA20" i="25"/>
  <c r="AB20" i="25" s="1"/>
  <c r="J20" i="25" s="1"/>
  <c r="AA16" i="25"/>
  <c r="AB16" i="25" s="1"/>
  <c r="J16" i="25" s="1"/>
  <c r="AA12" i="25"/>
  <c r="AB12" i="25" s="1"/>
  <c r="J12" i="25" s="1"/>
  <c r="AA329" i="25"/>
  <c r="AB329" i="25" s="1"/>
  <c r="J329" i="25" s="1"/>
  <c r="AA317" i="25"/>
  <c r="AB317" i="25" s="1"/>
  <c r="J317" i="25" s="1"/>
  <c r="AA41" i="25"/>
  <c r="AB41" i="25" s="1"/>
  <c r="J41" i="25" s="1"/>
  <c r="AA293" i="25"/>
  <c r="AB293" i="25" s="1"/>
  <c r="J293" i="25" s="1"/>
  <c r="AA281" i="25"/>
  <c r="AB281" i="25" s="1"/>
  <c r="J281" i="25" s="1"/>
  <c r="AA269" i="25"/>
  <c r="AB269" i="25" s="1"/>
  <c r="J269" i="25" s="1"/>
  <c r="AA257" i="25"/>
  <c r="AB257" i="25" s="1"/>
  <c r="J257" i="25" s="1"/>
  <c r="AA245" i="25"/>
  <c r="AB245" i="25" s="1"/>
  <c r="J245" i="25" s="1"/>
  <c r="AA233" i="25"/>
  <c r="AB233" i="25" s="1"/>
  <c r="J233" i="25" s="1"/>
  <c r="AA221" i="25"/>
  <c r="AB221" i="25" s="1"/>
  <c r="J221" i="25" s="1"/>
  <c r="AA19" i="25"/>
  <c r="AB19" i="25" s="1"/>
  <c r="J19" i="25" s="1"/>
  <c r="AA201" i="25"/>
  <c r="AB201" i="25" s="1"/>
  <c r="J201" i="25" s="1"/>
  <c r="AA189" i="25"/>
  <c r="AB189" i="25" s="1"/>
  <c r="J189" i="25" s="1"/>
  <c r="AA177" i="25"/>
  <c r="AB177" i="25" s="1"/>
  <c r="J177" i="25" s="1"/>
  <c r="AA165" i="25"/>
  <c r="AB165" i="25" s="1"/>
  <c r="J165" i="25" s="1"/>
  <c r="AA153" i="25"/>
  <c r="AB153" i="25" s="1"/>
  <c r="J153" i="25" s="1"/>
  <c r="AA141" i="25"/>
  <c r="AB141" i="25" s="1"/>
  <c r="J141" i="25" s="1"/>
  <c r="AA133" i="25"/>
  <c r="AB133" i="25" s="1"/>
  <c r="J133" i="25" s="1"/>
  <c r="AA121" i="25"/>
  <c r="AB121" i="25" s="1"/>
  <c r="J121" i="25" s="1"/>
  <c r="AA105" i="25"/>
  <c r="AB105" i="25" s="1"/>
  <c r="J105" i="25" s="1"/>
  <c r="AA328" i="25"/>
  <c r="AB328" i="25" s="1"/>
  <c r="J328" i="25" s="1"/>
  <c r="AA316" i="25"/>
  <c r="AB316" i="25" s="1"/>
  <c r="J316" i="25" s="1"/>
  <c r="AA278" i="25"/>
  <c r="AB278" i="25" s="1"/>
  <c r="J278" i="25" s="1"/>
  <c r="AA302" i="25"/>
  <c r="AB302" i="25" s="1"/>
  <c r="J302" i="25" s="1"/>
  <c r="AA330" i="25"/>
  <c r="AB330" i="25" s="1"/>
  <c r="J330" i="25" s="1"/>
  <c r="AA268" i="25"/>
  <c r="AB268" i="25" s="1"/>
  <c r="J268" i="25" s="1"/>
  <c r="AA92" i="25"/>
  <c r="AB92" i="25" s="1"/>
  <c r="J92" i="25" s="1"/>
  <c r="AA252" i="25"/>
  <c r="AB252" i="25" s="1"/>
  <c r="J252" i="25" s="1"/>
  <c r="AA244" i="25"/>
  <c r="AB244" i="25" s="1"/>
  <c r="J244" i="25" s="1"/>
  <c r="AA236" i="25"/>
  <c r="AB236" i="25" s="1"/>
  <c r="J236" i="25" s="1"/>
  <c r="AA228" i="25"/>
  <c r="AB228" i="25" s="1"/>
  <c r="J228" i="25" s="1"/>
  <c r="AA223" i="25"/>
  <c r="AB223" i="25" s="1"/>
  <c r="J223" i="25" s="1"/>
  <c r="AA285" i="25"/>
  <c r="AB285" i="25" s="1"/>
  <c r="J285" i="25" s="1"/>
  <c r="AA324" i="25"/>
  <c r="AB324" i="25" s="1"/>
  <c r="J324" i="25" s="1"/>
  <c r="AA319" i="25"/>
  <c r="AB319" i="25" s="1"/>
  <c r="J319" i="25" s="1"/>
  <c r="AA315" i="25"/>
  <c r="AB315" i="25" s="1"/>
  <c r="J315" i="25" s="1"/>
  <c r="AA311" i="25"/>
  <c r="AB311" i="25" s="1"/>
  <c r="J311" i="25" s="1"/>
  <c r="AA226" i="25"/>
  <c r="AB226" i="25" s="1"/>
  <c r="J226" i="25" s="1"/>
  <c r="AA284" i="25"/>
  <c r="AB284" i="25" s="1"/>
  <c r="J284" i="25" s="1"/>
  <c r="AA277" i="25"/>
  <c r="AB277" i="25" s="1"/>
  <c r="J277" i="25" s="1"/>
  <c r="AA295" i="25"/>
  <c r="AB295" i="25" s="1"/>
  <c r="J295" i="25" s="1"/>
  <c r="AA138" i="25"/>
  <c r="AB138" i="25" s="1"/>
  <c r="J138" i="25" s="1"/>
  <c r="AA240" i="25"/>
  <c r="AB240" i="25" s="1"/>
  <c r="J240" i="25" s="1"/>
  <c r="AA137" i="25"/>
  <c r="AB137" i="25" s="1"/>
  <c r="J137" i="25" s="1"/>
  <c r="AA279" i="25"/>
  <c r="AB279" i="25" s="1"/>
  <c r="J279" i="25" s="1"/>
  <c r="AA275" i="25"/>
  <c r="AB275" i="25" s="1"/>
  <c r="J275" i="25" s="1"/>
  <c r="AA271" i="25"/>
  <c r="AB271" i="25" s="1"/>
  <c r="J271" i="25" s="1"/>
  <c r="AA267" i="25"/>
  <c r="AB267" i="25" s="1"/>
  <c r="J267" i="25" s="1"/>
  <c r="AA261" i="25"/>
  <c r="AB261" i="25" s="1"/>
  <c r="J261" i="25" s="1"/>
  <c r="AA91" i="25"/>
  <c r="AB91" i="25" s="1"/>
  <c r="J91" i="25" s="1"/>
  <c r="AA255" i="25"/>
  <c r="AB255" i="25" s="1"/>
  <c r="J255" i="25" s="1"/>
  <c r="AA251" i="25"/>
  <c r="AB251" i="25" s="1"/>
  <c r="J251" i="25" s="1"/>
  <c r="AA247" i="25"/>
  <c r="AB247" i="25" s="1"/>
  <c r="J247" i="25" s="1"/>
  <c r="AA31" i="25"/>
  <c r="AB31" i="25" s="1"/>
  <c r="J31" i="25" s="1"/>
  <c r="AA116" i="25"/>
  <c r="AB116" i="25" s="1"/>
  <c r="J116" i="25" s="1"/>
  <c r="AA235" i="25"/>
  <c r="AB235" i="25" s="1"/>
  <c r="J235" i="25" s="1"/>
  <c r="AA231" i="25"/>
  <c r="AB231" i="25" s="1"/>
  <c r="J231" i="25" s="1"/>
  <c r="AA227" i="25"/>
  <c r="AB227" i="25" s="1"/>
  <c r="J227" i="25" s="1"/>
  <c r="AA323" i="25"/>
  <c r="AB323" i="25" s="1"/>
  <c r="J323" i="25" s="1"/>
  <c r="AA219" i="25"/>
  <c r="AB219" i="25" s="1"/>
  <c r="J219" i="25" s="1"/>
  <c r="AA215" i="25"/>
  <c r="AB215" i="25" s="1"/>
  <c r="J215" i="25" s="1"/>
  <c r="AA212" i="25"/>
  <c r="AB212" i="25" s="1"/>
  <c r="J212" i="25" s="1"/>
  <c r="AA207" i="25"/>
  <c r="AB207" i="25" s="1"/>
  <c r="J207" i="25" s="1"/>
  <c r="AA18" i="25"/>
  <c r="AB18" i="25" s="1"/>
  <c r="J18" i="25" s="1"/>
  <c r="AA199" i="25"/>
  <c r="AB199" i="25" s="1"/>
  <c r="J199" i="25" s="1"/>
  <c r="AA195" i="25"/>
  <c r="AB195" i="25" s="1"/>
  <c r="J195" i="25" s="1"/>
  <c r="AA191" i="25"/>
  <c r="AB191" i="25" s="1"/>
  <c r="J191" i="25" s="1"/>
  <c r="AA187" i="25"/>
  <c r="AB187" i="25" s="1"/>
  <c r="J187" i="25" s="1"/>
  <c r="AA183" i="25"/>
  <c r="AB183" i="25" s="1"/>
  <c r="J183" i="25" s="1"/>
  <c r="AA179" i="25"/>
  <c r="AB179" i="25" s="1"/>
  <c r="J179" i="25" s="1"/>
  <c r="AA175" i="25"/>
  <c r="AB175" i="25" s="1"/>
  <c r="J175" i="25" s="1"/>
  <c r="AA171" i="25"/>
  <c r="AB171" i="25" s="1"/>
  <c r="J171" i="25" s="1"/>
  <c r="AA167" i="25"/>
  <c r="AB167" i="25" s="1"/>
  <c r="J167" i="25" s="1"/>
  <c r="AA163" i="25"/>
  <c r="AB163" i="25" s="1"/>
  <c r="J163" i="25" s="1"/>
  <c r="AA159" i="25"/>
  <c r="AB159" i="25" s="1"/>
  <c r="J159" i="25" s="1"/>
  <c r="AA155" i="25"/>
  <c r="AB155" i="25" s="1"/>
  <c r="J155" i="25" s="1"/>
  <c r="AA151" i="25"/>
  <c r="AB151" i="25" s="1"/>
  <c r="J151" i="25" s="1"/>
  <c r="AA147" i="25"/>
  <c r="AB147" i="25" s="1"/>
  <c r="J147" i="25" s="1"/>
  <c r="AA143" i="25"/>
  <c r="AB143" i="25" s="1"/>
  <c r="J143" i="25" s="1"/>
  <c r="AA139" i="25"/>
  <c r="AB139" i="25" s="1"/>
  <c r="J139" i="25" s="1"/>
  <c r="AA135" i="25"/>
  <c r="AB135" i="25" s="1"/>
  <c r="J135" i="25" s="1"/>
  <c r="AA131" i="25"/>
  <c r="AB131" i="25" s="1"/>
  <c r="J131" i="25" s="1"/>
  <c r="AA127" i="25"/>
  <c r="AB127" i="25" s="1"/>
  <c r="J127" i="25" s="1"/>
  <c r="AA123" i="25"/>
  <c r="AB123" i="25" s="1"/>
  <c r="J123" i="25" s="1"/>
  <c r="AA119" i="25"/>
  <c r="AB119" i="25" s="1"/>
  <c r="J119" i="25" s="1"/>
  <c r="AA114" i="25"/>
  <c r="AB114" i="25" s="1"/>
  <c r="J114" i="25" s="1"/>
  <c r="AA111" i="25"/>
  <c r="AB111" i="25" s="1"/>
  <c r="J111" i="25" s="1"/>
  <c r="AA107" i="25"/>
  <c r="AB107" i="25" s="1"/>
  <c r="J107" i="25" s="1"/>
  <c r="AA102" i="25"/>
  <c r="AB102" i="25" s="1"/>
  <c r="J102" i="25" s="1"/>
  <c r="AA326" i="25"/>
  <c r="AB326" i="25" s="1"/>
  <c r="J326" i="25" s="1"/>
  <c r="AA313" i="25"/>
  <c r="AB313" i="25" s="1"/>
  <c r="J313" i="25" s="1"/>
  <c r="AA303" i="25"/>
  <c r="AB303" i="25" s="1"/>
  <c r="J303" i="25" s="1"/>
  <c r="AA290" i="25"/>
  <c r="AB290" i="25" s="1"/>
  <c r="J290" i="25" s="1"/>
  <c r="AA239" i="25"/>
  <c r="AB239" i="25" s="1"/>
  <c r="J239" i="25" s="1"/>
  <c r="AA265" i="25"/>
  <c r="AB265" i="25" s="1"/>
  <c r="J265" i="25" s="1"/>
  <c r="AA253" i="25"/>
  <c r="AB253" i="25" s="1"/>
  <c r="J253" i="25" s="1"/>
  <c r="AA237" i="25"/>
  <c r="AB237" i="25" s="1"/>
  <c r="J237" i="25" s="1"/>
  <c r="AA225" i="25"/>
  <c r="AB225" i="25" s="1"/>
  <c r="J225" i="25" s="1"/>
  <c r="AA217" i="25"/>
  <c r="AB217" i="25" s="1"/>
  <c r="J217" i="25" s="1"/>
  <c r="AA115" i="25"/>
  <c r="AB115" i="25" s="1"/>
  <c r="J115" i="25" s="1"/>
  <c r="AA193" i="25"/>
  <c r="AB193" i="25" s="1"/>
  <c r="J193" i="25" s="1"/>
  <c r="AA181" i="25"/>
  <c r="AB181" i="25" s="1"/>
  <c r="J181" i="25" s="1"/>
  <c r="AA169" i="25"/>
  <c r="AB169" i="25" s="1"/>
  <c r="J169" i="25" s="1"/>
  <c r="AA157" i="25"/>
  <c r="AB157" i="25" s="1"/>
  <c r="J157" i="25" s="1"/>
  <c r="AA96" i="25"/>
  <c r="AB96" i="25" s="1"/>
  <c r="J96" i="25" s="1"/>
  <c r="AA129" i="25"/>
  <c r="AB129" i="25" s="1"/>
  <c r="J129" i="25" s="1"/>
  <c r="AA117" i="25"/>
  <c r="AB117" i="25" s="1"/>
  <c r="J117" i="25" s="1"/>
  <c r="AA109" i="25"/>
  <c r="AB109" i="25" s="1"/>
  <c r="J109" i="25" s="1"/>
  <c r="AA321" i="25"/>
  <c r="AB321" i="25" s="1"/>
  <c r="J321" i="25" s="1"/>
  <c r="AA306" i="25"/>
  <c r="AB306" i="25" s="1"/>
  <c r="J306" i="25" s="1"/>
  <c r="AA292" i="25"/>
  <c r="AB292" i="25" s="1"/>
  <c r="J292" i="25" s="1"/>
  <c r="AA242" i="25"/>
  <c r="AB242" i="25" s="1"/>
  <c r="J242" i="25" s="1"/>
  <c r="AA276" i="25"/>
  <c r="AB276" i="25" s="1"/>
  <c r="J276" i="25" s="1"/>
  <c r="AA262" i="25"/>
  <c r="AB262" i="25" s="1"/>
  <c r="J262" i="25" s="1"/>
  <c r="AA222" i="25"/>
  <c r="AB222" i="25" s="1"/>
  <c r="J222" i="25" s="1"/>
  <c r="AA327" i="25"/>
  <c r="AB327" i="25" s="1"/>
  <c r="J327" i="25" s="1"/>
  <c r="AA274" i="25"/>
  <c r="AB274" i="25" s="1"/>
  <c r="J274" i="25" s="1"/>
  <c r="AA318" i="25"/>
  <c r="AB318" i="25" s="1"/>
  <c r="J318" i="25" s="1"/>
  <c r="AA314" i="25"/>
  <c r="AB314" i="25" s="1"/>
  <c r="J314" i="25" s="1"/>
  <c r="AA259" i="25"/>
  <c r="AB259" i="25" s="1"/>
  <c r="J259" i="25" s="1"/>
  <c r="AA263" i="25"/>
  <c r="AB263" i="25" s="1"/>
  <c r="J263" i="25" s="1"/>
  <c r="AA258" i="25"/>
  <c r="AB258" i="25" s="1"/>
  <c r="J258" i="25" s="1"/>
  <c r="AA273" i="25"/>
  <c r="AB273" i="25" s="1"/>
  <c r="J273" i="25" s="1"/>
  <c r="AA294" i="25"/>
  <c r="AB294" i="25" s="1"/>
  <c r="J294" i="25" s="1"/>
  <c r="AA291" i="25"/>
  <c r="AB291" i="25" s="1"/>
  <c r="J291" i="25" s="1"/>
  <c r="AA331" i="25"/>
  <c r="AB331" i="25" s="1"/>
  <c r="J331" i="25" s="1"/>
  <c r="AA282" i="25"/>
  <c r="AB282" i="25" s="1"/>
  <c r="J282" i="25" s="1"/>
  <c r="AA241" i="25"/>
  <c r="AB241" i="25" s="1"/>
  <c r="J241" i="25" s="1"/>
  <c r="AA64" i="25"/>
  <c r="AB64" i="25" s="1"/>
  <c r="J64" i="25" s="1"/>
  <c r="AA270" i="25"/>
  <c r="AB270" i="25" s="1"/>
  <c r="J270" i="25" s="1"/>
  <c r="AA266" i="25"/>
  <c r="AB266" i="25" s="1"/>
  <c r="J266" i="25" s="1"/>
  <c r="AA260" i="25"/>
  <c r="AB260" i="25" s="1"/>
  <c r="J260" i="25" s="1"/>
  <c r="AA283" i="25"/>
  <c r="AB283" i="25" s="1"/>
  <c r="J283" i="25" s="1"/>
  <c r="AA254" i="25"/>
  <c r="AB254" i="25" s="1"/>
  <c r="J254" i="25" s="1"/>
  <c r="AA250" i="25"/>
  <c r="AB250" i="25" s="1"/>
  <c r="J250" i="25" s="1"/>
  <c r="AA246" i="25"/>
  <c r="AB246" i="25" s="1"/>
  <c r="J246" i="25" s="1"/>
  <c r="AA25" i="25"/>
  <c r="AB25" i="25" s="1"/>
  <c r="J25" i="25" s="1"/>
  <c r="AA238" i="25"/>
  <c r="AB238" i="25" s="1"/>
  <c r="J238" i="25" s="1"/>
  <c r="AA234" i="25"/>
  <c r="AB234" i="25" s="1"/>
  <c r="J234" i="25" s="1"/>
  <c r="AA230" i="25"/>
  <c r="AB230" i="25" s="1"/>
  <c r="J230" i="25" s="1"/>
  <c r="AA11" i="25"/>
  <c r="AB11" i="25" s="1"/>
  <c r="J11" i="25" s="1"/>
  <c r="AA88" i="25"/>
  <c r="AB88" i="25" s="1"/>
  <c r="J88" i="25" s="1"/>
  <c r="AA218" i="25"/>
  <c r="AB218" i="25" s="1"/>
  <c r="J218" i="25" s="1"/>
  <c r="AA214" i="25"/>
  <c r="AB214" i="25" s="1"/>
  <c r="J214" i="25" s="1"/>
  <c r="AA211" i="25"/>
  <c r="AB211" i="25" s="1"/>
  <c r="J211" i="25" s="1"/>
  <c r="AA206" i="25"/>
  <c r="AB206" i="25" s="1"/>
  <c r="J206" i="25" s="1"/>
  <c r="AA202" i="25"/>
  <c r="AB202" i="25" s="1"/>
  <c r="J202" i="25" s="1"/>
  <c r="AA198" i="25"/>
  <c r="AB198" i="25" s="1"/>
  <c r="J198" i="25" s="1"/>
  <c r="AA194" i="25"/>
  <c r="AB194" i="25" s="1"/>
  <c r="J194" i="25" s="1"/>
  <c r="AA190" i="25"/>
  <c r="AB190" i="25" s="1"/>
  <c r="J190" i="25" s="1"/>
  <c r="AA186" i="25"/>
  <c r="AB186" i="25" s="1"/>
  <c r="J186" i="25" s="1"/>
  <c r="AA182" i="25"/>
  <c r="AB182" i="25" s="1"/>
  <c r="J182" i="25" s="1"/>
  <c r="AA178" i="25"/>
  <c r="AB178" i="25" s="1"/>
  <c r="J178" i="25" s="1"/>
  <c r="AA174" i="25"/>
  <c r="AB174" i="25" s="1"/>
  <c r="J174" i="25" s="1"/>
  <c r="AA170" i="25"/>
  <c r="AB170" i="25" s="1"/>
  <c r="J170" i="25" s="1"/>
  <c r="AA166" i="25"/>
  <c r="AB166" i="25" s="1"/>
  <c r="J166" i="25" s="1"/>
  <c r="AA162" i="25"/>
  <c r="AB162" i="25" s="1"/>
  <c r="J162" i="25" s="1"/>
  <c r="AA158" i="25"/>
  <c r="AB158" i="25" s="1"/>
  <c r="J158" i="25" s="1"/>
  <c r="AA154" i="25"/>
  <c r="AB154" i="25" s="1"/>
  <c r="J154" i="25" s="1"/>
  <c r="AA150" i="25"/>
  <c r="AB150" i="25" s="1"/>
  <c r="J150" i="25" s="1"/>
  <c r="AA146" i="25"/>
  <c r="AB146" i="25" s="1"/>
  <c r="J146" i="25" s="1"/>
  <c r="AA142" i="25"/>
  <c r="AB142" i="25" s="1"/>
  <c r="J142" i="25" s="1"/>
  <c r="AA8" i="25"/>
  <c r="AB8" i="25" s="1"/>
  <c r="J8" i="25" s="1"/>
  <c r="AB208" i="25"/>
  <c r="J208" i="25" s="1"/>
  <c r="AB69" i="25"/>
  <c r="J69" i="25" s="1"/>
  <c r="AB300" i="25"/>
  <c r="J300" i="25" s="1"/>
  <c r="AB99" i="25"/>
  <c r="J99" i="25" s="1"/>
  <c r="AA95" i="25"/>
  <c r="AB95" i="25" s="1"/>
  <c r="J95" i="25" s="1"/>
  <c r="AA87" i="25"/>
  <c r="AB87" i="25" s="1"/>
  <c r="J87" i="25" s="1"/>
  <c r="AA83" i="25"/>
  <c r="AB83" i="25" s="1"/>
  <c r="J83" i="25" s="1"/>
  <c r="AA81" i="25"/>
  <c r="AB81" i="25" s="1"/>
  <c r="J81" i="25" s="1"/>
  <c r="AA287" i="25"/>
  <c r="AB287" i="25" s="1"/>
  <c r="J287" i="25" s="1"/>
  <c r="AA67" i="25"/>
  <c r="AB67" i="25" s="1"/>
  <c r="J67" i="25" s="1"/>
  <c r="AA63" i="25"/>
  <c r="AB63" i="25" s="1"/>
  <c r="J63" i="25" s="1"/>
  <c r="AA55" i="25"/>
  <c r="AB55" i="25" s="1"/>
  <c r="J55" i="25" s="1"/>
  <c r="AA51" i="25"/>
  <c r="AB51" i="25" s="1"/>
  <c r="J51" i="25" s="1"/>
  <c r="AA47" i="25"/>
  <c r="AB47" i="25" s="1"/>
  <c r="J47" i="25" s="1"/>
  <c r="AA39" i="25"/>
  <c r="AB39" i="25" s="1"/>
  <c r="J39" i="25" s="1"/>
  <c r="AA304" i="25"/>
  <c r="AB304" i="25" s="1"/>
  <c r="J304" i="25" s="1"/>
  <c r="AA26" i="25"/>
  <c r="AB26" i="25" s="1"/>
  <c r="J26" i="25" s="1"/>
  <c r="AA23" i="25"/>
  <c r="AB23" i="25" s="1"/>
  <c r="J23" i="25" s="1"/>
  <c r="AA80" i="25"/>
  <c r="AB80" i="25" s="1"/>
  <c r="J80" i="25" s="1"/>
  <c r="AA7" i="25"/>
  <c r="AB7" i="25" s="1"/>
  <c r="J7" i="25" s="1"/>
  <c r="AA15" i="25"/>
  <c r="AB15" i="25" s="1"/>
  <c r="J15" i="25" s="1"/>
  <c r="AB305" i="25"/>
  <c r="J305" i="25" s="1"/>
  <c r="AB43" i="25"/>
  <c r="J43" i="25" s="1"/>
  <c r="AB21" i="25"/>
  <c r="J21" i="25" s="1"/>
  <c r="AB136" i="25"/>
  <c r="J136" i="25" s="1"/>
  <c r="AB134" i="25"/>
  <c r="J134" i="25" s="1"/>
  <c r="AB130" i="25"/>
  <c r="J130" i="25" s="1"/>
  <c r="AB126" i="25"/>
  <c r="J126" i="25" s="1"/>
  <c r="AB122" i="25"/>
  <c r="J122" i="25" s="1"/>
  <c r="AB118" i="25"/>
  <c r="J118" i="25" s="1"/>
  <c r="AB144" i="25"/>
  <c r="J144" i="25" s="1"/>
  <c r="AB110" i="25"/>
  <c r="J110" i="25" s="1"/>
  <c r="AB209" i="25"/>
  <c r="J209" i="25" s="1"/>
  <c r="AA205" i="25"/>
  <c r="AB205" i="25" s="1"/>
  <c r="J205" i="25" s="1"/>
  <c r="AA98" i="25"/>
  <c r="AB98" i="25" s="1"/>
  <c r="J98" i="25" s="1"/>
  <c r="AA94" i="25"/>
  <c r="AB94" i="25" s="1"/>
  <c r="J94" i="25" s="1"/>
  <c r="AA90" i="25"/>
  <c r="AB90" i="25" s="1"/>
  <c r="J90" i="25" s="1"/>
  <c r="AA86" i="25"/>
  <c r="AB86" i="25" s="1"/>
  <c r="J86" i="25" s="1"/>
  <c r="AA308" i="25"/>
  <c r="AB308" i="25" s="1"/>
  <c r="J308" i="25" s="1"/>
  <c r="AA77" i="25"/>
  <c r="AB77" i="25" s="1"/>
  <c r="J77" i="25" s="1"/>
  <c r="AA299" i="25"/>
  <c r="AB299" i="25" s="1"/>
  <c r="J299" i="25" s="1"/>
  <c r="AA70" i="25"/>
  <c r="AB70" i="25" s="1"/>
  <c r="J70" i="25" s="1"/>
  <c r="AA66" i="25"/>
  <c r="AB66" i="25" s="1"/>
  <c r="J66" i="25" s="1"/>
  <c r="AA62" i="25"/>
  <c r="AB62" i="25" s="1"/>
  <c r="J62" i="25" s="1"/>
  <c r="AA58" i="25"/>
  <c r="AB58" i="25" s="1"/>
  <c r="J58" i="25" s="1"/>
  <c r="AA54" i="25"/>
  <c r="AB54" i="25" s="1"/>
  <c r="J54" i="25" s="1"/>
  <c r="AA50" i="25"/>
  <c r="AB50" i="25" s="1"/>
  <c r="J50" i="25" s="1"/>
  <c r="AA46" i="25"/>
  <c r="AB46" i="25" s="1"/>
  <c r="J46" i="25" s="1"/>
  <c r="AA42" i="25"/>
  <c r="AB42" i="25" s="1"/>
  <c r="J42" i="25" s="1"/>
  <c r="AA38" i="25"/>
  <c r="AB38" i="25" s="1"/>
  <c r="J38" i="25" s="1"/>
  <c r="AA34" i="25"/>
  <c r="AB34" i="25" s="1"/>
  <c r="J34" i="25" s="1"/>
  <c r="AA30" i="25"/>
  <c r="AB30" i="25" s="1"/>
  <c r="J30" i="25" s="1"/>
  <c r="AA298" i="25"/>
  <c r="AB298" i="25" s="1"/>
  <c r="J298" i="25" s="1"/>
  <c r="AA22" i="25"/>
  <c r="AB22" i="25" s="1"/>
  <c r="J22" i="25" s="1"/>
  <c r="AA79" i="25"/>
  <c r="AB79" i="25" s="1"/>
  <c r="J79" i="25" s="1"/>
  <c r="AA14" i="25"/>
  <c r="AB14" i="25" s="1"/>
  <c r="J14" i="25" s="1"/>
  <c r="AA6" i="25"/>
  <c r="AB6" i="25" s="1"/>
  <c r="J6" i="25" s="1"/>
  <c r="AA75" i="25"/>
  <c r="AB75" i="25" s="1"/>
  <c r="J75" i="25" s="1"/>
  <c r="AB101" i="25"/>
  <c r="J101" i="25" s="1"/>
  <c r="AB59" i="25"/>
  <c r="J59" i="25" s="1"/>
  <c r="AB37" i="25"/>
  <c r="J37" i="25" s="1"/>
  <c r="AA97" i="25"/>
  <c r="AB97" i="25" s="1"/>
  <c r="J97" i="25" s="1"/>
  <c r="AA93" i="25"/>
  <c r="AB93" i="25" s="1"/>
  <c r="J93" i="25" s="1"/>
  <c r="AA89" i="25"/>
  <c r="AB89" i="25" s="1"/>
  <c r="J89" i="25" s="1"/>
  <c r="AA301" i="25"/>
  <c r="AB301" i="25" s="1"/>
  <c r="J301" i="25" s="1"/>
  <c r="AA76" i="25"/>
  <c r="AB76" i="25" s="1"/>
  <c r="J76" i="25" s="1"/>
  <c r="AA73" i="25"/>
  <c r="AB73" i="25" s="1"/>
  <c r="J73" i="25" s="1"/>
  <c r="AA65" i="25"/>
  <c r="AB65" i="25" s="1"/>
  <c r="J65" i="25" s="1"/>
  <c r="AA61" i="25"/>
  <c r="AB61" i="25" s="1"/>
  <c r="J61" i="25" s="1"/>
  <c r="AA57" i="25"/>
  <c r="AB57" i="25" s="1"/>
  <c r="J57" i="25" s="1"/>
  <c r="AA49" i="25"/>
  <c r="AB49" i="25" s="1"/>
  <c r="J49" i="25" s="1"/>
  <c r="AA45" i="25"/>
  <c r="AB45" i="25" s="1"/>
  <c r="J45" i="25" s="1"/>
  <c r="AA307" i="25"/>
  <c r="AB307" i="25" s="1"/>
  <c r="J307" i="25" s="1"/>
  <c r="AA33" i="25"/>
  <c r="AB33" i="25" s="1"/>
  <c r="J33" i="25" s="1"/>
  <c r="AA29" i="25"/>
  <c r="AB29" i="25" s="1"/>
  <c r="J29" i="25" s="1"/>
  <c r="AA286" i="25"/>
  <c r="AB286" i="25" s="1"/>
  <c r="J286" i="25" s="1"/>
  <c r="AA17" i="25"/>
  <c r="AB17" i="25" s="1"/>
  <c r="J17" i="25" s="1"/>
  <c r="AA13" i="25"/>
  <c r="AB13" i="25" s="1"/>
  <c r="J13" i="25" s="1"/>
  <c r="AA9" i="25"/>
  <c r="AB9" i="25" s="1"/>
  <c r="J9" i="25" s="1"/>
  <c r="AB288" i="25"/>
  <c r="J288" i="25" s="1"/>
  <c r="AB53" i="25"/>
  <c r="J53" i="25" s="1"/>
  <c r="AB71" i="25"/>
  <c r="J71" i="25" s="1"/>
  <c r="J132" i="26"/>
  <c r="K132" i="26" s="1"/>
  <c r="J131" i="26"/>
  <c r="K131" i="26" s="1"/>
  <c r="J130" i="26"/>
  <c r="K130" i="26" s="1"/>
  <c r="J129" i="26"/>
  <c r="K129" i="26" s="1"/>
  <c r="J128" i="26"/>
  <c r="K128" i="26" s="1"/>
  <c r="J127" i="26"/>
  <c r="K127" i="26" s="1"/>
  <c r="J126" i="26"/>
  <c r="K126" i="26" s="1"/>
  <c r="J125" i="26"/>
  <c r="K125" i="26" s="1"/>
  <c r="J124" i="26"/>
  <c r="K124" i="26" s="1"/>
  <c r="J123" i="26"/>
  <c r="K123" i="26" s="1"/>
  <c r="J122" i="26"/>
  <c r="K122" i="26" s="1"/>
  <c r="J121" i="26"/>
  <c r="K121" i="26" s="1"/>
  <c r="J120" i="26"/>
  <c r="K120" i="26" s="1"/>
  <c r="J119" i="26"/>
  <c r="K119" i="26" s="1"/>
  <c r="J118" i="26"/>
  <c r="K118" i="26" s="1"/>
  <c r="J117" i="26"/>
  <c r="K117" i="26" s="1"/>
  <c r="J116" i="26"/>
  <c r="K116" i="26" s="1"/>
  <c r="J115" i="26"/>
  <c r="K115" i="26" s="1"/>
  <c r="J114" i="26"/>
  <c r="K114" i="26" s="1"/>
  <c r="J113" i="26"/>
  <c r="K113" i="26" s="1"/>
  <c r="J112" i="26"/>
  <c r="K112" i="26" s="1"/>
  <c r="J111" i="26"/>
  <c r="K111" i="26" s="1"/>
  <c r="J110" i="26"/>
  <c r="K110" i="26" s="1"/>
  <c r="J109" i="26"/>
  <c r="K109" i="26" s="1"/>
  <c r="J108" i="26"/>
  <c r="K108" i="26" s="1"/>
  <c r="J107" i="26"/>
  <c r="K107" i="26" s="1"/>
  <c r="J106" i="26"/>
  <c r="K106" i="26" s="1"/>
  <c r="J105" i="26"/>
  <c r="K105" i="26" s="1"/>
  <c r="J104" i="26"/>
  <c r="K104" i="26" s="1"/>
  <c r="J103" i="26"/>
  <c r="K103" i="26" s="1"/>
  <c r="J102" i="26"/>
  <c r="K102" i="26" s="1"/>
  <c r="J101" i="26"/>
  <c r="K101" i="26" s="1"/>
  <c r="J100" i="26"/>
  <c r="K100" i="26" s="1"/>
  <c r="J99" i="26"/>
  <c r="K99" i="26" s="1"/>
  <c r="J98" i="26"/>
  <c r="K98" i="26" s="1"/>
  <c r="J97" i="26"/>
  <c r="K97" i="26" s="1"/>
  <c r="J96" i="26"/>
  <c r="K96" i="26" s="1"/>
  <c r="J95" i="26"/>
  <c r="K95" i="26" s="1"/>
  <c r="J94" i="26"/>
  <c r="K94" i="26" s="1"/>
  <c r="J93" i="26"/>
  <c r="K93" i="26" s="1"/>
  <c r="J92" i="26"/>
  <c r="K92" i="26" s="1"/>
  <c r="J91" i="26"/>
  <c r="K91" i="26" s="1"/>
  <c r="J90" i="26"/>
  <c r="K90" i="26" s="1"/>
  <c r="J89" i="26"/>
  <c r="K89" i="26" s="1"/>
  <c r="J88" i="26"/>
  <c r="K88" i="26" s="1"/>
  <c r="J87" i="26"/>
  <c r="K87" i="26" s="1"/>
  <c r="J86" i="26"/>
  <c r="K86" i="26" s="1"/>
  <c r="J85" i="26"/>
  <c r="K85" i="26" s="1"/>
  <c r="J84" i="26"/>
  <c r="K84" i="26" s="1"/>
  <c r="J83" i="26"/>
  <c r="K83" i="26" s="1"/>
  <c r="J82" i="26"/>
  <c r="K82" i="26" s="1"/>
  <c r="J81" i="26"/>
  <c r="K81" i="26" s="1"/>
  <c r="J80" i="26"/>
  <c r="K80" i="26" s="1"/>
  <c r="J79" i="26"/>
  <c r="K79" i="26" s="1"/>
  <c r="J78" i="26"/>
  <c r="K78" i="26" s="1"/>
  <c r="J77" i="26"/>
  <c r="K77" i="26" s="1"/>
  <c r="J76" i="26"/>
  <c r="K76" i="26" s="1"/>
  <c r="J75" i="26"/>
  <c r="K75" i="26" s="1"/>
  <c r="J74" i="26"/>
  <c r="K74" i="26" s="1"/>
  <c r="J73" i="26"/>
  <c r="K73" i="26" s="1"/>
  <c r="J72" i="26"/>
  <c r="K72" i="26" s="1"/>
  <c r="J71" i="26"/>
  <c r="K71" i="26" s="1"/>
  <c r="J70" i="26"/>
  <c r="K70" i="26" s="1"/>
  <c r="J69" i="26"/>
  <c r="K69" i="26" s="1"/>
  <c r="J68" i="26"/>
  <c r="K68" i="26" s="1"/>
  <c r="J67" i="26"/>
  <c r="K67" i="26" s="1"/>
  <c r="J66" i="26"/>
  <c r="K66" i="26" s="1"/>
  <c r="J65" i="26"/>
  <c r="K65" i="26" s="1"/>
  <c r="J64" i="26"/>
  <c r="K64" i="26" s="1"/>
  <c r="J63" i="26"/>
  <c r="K63" i="26" s="1"/>
  <c r="J62" i="26"/>
  <c r="K62" i="26" s="1"/>
  <c r="J61" i="26"/>
  <c r="K61" i="26" s="1"/>
  <c r="J60" i="26"/>
  <c r="K60" i="26" s="1"/>
  <c r="J59" i="26"/>
  <c r="K59" i="26" s="1"/>
  <c r="J58" i="26"/>
  <c r="K58" i="26" s="1"/>
  <c r="J57" i="26"/>
  <c r="K57" i="26" s="1"/>
  <c r="J56" i="26"/>
  <c r="K56" i="26" s="1"/>
  <c r="J55" i="26"/>
  <c r="K55" i="26" s="1"/>
  <c r="J54" i="26"/>
  <c r="K54" i="26" s="1"/>
  <c r="J53" i="26"/>
  <c r="K53" i="26" s="1"/>
  <c r="J52" i="26"/>
  <c r="K52" i="26" s="1"/>
  <c r="J51" i="26"/>
  <c r="K51" i="26" s="1"/>
  <c r="J50" i="26"/>
  <c r="K50" i="26" s="1"/>
  <c r="J49" i="26"/>
  <c r="K49" i="26" s="1"/>
  <c r="J48" i="26"/>
  <c r="K48" i="26" s="1"/>
  <c r="J47" i="26"/>
  <c r="K47" i="26" s="1"/>
  <c r="J46" i="26"/>
  <c r="K46" i="26" s="1"/>
  <c r="J45" i="26"/>
  <c r="K45" i="26" s="1"/>
  <c r="J44" i="26"/>
  <c r="K44" i="26" s="1"/>
  <c r="J43" i="26"/>
  <c r="K43" i="26" s="1"/>
  <c r="J42" i="26"/>
  <c r="K42" i="26" s="1"/>
  <c r="J41" i="26"/>
  <c r="K41" i="26" s="1"/>
  <c r="J40" i="26"/>
  <c r="K40" i="26" s="1"/>
  <c r="J39" i="26"/>
  <c r="K39" i="26" s="1"/>
  <c r="J38" i="26"/>
  <c r="K38" i="26" s="1"/>
  <c r="J37" i="26"/>
  <c r="K37" i="26" s="1"/>
  <c r="J36" i="26"/>
  <c r="K36" i="26" s="1"/>
  <c r="J35" i="26"/>
  <c r="K35" i="26" s="1"/>
  <c r="J34" i="26"/>
  <c r="K34" i="26" s="1"/>
  <c r="J33" i="26"/>
  <c r="K33" i="26" s="1"/>
  <c r="J32" i="26"/>
  <c r="K32" i="26" s="1"/>
  <c r="J31" i="26"/>
  <c r="K31" i="26" s="1"/>
  <c r="J30" i="26"/>
  <c r="K30" i="26" s="1"/>
  <c r="J29" i="26"/>
  <c r="K29" i="26" s="1"/>
  <c r="J28" i="26"/>
  <c r="K28" i="26" s="1"/>
  <c r="J27" i="26"/>
  <c r="K27" i="26" s="1"/>
  <c r="J26" i="26"/>
  <c r="K26" i="26" s="1"/>
  <c r="J25" i="26"/>
  <c r="K25" i="26" s="1"/>
  <c r="J24" i="26"/>
  <c r="K24" i="26" s="1"/>
  <c r="J23" i="26"/>
  <c r="K23" i="26" s="1"/>
  <c r="J22" i="26"/>
  <c r="K22" i="26" s="1"/>
  <c r="J21" i="26"/>
  <c r="K21" i="26" s="1"/>
  <c r="J20" i="26"/>
  <c r="K20" i="26" s="1"/>
  <c r="J19" i="26"/>
  <c r="K19" i="26" s="1"/>
  <c r="J18" i="26"/>
  <c r="K18" i="26" s="1"/>
  <c r="J17" i="26"/>
  <c r="K17" i="26" s="1"/>
  <c r="J16" i="26"/>
  <c r="K16" i="26" s="1"/>
  <c r="J15" i="26"/>
  <c r="K15" i="26" s="1"/>
  <c r="J14" i="26"/>
  <c r="K14" i="26" s="1"/>
  <c r="J13" i="26"/>
  <c r="K13" i="26" s="1"/>
  <c r="J12" i="26"/>
  <c r="K12" i="26" s="1"/>
  <c r="J11" i="26"/>
  <c r="K11" i="26" s="1"/>
  <c r="K6" i="26"/>
  <c r="J10" i="26"/>
  <c r="K10" i="26" s="1"/>
  <c r="L7" i="26" l="1"/>
  <c r="L6" i="26"/>
  <c r="E2" i="25"/>
  <c r="F55" i="25" l="1"/>
  <c r="F56" i="25"/>
  <c r="F298" i="25"/>
  <c r="F299" i="25"/>
  <c r="F258" i="25"/>
  <c r="F259" i="25"/>
  <c r="F250" i="25"/>
  <c r="F251" i="25"/>
  <c r="F228" i="25"/>
  <c r="F229" i="25"/>
  <c r="F237" i="25"/>
  <c r="F238" i="25"/>
  <c r="F239" i="25"/>
  <c r="F240" i="25"/>
  <c r="F321" i="25"/>
  <c r="F322" i="25"/>
  <c r="F320" i="25"/>
  <c r="F61" i="25"/>
  <c r="F62" i="25"/>
  <c r="F63" i="25"/>
  <c r="F64" i="25"/>
  <c r="F264" i="25"/>
  <c r="F263" i="25"/>
  <c r="F260" i="25"/>
  <c r="F261" i="25"/>
  <c r="F262" i="25"/>
  <c r="F168" i="25"/>
  <c r="F169" i="25"/>
  <c r="F226" i="25"/>
  <c r="F146" i="25"/>
  <c r="F147" i="25"/>
  <c r="F186" i="25"/>
  <c r="F187" i="25"/>
  <c r="F311" i="25"/>
  <c r="F312" i="25"/>
  <c r="F313" i="25"/>
  <c r="F170" i="25"/>
  <c r="F171" i="25"/>
  <c r="F44" i="25"/>
  <c r="F45" i="25"/>
  <c r="F46" i="25"/>
  <c r="F178" i="25"/>
  <c r="F179" i="25"/>
  <c r="F139" i="25"/>
  <c r="F57" i="25"/>
  <c r="F58" i="25"/>
  <c r="F59" i="25"/>
  <c r="F60" i="25"/>
  <c r="F47" i="25"/>
  <c r="F48" i="25"/>
  <c r="F49" i="25"/>
  <c r="F97" i="25"/>
  <c r="F98" i="25"/>
  <c r="F93" i="25"/>
  <c r="F94" i="25"/>
  <c r="F95" i="25"/>
  <c r="F96" i="25"/>
  <c r="F214" i="25"/>
  <c r="F215" i="25"/>
  <c r="F318" i="25"/>
  <c r="F319" i="25"/>
  <c r="F119" i="25"/>
  <c r="F120" i="25"/>
  <c r="F279" i="25"/>
  <c r="F280" i="25"/>
  <c r="F281" i="25"/>
  <c r="F282" i="25"/>
  <c r="F307" i="25"/>
  <c r="F308" i="25"/>
  <c r="F164" i="25"/>
  <c r="F165" i="25"/>
  <c r="F292" i="25"/>
  <c r="F293" i="25"/>
  <c r="F121" i="25"/>
  <c r="F122" i="25"/>
  <c r="F180" i="25"/>
  <c r="F181" i="25"/>
  <c r="F125" i="25"/>
  <c r="F126" i="25"/>
  <c r="F127" i="25"/>
  <c r="F128" i="25"/>
  <c r="F269" i="25"/>
  <c r="F270" i="25"/>
  <c r="F275" i="25"/>
  <c r="F276" i="25"/>
  <c r="F273" i="25"/>
  <c r="F274" i="25"/>
  <c r="F277" i="25"/>
  <c r="F271" i="25"/>
  <c r="F272" i="25"/>
  <c r="F192" i="25"/>
  <c r="F193" i="25"/>
  <c r="F194" i="25"/>
  <c r="F172" i="25"/>
  <c r="F173" i="25"/>
  <c r="F101" i="25"/>
  <c r="F103" i="25"/>
  <c r="F102" i="25"/>
  <c r="F188" i="25"/>
  <c r="F189" i="25"/>
  <c r="F222" i="25"/>
  <c r="F223" i="25"/>
  <c r="F190" i="25"/>
  <c r="F191" i="25"/>
  <c r="F252" i="25"/>
  <c r="F253" i="25"/>
  <c r="F6" i="25"/>
  <c r="F7" i="25"/>
  <c r="F8" i="25"/>
  <c r="F9" i="25"/>
  <c r="F10" i="25"/>
  <c r="F11" i="25"/>
  <c r="F195" i="25"/>
  <c r="F196" i="25"/>
  <c r="F197" i="25"/>
  <c r="F198" i="25"/>
  <c r="F159" i="25"/>
  <c r="F160" i="25"/>
  <c r="F227" i="25"/>
  <c r="F218" i="25"/>
  <c r="F219" i="25"/>
  <c r="F153" i="25"/>
  <c r="F154" i="25"/>
  <c r="F155" i="25"/>
  <c r="F156" i="25"/>
  <c r="F157" i="25"/>
  <c r="F158" i="25"/>
  <c r="F216" i="25"/>
  <c r="F217" i="25"/>
  <c r="F265" i="25"/>
  <c r="F266" i="25"/>
  <c r="F267" i="25"/>
  <c r="F268" i="25"/>
  <c r="F166" i="25"/>
  <c r="F167" i="25"/>
  <c r="F330" i="25"/>
  <c r="F71" i="25"/>
  <c r="F72" i="25"/>
  <c r="F73" i="25"/>
  <c r="F74" i="25"/>
  <c r="F211" i="25"/>
  <c r="F212" i="25"/>
  <c r="F213" i="25"/>
  <c r="F210" i="25"/>
  <c r="F129" i="25"/>
  <c r="F130" i="25"/>
  <c r="F131" i="25"/>
  <c r="F12" i="25"/>
  <c r="F13" i="25"/>
  <c r="F86" i="25"/>
  <c r="F87" i="25"/>
  <c r="F88" i="25"/>
  <c r="F123" i="25"/>
  <c r="F124" i="25"/>
  <c r="F208" i="25"/>
  <c r="F209" i="25"/>
  <c r="F81" i="25"/>
  <c r="F82" i="25"/>
  <c r="F79" i="25"/>
  <c r="F80" i="25"/>
  <c r="F83" i="25"/>
  <c r="F84" i="25"/>
  <c r="F85" i="25"/>
  <c r="F244" i="25"/>
  <c r="F245" i="25"/>
  <c r="F78" i="25"/>
  <c r="F76" i="25"/>
  <c r="F77" i="25"/>
  <c r="F224" i="25"/>
  <c r="F225" i="25"/>
  <c r="F52" i="25"/>
  <c r="F53" i="25"/>
  <c r="F54" i="25"/>
  <c r="F26" i="25"/>
  <c r="F27" i="25"/>
  <c r="F104" i="25"/>
  <c r="F105" i="25"/>
  <c r="F106" i="25"/>
  <c r="F14" i="25"/>
  <c r="F15" i="25"/>
  <c r="F16" i="25"/>
  <c r="F17" i="25"/>
  <c r="F18" i="25"/>
  <c r="F19" i="25"/>
  <c r="F230" i="25"/>
  <c r="F231" i="25"/>
  <c r="F182" i="25"/>
  <c r="F183" i="25"/>
  <c r="F132" i="25"/>
  <c r="F133" i="25"/>
  <c r="F284" i="25"/>
  <c r="F285" i="25"/>
  <c r="F283" i="25"/>
  <c r="F50" i="25"/>
  <c r="F51" i="25"/>
  <c r="F243" i="25"/>
  <c r="F241" i="25"/>
  <c r="F242" i="25"/>
  <c r="F176" i="25"/>
  <c r="F177" i="25"/>
  <c r="F145" i="25"/>
  <c r="F144" i="25"/>
  <c r="F324" i="25"/>
  <c r="F325" i="25"/>
  <c r="F326" i="25"/>
  <c r="F327" i="25"/>
  <c r="F323" i="25"/>
  <c r="F89" i="25"/>
  <c r="F90" i="25"/>
  <c r="F91" i="25"/>
  <c r="F92" i="25"/>
  <c r="F232" i="25"/>
  <c r="F174" i="25"/>
  <c r="F175" i="25"/>
  <c r="F148" i="25"/>
  <c r="F149" i="25"/>
  <c r="F184" i="25"/>
  <c r="F185" i="25"/>
  <c r="F233" i="25"/>
  <c r="F234" i="25"/>
  <c r="F254" i="25"/>
  <c r="F255" i="25"/>
  <c r="F256" i="25"/>
  <c r="F257" i="25"/>
  <c r="F294" i="25"/>
  <c r="F295" i="25"/>
  <c r="F306" i="25"/>
  <c r="F304" i="25"/>
  <c r="F305" i="25"/>
  <c r="F99" i="25"/>
  <c r="F100" i="25"/>
  <c r="F314" i="25"/>
  <c r="F315" i="25"/>
  <c r="F150" i="25"/>
  <c r="F142" i="25"/>
  <c r="F143" i="25"/>
  <c r="F134" i="25"/>
  <c r="F135" i="25"/>
  <c r="F137" i="25"/>
  <c r="F138" i="25"/>
  <c r="F136" i="25"/>
  <c r="F309" i="25"/>
  <c r="F310" i="25"/>
  <c r="F20" i="25"/>
  <c r="F21" i="25"/>
  <c r="F22" i="25"/>
  <c r="F23" i="25"/>
  <c r="F24" i="25"/>
  <c r="F25" i="25"/>
  <c r="F246" i="25"/>
  <c r="F247" i="25"/>
  <c r="F75" i="25"/>
  <c r="F107" i="25"/>
  <c r="F108" i="25"/>
  <c r="F109" i="25"/>
  <c r="F110" i="25"/>
  <c r="F248" i="25"/>
  <c r="F249" i="25"/>
  <c r="F28" i="25"/>
  <c r="F29" i="25"/>
  <c r="F30" i="25"/>
  <c r="F31" i="25"/>
  <c r="F39" i="25"/>
  <c r="F40" i="25"/>
  <c r="F286" i="25"/>
  <c r="F288" i="25"/>
  <c r="F287" i="25"/>
  <c r="F290" i="25"/>
  <c r="F291" i="25"/>
  <c r="F289" i="25"/>
  <c r="F41" i="25"/>
  <c r="F42" i="25"/>
  <c r="F43" i="25"/>
  <c r="F32" i="25"/>
  <c r="F33" i="25"/>
  <c r="F34" i="25"/>
  <c r="F35" i="25"/>
  <c r="F36" i="25"/>
  <c r="F37" i="25"/>
  <c r="F38" i="25"/>
  <c r="F220" i="25"/>
  <c r="F221" i="25"/>
  <c r="F302" i="25"/>
  <c r="F303" i="25"/>
  <c r="F300" i="25"/>
  <c r="F301" i="25"/>
  <c r="F328" i="25"/>
  <c r="F329" i="25"/>
  <c r="F235" i="25"/>
  <c r="F236" i="25"/>
  <c r="F296" i="25"/>
  <c r="F297" i="25"/>
  <c r="F65" i="25"/>
  <c r="F66" i="25"/>
  <c r="F67" i="25"/>
  <c r="F68" i="25"/>
  <c r="F69" i="25"/>
  <c r="F70" i="25"/>
  <c r="F203" i="25"/>
  <c r="F204" i="25"/>
  <c r="F205" i="25"/>
  <c r="F206" i="25"/>
  <c r="F207" i="25"/>
  <c r="F199" i="25"/>
  <c r="F200" i="25"/>
  <c r="F201" i="25"/>
  <c r="F202" i="25"/>
  <c r="F278" i="25"/>
  <c r="F117" i="25"/>
  <c r="F118" i="25"/>
  <c r="F111" i="25"/>
  <c r="F112" i="25"/>
  <c r="F113" i="25"/>
  <c r="F116" i="25"/>
  <c r="F114" i="25"/>
  <c r="F115" i="25"/>
  <c r="F316" i="25"/>
  <c r="F317" i="25"/>
  <c r="F140" i="25"/>
  <c r="F141" i="25"/>
  <c r="F161" i="25"/>
  <c r="F162" i="25"/>
  <c r="F163" i="25"/>
  <c r="F151" i="25"/>
  <c r="F152" i="25"/>
  <c r="F331" i="25"/>
  <c r="F3" i="25" l="1"/>
  <c r="A3" i="25"/>
  <c r="D23" i="21" s="1"/>
  <c r="K1" i="25"/>
  <c r="F1" i="25"/>
  <c r="A1" i="25"/>
  <c r="E3" i="22" l="1"/>
  <c r="A3" i="22"/>
  <c r="C2" i="22"/>
  <c r="J1" i="22"/>
  <c r="E1" i="22"/>
  <c r="A1" i="22"/>
  <c r="E3" i="23" l="1"/>
  <c r="A3" i="23"/>
  <c r="D24" i="21" s="1"/>
  <c r="C2" i="23"/>
  <c r="J1" i="23"/>
  <c r="E1" i="23"/>
  <c r="A1" i="23"/>
  <c r="E3" i="24"/>
  <c r="A3" i="24"/>
  <c r="D25" i="21" s="1"/>
  <c r="D2" i="24"/>
  <c r="J1" i="24"/>
  <c r="E1" i="24"/>
  <c r="A1" i="24"/>
  <c r="F501" i="24"/>
  <c r="E501" i="24"/>
  <c r="L501" i="24" s="1"/>
  <c r="M501" i="24" s="1"/>
  <c r="D501" i="24"/>
  <c r="C501" i="24"/>
  <c r="F500" i="24"/>
  <c r="E500" i="24"/>
  <c r="L500" i="24" s="1"/>
  <c r="M500" i="24" s="1"/>
  <c r="D500" i="24"/>
  <c r="C500" i="24"/>
  <c r="F499" i="24"/>
  <c r="E499" i="24"/>
  <c r="L499" i="24" s="1"/>
  <c r="M499" i="24" s="1"/>
  <c r="D499" i="24"/>
  <c r="C499" i="24"/>
  <c r="F498" i="24"/>
  <c r="E498" i="24"/>
  <c r="L498" i="24" s="1"/>
  <c r="M498" i="24" s="1"/>
  <c r="D498" i="24"/>
  <c r="C498" i="24"/>
  <c r="F497" i="24"/>
  <c r="E497" i="24"/>
  <c r="L497" i="24" s="1"/>
  <c r="M497" i="24" s="1"/>
  <c r="D497" i="24"/>
  <c r="C497" i="24"/>
  <c r="F496" i="24"/>
  <c r="E496" i="24"/>
  <c r="L496" i="24" s="1"/>
  <c r="M496" i="24" s="1"/>
  <c r="D496" i="24"/>
  <c r="C496" i="24"/>
  <c r="F495" i="24"/>
  <c r="E495" i="24"/>
  <c r="L495" i="24" s="1"/>
  <c r="M495" i="24" s="1"/>
  <c r="D495" i="24"/>
  <c r="C495" i="24"/>
  <c r="F494" i="24"/>
  <c r="E494" i="24"/>
  <c r="L494" i="24" s="1"/>
  <c r="M494" i="24" s="1"/>
  <c r="D494" i="24"/>
  <c r="C494" i="24"/>
  <c r="F493" i="24"/>
  <c r="E493" i="24"/>
  <c r="L493" i="24" s="1"/>
  <c r="M493" i="24" s="1"/>
  <c r="D493" i="24"/>
  <c r="C493" i="24"/>
  <c r="F492" i="24"/>
  <c r="E492" i="24"/>
  <c r="L492" i="24" s="1"/>
  <c r="M492" i="24" s="1"/>
  <c r="D492" i="24"/>
  <c r="C492" i="24"/>
  <c r="F491" i="24"/>
  <c r="E491" i="24"/>
  <c r="L491" i="24" s="1"/>
  <c r="M491" i="24" s="1"/>
  <c r="D491" i="24"/>
  <c r="C491" i="24"/>
  <c r="F490" i="24"/>
  <c r="E490" i="24"/>
  <c r="L490" i="24" s="1"/>
  <c r="M490" i="24" s="1"/>
  <c r="D490" i="24"/>
  <c r="C490" i="24"/>
  <c r="F489" i="24"/>
  <c r="E489" i="24"/>
  <c r="L489" i="24" s="1"/>
  <c r="M489" i="24" s="1"/>
  <c r="D489" i="24"/>
  <c r="C489" i="24"/>
  <c r="F488" i="24"/>
  <c r="E488" i="24"/>
  <c r="L488" i="24" s="1"/>
  <c r="M488" i="24" s="1"/>
  <c r="D488" i="24"/>
  <c r="C488" i="24"/>
  <c r="F487" i="24"/>
  <c r="E487" i="24"/>
  <c r="L487" i="24" s="1"/>
  <c r="M487" i="24" s="1"/>
  <c r="D487" i="24"/>
  <c r="C487" i="24"/>
  <c r="F486" i="24"/>
  <c r="E486" i="24"/>
  <c r="L486" i="24" s="1"/>
  <c r="M486" i="24" s="1"/>
  <c r="D486" i="24"/>
  <c r="C486" i="24"/>
  <c r="F485" i="24"/>
  <c r="E485" i="24"/>
  <c r="L485" i="24" s="1"/>
  <c r="M485" i="24" s="1"/>
  <c r="D485" i="24"/>
  <c r="C485" i="24"/>
  <c r="F484" i="24"/>
  <c r="E484" i="24"/>
  <c r="L484" i="24" s="1"/>
  <c r="M484" i="24" s="1"/>
  <c r="D484" i="24"/>
  <c r="C484" i="24"/>
  <c r="F483" i="24"/>
  <c r="E483" i="24"/>
  <c r="L483" i="24" s="1"/>
  <c r="M483" i="24" s="1"/>
  <c r="D483" i="24"/>
  <c r="C483" i="24"/>
  <c r="F482" i="24"/>
  <c r="E482" i="24"/>
  <c r="L482" i="24" s="1"/>
  <c r="M482" i="24" s="1"/>
  <c r="D482" i="24"/>
  <c r="C482" i="24"/>
  <c r="F481" i="24"/>
  <c r="E481" i="24"/>
  <c r="L481" i="24" s="1"/>
  <c r="M481" i="24" s="1"/>
  <c r="D481" i="24"/>
  <c r="C481" i="24"/>
  <c r="F480" i="24"/>
  <c r="E480" i="24"/>
  <c r="L480" i="24" s="1"/>
  <c r="M480" i="24" s="1"/>
  <c r="D480" i="24"/>
  <c r="C480" i="24"/>
  <c r="F479" i="24"/>
  <c r="E479" i="24"/>
  <c r="L479" i="24" s="1"/>
  <c r="M479" i="24" s="1"/>
  <c r="D479" i="24"/>
  <c r="C479" i="24"/>
  <c r="F478" i="24"/>
  <c r="E478" i="24"/>
  <c r="L478" i="24" s="1"/>
  <c r="M478" i="24" s="1"/>
  <c r="D478" i="24"/>
  <c r="C478" i="24"/>
  <c r="F477" i="24"/>
  <c r="E477" i="24"/>
  <c r="L477" i="24" s="1"/>
  <c r="M477" i="24" s="1"/>
  <c r="D477" i="24"/>
  <c r="C477" i="24"/>
  <c r="F476" i="24"/>
  <c r="E476" i="24"/>
  <c r="L476" i="24" s="1"/>
  <c r="M476" i="24" s="1"/>
  <c r="D476" i="24"/>
  <c r="C476" i="24"/>
  <c r="F475" i="24"/>
  <c r="E475" i="24"/>
  <c r="L475" i="24" s="1"/>
  <c r="M475" i="24" s="1"/>
  <c r="D475" i="24"/>
  <c r="C475" i="24"/>
  <c r="F474" i="24"/>
  <c r="E474" i="24"/>
  <c r="L474" i="24" s="1"/>
  <c r="M474" i="24" s="1"/>
  <c r="D474" i="24"/>
  <c r="C474" i="24"/>
  <c r="F473" i="24"/>
  <c r="E473" i="24"/>
  <c r="L473" i="24" s="1"/>
  <c r="M473" i="24" s="1"/>
  <c r="D473" i="24"/>
  <c r="C473" i="24"/>
  <c r="F472" i="24"/>
  <c r="E472" i="24"/>
  <c r="L472" i="24" s="1"/>
  <c r="M472" i="24" s="1"/>
  <c r="D472" i="24"/>
  <c r="C472" i="24"/>
  <c r="F471" i="24"/>
  <c r="E471" i="24"/>
  <c r="L471" i="24" s="1"/>
  <c r="M471" i="24" s="1"/>
  <c r="D471" i="24"/>
  <c r="C471" i="24"/>
  <c r="F470" i="24"/>
  <c r="E470" i="24"/>
  <c r="L470" i="24" s="1"/>
  <c r="M470" i="24" s="1"/>
  <c r="D470" i="24"/>
  <c r="C470" i="24"/>
  <c r="F469" i="24"/>
  <c r="E469" i="24"/>
  <c r="L469" i="24" s="1"/>
  <c r="M469" i="24" s="1"/>
  <c r="D469" i="24"/>
  <c r="C469" i="24"/>
  <c r="F468" i="24"/>
  <c r="E468" i="24"/>
  <c r="L468" i="24" s="1"/>
  <c r="M468" i="24" s="1"/>
  <c r="D468" i="24"/>
  <c r="C468" i="24"/>
  <c r="F467" i="24"/>
  <c r="E467" i="24"/>
  <c r="L467" i="24" s="1"/>
  <c r="M467" i="24" s="1"/>
  <c r="D467" i="24"/>
  <c r="C467" i="24"/>
  <c r="F466" i="24"/>
  <c r="E466" i="24"/>
  <c r="L466" i="24" s="1"/>
  <c r="M466" i="24" s="1"/>
  <c r="D466" i="24"/>
  <c r="C466" i="24"/>
  <c r="F465" i="24"/>
  <c r="E465" i="24"/>
  <c r="L465" i="24" s="1"/>
  <c r="M465" i="24" s="1"/>
  <c r="D465" i="24"/>
  <c r="C465" i="24"/>
  <c r="F464" i="24"/>
  <c r="E464" i="24"/>
  <c r="L464" i="24" s="1"/>
  <c r="M464" i="24" s="1"/>
  <c r="D464" i="24"/>
  <c r="C464" i="24"/>
  <c r="F463" i="24"/>
  <c r="E463" i="24"/>
  <c r="L463" i="24" s="1"/>
  <c r="M463" i="24" s="1"/>
  <c r="D463" i="24"/>
  <c r="C463" i="24"/>
  <c r="F462" i="24"/>
  <c r="E462" i="24"/>
  <c r="L462" i="24" s="1"/>
  <c r="M462" i="24" s="1"/>
  <c r="D462" i="24"/>
  <c r="C462" i="24"/>
  <c r="F461" i="24"/>
  <c r="E461" i="24"/>
  <c r="L461" i="24" s="1"/>
  <c r="M461" i="24" s="1"/>
  <c r="D461" i="24"/>
  <c r="C461" i="24"/>
  <c r="F460" i="24"/>
  <c r="E460" i="24"/>
  <c r="L460" i="24" s="1"/>
  <c r="M460" i="24" s="1"/>
  <c r="D460" i="24"/>
  <c r="C460" i="24"/>
  <c r="F459" i="24"/>
  <c r="E459" i="24"/>
  <c r="L459" i="24" s="1"/>
  <c r="M459" i="24" s="1"/>
  <c r="D459" i="24"/>
  <c r="C459" i="24"/>
  <c r="F458" i="24"/>
  <c r="E458" i="24"/>
  <c r="L458" i="24" s="1"/>
  <c r="M458" i="24" s="1"/>
  <c r="D458" i="24"/>
  <c r="C458" i="24"/>
  <c r="F457" i="24"/>
  <c r="E457" i="24"/>
  <c r="L457" i="24" s="1"/>
  <c r="M457" i="24" s="1"/>
  <c r="D457" i="24"/>
  <c r="C457" i="24"/>
  <c r="F456" i="24"/>
  <c r="E456" i="24"/>
  <c r="L456" i="24" s="1"/>
  <c r="M456" i="24" s="1"/>
  <c r="D456" i="24"/>
  <c r="C456" i="24"/>
  <c r="F455" i="24"/>
  <c r="E455" i="24"/>
  <c r="L455" i="24" s="1"/>
  <c r="M455" i="24" s="1"/>
  <c r="D455" i="24"/>
  <c r="C455" i="24"/>
  <c r="F454" i="24"/>
  <c r="E454" i="24"/>
  <c r="L454" i="24" s="1"/>
  <c r="M454" i="24" s="1"/>
  <c r="D454" i="24"/>
  <c r="C454" i="24"/>
  <c r="F453" i="24"/>
  <c r="E453" i="24"/>
  <c r="L453" i="24" s="1"/>
  <c r="M453" i="24" s="1"/>
  <c r="D453" i="24"/>
  <c r="C453" i="24"/>
  <c r="F452" i="24"/>
  <c r="E452" i="24"/>
  <c r="L452" i="24" s="1"/>
  <c r="M452" i="24" s="1"/>
  <c r="D452" i="24"/>
  <c r="C452" i="24"/>
  <c r="F451" i="24"/>
  <c r="E451" i="24"/>
  <c r="L451" i="24" s="1"/>
  <c r="M451" i="24" s="1"/>
  <c r="D451" i="24"/>
  <c r="C451" i="24"/>
  <c r="F450" i="24"/>
  <c r="E450" i="24"/>
  <c r="L450" i="24" s="1"/>
  <c r="M450" i="24" s="1"/>
  <c r="D450" i="24"/>
  <c r="C450" i="24"/>
  <c r="F449" i="24"/>
  <c r="E449" i="24"/>
  <c r="L449" i="24" s="1"/>
  <c r="M449" i="24" s="1"/>
  <c r="D449" i="24"/>
  <c r="C449" i="24"/>
  <c r="F448" i="24"/>
  <c r="E448" i="24"/>
  <c r="L448" i="24" s="1"/>
  <c r="M448" i="24" s="1"/>
  <c r="D448" i="24"/>
  <c r="C448" i="24"/>
  <c r="F447" i="24"/>
  <c r="E447" i="24"/>
  <c r="L447" i="24" s="1"/>
  <c r="M447" i="24" s="1"/>
  <c r="D447" i="24"/>
  <c r="C447" i="24"/>
  <c r="F446" i="24"/>
  <c r="E446" i="24"/>
  <c r="L446" i="24" s="1"/>
  <c r="M446" i="24" s="1"/>
  <c r="D446" i="24"/>
  <c r="C446" i="24"/>
  <c r="F445" i="24"/>
  <c r="E445" i="24"/>
  <c r="L445" i="24" s="1"/>
  <c r="M445" i="24" s="1"/>
  <c r="D445" i="24"/>
  <c r="C445" i="24"/>
  <c r="F444" i="24"/>
  <c r="E444" i="24"/>
  <c r="L444" i="24" s="1"/>
  <c r="M444" i="24" s="1"/>
  <c r="D444" i="24"/>
  <c r="C444" i="24"/>
  <c r="F443" i="24"/>
  <c r="E443" i="24"/>
  <c r="L443" i="24" s="1"/>
  <c r="M443" i="24" s="1"/>
  <c r="D443" i="24"/>
  <c r="C443" i="24"/>
  <c r="F442" i="24"/>
  <c r="E442" i="24"/>
  <c r="L442" i="24" s="1"/>
  <c r="M442" i="24" s="1"/>
  <c r="D442" i="24"/>
  <c r="C442" i="24"/>
  <c r="F441" i="24"/>
  <c r="E441" i="24"/>
  <c r="L441" i="24" s="1"/>
  <c r="M441" i="24" s="1"/>
  <c r="D441" i="24"/>
  <c r="C441" i="24"/>
  <c r="F440" i="24"/>
  <c r="E440" i="24"/>
  <c r="L440" i="24" s="1"/>
  <c r="M440" i="24" s="1"/>
  <c r="D440" i="24"/>
  <c r="C440" i="24"/>
  <c r="F439" i="24"/>
  <c r="E439" i="24"/>
  <c r="L439" i="24" s="1"/>
  <c r="M439" i="24" s="1"/>
  <c r="D439" i="24"/>
  <c r="C439" i="24"/>
  <c r="F438" i="24"/>
  <c r="E438" i="24"/>
  <c r="L438" i="24" s="1"/>
  <c r="M438" i="24" s="1"/>
  <c r="D438" i="24"/>
  <c r="C438" i="24"/>
  <c r="F437" i="24"/>
  <c r="E437" i="24"/>
  <c r="L437" i="24" s="1"/>
  <c r="M437" i="24" s="1"/>
  <c r="D437" i="24"/>
  <c r="C437" i="24"/>
  <c r="F436" i="24"/>
  <c r="E436" i="24"/>
  <c r="L436" i="24" s="1"/>
  <c r="M436" i="24" s="1"/>
  <c r="D436" i="24"/>
  <c r="C436" i="24"/>
  <c r="F435" i="24"/>
  <c r="E435" i="24"/>
  <c r="L435" i="24" s="1"/>
  <c r="M435" i="24" s="1"/>
  <c r="D435" i="24"/>
  <c r="C435" i="24"/>
  <c r="F434" i="24"/>
  <c r="E434" i="24"/>
  <c r="L434" i="24" s="1"/>
  <c r="M434" i="24" s="1"/>
  <c r="D434" i="24"/>
  <c r="C434" i="24"/>
  <c r="F433" i="24"/>
  <c r="E433" i="24"/>
  <c r="L433" i="24" s="1"/>
  <c r="M433" i="24" s="1"/>
  <c r="D433" i="24"/>
  <c r="C433" i="24"/>
  <c r="F432" i="24"/>
  <c r="E432" i="24"/>
  <c r="L432" i="24" s="1"/>
  <c r="M432" i="24" s="1"/>
  <c r="D432" i="24"/>
  <c r="C432" i="24"/>
  <c r="F431" i="24"/>
  <c r="E431" i="24"/>
  <c r="L431" i="24" s="1"/>
  <c r="M431" i="24" s="1"/>
  <c r="D431" i="24"/>
  <c r="C431" i="24"/>
  <c r="F430" i="24"/>
  <c r="E430" i="24"/>
  <c r="L430" i="24" s="1"/>
  <c r="M430" i="24" s="1"/>
  <c r="D430" i="24"/>
  <c r="C430" i="24"/>
  <c r="F429" i="24"/>
  <c r="E429" i="24"/>
  <c r="L429" i="24" s="1"/>
  <c r="M429" i="24" s="1"/>
  <c r="D429" i="24"/>
  <c r="C429" i="24"/>
  <c r="F428" i="24"/>
  <c r="E428" i="24"/>
  <c r="L428" i="24" s="1"/>
  <c r="M428" i="24" s="1"/>
  <c r="D428" i="24"/>
  <c r="C428" i="24"/>
  <c r="F427" i="24"/>
  <c r="E427" i="24"/>
  <c r="L427" i="24" s="1"/>
  <c r="M427" i="24" s="1"/>
  <c r="D427" i="24"/>
  <c r="C427" i="24"/>
  <c r="F426" i="24"/>
  <c r="E426" i="24"/>
  <c r="L426" i="24" s="1"/>
  <c r="M426" i="24" s="1"/>
  <c r="D426" i="24"/>
  <c r="C426" i="24"/>
  <c r="F425" i="24"/>
  <c r="E425" i="24"/>
  <c r="L425" i="24" s="1"/>
  <c r="M425" i="24" s="1"/>
  <c r="D425" i="24"/>
  <c r="C425" i="24"/>
  <c r="F424" i="24"/>
  <c r="E424" i="24"/>
  <c r="L424" i="24" s="1"/>
  <c r="M424" i="24" s="1"/>
  <c r="D424" i="24"/>
  <c r="C424" i="24"/>
  <c r="F423" i="24"/>
  <c r="E423" i="24"/>
  <c r="L423" i="24" s="1"/>
  <c r="M423" i="24" s="1"/>
  <c r="D423" i="24"/>
  <c r="C423" i="24"/>
  <c r="F422" i="24"/>
  <c r="E422" i="24"/>
  <c r="L422" i="24" s="1"/>
  <c r="M422" i="24" s="1"/>
  <c r="D422" i="24"/>
  <c r="C422" i="24"/>
  <c r="F421" i="24"/>
  <c r="E421" i="24"/>
  <c r="L421" i="24" s="1"/>
  <c r="M421" i="24" s="1"/>
  <c r="D421" i="24"/>
  <c r="C421" i="24"/>
  <c r="F420" i="24"/>
  <c r="E420" i="24"/>
  <c r="L420" i="24" s="1"/>
  <c r="M420" i="24" s="1"/>
  <c r="D420" i="24"/>
  <c r="C420" i="24"/>
  <c r="F419" i="24"/>
  <c r="E419" i="24"/>
  <c r="L419" i="24" s="1"/>
  <c r="M419" i="24" s="1"/>
  <c r="D419" i="24"/>
  <c r="C419" i="24"/>
  <c r="F418" i="24"/>
  <c r="E418" i="24"/>
  <c r="L418" i="24" s="1"/>
  <c r="M418" i="24" s="1"/>
  <c r="D418" i="24"/>
  <c r="C418" i="24"/>
  <c r="F417" i="24"/>
  <c r="E417" i="24"/>
  <c r="L417" i="24" s="1"/>
  <c r="M417" i="24" s="1"/>
  <c r="D417" i="24"/>
  <c r="C417" i="24"/>
  <c r="F416" i="24"/>
  <c r="E416" i="24"/>
  <c r="L416" i="24" s="1"/>
  <c r="M416" i="24" s="1"/>
  <c r="D416" i="24"/>
  <c r="C416" i="24"/>
  <c r="F415" i="24"/>
  <c r="E415" i="24"/>
  <c r="L415" i="24" s="1"/>
  <c r="M415" i="24" s="1"/>
  <c r="D415" i="24"/>
  <c r="C415" i="24"/>
  <c r="F414" i="24"/>
  <c r="E414" i="24"/>
  <c r="L414" i="24" s="1"/>
  <c r="M414" i="24" s="1"/>
  <c r="D414" i="24"/>
  <c r="C414" i="24"/>
  <c r="F413" i="24"/>
  <c r="E413" i="24"/>
  <c r="L413" i="24" s="1"/>
  <c r="M413" i="24" s="1"/>
  <c r="D413" i="24"/>
  <c r="C413" i="24"/>
  <c r="F412" i="24"/>
  <c r="E412" i="24"/>
  <c r="L412" i="24" s="1"/>
  <c r="M412" i="24" s="1"/>
  <c r="D412" i="24"/>
  <c r="C412" i="24"/>
  <c r="F411" i="24"/>
  <c r="E411" i="24"/>
  <c r="L411" i="24" s="1"/>
  <c r="M411" i="24" s="1"/>
  <c r="D411" i="24"/>
  <c r="C411" i="24"/>
  <c r="F410" i="24"/>
  <c r="E410" i="24"/>
  <c r="L410" i="24" s="1"/>
  <c r="M410" i="24" s="1"/>
  <c r="D410" i="24"/>
  <c r="C410" i="24"/>
  <c r="F409" i="24"/>
  <c r="E409" i="24"/>
  <c r="L409" i="24" s="1"/>
  <c r="M409" i="24" s="1"/>
  <c r="D409" i="24"/>
  <c r="C409" i="24"/>
  <c r="F408" i="24"/>
  <c r="E408" i="24"/>
  <c r="L408" i="24" s="1"/>
  <c r="M408" i="24" s="1"/>
  <c r="D408" i="24"/>
  <c r="C408" i="24"/>
  <c r="F407" i="24"/>
  <c r="E407" i="24"/>
  <c r="L407" i="24" s="1"/>
  <c r="M407" i="24" s="1"/>
  <c r="D407" i="24"/>
  <c r="C407" i="24"/>
  <c r="F406" i="24"/>
  <c r="E406" i="24"/>
  <c r="L406" i="24" s="1"/>
  <c r="M406" i="24" s="1"/>
  <c r="D406" i="24"/>
  <c r="C406" i="24"/>
  <c r="F405" i="24"/>
  <c r="E405" i="24"/>
  <c r="L405" i="24" s="1"/>
  <c r="M405" i="24" s="1"/>
  <c r="D405" i="24"/>
  <c r="C405" i="24"/>
  <c r="F404" i="24"/>
  <c r="E404" i="24"/>
  <c r="L404" i="24" s="1"/>
  <c r="M404" i="24" s="1"/>
  <c r="D404" i="24"/>
  <c r="C404" i="24"/>
  <c r="F403" i="24"/>
  <c r="E403" i="24"/>
  <c r="L403" i="24" s="1"/>
  <c r="M403" i="24" s="1"/>
  <c r="D403" i="24"/>
  <c r="C403" i="24"/>
  <c r="F402" i="24"/>
  <c r="E402" i="24"/>
  <c r="L402" i="24" s="1"/>
  <c r="M402" i="24" s="1"/>
  <c r="D402" i="24"/>
  <c r="C402" i="24"/>
  <c r="F401" i="24"/>
  <c r="E401" i="24"/>
  <c r="L401" i="24" s="1"/>
  <c r="M401" i="24" s="1"/>
  <c r="D401" i="24"/>
  <c r="C401" i="24"/>
  <c r="F400" i="24"/>
  <c r="E400" i="24"/>
  <c r="L400" i="24" s="1"/>
  <c r="M400" i="24" s="1"/>
  <c r="D400" i="24"/>
  <c r="C400" i="24"/>
  <c r="F399" i="24"/>
  <c r="E399" i="24"/>
  <c r="L399" i="24" s="1"/>
  <c r="M399" i="24" s="1"/>
  <c r="D399" i="24"/>
  <c r="C399" i="24"/>
  <c r="F398" i="24"/>
  <c r="E398" i="24"/>
  <c r="L398" i="24" s="1"/>
  <c r="M398" i="24" s="1"/>
  <c r="D398" i="24"/>
  <c r="C398" i="24"/>
  <c r="F397" i="24"/>
  <c r="E397" i="24"/>
  <c r="L397" i="24" s="1"/>
  <c r="M397" i="24" s="1"/>
  <c r="D397" i="24"/>
  <c r="C397" i="24"/>
  <c r="F396" i="24"/>
  <c r="E396" i="24"/>
  <c r="L396" i="24" s="1"/>
  <c r="M396" i="24" s="1"/>
  <c r="D396" i="24"/>
  <c r="C396" i="24"/>
  <c r="F395" i="24"/>
  <c r="E395" i="24"/>
  <c r="L395" i="24" s="1"/>
  <c r="M395" i="24" s="1"/>
  <c r="D395" i="24"/>
  <c r="C395" i="24"/>
  <c r="F394" i="24"/>
  <c r="E394" i="24"/>
  <c r="L394" i="24" s="1"/>
  <c r="M394" i="24" s="1"/>
  <c r="D394" i="24"/>
  <c r="C394" i="24"/>
  <c r="F393" i="24"/>
  <c r="E393" i="24"/>
  <c r="L393" i="24" s="1"/>
  <c r="M393" i="24" s="1"/>
  <c r="D393" i="24"/>
  <c r="C393" i="24"/>
  <c r="F392" i="24"/>
  <c r="E392" i="24"/>
  <c r="L392" i="24" s="1"/>
  <c r="M392" i="24" s="1"/>
  <c r="D392" i="24"/>
  <c r="C392" i="24"/>
  <c r="F391" i="24"/>
  <c r="E391" i="24"/>
  <c r="L391" i="24" s="1"/>
  <c r="M391" i="24" s="1"/>
  <c r="D391" i="24"/>
  <c r="C391" i="24"/>
  <c r="F390" i="24"/>
  <c r="E390" i="24"/>
  <c r="L390" i="24" s="1"/>
  <c r="M390" i="24" s="1"/>
  <c r="D390" i="24"/>
  <c r="C390" i="24"/>
  <c r="F389" i="24"/>
  <c r="E389" i="24"/>
  <c r="L389" i="24" s="1"/>
  <c r="M389" i="24" s="1"/>
  <c r="D389" i="24"/>
  <c r="C389" i="24"/>
  <c r="F388" i="24"/>
  <c r="E388" i="24"/>
  <c r="L388" i="24" s="1"/>
  <c r="M388" i="24" s="1"/>
  <c r="D388" i="24"/>
  <c r="C388" i="24"/>
  <c r="F387" i="24"/>
  <c r="E387" i="24"/>
  <c r="L387" i="24" s="1"/>
  <c r="M387" i="24" s="1"/>
  <c r="D387" i="24"/>
  <c r="C387" i="24"/>
  <c r="F386" i="24"/>
  <c r="E386" i="24"/>
  <c r="L386" i="24" s="1"/>
  <c r="M386" i="24" s="1"/>
  <c r="D386" i="24"/>
  <c r="C386" i="24"/>
  <c r="F385" i="24"/>
  <c r="E385" i="24"/>
  <c r="L385" i="24" s="1"/>
  <c r="M385" i="24" s="1"/>
  <c r="D385" i="24"/>
  <c r="C385" i="24"/>
  <c r="F384" i="24"/>
  <c r="E384" i="24"/>
  <c r="L384" i="24" s="1"/>
  <c r="M384" i="24" s="1"/>
  <c r="D384" i="24"/>
  <c r="C384" i="24"/>
  <c r="F383" i="24"/>
  <c r="E383" i="24"/>
  <c r="L383" i="24" s="1"/>
  <c r="M383" i="24" s="1"/>
  <c r="D383" i="24"/>
  <c r="C383" i="24"/>
  <c r="F382" i="24"/>
  <c r="E382" i="24"/>
  <c r="L382" i="24" s="1"/>
  <c r="M382" i="24" s="1"/>
  <c r="D382" i="24"/>
  <c r="C382" i="24"/>
  <c r="F381" i="24"/>
  <c r="E381" i="24"/>
  <c r="L381" i="24" s="1"/>
  <c r="M381" i="24" s="1"/>
  <c r="D381" i="24"/>
  <c r="C381" i="24"/>
  <c r="F380" i="24"/>
  <c r="E380" i="24"/>
  <c r="L380" i="24" s="1"/>
  <c r="M380" i="24" s="1"/>
  <c r="D380" i="24"/>
  <c r="C380" i="24"/>
  <c r="F379" i="24"/>
  <c r="E379" i="24"/>
  <c r="L379" i="24" s="1"/>
  <c r="M379" i="24" s="1"/>
  <c r="D379" i="24"/>
  <c r="C379" i="24"/>
  <c r="F378" i="24"/>
  <c r="E378" i="24"/>
  <c r="L378" i="24" s="1"/>
  <c r="M378" i="24" s="1"/>
  <c r="D378" i="24"/>
  <c r="C378" i="24"/>
  <c r="F377" i="24"/>
  <c r="E377" i="24"/>
  <c r="L377" i="24" s="1"/>
  <c r="M377" i="24" s="1"/>
  <c r="D377" i="24"/>
  <c r="C377" i="24"/>
  <c r="F376" i="24"/>
  <c r="E376" i="24"/>
  <c r="L376" i="24" s="1"/>
  <c r="M376" i="24" s="1"/>
  <c r="D376" i="24"/>
  <c r="C376" i="24"/>
  <c r="F375" i="24"/>
  <c r="E375" i="24"/>
  <c r="L375" i="24" s="1"/>
  <c r="M375" i="24" s="1"/>
  <c r="D375" i="24"/>
  <c r="C375" i="24"/>
  <c r="F374" i="24"/>
  <c r="E374" i="24"/>
  <c r="L374" i="24" s="1"/>
  <c r="M374" i="24" s="1"/>
  <c r="D374" i="24"/>
  <c r="C374" i="24"/>
  <c r="F373" i="24"/>
  <c r="E373" i="24"/>
  <c r="L373" i="24" s="1"/>
  <c r="M373" i="24" s="1"/>
  <c r="D373" i="24"/>
  <c r="C373" i="24"/>
  <c r="F372" i="24"/>
  <c r="E372" i="24"/>
  <c r="L372" i="24" s="1"/>
  <c r="M372" i="24" s="1"/>
  <c r="D372" i="24"/>
  <c r="C372" i="24"/>
  <c r="F371" i="24"/>
  <c r="E371" i="24"/>
  <c r="L371" i="24" s="1"/>
  <c r="M371" i="24" s="1"/>
  <c r="D371" i="24"/>
  <c r="C371" i="24"/>
  <c r="F370" i="24"/>
  <c r="E370" i="24"/>
  <c r="L370" i="24" s="1"/>
  <c r="M370" i="24" s="1"/>
  <c r="D370" i="24"/>
  <c r="C370" i="24"/>
  <c r="F369" i="24"/>
  <c r="E369" i="24"/>
  <c r="L369" i="24" s="1"/>
  <c r="M369" i="24" s="1"/>
  <c r="D369" i="24"/>
  <c r="C369" i="24"/>
  <c r="F368" i="24"/>
  <c r="E368" i="24"/>
  <c r="L368" i="24" s="1"/>
  <c r="M368" i="24" s="1"/>
  <c r="D368" i="24"/>
  <c r="C368" i="24"/>
  <c r="F367" i="24"/>
  <c r="E367" i="24"/>
  <c r="D367" i="24"/>
  <c r="C367" i="24"/>
  <c r="F366" i="24"/>
  <c r="E366" i="24"/>
  <c r="D366" i="24"/>
  <c r="C366" i="24"/>
  <c r="F365" i="24"/>
  <c r="E365" i="24"/>
  <c r="D365" i="24"/>
  <c r="C365" i="24"/>
  <c r="F364" i="24"/>
  <c r="E364" i="24"/>
  <c r="D364" i="24"/>
  <c r="C364" i="24"/>
  <c r="F363" i="24"/>
  <c r="E363" i="24"/>
  <c r="D363" i="24"/>
  <c r="C363" i="24"/>
  <c r="F362" i="24"/>
  <c r="E362" i="24"/>
  <c r="D362" i="24"/>
  <c r="C362" i="24"/>
  <c r="F361" i="24"/>
  <c r="E361" i="24"/>
  <c r="D361" i="24"/>
  <c r="C361" i="24"/>
  <c r="F360" i="24"/>
  <c r="E360" i="24"/>
  <c r="D360" i="24"/>
  <c r="C360" i="24"/>
  <c r="F359" i="24"/>
  <c r="E359" i="24"/>
  <c r="D359" i="24"/>
  <c r="C359" i="24"/>
  <c r="F358" i="24"/>
  <c r="E358" i="24"/>
  <c r="D358" i="24"/>
  <c r="C358" i="24"/>
  <c r="F357" i="24"/>
  <c r="E357" i="24"/>
  <c r="D357" i="24"/>
  <c r="C357" i="24"/>
  <c r="F356" i="24"/>
  <c r="E356" i="24"/>
  <c r="D356" i="24"/>
  <c r="C356" i="24"/>
  <c r="F355" i="24"/>
  <c r="E355" i="24"/>
  <c r="D355" i="24"/>
  <c r="C355" i="24"/>
  <c r="F354" i="24"/>
  <c r="E354" i="24"/>
  <c r="D354" i="24"/>
  <c r="C354" i="24"/>
  <c r="F353" i="24"/>
  <c r="E353" i="24"/>
  <c r="D353" i="24"/>
  <c r="C353" i="24"/>
  <c r="F352" i="24"/>
  <c r="E352" i="24"/>
  <c r="D352" i="24"/>
  <c r="C352" i="24"/>
  <c r="F351" i="24"/>
  <c r="E351" i="24"/>
  <c r="D351" i="24"/>
  <c r="C351" i="24"/>
  <c r="F350" i="24"/>
  <c r="E350" i="24"/>
  <c r="D350" i="24"/>
  <c r="C350" i="24"/>
  <c r="F349" i="24"/>
  <c r="E349" i="24"/>
  <c r="D349" i="24"/>
  <c r="C349" i="24"/>
  <c r="F348" i="24"/>
  <c r="E348" i="24"/>
  <c r="D348" i="24"/>
  <c r="C348" i="24"/>
  <c r="F347" i="24"/>
  <c r="E347" i="24"/>
  <c r="D347" i="24"/>
  <c r="C347" i="24"/>
  <c r="F346" i="24"/>
  <c r="E346" i="24"/>
  <c r="D346" i="24"/>
  <c r="C346" i="24"/>
  <c r="F345" i="24"/>
  <c r="E345" i="24"/>
  <c r="D345" i="24"/>
  <c r="C345" i="24"/>
  <c r="F344" i="24"/>
  <c r="E344" i="24"/>
  <c r="D344" i="24"/>
  <c r="C344" i="24"/>
  <c r="F343" i="24"/>
  <c r="E343" i="24"/>
  <c r="D343" i="24"/>
  <c r="C343" i="24"/>
  <c r="F342" i="24"/>
  <c r="E342" i="24"/>
  <c r="D342" i="24"/>
  <c r="C342" i="24"/>
  <c r="F341" i="24"/>
  <c r="E341" i="24"/>
  <c r="D341" i="24"/>
  <c r="C341" i="24"/>
  <c r="F340" i="24"/>
  <c r="E340" i="24"/>
  <c r="D340" i="24"/>
  <c r="C340" i="24"/>
  <c r="F339" i="24"/>
  <c r="E339" i="24"/>
  <c r="D339" i="24"/>
  <c r="C339" i="24"/>
  <c r="F338" i="24"/>
  <c r="E338" i="24"/>
  <c r="D338" i="24"/>
  <c r="C338" i="24"/>
  <c r="F337" i="24"/>
  <c r="E337" i="24"/>
  <c r="D337" i="24"/>
  <c r="C337" i="24"/>
  <c r="F336" i="24"/>
  <c r="E336" i="24"/>
  <c r="D336" i="24"/>
  <c r="C336" i="24"/>
  <c r="F335" i="24"/>
  <c r="E335" i="24"/>
  <c r="D335" i="24"/>
  <c r="C335" i="24"/>
  <c r="F334" i="24"/>
  <c r="E334" i="24"/>
  <c r="D334" i="24"/>
  <c r="C334" i="24"/>
  <c r="F333" i="24"/>
  <c r="E333" i="24"/>
  <c r="D333" i="24"/>
  <c r="C333" i="24"/>
  <c r="F332" i="24"/>
  <c r="E332" i="24"/>
  <c r="D332" i="24"/>
  <c r="C332" i="24"/>
  <c r="F331" i="24"/>
  <c r="E331" i="24"/>
  <c r="D331" i="24"/>
  <c r="C331" i="24"/>
  <c r="F330" i="24"/>
  <c r="E330" i="24"/>
  <c r="D330" i="24"/>
  <c r="C330" i="24"/>
  <c r="F329" i="24"/>
  <c r="E329" i="24"/>
  <c r="D329" i="24"/>
  <c r="C329" i="24"/>
  <c r="F328" i="24"/>
  <c r="E328" i="24"/>
  <c r="D328" i="24"/>
  <c r="C328" i="24"/>
  <c r="F327" i="24"/>
  <c r="E327" i="24"/>
  <c r="D327" i="24"/>
  <c r="C327" i="24"/>
  <c r="F326" i="24"/>
  <c r="E326" i="24"/>
  <c r="D326" i="24"/>
  <c r="C326" i="24"/>
  <c r="F325" i="24"/>
  <c r="E325" i="24"/>
  <c r="D325" i="24"/>
  <c r="C325" i="24"/>
  <c r="F324" i="24"/>
  <c r="E324" i="24"/>
  <c r="D324" i="24"/>
  <c r="C324" i="24"/>
  <c r="F323" i="24"/>
  <c r="E323" i="24"/>
  <c r="D323" i="24"/>
  <c r="C323" i="24"/>
  <c r="F322" i="24"/>
  <c r="E322" i="24"/>
  <c r="D322" i="24"/>
  <c r="C322" i="24"/>
  <c r="F321" i="24"/>
  <c r="E321" i="24"/>
  <c r="D321" i="24"/>
  <c r="C321" i="24"/>
  <c r="F320" i="24"/>
  <c r="E320" i="24"/>
  <c r="D320" i="24"/>
  <c r="C320" i="24"/>
  <c r="F319" i="24"/>
  <c r="E319" i="24"/>
  <c r="D319" i="24"/>
  <c r="C319" i="24"/>
  <c r="F318" i="24"/>
  <c r="E318" i="24"/>
  <c r="D318" i="24"/>
  <c r="C318" i="24"/>
  <c r="F317" i="24"/>
  <c r="E317" i="24"/>
  <c r="D317" i="24"/>
  <c r="C317" i="24"/>
  <c r="F316" i="24"/>
  <c r="E316" i="24"/>
  <c r="D316" i="24"/>
  <c r="C316" i="24"/>
  <c r="F315" i="24"/>
  <c r="E315" i="24"/>
  <c r="D315" i="24"/>
  <c r="C315" i="24"/>
  <c r="F314" i="24"/>
  <c r="E314" i="24"/>
  <c r="D314" i="24"/>
  <c r="C314" i="24"/>
  <c r="F313" i="24"/>
  <c r="E313" i="24"/>
  <c r="D313" i="24"/>
  <c r="C313" i="24"/>
  <c r="F312" i="24"/>
  <c r="E312" i="24"/>
  <c r="D312" i="24"/>
  <c r="C312" i="24"/>
  <c r="F311" i="24"/>
  <c r="E311" i="24"/>
  <c r="D311" i="24"/>
  <c r="C311" i="24"/>
  <c r="F310" i="24"/>
  <c r="E310" i="24"/>
  <c r="D310" i="24"/>
  <c r="C310" i="24"/>
  <c r="F309" i="24"/>
  <c r="E309" i="24"/>
  <c r="D309" i="24"/>
  <c r="C309" i="24"/>
  <c r="F308" i="24"/>
  <c r="E308" i="24"/>
  <c r="D308" i="24"/>
  <c r="C308" i="24"/>
  <c r="F307" i="24"/>
  <c r="E307" i="24"/>
  <c r="D307" i="24"/>
  <c r="C307" i="24"/>
  <c r="F306" i="24"/>
  <c r="E306" i="24"/>
  <c r="D306" i="24"/>
  <c r="C306" i="24"/>
  <c r="F305" i="24"/>
  <c r="E305" i="24"/>
  <c r="D305" i="24"/>
  <c r="C305" i="24"/>
  <c r="F304" i="24"/>
  <c r="E304" i="24"/>
  <c r="D304" i="24"/>
  <c r="C304" i="24"/>
  <c r="F303" i="24"/>
  <c r="E303" i="24"/>
  <c r="D303" i="24"/>
  <c r="C303" i="24"/>
  <c r="F302" i="24"/>
  <c r="E302" i="24"/>
  <c r="D302" i="24"/>
  <c r="C302" i="24"/>
  <c r="F301" i="24"/>
  <c r="E301" i="24"/>
  <c r="D301" i="24"/>
  <c r="C301" i="24"/>
  <c r="F300" i="24"/>
  <c r="E300" i="24"/>
  <c r="D300" i="24"/>
  <c r="C300" i="24"/>
  <c r="F299" i="24"/>
  <c r="E299" i="24"/>
  <c r="D299" i="24"/>
  <c r="C299" i="24"/>
  <c r="F298" i="24"/>
  <c r="E298" i="24"/>
  <c r="D298" i="24"/>
  <c r="C298" i="24"/>
  <c r="F297" i="24"/>
  <c r="E297" i="24"/>
  <c r="D297" i="24"/>
  <c r="C297" i="24"/>
  <c r="F296" i="24"/>
  <c r="E296" i="24"/>
  <c r="D296" i="24"/>
  <c r="C296" i="24"/>
  <c r="F295" i="24"/>
  <c r="E295" i="24"/>
  <c r="D295" i="24"/>
  <c r="C295" i="24"/>
  <c r="F294" i="24"/>
  <c r="E294" i="24"/>
  <c r="D294" i="24"/>
  <c r="C294" i="24"/>
  <c r="F293" i="24"/>
  <c r="E293" i="24"/>
  <c r="D293" i="24"/>
  <c r="C293" i="24"/>
  <c r="F292" i="24"/>
  <c r="E292" i="24"/>
  <c r="D292" i="24"/>
  <c r="C292" i="24"/>
  <c r="F291" i="24"/>
  <c r="E291" i="24"/>
  <c r="D291" i="24"/>
  <c r="C291" i="24"/>
  <c r="F290" i="24"/>
  <c r="E290" i="24"/>
  <c r="D290" i="24"/>
  <c r="C290" i="24"/>
  <c r="F289" i="24"/>
  <c r="E289" i="24"/>
  <c r="D289" i="24"/>
  <c r="C289" i="24"/>
  <c r="F288" i="24"/>
  <c r="E288" i="24"/>
  <c r="D288" i="24"/>
  <c r="C288" i="24"/>
  <c r="F287" i="24"/>
  <c r="E287" i="24"/>
  <c r="D287" i="24"/>
  <c r="C287" i="24"/>
  <c r="F286" i="24"/>
  <c r="E286" i="24"/>
  <c r="D286" i="24"/>
  <c r="C286" i="24"/>
  <c r="F285" i="24"/>
  <c r="E285" i="24"/>
  <c r="D285" i="24"/>
  <c r="C285" i="24"/>
  <c r="F284" i="24"/>
  <c r="E284" i="24"/>
  <c r="D284" i="24"/>
  <c r="C284" i="24"/>
  <c r="F283" i="24"/>
  <c r="E283" i="24"/>
  <c r="D283" i="24"/>
  <c r="C283" i="24"/>
  <c r="F282" i="24"/>
  <c r="E282" i="24"/>
  <c r="D282" i="24"/>
  <c r="C282" i="24"/>
  <c r="F281" i="24"/>
  <c r="E281" i="24"/>
  <c r="D281" i="24"/>
  <c r="C281" i="24"/>
  <c r="F280" i="24"/>
  <c r="E280" i="24"/>
  <c r="D280" i="24"/>
  <c r="C280" i="24"/>
  <c r="F279" i="24"/>
  <c r="E279" i="24"/>
  <c r="D279" i="24"/>
  <c r="C279" i="24"/>
  <c r="F278" i="24"/>
  <c r="E278" i="24"/>
  <c r="D278" i="24"/>
  <c r="C278" i="24"/>
  <c r="F277" i="24"/>
  <c r="E277" i="24"/>
  <c r="D277" i="24"/>
  <c r="C277" i="24"/>
  <c r="F276" i="24"/>
  <c r="E276" i="24"/>
  <c r="D276" i="24"/>
  <c r="C276" i="24"/>
  <c r="F275" i="24"/>
  <c r="E275" i="24"/>
  <c r="D275" i="24"/>
  <c r="C275" i="24"/>
  <c r="F274" i="24"/>
  <c r="E274" i="24"/>
  <c r="D274" i="24"/>
  <c r="C274" i="24"/>
  <c r="F273" i="24"/>
  <c r="E273" i="24"/>
  <c r="D273" i="24"/>
  <c r="C273" i="24"/>
  <c r="F272" i="24"/>
  <c r="E272" i="24"/>
  <c r="D272" i="24"/>
  <c r="C272" i="24"/>
  <c r="F271" i="24"/>
  <c r="E271" i="24"/>
  <c r="D271" i="24"/>
  <c r="C271" i="24"/>
  <c r="F270" i="24"/>
  <c r="E270" i="24"/>
  <c r="D270" i="24"/>
  <c r="C270" i="24"/>
  <c r="F269" i="24"/>
  <c r="E269" i="24"/>
  <c r="D269" i="24"/>
  <c r="C269" i="24"/>
  <c r="F268" i="24"/>
  <c r="E268" i="24"/>
  <c r="D268" i="24"/>
  <c r="C268" i="24"/>
  <c r="F267" i="24"/>
  <c r="E267" i="24"/>
  <c r="D267" i="24"/>
  <c r="C267" i="24"/>
  <c r="F266" i="24"/>
  <c r="E266" i="24"/>
  <c r="D266" i="24"/>
  <c r="C266" i="24"/>
  <c r="F265" i="24"/>
  <c r="E265" i="24"/>
  <c r="D265" i="24"/>
  <c r="C265" i="24"/>
  <c r="F264" i="24"/>
  <c r="E264" i="24"/>
  <c r="D264" i="24"/>
  <c r="C264" i="24"/>
  <c r="F263" i="24"/>
  <c r="E263" i="24"/>
  <c r="D263" i="24"/>
  <c r="C263" i="24"/>
  <c r="F262" i="24"/>
  <c r="E262" i="24"/>
  <c r="D262" i="24"/>
  <c r="C262" i="24"/>
  <c r="F261" i="24"/>
  <c r="E261" i="24"/>
  <c r="D261" i="24"/>
  <c r="C261" i="24"/>
  <c r="F260" i="24"/>
  <c r="E260" i="24"/>
  <c r="D260" i="24"/>
  <c r="C260" i="24"/>
  <c r="F259" i="24"/>
  <c r="E259" i="24"/>
  <c r="D259" i="24"/>
  <c r="C259" i="24"/>
  <c r="F258" i="24"/>
  <c r="E258" i="24"/>
  <c r="D258" i="24"/>
  <c r="C258" i="24"/>
  <c r="F257" i="24"/>
  <c r="E257" i="24"/>
  <c r="D257" i="24"/>
  <c r="C257" i="24"/>
  <c r="F256" i="24"/>
  <c r="E256" i="24"/>
  <c r="D256" i="24"/>
  <c r="C256" i="24"/>
  <c r="F255" i="24"/>
  <c r="E255" i="24"/>
  <c r="D255" i="24"/>
  <c r="C255" i="24"/>
  <c r="F254" i="24"/>
  <c r="E254" i="24"/>
  <c r="D254" i="24"/>
  <c r="C254" i="24"/>
  <c r="F253" i="24"/>
  <c r="E253" i="24"/>
  <c r="D253" i="24"/>
  <c r="C253" i="24"/>
  <c r="F252" i="24"/>
  <c r="E252" i="24"/>
  <c r="D252" i="24"/>
  <c r="C252" i="24"/>
  <c r="F251" i="24"/>
  <c r="E251" i="24"/>
  <c r="D251" i="24"/>
  <c r="C251" i="24"/>
  <c r="F250" i="24"/>
  <c r="E250" i="24"/>
  <c r="D250" i="24"/>
  <c r="C250" i="24"/>
  <c r="F249" i="24"/>
  <c r="E249" i="24"/>
  <c r="D249" i="24"/>
  <c r="C249" i="24"/>
  <c r="F248" i="24"/>
  <c r="E248" i="24"/>
  <c r="D248" i="24"/>
  <c r="C248" i="24"/>
  <c r="F247" i="24"/>
  <c r="E247" i="24"/>
  <c r="D247" i="24"/>
  <c r="C247" i="24"/>
  <c r="F246" i="24"/>
  <c r="E246" i="24"/>
  <c r="D246" i="24"/>
  <c r="C246" i="24"/>
  <c r="F245" i="24"/>
  <c r="E245" i="24"/>
  <c r="D245" i="24"/>
  <c r="C245" i="24"/>
  <c r="F244" i="24"/>
  <c r="E244" i="24"/>
  <c r="D244" i="24"/>
  <c r="C244" i="24"/>
  <c r="F243" i="24"/>
  <c r="E243" i="24"/>
  <c r="D243" i="24"/>
  <c r="C243" i="24"/>
  <c r="F242" i="24"/>
  <c r="E242" i="24"/>
  <c r="D242" i="24"/>
  <c r="C242" i="24"/>
  <c r="F241" i="24"/>
  <c r="E241" i="24"/>
  <c r="D241" i="24"/>
  <c r="C241" i="24"/>
  <c r="F240" i="24"/>
  <c r="E240" i="24"/>
  <c r="D240" i="24"/>
  <c r="C240" i="24"/>
  <c r="F239" i="24"/>
  <c r="E239" i="24"/>
  <c r="D239" i="24"/>
  <c r="C239" i="24"/>
  <c r="F238" i="24"/>
  <c r="E238" i="24"/>
  <c r="D238" i="24"/>
  <c r="C238" i="24"/>
  <c r="F237" i="24"/>
  <c r="E237" i="24"/>
  <c r="D237" i="24"/>
  <c r="C237" i="24"/>
  <c r="F236" i="24"/>
  <c r="E236" i="24"/>
  <c r="D236" i="24"/>
  <c r="C236" i="24"/>
  <c r="F235" i="24"/>
  <c r="E235" i="24"/>
  <c r="D235" i="24"/>
  <c r="C235" i="24"/>
  <c r="F234" i="24"/>
  <c r="E234" i="24"/>
  <c r="D234" i="24"/>
  <c r="C234" i="24"/>
  <c r="F233" i="24"/>
  <c r="E233" i="24"/>
  <c r="D233" i="24"/>
  <c r="C233" i="24"/>
  <c r="F232" i="24"/>
  <c r="E232" i="24"/>
  <c r="D232" i="24"/>
  <c r="C232" i="24"/>
  <c r="F231" i="24"/>
  <c r="E231" i="24"/>
  <c r="D231" i="24"/>
  <c r="C231" i="24"/>
  <c r="F230" i="24"/>
  <c r="E230" i="24"/>
  <c r="D230" i="24"/>
  <c r="C230" i="24"/>
  <c r="F229" i="24"/>
  <c r="E229" i="24"/>
  <c r="D229" i="24"/>
  <c r="C229" i="24"/>
  <c r="F228" i="24"/>
  <c r="E228" i="24"/>
  <c r="D228" i="24"/>
  <c r="C228" i="24"/>
  <c r="F227" i="24"/>
  <c r="E227" i="24"/>
  <c r="D227" i="24"/>
  <c r="C227" i="24"/>
  <c r="F226" i="24"/>
  <c r="E226" i="24"/>
  <c r="D226" i="24"/>
  <c r="C226" i="24"/>
  <c r="F225" i="24"/>
  <c r="E225" i="24"/>
  <c r="D225" i="24"/>
  <c r="C225" i="24"/>
  <c r="F224" i="24"/>
  <c r="E224" i="24"/>
  <c r="D224" i="24"/>
  <c r="C224" i="24"/>
  <c r="F223" i="24"/>
  <c r="E223" i="24"/>
  <c r="D223" i="24"/>
  <c r="C223" i="24"/>
  <c r="F222" i="24"/>
  <c r="E222" i="24"/>
  <c r="D222" i="24"/>
  <c r="C222" i="24"/>
  <c r="F221" i="24"/>
  <c r="E221" i="24"/>
  <c r="D221" i="24"/>
  <c r="C221" i="24"/>
  <c r="F220" i="24"/>
  <c r="E220" i="24"/>
  <c r="D220" i="24"/>
  <c r="C220" i="24"/>
  <c r="F219" i="24"/>
  <c r="E219" i="24"/>
  <c r="D219" i="24"/>
  <c r="C219" i="24"/>
  <c r="F218" i="24"/>
  <c r="E218" i="24"/>
  <c r="D218" i="24"/>
  <c r="C218" i="24"/>
  <c r="F217" i="24"/>
  <c r="E217" i="24"/>
  <c r="D217" i="24"/>
  <c r="C217" i="24"/>
  <c r="F216" i="24"/>
  <c r="E216" i="24"/>
  <c r="D216" i="24"/>
  <c r="C216" i="24"/>
  <c r="F215" i="24"/>
  <c r="E215" i="24"/>
  <c r="D215" i="24"/>
  <c r="C215" i="24"/>
  <c r="F214" i="24"/>
  <c r="E214" i="24"/>
  <c r="D214" i="24"/>
  <c r="C214" i="24"/>
  <c r="F213" i="24"/>
  <c r="E213" i="24"/>
  <c r="D213" i="24"/>
  <c r="C213" i="24"/>
  <c r="F212" i="24"/>
  <c r="E212" i="24"/>
  <c r="D212" i="24"/>
  <c r="C212" i="24"/>
  <c r="F211" i="24"/>
  <c r="E211" i="24"/>
  <c r="D211" i="24"/>
  <c r="C211" i="24"/>
  <c r="F210" i="24"/>
  <c r="E210" i="24"/>
  <c r="D210" i="24"/>
  <c r="C210" i="24"/>
  <c r="F209" i="24"/>
  <c r="E209" i="24"/>
  <c r="D209" i="24"/>
  <c r="C209" i="24"/>
  <c r="F208" i="24"/>
  <c r="E208" i="24"/>
  <c r="D208" i="24"/>
  <c r="C208" i="24"/>
  <c r="F207" i="24"/>
  <c r="E207" i="24"/>
  <c r="D207" i="24"/>
  <c r="C207" i="24"/>
  <c r="F206" i="24"/>
  <c r="E206" i="24"/>
  <c r="D206" i="24"/>
  <c r="C206" i="24"/>
  <c r="F205" i="24"/>
  <c r="E205" i="24"/>
  <c r="D205" i="24"/>
  <c r="C205" i="24"/>
  <c r="F204" i="24"/>
  <c r="E204" i="24"/>
  <c r="D204" i="24"/>
  <c r="C204" i="24"/>
  <c r="F203" i="24"/>
  <c r="E203" i="24"/>
  <c r="D203" i="24"/>
  <c r="C203" i="24"/>
  <c r="F202" i="24"/>
  <c r="E202" i="24"/>
  <c r="D202" i="24"/>
  <c r="C202" i="24"/>
  <c r="F201" i="24"/>
  <c r="E201" i="24"/>
  <c r="D201" i="24"/>
  <c r="C201" i="24"/>
  <c r="F200" i="24"/>
  <c r="E200" i="24"/>
  <c r="D200" i="24"/>
  <c r="C200" i="24"/>
  <c r="F199" i="24"/>
  <c r="E199" i="24"/>
  <c r="D199" i="24"/>
  <c r="C199" i="24"/>
  <c r="F198" i="24"/>
  <c r="E198" i="24"/>
  <c r="D198" i="24"/>
  <c r="C198" i="24"/>
  <c r="F197" i="24"/>
  <c r="E197" i="24"/>
  <c r="D197" i="24"/>
  <c r="C197" i="24"/>
  <c r="F196" i="24"/>
  <c r="E196" i="24"/>
  <c r="D196" i="24"/>
  <c r="C196" i="24"/>
  <c r="F195" i="24"/>
  <c r="E195" i="24"/>
  <c r="D195" i="24"/>
  <c r="C195" i="24"/>
  <c r="F194" i="24"/>
  <c r="E194" i="24"/>
  <c r="D194" i="24"/>
  <c r="C194" i="24"/>
  <c r="F193" i="24"/>
  <c r="E193" i="24"/>
  <c r="L193" i="24" s="1"/>
  <c r="M193" i="24" s="1"/>
  <c r="D193" i="24"/>
  <c r="C193" i="24"/>
  <c r="F192" i="24"/>
  <c r="E192" i="24"/>
  <c r="L192" i="24" s="1"/>
  <c r="M192" i="24" s="1"/>
  <c r="D192" i="24"/>
  <c r="C192" i="24"/>
  <c r="F191" i="24"/>
  <c r="E191" i="24"/>
  <c r="L191" i="24" s="1"/>
  <c r="M191" i="24" s="1"/>
  <c r="D191" i="24"/>
  <c r="C191" i="24"/>
  <c r="F190" i="24"/>
  <c r="E190" i="24"/>
  <c r="L190" i="24" s="1"/>
  <c r="M190" i="24" s="1"/>
  <c r="D190" i="24"/>
  <c r="C190" i="24"/>
  <c r="F189" i="24"/>
  <c r="E189" i="24"/>
  <c r="L189" i="24" s="1"/>
  <c r="M189" i="24" s="1"/>
  <c r="D189" i="24"/>
  <c r="C189" i="24"/>
  <c r="F188" i="24"/>
  <c r="E188" i="24"/>
  <c r="L188" i="24" s="1"/>
  <c r="M188" i="24" s="1"/>
  <c r="D188" i="24"/>
  <c r="C188" i="24"/>
  <c r="F187" i="24"/>
  <c r="E187" i="24"/>
  <c r="L187" i="24" s="1"/>
  <c r="M187" i="24" s="1"/>
  <c r="D187" i="24"/>
  <c r="C187" i="24"/>
  <c r="F186" i="24"/>
  <c r="E186" i="24"/>
  <c r="L186" i="24" s="1"/>
  <c r="M186" i="24" s="1"/>
  <c r="D186" i="24"/>
  <c r="C186" i="24"/>
  <c r="F185" i="24"/>
  <c r="E185" i="24"/>
  <c r="L185" i="24" s="1"/>
  <c r="M185" i="24" s="1"/>
  <c r="D185" i="24"/>
  <c r="C185" i="24"/>
  <c r="F184" i="24"/>
  <c r="E184" i="24"/>
  <c r="L184" i="24" s="1"/>
  <c r="M184" i="24" s="1"/>
  <c r="D184" i="24"/>
  <c r="C184" i="24"/>
  <c r="F183" i="24"/>
  <c r="E183" i="24"/>
  <c r="L183" i="24" s="1"/>
  <c r="M183" i="24" s="1"/>
  <c r="D183" i="24"/>
  <c r="C183" i="24"/>
  <c r="F182" i="24"/>
  <c r="E182" i="24"/>
  <c r="L182" i="24" s="1"/>
  <c r="M182" i="24" s="1"/>
  <c r="D182" i="24"/>
  <c r="C182" i="24"/>
  <c r="F181" i="24"/>
  <c r="E181" i="24"/>
  <c r="L181" i="24" s="1"/>
  <c r="M181" i="24" s="1"/>
  <c r="D181" i="24"/>
  <c r="C181" i="24"/>
  <c r="F180" i="24"/>
  <c r="E180" i="24"/>
  <c r="L180" i="24" s="1"/>
  <c r="M180" i="24" s="1"/>
  <c r="D180" i="24"/>
  <c r="C180" i="24"/>
  <c r="F179" i="24"/>
  <c r="E179" i="24"/>
  <c r="L179" i="24" s="1"/>
  <c r="M179" i="24" s="1"/>
  <c r="D179" i="24"/>
  <c r="C179" i="24"/>
  <c r="F178" i="24"/>
  <c r="E178" i="24"/>
  <c r="L178" i="24" s="1"/>
  <c r="M178" i="24" s="1"/>
  <c r="D178" i="24"/>
  <c r="C178" i="24"/>
  <c r="F177" i="24"/>
  <c r="E177" i="24"/>
  <c r="L177" i="24" s="1"/>
  <c r="M177" i="24" s="1"/>
  <c r="D177" i="24"/>
  <c r="C177" i="24"/>
  <c r="F176" i="24"/>
  <c r="E176" i="24"/>
  <c r="L176" i="24" s="1"/>
  <c r="M176" i="24" s="1"/>
  <c r="D176" i="24"/>
  <c r="C176" i="24"/>
  <c r="F175" i="24"/>
  <c r="E175" i="24"/>
  <c r="L175" i="24" s="1"/>
  <c r="M175" i="24" s="1"/>
  <c r="D175" i="24"/>
  <c r="C175" i="24"/>
  <c r="F174" i="24"/>
  <c r="E174" i="24"/>
  <c r="L174" i="24" s="1"/>
  <c r="M174" i="24" s="1"/>
  <c r="D174" i="24"/>
  <c r="C174" i="24"/>
  <c r="F173" i="24"/>
  <c r="E173" i="24"/>
  <c r="L173" i="24" s="1"/>
  <c r="M173" i="24" s="1"/>
  <c r="D173" i="24"/>
  <c r="C173" i="24"/>
  <c r="F172" i="24"/>
  <c r="E172" i="24"/>
  <c r="L172" i="24" s="1"/>
  <c r="M172" i="24" s="1"/>
  <c r="D172" i="24"/>
  <c r="C172" i="24"/>
  <c r="F171" i="24"/>
  <c r="E171" i="24"/>
  <c r="L171" i="24" s="1"/>
  <c r="M171" i="24" s="1"/>
  <c r="D171" i="24"/>
  <c r="C171" i="24"/>
  <c r="F170" i="24"/>
  <c r="E170" i="24"/>
  <c r="L170" i="24" s="1"/>
  <c r="M170" i="24" s="1"/>
  <c r="D170" i="24"/>
  <c r="C170" i="24"/>
  <c r="F169" i="24"/>
  <c r="E169" i="24"/>
  <c r="L169" i="24" s="1"/>
  <c r="M169" i="24" s="1"/>
  <c r="D169" i="24"/>
  <c r="C169" i="24"/>
  <c r="F168" i="24"/>
  <c r="E168" i="24"/>
  <c r="L168" i="24" s="1"/>
  <c r="M168" i="24" s="1"/>
  <c r="D168" i="24"/>
  <c r="C168" i="24"/>
  <c r="F167" i="24"/>
  <c r="E167" i="24"/>
  <c r="L167" i="24" s="1"/>
  <c r="M167" i="24" s="1"/>
  <c r="D167" i="24"/>
  <c r="C167" i="24"/>
  <c r="F166" i="24"/>
  <c r="E166" i="24"/>
  <c r="L166" i="24" s="1"/>
  <c r="M166" i="24" s="1"/>
  <c r="D166" i="24"/>
  <c r="C166" i="24"/>
  <c r="F165" i="24"/>
  <c r="E165" i="24"/>
  <c r="L165" i="24" s="1"/>
  <c r="M165" i="24" s="1"/>
  <c r="D165" i="24"/>
  <c r="C165" i="24"/>
  <c r="F164" i="24"/>
  <c r="E164" i="24"/>
  <c r="L164" i="24" s="1"/>
  <c r="M164" i="24" s="1"/>
  <c r="D164" i="24"/>
  <c r="C164" i="24"/>
  <c r="F163" i="24"/>
  <c r="E163" i="24"/>
  <c r="L163" i="24" s="1"/>
  <c r="M163" i="24" s="1"/>
  <c r="D163" i="24"/>
  <c r="C163" i="24"/>
  <c r="F162" i="24"/>
  <c r="E162" i="24"/>
  <c r="L162" i="24" s="1"/>
  <c r="M162" i="24" s="1"/>
  <c r="D162" i="24"/>
  <c r="C162" i="24"/>
  <c r="F161" i="24"/>
  <c r="E161" i="24"/>
  <c r="L161" i="24" s="1"/>
  <c r="M161" i="24" s="1"/>
  <c r="D161" i="24"/>
  <c r="C161" i="24"/>
  <c r="F160" i="24"/>
  <c r="E160" i="24"/>
  <c r="L160" i="24" s="1"/>
  <c r="M160" i="24" s="1"/>
  <c r="D160" i="24"/>
  <c r="C160" i="24"/>
  <c r="F159" i="24"/>
  <c r="E159" i="24"/>
  <c r="L159" i="24" s="1"/>
  <c r="M159" i="24" s="1"/>
  <c r="D159" i="24"/>
  <c r="C159" i="24"/>
  <c r="F158" i="24"/>
  <c r="E158" i="24"/>
  <c r="L158" i="24" s="1"/>
  <c r="M158" i="24" s="1"/>
  <c r="D158" i="24"/>
  <c r="C158" i="24"/>
  <c r="F157" i="24"/>
  <c r="E157" i="24"/>
  <c r="L157" i="24" s="1"/>
  <c r="M157" i="24" s="1"/>
  <c r="D157" i="24"/>
  <c r="C157" i="24"/>
  <c r="F156" i="24"/>
  <c r="E156" i="24"/>
  <c r="L156" i="24" s="1"/>
  <c r="M156" i="24" s="1"/>
  <c r="D156" i="24"/>
  <c r="C156" i="24"/>
  <c r="F155" i="24"/>
  <c r="E155" i="24"/>
  <c r="L155" i="24" s="1"/>
  <c r="M155" i="24" s="1"/>
  <c r="D155" i="24"/>
  <c r="C155" i="24"/>
  <c r="F154" i="24"/>
  <c r="E154" i="24"/>
  <c r="L154" i="24" s="1"/>
  <c r="M154" i="24" s="1"/>
  <c r="D154" i="24"/>
  <c r="C154" i="24"/>
  <c r="F153" i="24"/>
  <c r="E153" i="24"/>
  <c r="L153" i="24" s="1"/>
  <c r="M153" i="24" s="1"/>
  <c r="D153" i="24"/>
  <c r="C153" i="24"/>
  <c r="F152" i="24"/>
  <c r="E152" i="24"/>
  <c r="L152" i="24" s="1"/>
  <c r="M152" i="24" s="1"/>
  <c r="D152" i="24"/>
  <c r="C152" i="24"/>
  <c r="F151" i="24"/>
  <c r="E151" i="24"/>
  <c r="L151" i="24" s="1"/>
  <c r="M151" i="24" s="1"/>
  <c r="D151" i="24"/>
  <c r="C151" i="24"/>
  <c r="F150" i="24"/>
  <c r="E150" i="24"/>
  <c r="L150" i="24" s="1"/>
  <c r="M150" i="24" s="1"/>
  <c r="D150" i="24"/>
  <c r="C150" i="24"/>
  <c r="F149" i="24"/>
  <c r="E149" i="24"/>
  <c r="L149" i="24" s="1"/>
  <c r="M149" i="24" s="1"/>
  <c r="D149" i="24"/>
  <c r="C149" i="24"/>
  <c r="F148" i="24"/>
  <c r="E148" i="24"/>
  <c r="L148" i="24" s="1"/>
  <c r="M148" i="24" s="1"/>
  <c r="D148" i="24"/>
  <c r="C148" i="24"/>
  <c r="F147" i="24"/>
  <c r="E147" i="24"/>
  <c r="L147" i="24" s="1"/>
  <c r="M147" i="24" s="1"/>
  <c r="D147" i="24"/>
  <c r="C147" i="24"/>
  <c r="F146" i="24"/>
  <c r="E146" i="24"/>
  <c r="L146" i="24" s="1"/>
  <c r="M146" i="24" s="1"/>
  <c r="D146" i="24"/>
  <c r="C146" i="24"/>
  <c r="F145" i="24"/>
  <c r="E145" i="24"/>
  <c r="L145" i="24" s="1"/>
  <c r="M145" i="24" s="1"/>
  <c r="D145" i="24"/>
  <c r="C145" i="24"/>
  <c r="F144" i="24"/>
  <c r="E144" i="24"/>
  <c r="L144" i="24" s="1"/>
  <c r="M144" i="24" s="1"/>
  <c r="D144" i="24"/>
  <c r="C144" i="24"/>
  <c r="F143" i="24"/>
  <c r="E143" i="24"/>
  <c r="L143" i="24" s="1"/>
  <c r="M143" i="24" s="1"/>
  <c r="D143" i="24"/>
  <c r="C143" i="24"/>
  <c r="F142" i="24"/>
  <c r="E142" i="24"/>
  <c r="L142" i="24" s="1"/>
  <c r="M142" i="24" s="1"/>
  <c r="D142" i="24"/>
  <c r="C142" i="24"/>
  <c r="F141" i="24"/>
  <c r="E141" i="24"/>
  <c r="L141" i="24" s="1"/>
  <c r="M141" i="24" s="1"/>
  <c r="D141" i="24"/>
  <c r="C141" i="24"/>
  <c r="F140" i="24"/>
  <c r="E140" i="24"/>
  <c r="L140" i="24" s="1"/>
  <c r="M140" i="24" s="1"/>
  <c r="D140" i="24"/>
  <c r="C140" i="24"/>
  <c r="F139" i="24"/>
  <c r="E139" i="24"/>
  <c r="L139" i="24" s="1"/>
  <c r="M139" i="24" s="1"/>
  <c r="D139" i="24"/>
  <c r="C139" i="24"/>
  <c r="F138" i="24"/>
  <c r="E138" i="24"/>
  <c r="L138" i="24" s="1"/>
  <c r="M138" i="24" s="1"/>
  <c r="D138" i="24"/>
  <c r="C138" i="24"/>
  <c r="F137" i="24"/>
  <c r="E137" i="24"/>
  <c r="L137" i="24" s="1"/>
  <c r="M137" i="24" s="1"/>
  <c r="D137" i="24"/>
  <c r="C137" i="24"/>
  <c r="F136" i="24"/>
  <c r="E136" i="24"/>
  <c r="L136" i="24" s="1"/>
  <c r="M136" i="24" s="1"/>
  <c r="D136" i="24"/>
  <c r="C136" i="24"/>
  <c r="F135" i="24"/>
  <c r="E135" i="24"/>
  <c r="L135" i="24" s="1"/>
  <c r="M135" i="24" s="1"/>
  <c r="D135" i="24"/>
  <c r="C135" i="24"/>
  <c r="F134" i="24"/>
  <c r="E134" i="24"/>
  <c r="L134" i="24" s="1"/>
  <c r="M134" i="24" s="1"/>
  <c r="D134" i="24"/>
  <c r="C134" i="24"/>
  <c r="F133" i="24"/>
  <c r="E133" i="24"/>
  <c r="L133" i="24" s="1"/>
  <c r="M133" i="24" s="1"/>
  <c r="D133" i="24"/>
  <c r="C133" i="24"/>
  <c r="F132" i="24"/>
  <c r="E132" i="24"/>
  <c r="L132" i="24" s="1"/>
  <c r="M132" i="24" s="1"/>
  <c r="D132" i="24"/>
  <c r="C132" i="24"/>
  <c r="F131" i="24"/>
  <c r="E131" i="24"/>
  <c r="L131" i="24" s="1"/>
  <c r="M131" i="24" s="1"/>
  <c r="D131" i="24"/>
  <c r="C131" i="24"/>
  <c r="F130" i="24"/>
  <c r="E130" i="24"/>
  <c r="L130" i="24" s="1"/>
  <c r="M130" i="24" s="1"/>
  <c r="D130" i="24"/>
  <c r="C130" i="24"/>
  <c r="F129" i="24"/>
  <c r="E129" i="24"/>
  <c r="L129" i="24" s="1"/>
  <c r="M129" i="24" s="1"/>
  <c r="D129" i="24"/>
  <c r="C129" i="24"/>
  <c r="F128" i="24"/>
  <c r="E128" i="24"/>
  <c r="L128" i="24" s="1"/>
  <c r="M128" i="24" s="1"/>
  <c r="D128" i="24"/>
  <c r="C128" i="24"/>
  <c r="F127" i="24"/>
  <c r="E127" i="24"/>
  <c r="L127" i="24" s="1"/>
  <c r="M127" i="24" s="1"/>
  <c r="D127" i="24"/>
  <c r="C127" i="24"/>
  <c r="F126" i="24"/>
  <c r="E126" i="24"/>
  <c r="L126" i="24" s="1"/>
  <c r="M126" i="24" s="1"/>
  <c r="D126" i="24"/>
  <c r="C126" i="24"/>
  <c r="F125" i="24"/>
  <c r="E125" i="24"/>
  <c r="L125" i="24" s="1"/>
  <c r="M125" i="24" s="1"/>
  <c r="D125" i="24"/>
  <c r="C125" i="24"/>
  <c r="F124" i="24"/>
  <c r="E124" i="24"/>
  <c r="L124" i="24" s="1"/>
  <c r="M124" i="24" s="1"/>
  <c r="D124" i="24"/>
  <c r="C124" i="24"/>
  <c r="F123" i="24"/>
  <c r="E123" i="24"/>
  <c r="L123" i="24" s="1"/>
  <c r="M123" i="24" s="1"/>
  <c r="D123" i="24"/>
  <c r="C123" i="24"/>
  <c r="F122" i="24"/>
  <c r="E122" i="24"/>
  <c r="L122" i="24" s="1"/>
  <c r="M122" i="24" s="1"/>
  <c r="D122" i="24"/>
  <c r="C122" i="24"/>
  <c r="F121" i="24"/>
  <c r="E121" i="24"/>
  <c r="L121" i="24" s="1"/>
  <c r="M121" i="24" s="1"/>
  <c r="D121" i="24"/>
  <c r="C121" i="24"/>
  <c r="F120" i="24"/>
  <c r="E120" i="24"/>
  <c r="L120" i="24" s="1"/>
  <c r="M120" i="24" s="1"/>
  <c r="D120" i="24"/>
  <c r="C120" i="24"/>
  <c r="F119" i="24"/>
  <c r="E119" i="24"/>
  <c r="L119" i="24" s="1"/>
  <c r="M119" i="24" s="1"/>
  <c r="D119" i="24"/>
  <c r="C119" i="24"/>
  <c r="F118" i="24"/>
  <c r="E118" i="24"/>
  <c r="L118" i="24" s="1"/>
  <c r="M118" i="24" s="1"/>
  <c r="D118" i="24"/>
  <c r="C118" i="24"/>
  <c r="F117" i="24"/>
  <c r="E117" i="24"/>
  <c r="L117" i="24" s="1"/>
  <c r="M117" i="24" s="1"/>
  <c r="D117" i="24"/>
  <c r="C117" i="24"/>
  <c r="F116" i="24"/>
  <c r="E116" i="24"/>
  <c r="L116" i="24" s="1"/>
  <c r="M116" i="24" s="1"/>
  <c r="D116" i="24"/>
  <c r="C116" i="24"/>
  <c r="F115" i="24"/>
  <c r="E115" i="24"/>
  <c r="L115" i="24" s="1"/>
  <c r="M115" i="24" s="1"/>
  <c r="D115" i="24"/>
  <c r="C115" i="24"/>
  <c r="F114" i="24"/>
  <c r="E114" i="24"/>
  <c r="L114" i="24" s="1"/>
  <c r="M114" i="24" s="1"/>
  <c r="D114" i="24"/>
  <c r="C114" i="24"/>
  <c r="F113" i="24"/>
  <c r="E113" i="24"/>
  <c r="L113" i="24" s="1"/>
  <c r="M113" i="24" s="1"/>
  <c r="D113" i="24"/>
  <c r="C113" i="24"/>
  <c r="F112" i="24"/>
  <c r="E112" i="24"/>
  <c r="L112" i="24" s="1"/>
  <c r="M112" i="24" s="1"/>
  <c r="D112" i="24"/>
  <c r="C112" i="24"/>
  <c r="F111" i="24"/>
  <c r="E111" i="24"/>
  <c r="L111" i="24" s="1"/>
  <c r="M111" i="24" s="1"/>
  <c r="D111" i="24"/>
  <c r="C111" i="24"/>
  <c r="F110" i="24"/>
  <c r="E110" i="24"/>
  <c r="L110" i="24" s="1"/>
  <c r="M110" i="24" s="1"/>
  <c r="D110" i="24"/>
  <c r="C110" i="24"/>
  <c r="F109" i="24"/>
  <c r="E109" i="24"/>
  <c r="L109" i="24" s="1"/>
  <c r="M109" i="24" s="1"/>
  <c r="D109" i="24"/>
  <c r="C109" i="24"/>
  <c r="F108" i="24"/>
  <c r="E108" i="24"/>
  <c r="L108" i="24" s="1"/>
  <c r="M108" i="24" s="1"/>
  <c r="D108" i="24"/>
  <c r="C108" i="24"/>
  <c r="F107" i="24"/>
  <c r="E107" i="24"/>
  <c r="L107" i="24" s="1"/>
  <c r="M107" i="24" s="1"/>
  <c r="D107" i="24"/>
  <c r="C107" i="24"/>
  <c r="F106" i="24"/>
  <c r="E106" i="24"/>
  <c r="L106" i="24" s="1"/>
  <c r="M106" i="24" s="1"/>
  <c r="D106" i="24"/>
  <c r="C106" i="24"/>
  <c r="F105" i="24"/>
  <c r="E105" i="24"/>
  <c r="L105" i="24" s="1"/>
  <c r="M105" i="24" s="1"/>
  <c r="D105" i="24"/>
  <c r="C105" i="24"/>
  <c r="F104" i="24"/>
  <c r="E104" i="24"/>
  <c r="L104" i="24" s="1"/>
  <c r="M104" i="24" s="1"/>
  <c r="D104" i="24"/>
  <c r="C104" i="24"/>
  <c r="F103" i="24"/>
  <c r="E103" i="24"/>
  <c r="L103" i="24" s="1"/>
  <c r="M103" i="24" s="1"/>
  <c r="D103" i="24"/>
  <c r="C103" i="24"/>
  <c r="F102" i="24"/>
  <c r="E102" i="24"/>
  <c r="L102" i="24" s="1"/>
  <c r="M102" i="24" s="1"/>
  <c r="D102" i="24"/>
  <c r="C102" i="24"/>
  <c r="F101" i="24"/>
  <c r="E101" i="24"/>
  <c r="L101" i="24" s="1"/>
  <c r="M101" i="24" s="1"/>
  <c r="D101" i="24"/>
  <c r="C101" i="24"/>
  <c r="F100" i="24"/>
  <c r="E100" i="24"/>
  <c r="L100" i="24" s="1"/>
  <c r="M100" i="24" s="1"/>
  <c r="D100" i="24"/>
  <c r="C100" i="24"/>
  <c r="F99" i="24"/>
  <c r="E99" i="24"/>
  <c r="L99" i="24" s="1"/>
  <c r="M99" i="24" s="1"/>
  <c r="D99" i="24"/>
  <c r="C99" i="24"/>
  <c r="F98" i="24"/>
  <c r="E98" i="24"/>
  <c r="L98" i="24" s="1"/>
  <c r="M98" i="24" s="1"/>
  <c r="D98" i="24"/>
  <c r="C98" i="24"/>
  <c r="F97" i="24"/>
  <c r="E97" i="24"/>
  <c r="L97" i="24" s="1"/>
  <c r="M97" i="24" s="1"/>
  <c r="D97" i="24"/>
  <c r="C97" i="24"/>
  <c r="F96" i="24"/>
  <c r="E96" i="24"/>
  <c r="L96" i="24" s="1"/>
  <c r="M96" i="24" s="1"/>
  <c r="D96" i="24"/>
  <c r="C96" i="24"/>
  <c r="F95" i="24"/>
  <c r="E95" i="24"/>
  <c r="L95" i="24" s="1"/>
  <c r="M95" i="24" s="1"/>
  <c r="D95" i="24"/>
  <c r="C95" i="24"/>
  <c r="F94" i="24"/>
  <c r="E94" i="24"/>
  <c r="L94" i="24" s="1"/>
  <c r="M94" i="24" s="1"/>
  <c r="D94" i="24"/>
  <c r="C94" i="24"/>
  <c r="F93" i="24"/>
  <c r="E93" i="24"/>
  <c r="L93" i="24" s="1"/>
  <c r="M93" i="24" s="1"/>
  <c r="D93" i="24"/>
  <c r="C93" i="24"/>
  <c r="F92" i="24"/>
  <c r="E92" i="24"/>
  <c r="L92" i="24" s="1"/>
  <c r="M92" i="24" s="1"/>
  <c r="D92" i="24"/>
  <c r="C92" i="24"/>
  <c r="F91" i="24"/>
  <c r="E91" i="24"/>
  <c r="L91" i="24" s="1"/>
  <c r="M91" i="24" s="1"/>
  <c r="D91" i="24"/>
  <c r="C91" i="24"/>
  <c r="F90" i="24"/>
  <c r="E90" i="24"/>
  <c r="L90" i="24" s="1"/>
  <c r="M90" i="24" s="1"/>
  <c r="D90" i="24"/>
  <c r="C90" i="24"/>
  <c r="F89" i="24"/>
  <c r="E89" i="24"/>
  <c r="L89" i="24" s="1"/>
  <c r="M89" i="24" s="1"/>
  <c r="D89" i="24"/>
  <c r="C89" i="24"/>
  <c r="F88" i="24"/>
  <c r="E88" i="24"/>
  <c r="L88" i="24" s="1"/>
  <c r="M88" i="24" s="1"/>
  <c r="D88" i="24"/>
  <c r="C88" i="24"/>
  <c r="F87" i="24"/>
  <c r="E87" i="24"/>
  <c r="L87" i="24" s="1"/>
  <c r="M87" i="24" s="1"/>
  <c r="D87" i="24"/>
  <c r="C87" i="24"/>
  <c r="F86" i="24"/>
  <c r="E86" i="24"/>
  <c r="L86" i="24" s="1"/>
  <c r="M86" i="24" s="1"/>
  <c r="D86" i="24"/>
  <c r="C86" i="24"/>
  <c r="F85" i="24"/>
  <c r="E85" i="24"/>
  <c r="L85" i="24" s="1"/>
  <c r="M85" i="24" s="1"/>
  <c r="D85" i="24"/>
  <c r="C85" i="24"/>
  <c r="F84" i="24"/>
  <c r="E84" i="24"/>
  <c r="L84" i="24" s="1"/>
  <c r="M84" i="24" s="1"/>
  <c r="D84" i="24"/>
  <c r="C84" i="24"/>
  <c r="F83" i="24"/>
  <c r="E83" i="24"/>
  <c r="L83" i="24" s="1"/>
  <c r="M83" i="24" s="1"/>
  <c r="D83" i="24"/>
  <c r="C83" i="24"/>
  <c r="F82" i="24"/>
  <c r="E82" i="24"/>
  <c r="L82" i="24" s="1"/>
  <c r="M82" i="24" s="1"/>
  <c r="D82" i="24"/>
  <c r="C82" i="24"/>
  <c r="F81" i="24"/>
  <c r="E81" i="24"/>
  <c r="L81" i="24" s="1"/>
  <c r="M81" i="24" s="1"/>
  <c r="D81" i="24"/>
  <c r="C81" i="24"/>
  <c r="F80" i="24"/>
  <c r="E80" i="24"/>
  <c r="L80" i="24" s="1"/>
  <c r="M80" i="24" s="1"/>
  <c r="D80" i="24"/>
  <c r="C80" i="24"/>
  <c r="F79" i="24"/>
  <c r="E79" i="24"/>
  <c r="L79" i="24" s="1"/>
  <c r="M79" i="24" s="1"/>
  <c r="D79" i="24"/>
  <c r="C79" i="24"/>
  <c r="F78" i="24"/>
  <c r="E78" i="24"/>
  <c r="L78" i="24" s="1"/>
  <c r="M78" i="24" s="1"/>
  <c r="D78" i="24"/>
  <c r="C78" i="24"/>
  <c r="F77" i="24"/>
  <c r="E77" i="24"/>
  <c r="L77" i="24" s="1"/>
  <c r="M77" i="24" s="1"/>
  <c r="D77" i="24"/>
  <c r="C77" i="24"/>
  <c r="F76" i="24"/>
  <c r="E76" i="24"/>
  <c r="L76" i="24" s="1"/>
  <c r="M76" i="24" s="1"/>
  <c r="D76" i="24"/>
  <c r="C76" i="24"/>
  <c r="F75" i="24"/>
  <c r="E75" i="24"/>
  <c r="L75" i="24" s="1"/>
  <c r="M75" i="24" s="1"/>
  <c r="D75" i="24"/>
  <c r="C75" i="24"/>
  <c r="F74" i="24"/>
  <c r="E74" i="24"/>
  <c r="L74" i="24" s="1"/>
  <c r="M74" i="24" s="1"/>
  <c r="D74" i="24"/>
  <c r="C74" i="24"/>
  <c r="F73" i="24"/>
  <c r="E73" i="24"/>
  <c r="L73" i="24" s="1"/>
  <c r="M73" i="24" s="1"/>
  <c r="D73" i="24"/>
  <c r="C73" i="24"/>
  <c r="F72" i="24"/>
  <c r="E72" i="24"/>
  <c r="L72" i="24" s="1"/>
  <c r="M72" i="24" s="1"/>
  <c r="D72" i="24"/>
  <c r="C72" i="24"/>
  <c r="F71" i="24"/>
  <c r="E71" i="24"/>
  <c r="L71" i="24" s="1"/>
  <c r="M71" i="24" s="1"/>
  <c r="D71" i="24"/>
  <c r="C71" i="24"/>
  <c r="F70" i="24"/>
  <c r="E70" i="24"/>
  <c r="L70" i="24" s="1"/>
  <c r="M70" i="24" s="1"/>
  <c r="D70" i="24"/>
  <c r="C70" i="24"/>
  <c r="F69" i="24"/>
  <c r="E69" i="24"/>
  <c r="L69" i="24" s="1"/>
  <c r="M69" i="24" s="1"/>
  <c r="D69" i="24"/>
  <c r="C69" i="24"/>
  <c r="F68" i="24"/>
  <c r="E68" i="24"/>
  <c r="L68" i="24" s="1"/>
  <c r="M68" i="24" s="1"/>
  <c r="D68" i="24"/>
  <c r="C68" i="24"/>
  <c r="F67" i="24"/>
  <c r="E67" i="24"/>
  <c r="L67" i="24" s="1"/>
  <c r="M67" i="24" s="1"/>
  <c r="D67" i="24"/>
  <c r="C67" i="24"/>
  <c r="F66" i="24"/>
  <c r="E66" i="24"/>
  <c r="L66" i="24" s="1"/>
  <c r="M66" i="24" s="1"/>
  <c r="D66" i="24"/>
  <c r="C66" i="24"/>
  <c r="F65" i="24"/>
  <c r="E65" i="24"/>
  <c r="L65" i="24" s="1"/>
  <c r="M65" i="24" s="1"/>
  <c r="D65" i="24"/>
  <c r="C65" i="24"/>
  <c r="F64" i="24"/>
  <c r="E64" i="24"/>
  <c r="L64" i="24" s="1"/>
  <c r="M64" i="24" s="1"/>
  <c r="D64" i="24"/>
  <c r="C64" i="24"/>
  <c r="F63" i="24"/>
  <c r="E63" i="24"/>
  <c r="L63" i="24" s="1"/>
  <c r="M63" i="24" s="1"/>
  <c r="D63" i="24"/>
  <c r="C63" i="24"/>
  <c r="F62" i="24"/>
  <c r="E62" i="24"/>
  <c r="L62" i="24" s="1"/>
  <c r="M62" i="24" s="1"/>
  <c r="D62" i="24"/>
  <c r="C62" i="24"/>
  <c r="F61" i="24"/>
  <c r="E61" i="24"/>
  <c r="L61" i="24" s="1"/>
  <c r="M61" i="24" s="1"/>
  <c r="D61" i="24"/>
  <c r="C61" i="24"/>
  <c r="F60" i="24"/>
  <c r="E60" i="24"/>
  <c r="L60" i="24" s="1"/>
  <c r="M60" i="24" s="1"/>
  <c r="D60" i="24"/>
  <c r="C60" i="24"/>
  <c r="F59" i="24"/>
  <c r="E59" i="24"/>
  <c r="L59" i="24" s="1"/>
  <c r="M59" i="24" s="1"/>
  <c r="D59" i="24"/>
  <c r="C59" i="24"/>
  <c r="F58" i="24"/>
  <c r="E58" i="24"/>
  <c r="L58" i="24" s="1"/>
  <c r="M58" i="24" s="1"/>
  <c r="D58" i="24"/>
  <c r="C58" i="24"/>
  <c r="F57" i="24"/>
  <c r="E57" i="24"/>
  <c r="L57" i="24" s="1"/>
  <c r="M57" i="24" s="1"/>
  <c r="D57" i="24"/>
  <c r="C57" i="24"/>
  <c r="F56" i="24"/>
  <c r="E56" i="24"/>
  <c r="L56" i="24" s="1"/>
  <c r="M56" i="24" s="1"/>
  <c r="D56" i="24"/>
  <c r="C56" i="24"/>
  <c r="F55" i="24"/>
  <c r="E55" i="24"/>
  <c r="L55" i="24" s="1"/>
  <c r="M55" i="24" s="1"/>
  <c r="D55" i="24"/>
  <c r="C55" i="24"/>
  <c r="F54" i="24"/>
  <c r="E54" i="24"/>
  <c r="L54" i="24" s="1"/>
  <c r="M54" i="24" s="1"/>
  <c r="D54" i="24"/>
  <c r="C54" i="24"/>
  <c r="F53" i="24"/>
  <c r="E53" i="24"/>
  <c r="L53" i="24" s="1"/>
  <c r="M53" i="24" s="1"/>
  <c r="D53" i="24"/>
  <c r="C53" i="24"/>
  <c r="F52" i="24"/>
  <c r="E52" i="24"/>
  <c r="L52" i="24" s="1"/>
  <c r="M52" i="24" s="1"/>
  <c r="D52" i="24"/>
  <c r="C52" i="24"/>
  <c r="F51" i="24"/>
  <c r="E51" i="24"/>
  <c r="L51" i="24" s="1"/>
  <c r="M51" i="24" s="1"/>
  <c r="D51" i="24"/>
  <c r="C51" i="24"/>
  <c r="F50" i="24"/>
  <c r="E50" i="24"/>
  <c r="L50" i="24" s="1"/>
  <c r="M50" i="24" s="1"/>
  <c r="D50" i="24"/>
  <c r="C50" i="24"/>
  <c r="F49" i="24"/>
  <c r="E49" i="24"/>
  <c r="L49" i="24" s="1"/>
  <c r="M49" i="24" s="1"/>
  <c r="D49" i="24"/>
  <c r="C49" i="24"/>
  <c r="F48" i="24"/>
  <c r="E48" i="24"/>
  <c r="L48" i="24" s="1"/>
  <c r="M48" i="24" s="1"/>
  <c r="D48" i="24"/>
  <c r="C48" i="24"/>
  <c r="F47" i="24"/>
  <c r="E47" i="24"/>
  <c r="L47" i="24" s="1"/>
  <c r="M47" i="24" s="1"/>
  <c r="D47" i="24"/>
  <c r="C47" i="24"/>
  <c r="F46" i="24"/>
  <c r="E46" i="24"/>
  <c r="L46" i="24" s="1"/>
  <c r="M46" i="24" s="1"/>
  <c r="D46" i="24"/>
  <c r="C46" i="24"/>
  <c r="F45" i="24"/>
  <c r="E45" i="24"/>
  <c r="L45" i="24" s="1"/>
  <c r="M45" i="24" s="1"/>
  <c r="D45" i="24"/>
  <c r="C45" i="24"/>
  <c r="F44" i="24"/>
  <c r="E44" i="24"/>
  <c r="L44" i="24" s="1"/>
  <c r="M44" i="24" s="1"/>
  <c r="D44" i="24"/>
  <c r="C44" i="24"/>
  <c r="F43" i="24"/>
  <c r="E43" i="24"/>
  <c r="L43" i="24" s="1"/>
  <c r="M43" i="24" s="1"/>
  <c r="D43" i="24"/>
  <c r="C43" i="24"/>
  <c r="F42" i="24"/>
  <c r="E42" i="24"/>
  <c r="L42" i="24" s="1"/>
  <c r="M42" i="24" s="1"/>
  <c r="D42" i="24"/>
  <c r="C42" i="24"/>
  <c r="F41" i="24"/>
  <c r="E41" i="24"/>
  <c r="L41" i="24" s="1"/>
  <c r="M41" i="24" s="1"/>
  <c r="D41" i="24"/>
  <c r="C41" i="24"/>
  <c r="F40" i="24"/>
  <c r="E40" i="24"/>
  <c r="L40" i="24" s="1"/>
  <c r="M40" i="24" s="1"/>
  <c r="D40" i="24"/>
  <c r="C40" i="24"/>
  <c r="F39" i="24"/>
  <c r="E39" i="24"/>
  <c r="L39" i="24" s="1"/>
  <c r="M39" i="24" s="1"/>
  <c r="D39" i="24"/>
  <c r="C39" i="24"/>
  <c r="F38" i="24"/>
  <c r="E38" i="24"/>
  <c r="L38" i="24" s="1"/>
  <c r="M38" i="24" s="1"/>
  <c r="D38" i="24"/>
  <c r="C38" i="24"/>
  <c r="F37" i="24"/>
  <c r="E37" i="24"/>
  <c r="L37" i="24" s="1"/>
  <c r="M37" i="24" s="1"/>
  <c r="D37" i="24"/>
  <c r="C37" i="24"/>
  <c r="F36" i="24"/>
  <c r="E36" i="24"/>
  <c r="L36" i="24" s="1"/>
  <c r="M36" i="24" s="1"/>
  <c r="D36" i="24"/>
  <c r="C36" i="24"/>
  <c r="F35" i="24"/>
  <c r="E35" i="24"/>
  <c r="L35" i="24" s="1"/>
  <c r="M35" i="24" s="1"/>
  <c r="D35" i="24"/>
  <c r="C35" i="24"/>
  <c r="F34" i="24"/>
  <c r="E34" i="24"/>
  <c r="L34" i="24" s="1"/>
  <c r="M34" i="24" s="1"/>
  <c r="D34" i="24"/>
  <c r="C34" i="24"/>
  <c r="F33" i="24"/>
  <c r="E33" i="24"/>
  <c r="L33" i="24" s="1"/>
  <c r="M33" i="24" s="1"/>
  <c r="D33" i="24"/>
  <c r="C33" i="24"/>
  <c r="F32" i="24"/>
  <c r="E32" i="24"/>
  <c r="L32" i="24" s="1"/>
  <c r="M32" i="24" s="1"/>
  <c r="D32" i="24"/>
  <c r="C32" i="24"/>
  <c r="F31" i="24"/>
  <c r="E31" i="24"/>
  <c r="L31" i="24" s="1"/>
  <c r="M31" i="24" s="1"/>
  <c r="D31" i="24"/>
  <c r="C31" i="24"/>
  <c r="F30" i="24"/>
  <c r="E30" i="24"/>
  <c r="L30" i="24" s="1"/>
  <c r="M30" i="24" s="1"/>
  <c r="D30" i="24"/>
  <c r="C30" i="24"/>
  <c r="F29" i="24"/>
  <c r="E29" i="24"/>
  <c r="L29" i="24" s="1"/>
  <c r="M29" i="24" s="1"/>
  <c r="D29" i="24"/>
  <c r="C29" i="24"/>
  <c r="F28" i="24"/>
  <c r="E28" i="24"/>
  <c r="L28" i="24" s="1"/>
  <c r="M28" i="24" s="1"/>
  <c r="D28" i="24"/>
  <c r="C28" i="24"/>
  <c r="F27" i="24"/>
  <c r="E27" i="24"/>
  <c r="L27" i="24" s="1"/>
  <c r="M27" i="24" s="1"/>
  <c r="D27" i="24"/>
  <c r="C27" i="24"/>
  <c r="F26" i="24"/>
  <c r="E26" i="24"/>
  <c r="L26" i="24" s="1"/>
  <c r="M26" i="24" s="1"/>
  <c r="D26" i="24"/>
  <c r="C26" i="24"/>
  <c r="F25" i="24"/>
  <c r="E25" i="24"/>
  <c r="L25" i="24" s="1"/>
  <c r="M25" i="24" s="1"/>
  <c r="D25" i="24"/>
  <c r="C25" i="24"/>
  <c r="F24" i="24"/>
  <c r="E24" i="24"/>
  <c r="L24" i="24" s="1"/>
  <c r="M24" i="24" s="1"/>
  <c r="D24" i="24"/>
  <c r="C24" i="24"/>
  <c r="F23" i="24"/>
  <c r="E23" i="24"/>
  <c r="L23" i="24" s="1"/>
  <c r="M23" i="24" s="1"/>
  <c r="D23" i="24"/>
  <c r="C23" i="24"/>
  <c r="F22" i="24"/>
  <c r="E22" i="24"/>
  <c r="L22" i="24" s="1"/>
  <c r="M22" i="24" s="1"/>
  <c r="D22" i="24"/>
  <c r="C22" i="24"/>
  <c r="F21" i="24"/>
  <c r="E21" i="24"/>
  <c r="L21" i="24" s="1"/>
  <c r="M21" i="24" s="1"/>
  <c r="D21" i="24"/>
  <c r="C21" i="24"/>
  <c r="F20" i="24"/>
  <c r="E20" i="24"/>
  <c r="L20" i="24" s="1"/>
  <c r="M20" i="24" s="1"/>
  <c r="D20" i="24"/>
  <c r="C20" i="24"/>
  <c r="F19" i="24"/>
  <c r="E19" i="24"/>
  <c r="L19" i="24" s="1"/>
  <c r="M19" i="24" s="1"/>
  <c r="D19" i="24"/>
  <c r="C19" i="24"/>
  <c r="F18" i="24"/>
  <c r="E18" i="24"/>
  <c r="L18" i="24" s="1"/>
  <c r="M18" i="24" s="1"/>
  <c r="D18" i="24"/>
  <c r="C18" i="24"/>
  <c r="F17" i="24"/>
  <c r="E17" i="24"/>
  <c r="L17" i="24" s="1"/>
  <c r="M17" i="24" s="1"/>
  <c r="D17" i="24"/>
  <c r="C17" i="24"/>
  <c r="F16" i="24"/>
  <c r="E16" i="24"/>
  <c r="L16" i="24" s="1"/>
  <c r="M16" i="24" s="1"/>
  <c r="D16" i="24"/>
  <c r="C16" i="24"/>
  <c r="F15" i="24"/>
  <c r="E15" i="24"/>
  <c r="L15" i="24" s="1"/>
  <c r="M15" i="24" s="1"/>
  <c r="D15" i="24"/>
  <c r="C15" i="24"/>
  <c r="F14" i="24"/>
  <c r="E14" i="24"/>
  <c r="L14" i="24" s="1"/>
  <c r="M14" i="24" s="1"/>
  <c r="D14" i="24"/>
  <c r="C14" i="24"/>
  <c r="F13" i="24"/>
  <c r="E13" i="24"/>
  <c r="L13" i="24" s="1"/>
  <c r="M13" i="24" s="1"/>
  <c r="D13" i="24"/>
  <c r="C13" i="24"/>
  <c r="F12" i="24"/>
  <c r="E12" i="24"/>
  <c r="L12" i="24" s="1"/>
  <c r="M12" i="24" s="1"/>
  <c r="D12" i="24"/>
  <c r="C12" i="24"/>
  <c r="F11" i="24"/>
  <c r="E11" i="24"/>
  <c r="L11" i="24" s="1"/>
  <c r="M11" i="24" s="1"/>
  <c r="D11" i="24"/>
  <c r="C11" i="24"/>
  <c r="F10" i="24"/>
  <c r="E10" i="24"/>
  <c r="L10" i="24" s="1"/>
  <c r="M10" i="24" s="1"/>
  <c r="D10" i="24"/>
  <c r="C10" i="24"/>
  <c r="F9" i="24"/>
  <c r="E9" i="24"/>
  <c r="L9" i="24" s="1"/>
  <c r="M9" i="24" s="1"/>
  <c r="D9" i="24"/>
  <c r="C9" i="24"/>
  <c r="F8" i="24"/>
  <c r="E8" i="24"/>
  <c r="L8" i="24" s="1"/>
  <c r="M8" i="24" s="1"/>
  <c r="D8" i="24"/>
  <c r="C8" i="24"/>
  <c r="G59" i="25" l="1"/>
  <c r="G38" i="25"/>
  <c r="G85" i="25"/>
  <c r="G120" i="25"/>
  <c r="G113" i="25"/>
  <c r="G33" i="25"/>
  <c r="G21" i="25"/>
  <c r="G106" i="25"/>
  <c r="G82" i="25"/>
  <c r="G11" i="25"/>
  <c r="G119" i="25"/>
  <c r="G44" i="25"/>
  <c r="G75" i="25"/>
  <c r="G126" i="25"/>
  <c r="G70" i="25"/>
  <c r="G40" i="25"/>
  <c r="G91" i="25"/>
  <c r="G54" i="25"/>
  <c r="G87" i="25"/>
  <c r="G6" i="25"/>
  <c r="AD6" i="25" s="1"/>
  <c r="G98" i="25"/>
  <c r="G56" i="25"/>
  <c r="G18" i="25"/>
  <c r="G114" i="25"/>
  <c r="G35" i="25"/>
  <c r="G23" i="25"/>
  <c r="G15" i="25"/>
  <c r="G80" i="25"/>
  <c r="G72" i="25"/>
  <c r="G121" i="25"/>
  <c r="G46" i="25"/>
  <c r="G118" i="25"/>
  <c r="G25" i="25"/>
  <c r="G84" i="25"/>
  <c r="G125" i="25"/>
  <c r="G79" i="25"/>
  <c r="G20" i="25"/>
  <c r="G10" i="25"/>
  <c r="G22" i="25"/>
  <c r="AD22" i="25" s="1"/>
  <c r="D22" i="25" s="1"/>
  <c r="G28" i="25"/>
  <c r="G127" i="25"/>
  <c r="G55" i="25"/>
  <c r="AD55" i="25" s="1"/>
  <c r="G31" i="25"/>
  <c r="G13" i="25"/>
  <c r="G94" i="25"/>
  <c r="G117" i="25"/>
  <c r="G41" i="25"/>
  <c r="G92" i="25"/>
  <c r="G26" i="25"/>
  <c r="G88" i="25"/>
  <c r="G7" i="25"/>
  <c r="G93" i="25"/>
  <c r="G61" i="25"/>
  <c r="G89" i="25"/>
  <c r="G45" i="25"/>
  <c r="G66" i="25"/>
  <c r="G29" i="25"/>
  <c r="G50" i="25"/>
  <c r="G76" i="25"/>
  <c r="G131" i="25"/>
  <c r="G128" i="25"/>
  <c r="AD128" i="25" s="1"/>
  <c r="D128" i="25" s="1"/>
  <c r="G47" i="25"/>
  <c r="G68" i="25"/>
  <c r="G52" i="25"/>
  <c r="G111" i="25"/>
  <c r="G43" i="25"/>
  <c r="G100" i="25"/>
  <c r="G104" i="25"/>
  <c r="G124" i="25"/>
  <c r="G9" i="25"/>
  <c r="G95" i="25"/>
  <c r="G63" i="25"/>
  <c r="G14" i="25"/>
  <c r="G62" i="25"/>
  <c r="G74" i="25"/>
  <c r="G34" i="25"/>
  <c r="G32" i="25"/>
  <c r="G81" i="25"/>
  <c r="G64" i="25"/>
  <c r="G65" i="25"/>
  <c r="G78" i="25"/>
  <c r="G60" i="25"/>
  <c r="G8" i="25"/>
  <c r="AD8" i="25" s="1"/>
  <c r="D8" i="25" s="1"/>
  <c r="G99" i="25"/>
  <c r="G71" i="25"/>
  <c r="G49" i="25"/>
  <c r="G67" i="25"/>
  <c r="G30" i="25"/>
  <c r="G51" i="25"/>
  <c r="G77" i="25"/>
  <c r="G12" i="25"/>
  <c r="G101" i="25"/>
  <c r="G48" i="25"/>
  <c r="G116" i="25"/>
  <c r="G27" i="25"/>
  <c r="G115" i="25"/>
  <c r="G36" i="25"/>
  <c r="G24" i="25"/>
  <c r="AD24" i="25" s="1"/>
  <c r="D24" i="25" s="1"/>
  <c r="G16" i="25"/>
  <c r="AD16" i="25" s="1"/>
  <c r="D16" i="25" s="1"/>
  <c r="G83" i="25"/>
  <c r="G73" i="25"/>
  <c r="AD73" i="25" s="1"/>
  <c r="D73" i="25" s="1"/>
  <c r="G122" i="25"/>
  <c r="AD122" i="25" s="1"/>
  <c r="D122" i="25" s="1"/>
  <c r="G57" i="25"/>
  <c r="G42" i="25"/>
  <c r="G123" i="25"/>
  <c r="G69" i="25"/>
  <c r="G39" i="25"/>
  <c r="AD39" i="25" s="1"/>
  <c r="G90" i="25"/>
  <c r="G53" i="25"/>
  <c r="G86" i="25"/>
  <c r="G102" i="25"/>
  <c r="G97" i="25"/>
  <c r="G103" i="25"/>
  <c r="G37" i="25"/>
  <c r="G17" i="25"/>
  <c r="AD17" i="25" s="1"/>
  <c r="D17" i="25" s="1"/>
  <c r="G58" i="25"/>
  <c r="G112" i="25"/>
  <c r="AD112" i="25" s="1"/>
  <c r="D112" i="25" s="1"/>
  <c r="G105" i="25"/>
  <c r="G96" i="25"/>
  <c r="G129" i="25"/>
  <c r="G19" i="25"/>
  <c r="G130" i="25"/>
  <c r="L194" i="24"/>
  <c r="M194" i="24" s="1"/>
  <c r="L195" i="24"/>
  <c r="M195" i="24" s="1"/>
  <c r="L196" i="24"/>
  <c r="M196" i="24" s="1"/>
  <c r="L197" i="24"/>
  <c r="M197" i="24" s="1"/>
  <c r="L198" i="24"/>
  <c r="M198" i="24" s="1"/>
  <c r="L199" i="24"/>
  <c r="M199" i="24" s="1"/>
  <c r="L200" i="24"/>
  <c r="M200" i="24" s="1"/>
  <c r="L201" i="24"/>
  <c r="M201" i="24" s="1"/>
  <c r="L202" i="24"/>
  <c r="M202" i="24" s="1"/>
  <c r="L203" i="24"/>
  <c r="M203" i="24" s="1"/>
  <c r="L204" i="24"/>
  <c r="M204" i="24" s="1"/>
  <c r="L205" i="24"/>
  <c r="M205" i="24" s="1"/>
  <c r="L206" i="24"/>
  <c r="M206" i="24" s="1"/>
  <c r="L207" i="24"/>
  <c r="M207" i="24" s="1"/>
  <c r="L208" i="24"/>
  <c r="M208" i="24" s="1"/>
  <c r="L209" i="24"/>
  <c r="M209" i="24" s="1"/>
  <c r="L210" i="24"/>
  <c r="M210" i="24" s="1"/>
  <c r="L211" i="24"/>
  <c r="M211" i="24" s="1"/>
  <c r="L212" i="24"/>
  <c r="M212" i="24" s="1"/>
  <c r="L213" i="24"/>
  <c r="M213" i="24" s="1"/>
  <c r="L214" i="24"/>
  <c r="M214" i="24" s="1"/>
  <c r="L215" i="24"/>
  <c r="M215" i="24" s="1"/>
  <c r="L216" i="24"/>
  <c r="M216" i="24" s="1"/>
  <c r="L217" i="24"/>
  <c r="M217" i="24" s="1"/>
  <c r="L218" i="24"/>
  <c r="M218" i="24" s="1"/>
  <c r="L219" i="24"/>
  <c r="M219" i="24" s="1"/>
  <c r="L220" i="24"/>
  <c r="M220" i="24" s="1"/>
  <c r="L221" i="24"/>
  <c r="M221" i="24" s="1"/>
  <c r="L222" i="24"/>
  <c r="M222" i="24" s="1"/>
  <c r="L223" i="24"/>
  <c r="M223" i="24" s="1"/>
  <c r="L224" i="24"/>
  <c r="M224" i="24" s="1"/>
  <c r="L225" i="24"/>
  <c r="M225" i="24" s="1"/>
  <c r="L226" i="24"/>
  <c r="M226" i="24" s="1"/>
  <c r="L227" i="24"/>
  <c r="M227" i="24" s="1"/>
  <c r="L228" i="24"/>
  <c r="M228" i="24" s="1"/>
  <c r="L229" i="24"/>
  <c r="M229" i="24" s="1"/>
  <c r="L230" i="24"/>
  <c r="M230" i="24" s="1"/>
  <c r="L231" i="24"/>
  <c r="M231" i="24" s="1"/>
  <c r="L232" i="24"/>
  <c r="M232" i="24" s="1"/>
  <c r="L233" i="24"/>
  <c r="M233" i="24" s="1"/>
  <c r="L234" i="24"/>
  <c r="M234" i="24" s="1"/>
  <c r="L235" i="24"/>
  <c r="M235" i="24" s="1"/>
  <c r="L236" i="24"/>
  <c r="M236" i="24" s="1"/>
  <c r="L237" i="24"/>
  <c r="M237" i="24" s="1"/>
  <c r="L238" i="24"/>
  <c r="M238" i="24" s="1"/>
  <c r="L239" i="24"/>
  <c r="M239" i="24" s="1"/>
  <c r="L240" i="24"/>
  <c r="M240" i="24" s="1"/>
  <c r="L241" i="24"/>
  <c r="M241" i="24" s="1"/>
  <c r="L242" i="24"/>
  <c r="M242" i="24" s="1"/>
  <c r="L243" i="24"/>
  <c r="M243" i="24" s="1"/>
  <c r="L244" i="24"/>
  <c r="M244" i="24" s="1"/>
  <c r="L245" i="24"/>
  <c r="M245" i="24" s="1"/>
  <c r="L246" i="24"/>
  <c r="M246" i="24" s="1"/>
  <c r="L247" i="24"/>
  <c r="M247" i="24" s="1"/>
  <c r="L248" i="24"/>
  <c r="M248" i="24" s="1"/>
  <c r="L249" i="24"/>
  <c r="M249" i="24" s="1"/>
  <c r="L250" i="24"/>
  <c r="M250" i="24" s="1"/>
  <c r="L251" i="24"/>
  <c r="M251" i="24" s="1"/>
  <c r="L252" i="24"/>
  <c r="M252" i="24" s="1"/>
  <c r="L253" i="24"/>
  <c r="M253" i="24" s="1"/>
  <c r="L254" i="24"/>
  <c r="M254" i="24" s="1"/>
  <c r="L255" i="24"/>
  <c r="M255" i="24" s="1"/>
  <c r="L256" i="24"/>
  <c r="M256" i="24" s="1"/>
  <c r="L257" i="24"/>
  <c r="M257" i="24" s="1"/>
  <c r="L258" i="24"/>
  <c r="M258" i="24" s="1"/>
  <c r="L259" i="24"/>
  <c r="M259" i="24" s="1"/>
  <c r="L260" i="24"/>
  <c r="M260" i="24" s="1"/>
  <c r="L261" i="24"/>
  <c r="M261" i="24" s="1"/>
  <c r="L262" i="24"/>
  <c r="M262" i="24" s="1"/>
  <c r="L263" i="24"/>
  <c r="M263" i="24" s="1"/>
  <c r="L264" i="24"/>
  <c r="M264" i="24" s="1"/>
  <c r="L265" i="24"/>
  <c r="M265" i="24" s="1"/>
  <c r="L266" i="24"/>
  <c r="M266" i="24" s="1"/>
  <c r="L267" i="24"/>
  <c r="M267" i="24" s="1"/>
  <c r="L268" i="24"/>
  <c r="M268" i="24" s="1"/>
  <c r="L269" i="24"/>
  <c r="M269" i="24" s="1"/>
  <c r="L270" i="24"/>
  <c r="M270" i="24" s="1"/>
  <c r="L271" i="24"/>
  <c r="M271" i="24" s="1"/>
  <c r="L272" i="24"/>
  <c r="M272" i="24" s="1"/>
  <c r="L273" i="24"/>
  <c r="M273" i="24" s="1"/>
  <c r="L274" i="24"/>
  <c r="M274" i="24" s="1"/>
  <c r="L275" i="24"/>
  <c r="M275" i="24" s="1"/>
  <c r="L276" i="24"/>
  <c r="M276" i="24" s="1"/>
  <c r="L277" i="24"/>
  <c r="M277" i="24" s="1"/>
  <c r="L278" i="24"/>
  <c r="M278" i="24" s="1"/>
  <c r="L279" i="24"/>
  <c r="M279" i="24" s="1"/>
  <c r="L280" i="24"/>
  <c r="M280" i="24" s="1"/>
  <c r="L281" i="24"/>
  <c r="M281" i="24" s="1"/>
  <c r="L282" i="24"/>
  <c r="M282" i="24" s="1"/>
  <c r="L283" i="24"/>
  <c r="M283" i="24" s="1"/>
  <c r="L284" i="24"/>
  <c r="M284" i="24" s="1"/>
  <c r="L285" i="24"/>
  <c r="M285" i="24" s="1"/>
  <c r="L286" i="24"/>
  <c r="M286" i="24" s="1"/>
  <c r="L287" i="24"/>
  <c r="M287" i="24" s="1"/>
  <c r="L288" i="24"/>
  <c r="M288" i="24" s="1"/>
  <c r="L289" i="24"/>
  <c r="M289" i="24" s="1"/>
  <c r="L290" i="24"/>
  <c r="M290" i="24" s="1"/>
  <c r="L291" i="24"/>
  <c r="M291" i="24" s="1"/>
  <c r="L292" i="24"/>
  <c r="M292" i="24" s="1"/>
  <c r="L293" i="24"/>
  <c r="M293" i="24" s="1"/>
  <c r="L294" i="24"/>
  <c r="M294" i="24" s="1"/>
  <c r="L295" i="24"/>
  <c r="M295" i="24" s="1"/>
  <c r="L296" i="24"/>
  <c r="M296" i="24" s="1"/>
  <c r="L297" i="24"/>
  <c r="M297" i="24" s="1"/>
  <c r="L298" i="24"/>
  <c r="M298" i="24" s="1"/>
  <c r="L299" i="24"/>
  <c r="M299" i="24" s="1"/>
  <c r="L300" i="24"/>
  <c r="M300" i="24" s="1"/>
  <c r="L301" i="24"/>
  <c r="M301" i="24" s="1"/>
  <c r="L302" i="24"/>
  <c r="M302" i="24" s="1"/>
  <c r="L303" i="24"/>
  <c r="M303" i="24" s="1"/>
  <c r="L304" i="24"/>
  <c r="M304" i="24" s="1"/>
  <c r="L305" i="24"/>
  <c r="M305" i="24" s="1"/>
  <c r="L306" i="24"/>
  <c r="M306" i="24" s="1"/>
  <c r="L307" i="24"/>
  <c r="M307" i="24" s="1"/>
  <c r="L308" i="24"/>
  <c r="M308" i="24" s="1"/>
  <c r="L309" i="24"/>
  <c r="M309" i="24" s="1"/>
  <c r="L310" i="24"/>
  <c r="M310" i="24" s="1"/>
  <c r="L311" i="24"/>
  <c r="M311" i="24" s="1"/>
  <c r="L312" i="24"/>
  <c r="M312" i="24" s="1"/>
  <c r="L313" i="24"/>
  <c r="M313" i="24" s="1"/>
  <c r="L314" i="24"/>
  <c r="M314" i="24" s="1"/>
  <c r="L315" i="24"/>
  <c r="M315" i="24" s="1"/>
  <c r="L316" i="24"/>
  <c r="M316" i="24" s="1"/>
  <c r="L317" i="24"/>
  <c r="M317" i="24" s="1"/>
  <c r="L318" i="24"/>
  <c r="M318" i="24" s="1"/>
  <c r="L319" i="24"/>
  <c r="M319" i="24" s="1"/>
  <c r="L320" i="24"/>
  <c r="M320" i="24" s="1"/>
  <c r="L321" i="24"/>
  <c r="M321" i="24" s="1"/>
  <c r="L322" i="24"/>
  <c r="M322" i="24" s="1"/>
  <c r="L323" i="24"/>
  <c r="M323" i="24" s="1"/>
  <c r="L324" i="24"/>
  <c r="M324" i="24" s="1"/>
  <c r="L325" i="24"/>
  <c r="M325" i="24" s="1"/>
  <c r="L326" i="24"/>
  <c r="M326" i="24" s="1"/>
  <c r="L327" i="24"/>
  <c r="M327" i="24" s="1"/>
  <c r="L328" i="24"/>
  <c r="M328" i="24" s="1"/>
  <c r="L329" i="24"/>
  <c r="M329" i="24" s="1"/>
  <c r="L330" i="24"/>
  <c r="M330" i="24" s="1"/>
  <c r="L331" i="24"/>
  <c r="M331" i="24" s="1"/>
  <c r="L332" i="24"/>
  <c r="M332" i="24" s="1"/>
  <c r="L333" i="24"/>
  <c r="M333" i="24" s="1"/>
  <c r="L334" i="24"/>
  <c r="M334" i="24" s="1"/>
  <c r="L335" i="24"/>
  <c r="M335" i="24" s="1"/>
  <c r="L336" i="24"/>
  <c r="M336" i="24" s="1"/>
  <c r="L337" i="24"/>
  <c r="M337" i="24" s="1"/>
  <c r="L338" i="24"/>
  <c r="M338" i="24" s="1"/>
  <c r="L339" i="24"/>
  <c r="M339" i="24" s="1"/>
  <c r="L340" i="24"/>
  <c r="M340" i="24" s="1"/>
  <c r="L341" i="24"/>
  <c r="M341" i="24" s="1"/>
  <c r="L342" i="24"/>
  <c r="M342" i="24" s="1"/>
  <c r="L343" i="24"/>
  <c r="M343" i="24" s="1"/>
  <c r="L344" i="24"/>
  <c r="M344" i="24" s="1"/>
  <c r="L345" i="24"/>
  <c r="M345" i="24" s="1"/>
  <c r="L346" i="24"/>
  <c r="M346" i="24" s="1"/>
  <c r="L347" i="24"/>
  <c r="M347" i="24" s="1"/>
  <c r="L348" i="24"/>
  <c r="M348" i="24" s="1"/>
  <c r="L349" i="24"/>
  <c r="M349" i="24" s="1"/>
  <c r="L350" i="24"/>
  <c r="M350" i="24" s="1"/>
  <c r="L351" i="24"/>
  <c r="M351" i="24" s="1"/>
  <c r="L352" i="24"/>
  <c r="M352" i="24" s="1"/>
  <c r="L353" i="24"/>
  <c r="M353" i="24" s="1"/>
  <c r="L354" i="24"/>
  <c r="M354" i="24" s="1"/>
  <c r="L355" i="24"/>
  <c r="M355" i="24" s="1"/>
  <c r="L356" i="24"/>
  <c r="M356" i="24" s="1"/>
  <c r="L357" i="24"/>
  <c r="M357" i="24" s="1"/>
  <c r="L358" i="24"/>
  <c r="M358" i="24" s="1"/>
  <c r="L359" i="24"/>
  <c r="M359" i="24" s="1"/>
  <c r="L360" i="24"/>
  <c r="M360" i="24" s="1"/>
  <c r="L361" i="24"/>
  <c r="M361" i="24" s="1"/>
  <c r="L362" i="24"/>
  <c r="M362" i="24" s="1"/>
  <c r="L363" i="24"/>
  <c r="M363" i="24" s="1"/>
  <c r="L364" i="24"/>
  <c r="M364" i="24" s="1"/>
  <c r="L365" i="24"/>
  <c r="M365" i="24" s="1"/>
  <c r="L366" i="24"/>
  <c r="M366" i="24" s="1"/>
  <c r="L367" i="24"/>
  <c r="M367" i="24" s="1"/>
  <c r="M9" i="17"/>
  <c r="B419" i="24" s="1"/>
  <c r="M10" i="17"/>
  <c r="B420" i="24" s="1"/>
  <c r="M11" i="17"/>
  <c r="B421" i="24" s="1"/>
  <c r="M12" i="17"/>
  <c r="B422" i="24" s="1"/>
  <c r="M13" i="17"/>
  <c r="B423" i="24" s="1"/>
  <c r="M14" i="17"/>
  <c r="B424" i="24" s="1"/>
  <c r="M15" i="17"/>
  <c r="B425" i="24" s="1"/>
  <c r="M16" i="17"/>
  <c r="B426" i="24" s="1"/>
  <c r="M17" i="17"/>
  <c r="B427" i="24" s="1"/>
  <c r="M18" i="17"/>
  <c r="B428" i="24" s="1"/>
  <c r="M19" i="17"/>
  <c r="B429" i="24" s="1"/>
  <c r="M20" i="17"/>
  <c r="B430" i="24" s="1"/>
  <c r="M21" i="17"/>
  <c r="B431" i="24" s="1"/>
  <c r="M22" i="17"/>
  <c r="B432" i="24" s="1"/>
  <c r="M23" i="17"/>
  <c r="B433" i="24" s="1"/>
  <c r="M24" i="17"/>
  <c r="B434" i="24" s="1"/>
  <c r="M25" i="17"/>
  <c r="B435" i="24" s="1"/>
  <c r="M26" i="17"/>
  <c r="B436" i="24" s="1"/>
  <c r="M27" i="17"/>
  <c r="B437" i="24" s="1"/>
  <c r="M28" i="17"/>
  <c r="B438" i="24" s="1"/>
  <c r="M29" i="17"/>
  <c r="B439" i="24" s="1"/>
  <c r="M30" i="17"/>
  <c r="B440" i="24" s="1"/>
  <c r="M31" i="17"/>
  <c r="B441" i="24" s="1"/>
  <c r="M32" i="17"/>
  <c r="B442" i="24" s="1"/>
  <c r="M33" i="17"/>
  <c r="B443" i="24" s="1"/>
  <c r="M34" i="17"/>
  <c r="B444" i="24" s="1"/>
  <c r="M35" i="17"/>
  <c r="B445" i="24" s="1"/>
  <c r="M36" i="17"/>
  <c r="B446" i="24" s="1"/>
  <c r="M37" i="17"/>
  <c r="B447" i="24" s="1"/>
  <c r="M38" i="17"/>
  <c r="B448" i="24" s="1"/>
  <c r="M39" i="17"/>
  <c r="B449" i="24" s="1"/>
  <c r="M40" i="17"/>
  <c r="B450" i="24" s="1"/>
  <c r="M41" i="17"/>
  <c r="B451" i="24" s="1"/>
  <c r="M42" i="17"/>
  <c r="B452" i="24" s="1"/>
  <c r="M43" i="17"/>
  <c r="B453" i="24" s="1"/>
  <c r="M44" i="17"/>
  <c r="B454" i="24" s="1"/>
  <c r="M45" i="17"/>
  <c r="B455" i="24" s="1"/>
  <c r="M46" i="17"/>
  <c r="B456" i="24" s="1"/>
  <c r="M47" i="17"/>
  <c r="B457" i="24" s="1"/>
  <c r="M48" i="17"/>
  <c r="B458" i="24" s="1"/>
  <c r="M49" i="17"/>
  <c r="B459" i="24" s="1"/>
  <c r="M50" i="17"/>
  <c r="B460" i="24" s="1"/>
  <c r="M51" i="17"/>
  <c r="B461" i="24" s="1"/>
  <c r="M52" i="17"/>
  <c r="B462" i="24" s="1"/>
  <c r="M53" i="17"/>
  <c r="B463" i="24" s="1"/>
  <c r="M54" i="17"/>
  <c r="B464" i="24" s="1"/>
  <c r="M55" i="17"/>
  <c r="B465" i="24" s="1"/>
  <c r="M56" i="17"/>
  <c r="B466" i="24" s="1"/>
  <c r="M57" i="17"/>
  <c r="B467" i="24" s="1"/>
  <c r="M58" i="17"/>
  <c r="B468" i="24" s="1"/>
  <c r="M59" i="17"/>
  <c r="B469" i="24" s="1"/>
  <c r="M60" i="17"/>
  <c r="B470" i="24" s="1"/>
  <c r="M61" i="17"/>
  <c r="B471" i="24" s="1"/>
  <c r="M62" i="17"/>
  <c r="B472" i="24" s="1"/>
  <c r="M63" i="17"/>
  <c r="B473" i="24" s="1"/>
  <c r="M64" i="17"/>
  <c r="B474" i="24" s="1"/>
  <c r="M65" i="17"/>
  <c r="B475" i="24" s="1"/>
  <c r="M66" i="17"/>
  <c r="B476" i="24" s="1"/>
  <c r="M67" i="17"/>
  <c r="B477" i="24" s="1"/>
  <c r="M68" i="17"/>
  <c r="B478" i="24" s="1"/>
  <c r="M69" i="17"/>
  <c r="B479" i="24" s="1"/>
  <c r="M70" i="17"/>
  <c r="B480" i="24" s="1"/>
  <c r="M71" i="17"/>
  <c r="B481" i="24" s="1"/>
  <c r="M72" i="17"/>
  <c r="B482" i="24" s="1"/>
  <c r="M73" i="17"/>
  <c r="B483" i="24" s="1"/>
  <c r="M74" i="17"/>
  <c r="B484" i="24" s="1"/>
  <c r="M75" i="17"/>
  <c r="B485" i="24" s="1"/>
  <c r="M76" i="17"/>
  <c r="B486" i="24" s="1"/>
  <c r="M77" i="17"/>
  <c r="B487" i="24" s="1"/>
  <c r="M78" i="17"/>
  <c r="B488" i="24" s="1"/>
  <c r="M79" i="17"/>
  <c r="B489" i="24" s="1"/>
  <c r="M80" i="17"/>
  <c r="B490" i="24" s="1"/>
  <c r="M81" i="17"/>
  <c r="B491" i="24" s="1"/>
  <c r="M82" i="17"/>
  <c r="B492" i="24" s="1"/>
  <c r="M83" i="17"/>
  <c r="B493" i="24" s="1"/>
  <c r="M84" i="17"/>
  <c r="B494" i="24" s="1"/>
  <c r="M85" i="17"/>
  <c r="B495" i="24" s="1"/>
  <c r="M86" i="17"/>
  <c r="B496" i="24" s="1"/>
  <c r="M87" i="17"/>
  <c r="B497" i="24" s="1"/>
  <c r="M88" i="17"/>
  <c r="B498" i="24" s="1"/>
  <c r="M89" i="17"/>
  <c r="B499" i="24" s="1"/>
  <c r="M90" i="17"/>
  <c r="B500" i="24" s="1"/>
  <c r="M91" i="17"/>
  <c r="B501" i="24" s="1"/>
  <c r="M9" i="16"/>
  <c r="B368" i="24" s="1"/>
  <c r="M10" i="16"/>
  <c r="B369" i="24" s="1"/>
  <c r="M11" i="16"/>
  <c r="B370" i="24" s="1"/>
  <c r="M12" i="16"/>
  <c r="B371" i="24" s="1"/>
  <c r="M13" i="16"/>
  <c r="B372" i="24" s="1"/>
  <c r="M14" i="16"/>
  <c r="B373" i="24" s="1"/>
  <c r="M15" i="16"/>
  <c r="B374" i="24" s="1"/>
  <c r="M16" i="16"/>
  <c r="B375" i="24" s="1"/>
  <c r="M17" i="16"/>
  <c r="B376" i="24" s="1"/>
  <c r="M18" i="16"/>
  <c r="B377" i="24" s="1"/>
  <c r="M19" i="16"/>
  <c r="B378" i="24" s="1"/>
  <c r="M20" i="16"/>
  <c r="B379" i="24" s="1"/>
  <c r="M21" i="16"/>
  <c r="B380" i="24" s="1"/>
  <c r="M22" i="16"/>
  <c r="B381" i="24" s="1"/>
  <c r="M23" i="16"/>
  <c r="B382" i="24" s="1"/>
  <c r="M24" i="16"/>
  <c r="B383" i="24" s="1"/>
  <c r="M25" i="16"/>
  <c r="B384" i="24" s="1"/>
  <c r="M26" i="16"/>
  <c r="B385" i="24" s="1"/>
  <c r="M27" i="16"/>
  <c r="B386" i="24" s="1"/>
  <c r="M28" i="16"/>
  <c r="B387" i="24" s="1"/>
  <c r="M29" i="16"/>
  <c r="B388" i="24" s="1"/>
  <c r="M30" i="16"/>
  <c r="B389" i="24" s="1"/>
  <c r="M31" i="16"/>
  <c r="B390" i="24" s="1"/>
  <c r="M32" i="16"/>
  <c r="B391" i="24" s="1"/>
  <c r="M33" i="16"/>
  <c r="B392" i="24" s="1"/>
  <c r="M34" i="16"/>
  <c r="B393" i="24" s="1"/>
  <c r="M35" i="16"/>
  <c r="B394" i="24" s="1"/>
  <c r="M36" i="16"/>
  <c r="B395" i="24" s="1"/>
  <c r="M37" i="16"/>
  <c r="B396" i="24" s="1"/>
  <c r="M38" i="16"/>
  <c r="B397" i="24" s="1"/>
  <c r="M39" i="16"/>
  <c r="B398" i="24" s="1"/>
  <c r="M40" i="16"/>
  <c r="B399" i="24" s="1"/>
  <c r="M41" i="16"/>
  <c r="B400" i="24" s="1"/>
  <c r="M42" i="16"/>
  <c r="B401" i="24" s="1"/>
  <c r="M43" i="16"/>
  <c r="B402" i="24" s="1"/>
  <c r="M44" i="16"/>
  <c r="B403" i="24" s="1"/>
  <c r="M45" i="16"/>
  <c r="B404" i="24" s="1"/>
  <c r="M46" i="16"/>
  <c r="B405" i="24" s="1"/>
  <c r="M47" i="16"/>
  <c r="B406" i="24" s="1"/>
  <c r="M48" i="16"/>
  <c r="B407" i="24" s="1"/>
  <c r="M49" i="16"/>
  <c r="B408" i="24" s="1"/>
  <c r="M50" i="16"/>
  <c r="B409" i="24" s="1"/>
  <c r="M51" i="16"/>
  <c r="B410" i="24" s="1"/>
  <c r="M52" i="16"/>
  <c r="B411" i="24" s="1"/>
  <c r="M53" i="16"/>
  <c r="B412" i="24" s="1"/>
  <c r="M54" i="16"/>
  <c r="B413" i="24" s="1"/>
  <c r="M55" i="16"/>
  <c r="B414" i="24" s="1"/>
  <c r="M56" i="16"/>
  <c r="B415" i="24" s="1"/>
  <c r="M57" i="16"/>
  <c r="B416" i="24" s="1"/>
  <c r="M58" i="16"/>
  <c r="B417" i="24" s="1"/>
  <c r="M59" i="16"/>
  <c r="B418" i="24" s="1"/>
  <c r="M9" i="15"/>
  <c r="B194" i="24" s="1"/>
  <c r="M10" i="15"/>
  <c r="B195" i="24" s="1"/>
  <c r="M11" i="15"/>
  <c r="B196" i="24" s="1"/>
  <c r="M12" i="15"/>
  <c r="B197" i="24" s="1"/>
  <c r="M13" i="15"/>
  <c r="B198" i="24" s="1"/>
  <c r="M14" i="15"/>
  <c r="B199" i="24" s="1"/>
  <c r="M15" i="15"/>
  <c r="B200" i="24" s="1"/>
  <c r="M16" i="15"/>
  <c r="B201" i="24" s="1"/>
  <c r="M17" i="15"/>
  <c r="B202" i="24" s="1"/>
  <c r="M18" i="15"/>
  <c r="B203" i="24" s="1"/>
  <c r="M19" i="15"/>
  <c r="B204" i="24" s="1"/>
  <c r="M20" i="15"/>
  <c r="B205" i="24" s="1"/>
  <c r="M21" i="15"/>
  <c r="B206" i="24" s="1"/>
  <c r="M22" i="15"/>
  <c r="B207" i="24" s="1"/>
  <c r="M23" i="15"/>
  <c r="B208" i="24" s="1"/>
  <c r="M24" i="15"/>
  <c r="B209" i="24" s="1"/>
  <c r="M25" i="15"/>
  <c r="B210" i="24" s="1"/>
  <c r="M26" i="15"/>
  <c r="B211" i="24" s="1"/>
  <c r="M27" i="15"/>
  <c r="B212" i="24" s="1"/>
  <c r="M28" i="15"/>
  <c r="B213" i="24" s="1"/>
  <c r="M29" i="15"/>
  <c r="B214" i="24" s="1"/>
  <c r="M30" i="15"/>
  <c r="B215" i="24" s="1"/>
  <c r="M31" i="15"/>
  <c r="B216" i="24" s="1"/>
  <c r="M32" i="15"/>
  <c r="B217" i="24" s="1"/>
  <c r="M33" i="15"/>
  <c r="B218" i="24" s="1"/>
  <c r="M34" i="15"/>
  <c r="B219" i="24" s="1"/>
  <c r="M35" i="15"/>
  <c r="B220" i="24" s="1"/>
  <c r="M36" i="15"/>
  <c r="B221" i="24" s="1"/>
  <c r="M37" i="15"/>
  <c r="B222" i="24" s="1"/>
  <c r="M38" i="15"/>
  <c r="B223" i="24" s="1"/>
  <c r="M39" i="15"/>
  <c r="B224" i="24" s="1"/>
  <c r="M40" i="15"/>
  <c r="B225" i="24" s="1"/>
  <c r="M41" i="15"/>
  <c r="B226" i="24" s="1"/>
  <c r="M42" i="15"/>
  <c r="B227" i="24" s="1"/>
  <c r="M43" i="15"/>
  <c r="B228" i="24" s="1"/>
  <c r="M44" i="15"/>
  <c r="B229" i="24" s="1"/>
  <c r="M45" i="15"/>
  <c r="B230" i="24" s="1"/>
  <c r="M46" i="15"/>
  <c r="B231" i="24" s="1"/>
  <c r="M47" i="15"/>
  <c r="B232" i="24" s="1"/>
  <c r="M48" i="15"/>
  <c r="B233" i="24" s="1"/>
  <c r="M49" i="15"/>
  <c r="B234" i="24" s="1"/>
  <c r="M50" i="15"/>
  <c r="B235" i="24" s="1"/>
  <c r="M51" i="15"/>
  <c r="B236" i="24" s="1"/>
  <c r="M52" i="15"/>
  <c r="B237" i="24" s="1"/>
  <c r="M53" i="15"/>
  <c r="B238" i="24" s="1"/>
  <c r="M54" i="15"/>
  <c r="B239" i="24" s="1"/>
  <c r="M55" i="15"/>
  <c r="B240" i="24" s="1"/>
  <c r="M56" i="15"/>
  <c r="B241" i="24" s="1"/>
  <c r="M57" i="15"/>
  <c r="B242" i="24" s="1"/>
  <c r="M58" i="15"/>
  <c r="B243" i="24" s="1"/>
  <c r="M59" i="15"/>
  <c r="B244" i="24" s="1"/>
  <c r="M60" i="15"/>
  <c r="B245" i="24" s="1"/>
  <c r="M61" i="15"/>
  <c r="B246" i="24" s="1"/>
  <c r="M62" i="15"/>
  <c r="B247" i="24" s="1"/>
  <c r="M63" i="15"/>
  <c r="B248" i="24" s="1"/>
  <c r="M64" i="15"/>
  <c r="B249" i="24" s="1"/>
  <c r="M65" i="15"/>
  <c r="B250" i="24" s="1"/>
  <c r="M66" i="15"/>
  <c r="B251" i="24" s="1"/>
  <c r="M67" i="15"/>
  <c r="B252" i="24" s="1"/>
  <c r="M68" i="15"/>
  <c r="B253" i="24" s="1"/>
  <c r="M69" i="15"/>
  <c r="B254" i="24" s="1"/>
  <c r="M70" i="15"/>
  <c r="B255" i="24" s="1"/>
  <c r="M71" i="15"/>
  <c r="B256" i="24" s="1"/>
  <c r="M72" i="15"/>
  <c r="B257" i="24" s="1"/>
  <c r="M73" i="15"/>
  <c r="B258" i="24" s="1"/>
  <c r="M74" i="15"/>
  <c r="B259" i="24" s="1"/>
  <c r="M75" i="15"/>
  <c r="B260" i="24" s="1"/>
  <c r="M76" i="15"/>
  <c r="B261" i="24" s="1"/>
  <c r="M77" i="15"/>
  <c r="B262" i="24" s="1"/>
  <c r="M78" i="15"/>
  <c r="B263" i="24" s="1"/>
  <c r="M79" i="15"/>
  <c r="B264" i="24" s="1"/>
  <c r="M80" i="15"/>
  <c r="B265" i="24" s="1"/>
  <c r="M81" i="15"/>
  <c r="B266" i="24" s="1"/>
  <c r="M82" i="15"/>
  <c r="B267" i="24" s="1"/>
  <c r="M83" i="15"/>
  <c r="B268" i="24" s="1"/>
  <c r="M84" i="15"/>
  <c r="B269" i="24" s="1"/>
  <c r="M85" i="15"/>
  <c r="B270" i="24" s="1"/>
  <c r="M86" i="15"/>
  <c r="B271" i="24" s="1"/>
  <c r="M87" i="15"/>
  <c r="B272" i="24" s="1"/>
  <c r="M88" i="15"/>
  <c r="B273" i="24" s="1"/>
  <c r="M89" i="15"/>
  <c r="B274" i="24" s="1"/>
  <c r="M90" i="15"/>
  <c r="B275" i="24" s="1"/>
  <c r="M91" i="15"/>
  <c r="B276" i="24" s="1"/>
  <c r="M92" i="15"/>
  <c r="B277" i="24" s="1"/>
  <c r="M93" i="15"/>
  <c r="B278" i="24" s="1"/>
  <c r="M94" i="15"/>
  <c r="B279" i="24" s="1"/>
  <c r="M95" i="15"/>
  <c r="B280" i="24" s="1"/>
  <c r="M96" i="15"/>
  <c r="B281" i="24" s="1"/>
  <c r="M97" i="15"/>
  <c r="B282" i="24" s="1"/>
  <c r="M98" i="15"/>
  <c r="B283" i="24" s="1"/>
  <c r="M99" i="15"/>
  <c r="B284" i="24" s="1"/>
  <c r="M100" i="15"/>
  <c r="B285" i="24" s="1"/>
  <c r="M101" i="15"/>
  <c r="B286" i="24" s="1"/>
  <c r="M102" i="15"/>
  <c r="B287" i="24" s="1"/>
  <c r="M103" i="15"/>
  <c r="B288" i="24" s="1"/>
  <c r="M104" i="15"/>
  <c r="B289" i="24" s="1"/>
  <c r="M105" i="15"/>
  <c r="B290" i="24" s="1"/>
  <c r="M106" i="15"/>
  <c r="B291" i="24" s="1"/>
  <c r="M107" i="15"/>
  <c r="B292" i="24" s="1"/>
  <c r="M108" i="15"/>
  <c r="B293" i="24" s="1"/>
  <c r="M109" i="15"/>
  <c r="B294" i="24" s="1"/>
  <c r="M110" i="15"/>
  <c r="B295" i="24" s="1"/>
  <c r="M111" i="15"/>
  <c r="B296" i="24" s="1"/>
  <c r="M112" i="15"/>
  <c r="B297" i="24" s="1"/>
  <c r="M113" i="15"/>
  <c r="B298" i="24" s="1"/>
  <c r="M114" i="15"/>
  <c r="B299" i="24" s="1"/>
  <c r="M115" i="15"/>
  <c r="B300" i="24" s="1"/>
  <c r="M116" i="15"/>
  <c r="B301" i="24" s="1"/>
  <c r="M117" i="15"/>
  <c r="B302" i="24" s="1"/>
  <c r="M118" i="15"/>
  <c r="B303" i="24" s="1"/>
  <c r="M119" i="15"/>
  <c r="B304" i="24" s="1"/>
  <c r="M120" i="15"/>
  <c r="B305" i="24" s="1"/>
  <c r="M121" i="15"/>
  <c r="B306" i="24" s="1"/>
  <c r="M122" i="15"/>
  <c r="B307" i="24" s="1"/>
  <c r="M123" i="15"/>
  <c r="B308" i="24" s="1"/>
  <c r="M124" i="15"/>
  <c r="B309" i="24" s="1"/>
  <c r="M125" i="15"/>
  <c r="B310" i="24" s="1"/>
  <c r="M126" i="15"/>
  <c r="B311" i="24" s="1"/>
  <c r="M127" i="15"/>
  <c r="B312" i="24" s="1"/>
  <c r="M128" i="15"/>
  <c r="B313" i="24" s="1"/>
  <c r="M129" i="15"/>
  <c r="B314" i="24" s="1"/>
  <c r="M130" i="15"/>
  <c r="B315" i="24" s="1"/>
  <c r="M131" i="15"/>
  <c r="B316" i="24" s="1"/>
  <c r="M132" i="15"/>
  <c r="B317" i="24" s="1"/>
  <c r="M133" i="15"/>
  <c r="B318" i="24" s="1"/>
  <c r="M134" i="15"/>
  <c r="B319" i="24" s="1"/>
  <c r="M135" i="15"/>
  <c r="B320" i="24" s="1"/>
  <c r="M136" i="15"/>
  <c r="B321" i="24" s="1"/>
  <c r="M137" i="15"/>
  <c r="B322" i="24" s="1"/>
  <c r="M138" i="15"/>
  <c r="B323" i="24" s="1"/>
  <c r="M139" i="15"/>
  <c r="B324" i="24" s="1"/>
  <c r="M140" i="15"/>
  <c r="B325" i="24" s="1"/>
  <c r="M141" i="15"/>
  <c r="B326" i="24" s="1"/>
  <c r="M142" i="15"/>
  <c r="B327" i="24" s="1"/>
  <c r="M143" i="15"/>
  <c r="B328" i="24" s="1"/>
  <c r="M144" i="15"/>
  <c r="B329" i="24" s="1"/>
  <c r="M145" i="15"/>
  <c r="B330" i="24" s="1"/>
  <c r="M146" i="15"/>
  <c r="B331" i="24" s="1"/>
  <c r="M147" i="15"/>
  <c r="B332" i="24" s="1"/>
  <c r="M148" i="15"/>
  <c r="B333" i="24" s="1"/>
  <c r="M149" i="15"/>
  <c r="B334" i="24" s="1"/>
  <c r="M150" i="15"/>
  <c r="B335" i="24" s="1"/>
  <c r="M151" i="15"/>
  <c r="B336" i="24" s="1"/>
  <c r="M152" i="15"/>
  <c r="B337" i="24" s="1"/>
  <c r="M153" i="15"/>
  <c r="B338" i="24" s="1"/>
  <c r="M154" i="15"/>
  <c r="B339" i="24" s="1"/>
  <c r="M155" i="15"/>
  <c r="B340" i="24" s="1"/>
  <c r="M156" i="15"/>
  <c r="B341" i="24" s="1"/>
  <c r="M157" i="15"/>
  <c r="B342" i="24" s="1"/>
  <c r="M158" i="15"/>
  <c r="B343" i="24" s="1"/>
  <c r="M159" i="15"/>
  <c r="B344" i="24" s="1"/>
  <c r="M160" i="15"/>
  <c r="B345" i="24" s="1"/>
  <c r="M161" i="15"/>
  <c r="B346" i="24" s="1"/>
  <c r="M162" i="15"/>
  <c r="B347" i="24" s="1"/>
  <c r="M163" i="15"/>
  <c r="B348" i="24" s="1"/>
  <c r="M164" i="15"/>
  <c r="B349" i="24" s="1"/>
  <c r="M165" i="15"/>
  <c r="B350" i="24" s="1"/>
  <c r="M166" i="15"/>
  <c r="B351" i="24" s="1"/>
  <c r="M167" i="15"/>
  <c r="B352" i="24" s="1"/>
  <c r="M168" i="15"/>
  <c r="B353" i="24" s="1"/>
  <c r="M169" i="15"/>
  <c r="B354" i="24" s="1"/>
  <c r="M170" i="15"/>
  <c r="B355" i="24" s="1"/>
  <c r="M171" i="15"/>
  <c r="B356" i="24" s="1"/>
  <c r="M172" i="15"/>
  <c r="B357" i="24" s="1"/>
  <c r="M173" i="15"/>
  <c r="B358" i="24" s="1"/>
  <c r="M174" i="15"/>
  <c r="B359" i="24" s="1"/>
  <c r="M175" i="15"/>
  <c r="B360" i="24" s="1"/>
  <c r="M176" i="15"/>
  <c r="B361" i="24" s="1"/>
  <c r="M177" i="15"/>
  <c r="B362" i="24" s="1"/>
  <c r="M178" i="15"/>
  <c r="B363" i="24" s="1"/>
  <c r="M179" i="15"/>
  <c r="B364" i="24" s="1"/>
  <c r="M180" i="15"/>
  <c r="B365" i="24" s="1"/>
  <c r="M181" i="15"/>
  <c r="B366" i="24" s="1"/>
  <c r="M182" i="15"/>
  <c r="B367" i="24" s="1"/>
  <c r="M9" i="11"/>
  <c r="B149" i="24" s="1"/>
  <c r="M10" i="11"/>
  <c r="B150" i="24" s="1"/>
  <c r="M11" i="11"/>
  <c r="B151" i="24" s="1"/>
  <c r="M12" i="11"/>
  <c r="B152" i="24" s="1"/>
  <c r="M13" i="11"/>
  <c r="B153" i="24" s="1"/>
  <c r="M14" i="11"/>
  <c r="B154" i="24" s="1"/>
  <c r="M15" i="11"/>
  <c r="B155" i="24" s="1"/>
  <c r="M16" i="11"/>
  <c r="B156" i="24" s="1"/>
  <c r="M17" i="11"/>
  <c r="B157" i="24" s="1"/>
  <c r="M18" i="11"/>
  <c r="B158" i="24" s="1"/>
  <c r="M19" i="11"/>
  <c r="B159" i="24" s="1"/>
  <c r="M20" i="11"/>
  <c r="B160" i="24" s="1"/>
  <c r="M21" i="11"/>
  <c r="B161" i="24" s="1"/>
  <c r="M22" i="11"/>
  <c r="B162" i="24" s="1"/>
  <c r="M23" i="11"/>
  <c r="B163" i="24" s="1"/>
  <c r="M24" i="11"/>
  <c r="B164" i="24" s="1"/>
  <c r="M25" i="11"/>
  <c r="B165" i="24" s="1"/>
  <c r="M26" i="11"/>
  <c r="B166" i="24" s="1"/>
  <c r="M27" i="11"/>
  <c r="B167" i="24" s="1"/>
  <c r="M28" i="11"/>
  <c r="B168" i="24" s="1"/>
  <c r="M29" i="11"/>
  <c r="B169" i="24" s="1"/>
  <c r="M30" i="11"/>
  <c r="B170" i="24" s="1"/>
  <c r="M31" i="11"/>
  <c r="B171" i="24" s="1"/>
  <c r="M32" i="11"/>
  <c r="B172" i="24" s="1"/>
  <c r="M33" i="11"/>
  <c r="B173" i="24" s="1"/>
  <c r="M34" i="11"/>
  <c r="B174" i="24" s="1"/>
  <c r="M35" i="11"/>
  <c r="B175" i="24" s="1"/>
  <c r="M36" i="11"/>
  <c r="B176" i="24" s="1"/>
  <c r="M37" i="11"/>
  <c r="B177" i="24" s="1"/>
  <c r="M38" i="11"/>
  <c r="B178" i="24" s="1"/>
  <c r="M39" i="11"/>
  <c r="B179" i="24" s="1"/>
  <c r="M40" i="11"/>
  <c r="B180" i="24" s="1"/>
  <c r="M41" i="11"/>
  <c r="B181" i="24" s="1"/>
  <c r="M42" i="11"/>
  <c r="B182" i="24" s="1"/>
  <c r="M43" i="11"/>
  <c r="B183" i="24" s="1"/>
  <c r="M44" i="11"/>
  <c r="B184" i="24" s="1"/>
  <c r="M45" i="11"/>
  <c r="B185" i="24" s="1"/>
  <c r="M46" i="11"/>
  <c r="B186" i="24" s="1"/>
  <c r="M47" i="11"/>
  <c r="B187" i="24" s="1"/>
  <c r="M48" i="11"/>
  <c r="B188" i="24" s="1"/>
  <c r="M49" i="11"/>
  <c r="B189" i="24" s="1"/>
  <c r="M50" i="11"/>
  <c r="B190" i="24" s="1"/>
  <c r="M51" i="11"/>
  <c r="B191" i="24" s="1"/>
  <c r="M52" i="11"/>
  <c r="B192" i="24" s="1"/>
  <c r="M53" i="11"/>
  <c r="B193" i="24" s="1"/>
  <c r="Q9" i="17"/>
  <c r="J419" i="24" s="1"/>
  <c r="Q10" i="17"/>
  <c r="J420" i="24" s="1"/>
  <c r="Q11" i="17"/>
  <c r="J421" i="24" s="1"/>
  <c r="Q12" i="17"/>
  <c r="J422" i="24" s="1"/>
  <c r="Q13" i="17"/>
  <c r="J423" i="24" s="1"/>
  <c r="Q14" i="17"/>
  <c r="J424" i="24" s="1"/>
  <c r="Q15" i="17"/>
  <c r="J425" i="24" s="1"/>
  <c r="Q16" i="17"/>
  <c r="J426" i="24" s="1"/>
  <c r="Q17" i="17"/>
  <c r="J427" i="24" s="1"/>
  <c r="Q18" i="17"/>
  <c r="J428" i="24" s="1"/>
  <c r="Q19" i="17"/>
  <c r="J429" i="24" s="1"/>
  <c r="Q20" i="17"/>
  <c r="J430" i="24" s="1"/>
  <c r="Q21" i="17"/>
  <c r="J431" i="24" s="1"/>
  <c r="Q22" i="17"/>
  <c r="J432" i="24" s="1"/>
  <c r="Q23" i="17"/>
  <c r="J433" i="24" s="1"/>
  <c r="Q24" i="17"/>
  <c r="J434" i="24" s="1"/>
  <c r="Q25" i="17"/>
  <c r="J435" i="24" s="1"/>
  <c r="Q26" i="17"/>
  <c r="J436" i="24" s="1"/>
  <c r="Q27" i="17"/>
  <c r="J437" i="24" s="1"/>
  <c r="Q28" i="17"/>
  <c r="J438" i="24" s="1"/>
  <c r="Q29" i="17"/>
  <c r="J439" i="24" s="1"/>
  <c r="Q30" i="17"/>
  <c r="J440" i="24" s="1"/>
  <c r="Q31" i="17"/>
  <c r="J441" i="24" s="1"/>
  <c r="Q32" i="17"/>
  <c r="J442" i="24" s="1"/>
  <c r="Q33" i="17"/>
  <c r="J443" i="24" s="1"/>
  <c r="Q34" i="17"/>
  <c r="J444" i="24" s="1"/>
  <c r="Q35" i="17"/>
  <c r="J445" i="24" s="1"/>
  <c r="Q36" i="17"/>
  <c r="J446" i="24" s="1"/>
  <c r="Q37" i="17"/>
  <c r="J447" i="24" s="1"/>
  <c r="Q38" i="17"/>
  <c r="J448" i="24" s="1"/>
  <c r="Q39" i="17"/>
  <c r="J449" i="24" s="1"/>
  <c r="Q40" i="17"/>
  <c r="J450" i="24" s="1"/>
  <c r="Q41" i="17"/>
  <c r="J451" i="24" s="1"/>
  <c r="Q42" i="17"/>
  <c r="J452" i="24" s="1"/>
  <c r="Q43" i="17"/>
  <c r="J453" i="24" s="1"/>
  <c r="Q44" i="17"/>
  <c r="J454" i="24" s="1"/>
  <c r="Q45" i="17"/>
  <c r="J455" i="24" s="1"/>
  <c r="Q46" i="17"/>
  <c r="J456" i="24" s="1"/>
  <c r="Q47" i="17"/>
  <c r="J457" i="24" s="1"/>
  <c r="Q48" i="17"/>
  <c r="J458" i="24" s="1"/>
  <c r="Q49" i="17"/>
  <c r="J459" i="24" s="1"/>
  <c r="Q50" i="17"/>
  <c r="J460" i="24" s="1"/>
  <c r="Q51" i="17"/>
  <c r="J461" i="24" s="1"/>
  <c r="Q52" i="17"/>
  <c r="J462" i="24" s="1"/>
  <c r="Q53" i="17"/>
  <c r="J463" i="24" s="1"/>
  <c r="Q54" i="17"/>
  <c r="J464" i="24" s="1"/>
  <c r="Q55" i="17"/>
  <c r="J465" i="24" s="1"/>
  <c r="Q56" i="17"/>
  <c r="J466" i="24" s="1"/>
  <c r="Q57" i="17"/>
  <c r="J467" i="24" s="1"/>
  <c r="Q58" i="17"/>
  <c r="J468" i="24" s="1"/>
  <c r="Q59" i="17"/>
  <c r="J469" i="24" s="1"/>
  <c r="Q60" i="17"/>
  <c r="J470" i="24" s="1"/>
  <c r="Q61" i="17"/>
  <c r="J471" i="24" s="1"/>
  <c r="Q62" i="17"/>
  <c r="J472" i="24" s="1"/>
  <c r="Q63" i="17"/>
  <c r="J473" i="24" s="1"/>
  <c r="Q64" i="17"/>
  <c r="J474" i="24" s="1"/>
  <c r="Q65" i="17"/>
  <c r="J475" i="24" s="1"/>
  <c r="Q66" i="17"/>
  <c r="J476" i="24" s="1"/>
  <c r="Q67" i="17"/>
  <c r="J477" i="24" s="1"/>
  <c r="Q68" i="17"/>
  <c r="J478" i="24" s="1"/>
  <c r="Q69" i="17"/>
  <c r="J479" i="24" s="1"/>
  <c r="Q70" i="17"/>
  <c r="J480" i="24" s="1"/>
  <c r="Q71" i="17"/>
  <c r="J481" i="24" s="1"/>
  <c r="Q72" i="17"/>
  <c r="J482" i="24" s="1"/>
  <c r="Q73" i="17"/>
  <c r="J483" i="24" s="1"/>
  <c r="Q74" i="17"/>
  <c r="J484" i="24" s="1"/>
  <c r="Q75" i="17"/>
  <c r="J485" i="24" s="1"/>
  <c r="Q76" i="17"/>
  <c r="J486" i="24" s="1"/>
  <c r="Q77" i="17"/>
  <c r="J487" i="24" s="1"/>
  <c r="Q78" i="17"/>
  <c r="J488" i="24" s="1"/>
  <c r="Q79" i="17"/>
  <c r="J489" i="24" s="1"/>
  <c r="Q80" i="17"/>
  <c r="J490" i="24" s="1"/>
  <c r="Q81" i="17"/>
  <c r="J491" i="24" s="1"/>
  <c r="Q82" i="17"/>
  <c r="J492" i="24" s="1"/>
  <c r="Q83" i="17"/>
  <c r="J493" i="24" s="1"/>
  <c r="Q84" i="17"/>
  <c r="J494" i="24" s="1"/>
  <c r="Q85" i="17"/>
  <c r="J495" i="24" s="1"/>
  <c r="Q86" i="17"/>
  <c r="J496" i="24" s="1"/>
  <c r="Q87" i="17"/>
  <c r="J497" i="24" s="1"/>
  <c r="Q88" i="17"/>
  <c r="J498" i="24" s="1"/>
  <c r="Q89" i="17"/>
  <c r="J499" i="24" s="1"/>
  <c r="Q90" i="17"/>
  <c r="J500" i="24" s="1"/>
  <c r="Q91" i="17"/>
  <c r="J501" i="24" s="1"/>
  <c r="P9" i="17"/>
  <c r="I419" i="24" s="1"/>
  <c r="P10" i="17"/>
  <c r="I420" i="24" s="1"/>
  <c r="P11" i="17"/>
  <c r="I421" i="24" s="1"/>
  <c r="P12" i="17"/>
  <c r="I422" i="24" s="1"/>
  <c r="P13" i="17"/>
  <c r="I423" i="24" s="1"/>
  <c r="P14" i="17"/>
  <c r="I424" i="24" s="1"/>
  <c r="P15" i="17"/>
  <c r="I425" i="24" s="1"/>
  <c r="P16" i="17"/>
  <c r="I426" i="24" s="1"/>
  <c r="P17" i="17"/>
  <c r="I427" i="24" s="1"/>
  <c r="P18" i="17"/>
  <c r="I428" i="24" s="1"/>
  <c r="P19" i="17"/>
  <c r="I429" i="24" s="1"/>
  <c r="P20" i="17"/>
  <c r="I430" i="24" s="1"/>
  <c r="P21" i="17"/>
  <c r="I431" i="24" s="1"/>
  <c r="P22" i="17"/>
  <c r="I432" i="24" s="1"/>
  <c r="P23" i="17"/>
  <c r="I433" i="24" s="1"/>
  <c r="P24" i="17"/>
  <c r="I434" i="24" s="1"/>
  <c r="P25" i="17"/>
  <c r="I435" i="24" s="1"/>
  <c r="P26" i="17"/>
  <c r="I436" i="24" s="1"/>
  <c r="P27" i="17"/>
  <c r="I437" i="24" s="1"/>
  <c r="P28" i="17"/>
  <c r="I438" i="24" s="1"/>
  <c r="P29" i="17"/>
  <c r="I439" i="24" s="1"/>
  <c r="P30" i="17"/>
  <c r="I440" i="24" s="1"/>
  <c r="P31" i="17"/>
  <c r="I441" i="24" s="1"/>
  <c r="P32" i="17"/>
  <c r="I442" i="24" s="1"/>
  <c r="P33" i="17"/>
  <c r="I443" i="24" s="1"/>
  <c r="P34" i="17"/>
  <c r="I444" i="24" s="1"/>
  <c r="P35" i="17"/>
  <c r="I445" i="24" s="1"/>
  <c r="P36" i="17"/>
  <c r="I446" i="24" s="1"/>
  <c r="P37" i="17"/>
  <c r="I447" i="24" s="1"/>
  <c r="P38" i="17"/>
  <c r="I448" i="24" s="1"/>
  <c r="P39" i="17"/>
  <c r="I449" i="24" s="1"/>
  <c r="P40" i="17"/>
  <c r="I450" i="24" s="1"/>
  <c r="P41" i="17"/>
  <c r="I451" i="24" s="1"/>
  <c r="P42" i="17"/>
  <c r="I452" i="24" s="1"/>
  <c r="P43" i="17"/>
  <c r="I453" i="24" s="1"/>
  <c r="P44" i="17"/>
  <c r="I454" i="24" s="1"/>
  <c r="P45" i="17"/>
  <c r="I455" i="24" s="1"/>
  <c r="P46" i="17"/>
  <c r="I456" i="24" s="1"/>
  <c r="P47" i="17"/>
  <c r="I457" i="24" s="1"/>
  <c r="P48" i="17"/>
  <c r="I458" i="24" s="1"/>
  <c r="P49" i="17"/>
  <c r="I459" i="24" s="1"/>
  <c r="P50" i="17"/>
  <c r="I460" i="24" s="1"/>
  <c r="P51" i="17"/>
  <c r="I461" i="24" s="1"/>
  <c r="P52" i="17"/>
  <c r="I462" i="24" s="1"/>
  <c r="P53" i="17"/>
  <c r="I463" i="24" s="1"/>
  <c r="P54" i="17"/>
  <c r="I464" i="24" s="1"/>
  <c r="P55" i="17"/>
  <c r="I465" i="24" s="1"/>
  <c r="P56" i="17"/>
  <c r="I466" i="24" s="1"/>
  <c r="P57" i="17"/>
  <c r="I467" i="24" s="1"/>
  <c r="P58" i="17"/>
  <c r="I468" i="24" s="1"/>
  <c r="P59" i="17"/>
  <c r="I469" i="24" s="1"/>
  <c r="P60" i="17"/>
  <c r="I470" i="24" s="1"/>
  <c r="P61" i="17"/>
  <c r="I471" i="24" s="1"/>
  <c r="P62" i="17"/>
  <c r="I472" i="24" s="1"/>
  <c r="P63" i="17"/>
  <c r="I473" i="24" s="1"/>
  <c r="P64" i="17"/>
  <c r="I474" i="24" s="1"/>
  <c r="P65" i="17"/>
  <c r="I475" i="24" s="1"/>
  <c r="P66" i="17"/>
  <c r="I476" i="24" s="1"/>
  <c r="P67" i="17"/>
  <c r="I477" i="24" s="1"/>
  <c r="P68" i="17"/>
  <c r="I478" i="24" s="1"/>
  <c r="P69" i="17"/>
  <c r="I479" i="24" s="1"/>
  <c r="P70" i="17"/>
  <c r="I480" i="24" s="1"/>
  <c r="P71" i="17"/>
  <c r="I481" i="24" s="1"/>
  <c r="P72" i="17"/>
  <c r="I482" i="24" s="1"/>
  <c r="P73" i="17"/>
  <c r="I483" i="24" s="1"/>
  <c r="P74" i="17"/>
  <c r="I484" i="24" s="1"/>
  <c r="P75" i="17"/>
  <c r="I485" i="24" s="1"/>
  <c r="P76" i="17"/>
  <c r="I486" i="24" s="1"/>
  <c r="P77" i="17"/>
  <c r="I487" i="24" s="1"/>
  <c r="P78" i="17"/>
  <c r="I488" i="24" s="1"/>
  <c r="P79" i="17"/>
  <c r="I489" i="24" s="1"/>
  <c r="P80" i="17"/>
  <c r="I490" i="24" s="1"/>
  <c r="P81" i="17"/>
  <c r="I491" i="24" s="1"/>
  <c r="P82" i="17"/>
  <c r="I492" i="24" s="1"/>
  <c r="P83" i="17"/>
  <c r="I493" i="24" s="1"/>
  <c r="P84" i="17"/>
  <c r="I494" i="24" s="1"/>
  <c r="P85" i="17"/>
  <c r="I495" i="24" s="1"/>
  <c r="P86" i="17"/>
  <c r="I496" i="24" s="1"/>
  <c r="P87" i="17"/>
  <c r="I497" i="24" s="1"/>
  <c r="P88" i="17"/>
  <c r="I498" i="24" s="1"/>
  <c r="P89" i="17"/>
  <c r="I499" i="24" s="1"/>
  <c r="P90" i="17"/>
  <c r="I500" i="24" s="1"/>
  <c r="P91" i="17"/>
  <c r="I501" i="24" s="1"/>
  <c r="O9" i="17"/>
  <c r="H419" i="24" s="1"/>
  <c r="O10" i="17"/>
  <c r="H420" i="24" s="1"/>
  <c r="O11" i="17"/>
  <c r="H421" i="24" s="1"/>
  <c r="O12" i="17"/>
  <c r="H422" i="24" s="1"/>
  <c r="O13" i="17"/>
  <c r="H423" i="24" s="1"/>
  <c r="O14" i="17"/>
  <c r="H424" i="24" s="1"/>
  <c r="O15" i="17"/>
  <c r="H425" i="24" s="1"/>
  <c r="O16" i="17"/>
  <c r="H426" i="24" s="1"/>
  <c r="O17" i="17"/>
  <c r="H427" i="24" s="1"/>
  <c r="O18" i="17"/>
  <c r="H428" i="24" s="1"/>
  <c r="O19" i="17"/>
  <c r="H429" i="24" s="1"/>
  <c r="O20" i="17"/>
  <c r="H430" i="24" s="1"/>
  <c r="O21" i="17"/>
  <c r="H431" i="24" s="1"/>
  <c r="O22" i="17"/>
  <c r="H432" i="24" s="1"/>
  <c r="O23" i="17"/>
  <c r="H433" i="24" s="1"/>
  <c r="O24" i="17"/>
  <c r="H434" i="24" s="1"/>
  <c r="O25" i="17"/>
  <c r="H435" i="24" s="1"/>
  <c r="O26" i="17"/>
  <c r="H436" i="24" s="1"/>
  <c r="O27" i="17"/>
  <c r="H437" i="24" s="1"/>
  <c r="O28" i="17"/>
  <c r="H438" i="24" s="1"/>
  <c r="O29" i="17"/>
  <c r="H439" i="24" s="1"/>
  <c r="O30" i="17"/>
  <c r="H440" i="24" s="1"/>
  <c r="O31" i="17"/>
  <c r="H441" i="24" s="1"/>
  <c r="O32" i="17"/>
  <c r="H442" i="24" s="1"/>
  <c r="O33" i="17"/>
  <c r="H443" i="24" s="1"/>
  <c r="O34" i="17"/>
  <c r="H444" i="24" s="1"/>
  <c r="O35" i="17"/>
  <c r="H445" i="24" s="1"/>
  <c r="O36" i="17"/>
  <c r="H446" i="24" s="1"/>
  <c r="O37" i="17"/>
  <c r="H447" i="24" s="1"/>
  <c r="O38" i="17"/>
  <c r="H448" i="24" s="1"/>
  <c r="O39" i="17"/>
  <c r="H449" i="24" s="1"/>
  <c r="O40" i="17"/>
  <c r="H450" i="24" s="1"/>
  <c r="O41" i="17"/>
  <c r="H451" i="24" s="1"/>
  <c r="O42" i="17"/>
  <c r="H452" i="24" s="1"/>
  <c r="O43" i="17"/>
  <c r="H453" i="24" s="1"/>
  <c r="O44" i="17"/>
  <c r="H454" i="24" s="1"/>
  <c r="O45" i="17"/>
  <c r="H455" i="24" s="1"/>
  <c r="O46" i="17"/>
  <c r="H456" i="24" s="1"/>
  <c r="O47" i="17"/>
  <c r="H457" i="24" s="1"/>
  <c r="O48" i="17"/>
  <c r="H458" i="24" s="1"/>
  <c r="O49" i="17"/>
  <c r="H459" i="24" s="1"/>
  <c r="O50" i="17"/>
  <c r="H460" i="24" s="1"/>
  <c r="O51" i="17"/>
  <c r="H461" i="24" s="1"/>
  <c r="O52" i="17"/>
  <c r="H462" i="24" s="1"/>
  <c r="O53" i="17"/>
  <c r="H463" i="24" s="1"/>
  <c r="O54" i="17"/>
  <c r="H464" i="24" s="1"/>
  <c r="O55" i="17"/>
  <c r="H465" i="24" s="1"/>
  <c r="O56" i="17"/>
  <c r="H466" i="24" s="1"/>
  <c r="O57" i="17"/>
  <c r="H467" i="24" s="1"/>
  <c r="O58" i="17"/>
  <c r="H468" i="24" s="1"/>
  <c r="O59" i="17"/>
  <c r="H469" i="24" s="1"/>
  <c r="O60" i="17"/>
  <c r="H470" i="24" s="1"/>
  <c r="O61" i="17"/>
  <c r="H471" i="24" s="1"/>
  <c r="O62" i="17"/>
  <c r="H472" i="24" s="1"/>
  <c r="O63" i="17"/>
  <c r="H473" i="24" s="1"/>
  <c r="O64" i="17"/>
  <c r="H474" i="24" s="1"/>
  <c r="O65" i="17"/>
  <c r="H475" i="24" s="1"/>
  <c r="O66" i="17"/>
  <c r="H476" i="24" s="1"/>
  <c r="O67" i="17"/>
  <c r="H477" i="24" s="1"/>
  <c r="O68" i="17"/>
  <c r="H478" i="24" s="1"/>
  <c r="O69" i="17"/>
  <c r="H479" i="24" s="1"/>
  <c r="O70" i="17"/>
  <c r="H480" i="24" s="1"/>
  <c r="O71" i="17"/>
  <c r="H481" i="24" s="1"/>
  <c r="O72" i="17"/>
  <c r="H482" i="24" s="1"/>
  <c r="O73" i="17"/>
  <c r="H483" i="24" s="1"/>
  <c r="O74" i="17"/>
  <c r="H484" i="24" s="1"/>
  <c r="O75" i="17"/>
  <c r="H485" i="24" s="1"/>
  <c r="O76" i="17"/>
  <c r="H486" i="24" s="1"/>
  <c r="O77" i="17"/>
  <c r="H487" i="24" s="1"/>
  <c r="O78" i="17"/>
  <c r="H488" i="24" s="1"/>
  <c r="O79" i="17"/>
  <c r="H489" i="24" s="1"/>
  <c r="O80" i="17"/>
  <c r="H490" i="24" s="1"/>
  <c r="O81" i="17"/>
  <c r="H491" i="24" s="1"/>
  <c r="O82" i="17"/>
  <c r="H492" i="24" s="1"/>
  <c r="O83" i="17"/>
  <c r="H493" i="24" s="1"/>
  <c r="O84" i="17"/>
  <c r="H494" i="24" s="1"/>
  <c r="O85" i="17"/>
  <c r="H495" i="24" s="1"/>
  <c r="O86" i="17"/>
  <c r="H496" i="24" s="1"/>
  <c r="O87" i="17"/>
  <c r="H497" i="24" s="1"/>
  <c r="O88" i="17"/>
  <c r="H498" i="24" s="1"/>
  <c r="O89" i="17"/>
  <c r="H499" i="24" s="1"/>
  <c r="O90" i="17"/>
  <c r="H500" i="24" s="1"/>
  <c r="O91" i="17"/>
  <c r="H501" i="24" s="1"/>
  <c r="N9" i="17"/>
  <c r="G419" i="24" s="1"/>
  <c r="N10" i="17"/>
  <c r="G420" i="24" s="1"/>
  <c r="N11" i="17"/>
  <c r="G421" i="24" s="1"/>
  <c r="N12" i="17"/>
  <c r="G422" i="24" s="1"/>
  <c r="N13" i="17"/>
  <c r="G423" i="24" s="1"/>
  <c r="N14" i="17"/>
  <c r="G424" i="24" s="1"/>
  <c r="N15" i="17"/>
  <c r="G425" i="24" s="1"/>
  <c r="N16" i="17"/>
  <c r="G426" i="24" s="1"/>
  <c r="N17" i="17"/>
  <c r="G427" i="24" s="1"/>
  <c r="N18" i="17"/>
  <c r="G428" i="24" s="1"/>
  <c r="N19" i="17"/>
  <c r="G429" i="24" s="1"/>
  <c r="N20" i="17"/>
  <c r="G430" i="24" s="1"/>
  <c r="N21" i="17"/>
  <c r="G431" i="24" s="1"/>
  <c r="N22" i="17"/>
  <c r="G432" i="24" s="1"/>
  <c r="N23" i="17"/>
  <c r="G433" i="24" s="1"/>
  <c r="N24" i="17"/>
  <c r="G434" i="24" s="1"/>
  <c r="N25" i="17"/>
  <c r="G435" i="24" s="1"/>
  <c r="N26" i="17"/>
  <c r="G436" i="24" s="1"/>
  <c r="N27" i="17"/>
  <c r="G437" i="24" s="1"/>
  <c r="N28" i="17"/>
  <c r="G438" i="24" s="1"/>
  <c r="N29" i="17"/>
  <c r="G439" i="24" s="1"/>
  <c r="N30" i="17"/>
  <c r="G440" i="24" s="1"/>
  <c r="N31" i="17"/>
  <c r="G441" i="24" s="1"/>
  <c r="N32" i="17"/>
  <c r="G442" i="24" s="1"/>
  <c r="N33" i="17"/>
  <c r="G443" i="24" s="1"/>
  <c r="N34" i="17"/>
  <c r="G444" i="24" s="1"/>
  <c r="N35" i="17"/>
  <c r="G445" i="24" s="1"/>
  <c r="N36" i="17"/>
  <c r="G446" i="24" s="1"/>
  <c r="N37" i="17"/>
  <c r="G447" i="24" s="1"/>
  <c r="N38" i="17"/>
  <c r="G448" i="24" s="1"/>
  <c r="N39" i="17"/>
  <c r="G449" i="24" s="1"/>
  <c r="N40" i="17"/>
  <c r="G450" i="24" s="1"/>
  <c r="N41" i="17"/>
  <c r="G451" i="24" s="1"/>
  <c r="N42" i="17"/>
  <c r="G452" i="24" s="1"/>
  <c r="N43" i="17"/>
  <c r="G453" i="24" s="1"/>
  <c r="N44" i="17"/>
  <c r="G454" i="24" s="1"/>
  <c r="N45" i="17"/>
  <c r="G455" i="24" s="1"/>
  <c r="N46" i="17"/>
  <c r="G456" i="24" s="1"/>
  <c r="N47" i="17"/>
  <c r="G457" i="24" s="1"/>
  <c r="N48" i="17"/>
  <c r="G458" i="24" s="1"/>
  <c r="N49" i="17"/>
  <c r="G459" i="24" s="1"/>
  <c r="N50" i="17"/>
  <c r="G460" i="24" s="1"/>
  <c r="N51" i="17"/>
  <c r="G461" i="24" s="1"/>
  <c r="N52" i="17"/>
  <c r="G462" i="24" s="1"/>
  <c r="N53" i="17"/>
  <c r="G463" i="24" s="1"/>
  <c r="N54" i="17"/>
  <c r="G464" i="24" s="1"/>
  <c r="N55" i="17"/>
  <c r="G465" i="24" s="1"/>
  <c r="N56" i="17"/>
  <c r="G466" i="24" s="1"/>
  <c r="N57" i="17"/>
  <c r="G467" i="24" s="1"/>
  <c r="N58" i="17"/>
  <c r="G468" i="24" s="1"/>
  <c r="N59" i="17"/>
  <c r="G469" i="24" s="1"/>
  <c r="N60" i="17"/>
  <c r="G470" i="24" s="1"/>
  <c r="N61" i="17"/>
  <c r="G471" i="24" s="1"/>
  <c r="N62" i="17"/>
  <c r="G472" i="24" s="1"/>
  <c r="N63" i="17"/>
  <c r="G473" i="24" s="1"/>
  <c r="N64" i="17"/>
  <c r="G474" i="24" s="1"/>
  <c r="N65" i="17"/>
  <c r="G475" i="24" s="1"/>
  <c r="N66" i="17"/>
  <c r="G476" i="24" s="1"/>
  <c r="N67" i="17"/>
  <c r="G477" i="24" s="1"/>
  <c r="N68" i="17"/>
  <c r="G478" i="24" s="1"/>
  <c r="N69" i="17"/>
  <c r="G479" i="24" s="1"/>
  <c r="N70" i="17"/>
  <c r="G480" i="24" s="1"/>
  <c r="N71" i="17"/>
  <c r="G481" i="24" s="1"/>
  <c r="N72" i="17"/>
  <c r="G482" i="24" s="1"/>
  <c r="N73" i="17"/>
  <c r="G483" i="24" s="1"/>
  <c r="N74" i="17"/>
  <c r="G484" i="24" s="1"/>
  <c r="N75" i="17"/>
  <c r="G485" i="24" s="1"/>
  <c r="N76" i="17"/>
  <c r="G486" i="24" s="1"/>
  <c r="N77" i="17"/>
  <c r="G487" i="24" s="1"/>
  <c r="N78" i="17"/>
  <c r="G488" i="24" s="1"/>
  <c r="N79" i="17"/>
  <c r="G489" i="24" s="1"/>
  <c r="N80" i="17"/>
  <c r="G490" i="24" s="1"/>
  <c r="N81" i="17"/>
  <c r="G491" i="24" s="1"/>
  <c r="N82" i="17"/>
  <c r="G492" i="24" s="1"/>
  <c r="N83" i="17"/>
  <c r="G493" i="24" s="1"/>
  <c r="N84" i="17"/>
  <c r="G494" i="24" s="1"/>
  <c r="N85" i="17"/>
  <c r="G495" i="24" s="1"/>
  <c r="N86" i="17"/>
  <c r="G496" i="24" s="1"/>
  <c r="N87" i="17"/>
  <c r="G497" i="24" s="1"/>
  <c r="N88" i="17"/>
  <c r="G498" i="24" s="1"/>
  <c r="N89" i="17"/>
  <c r="G499" i="24" s="1"/>
  <c r="N90" i="17"/>
  <c r="G500" i="24" s="1"/>
  <c r="N91" i="17"/>
  <c r="G501" i="24" s="1"/>
  <c r="Q9" i="11"/>
  <c r="J149" i="24" s="1"/>
  <c r="Q10" i="11"/>
  <c r="J150" i="24" s="1"/>
  <c r="Q11" i="11"/>
  <c r="J151" i="24" s="1"/>
  <c r="Q12" i="11"/>
  <c r="J152" i="24" s="1"/>
  <c r="Q13" i="11"/>
  <c r="J153" i="24" s="1"/>
  <c r="Q14" i="11"/>
  <c r="J154" i="24" s="1"/>
  <c r="Q15" i="11"/>
  <c r="J155" i="24" s="1"/>
  <c r="Q16" i="11"/>
  <c r="J156" i="24" s="1"/>
  <c r="Q17" i="11"/>
  <c r="J157" i="24" s="1"/>
  <c r="Q18" i="11"/>
  <c r="J158" i="24" s="1"/>
  <c r="Q19" i="11"/>
  <c r="J159" i="24" s="1"/>
  <c r="Q20" i="11"/>
  <c r="J160" i="24" s="1"/>
  <c r="Q21" i="11"/>
  <c r="J161" i="24" s="1"/>
  <c r="Q22" i="11"/>
  <c r="J162" i="24" s="1"/>
  <c r="Q23" i="11"/>
  <c r="J163" i="24" s="1"/>
  <c r="Q24" i="11"/>
  <c r="J164" i="24" s="1"/>
  <c r="Q25" i="11"/>
  <c r="J165" i="24" s="1"/>
  <c r="Q26" i="11"/>
  <c r="J166" i="24" s="1"/>
  <c r="Q27" i="11"/>
  <c r="J167" i="24" s="1"/>
  <c r="Q28" i="11"/>
  <c r="J168" i="24" s="1"/>
  <c r="Q29" i="11"/>
  <c r="J169" i="24" s="1"/>
  <c r="Q30" i="11"/>
  <c r="J170" i="24" s="1"/>
  <c r="Q31" i="11"/>
  <c r="J171" i="24" s="1"/>
  <c r="Q32" i="11"/>
  <c r="J172" i="24" s="1"/>
  <c r="Q33" i="11"/>
  <c r="J173" i="24" s="1"/>
  <c r="Q34" i="11"/>
  <c r="J174" i="24" s="1"/>
  <c r="Q35" i="11"/>
  <c r="J175" i="24" s="1"/>
  <c r="Q36" i="11"/>
  <c r="J176" i="24" s="1"/>
  <c r="Q37" i="11"/>
  <c r="J177" i="24" s="1"/>
  <c r="Q38" i="11"/>
  <c r="J178" i="24" s="1"/>
  <c r="Q39" i="11"/>
  <c r="J179" i="24" s="1"/>
  <c r="Q40" i="11"/>
  <c r="J180" i="24" s="1"/>
  <c r="Q41" i="11"/>
  <c r="J181" i="24" s="1"/>
  <c r="Q42" i="11"/>
  <c r="J182" i="24" s="1"/>
  <c r="Q43" i="11"/>
  <c r="J183" i="24" s="1"/>
  <c r="Q44" i="11"/>
  <c r="J184" i="24" s="1"/>
  <c r="Q45" i="11"/>
  <c r="J185" i="24" s="1"/>
  <c r="Q46" i="11"/>
  <c r="J186" i="24" s="1"/>
  <c r="Q47" i="11"/>
  <c r="J187" i="24" s="1"/>
  <c r="Q48" i="11"/>
  <c r="J188" i="24" s="1"/>
  <c r="Q49" i="11"/>
  <c r="J189" i="24" s="1"/>
  <c r="Q50" i="11"/>
  <c r="J190" i="24" s="1"/>
  <c r="Q51" i="11"/>
  <c r="J191" i="24" s="1"/>
  <c r="Q52" i="11"/>
  <c r="J192" i="24" s="1"/>
  <c r="Q53" i="11"/>
  <c r="J193" i="24" s="1"/>
  <c r="P9" i="11"/>
  <c r="I149" i="24" s="1"/>
  <c r="P10" i="11"/>
  <c r="I150" i="24" s="1"/>
  <c r="P11" i="11"/>
  <c r="I151" i="24" s="1"/>
  <c r="P12" i="11"/>
  <c r="I152" i="24" s="1"/>
  <c r="P13" i="11"/>
  <c r="I153" i="24" s="1"/>
  <c r="P14" i="11"/>
  <c r="I154" i="24" s="1"/>
  <c r="P15" i="11"/>
  <c r="I155" i="24" s="1"/>
  <c r="P16" i="11"/>
  <c r="I156" i="24" s="1"/>
  <c r="P17" i="11"/>
  <c r="I157" i="24" s="1"/>
  <c r="P18" i="11"/>
  <c r="I158" i="24" s="1"/>
  <c r="P19" i="11"/>
  <c r="I159" i="24" s="1"/>
  <c r="P20" i="11"/>
  <c r="I160" i="24" s="1"/>
  <c r="P21" i="11"/>
  <c r="I161" i="24" s="1"/>
  <c r="P22" i="11"/>
  <c r="I162" i="24" s="1"/>
  <c r="P23" i="11"/>
  <c r="I163" i="24" s="1"/>
  <c r="P24" i="11"/>
  <c r="I164" i="24" s="1"/>
  <c r="P25" i="11"/>
  <c r="I165" i="24" s="1"/>
  <c r="P26" i="11"/>
  <c r="I166" i="24" s="1"/>
  <c r="P27" i="11"/>
  <c r="I167" i="24" s="1"/>
  <c r="P28" i="11"/>
  <c r="I168" i="24" s="1"/>
  <c r="P29" i="11"/>
  <c r="I169" i="24" s="1"/>
  <c r="P30" i="11"/>
  <c r="I170" i="24" s="1"/>
  <c r="P31" i="11"/>
  <c r="I171" i="24" s="1"/>
  <c r="P32" i="11"/>
  <c r="I172" i="24" s="1"/>
  <c r="P33" i="11"/>
  <c r="I173" i="24" s="1"/>
  <c r="P34" i="11"/>
  <c r="I174" i="24" s="1"/>
  <c r="P35" i="11"/>
  <c r="I175" i="24" s="1"/>
  <c r="P36" i="11"/>
  <c r="I176" i="24" s="1"/>
  <c r="P37" i="11"/>
  <c r="I177" i="24" s="1"/>
  <c r="P38" i="11"/>
  <c r="I178" i="24" s="1"/>
  <c r="P39" i="11"/>
  <c r="I179" i="24" s="1"/>
  <c r="P40" i="11"/>
  <c r="I180" i="24" s="1"/>
  <c r="P41" i="11"/>
  <c r="I181" i="24" s="1"/>
  <c r="P42" i="11"/>
  <c r="I182" i="24" s="1"/>
  <c r="P43" i="11"/>
  <c r="I183" i="24" s="1"/>
  <c r="P44" i="11"/>
  <c r="I184" i="24" s="1"/>
  <c r="P45" i="11"/>
  <c r="I185" i="24" s="1"/>
  <c r="P46" i="11"/>
  <c r="I186" i="24" s="1"/>
  <c r="P47" i="11"/>
  <c r="I187" i="24" s="1"/>
  <c r="P48" i="11"/>
  <c r="I188" i="24" s="1"/>
  <c r="P49" i="11"/>
  <c r="I189" i="24" s="1"/>
  <c r="P50" i="11"/>
  <c r="I190" i="24" s="1"/>
  <c r="P51" i="11"/>
  <c r="I191" i="24" s="1"/>
  <c r="P52" i="11"/>
  <c r="I192" i="24" s="1"/>
  <c r="P53" i="11"/>
  <c r="I193" i="24" s="1"/>
  <c r="O9" i="11"/>
  <c r="H149" i="24" s="1"/>
  <c r="O10" i="11"/>
  <c r="H150" i="24" s="1"/>
  <c r="O11" i="11"/>
  <c r="H151" i="24" s="1"/>
  <c r="O12" i="11"/>
  <c r="H152" i="24" s="1"/>
  <c r="O13" i="11"/>
  <c r="H153" i="24" s="1"/>
  <c r="O14" i="11"/>
  <c r="H154" i="24" s="1"/>
  <c r="O15" i="11"/>
  <c r="H155" i="24" s="1"/>
  <c r="O16" i="11"/>
  <c r="H156" i="24" s="1"/>
  <c r="O17" i="11"/>
  <c r="H157" i="24" s="1"/>
  <c r="O18" i="11"/>
  <c r="H158" i="24" s="1"/>
  <c r="O19" i="11"/>
  <c r="H159" i="24" s="1"/>
  <c r="O20" i="11"/>
  <c r="H160" i="24" s="1"/>
  <c r="O21" i="11"/>
  <c r="H161" i="24" s="1"/>
  <c r="O22" i="11"/>
  <c r="H162" i="24" s="1"/>
  <c r="O23" i="11"/>
  <c r="H163" i="24" s="1"/>
  <c r="O24" i="11"/>
  <c r="H164" i="24" s="1"/>
  <c r="O25" i="11"/>
  <c r="H165" i="24" s="1"/>
  <c r="O26" i="11"/>
  <c r="H166" i="24" s="1"/>
  <c r="O27" i="11"/>
  <c r="H167" i="24" s="1"/>
  <c r="O28" i="11"/>
  <c r="H168" i="24" s="1"/>
  <c r="O29" i="11"/>
  <c r="H169" i="24" s="1"/>
  <c r="O30" i="11"/>
  <c r="H170" i="24" s="1"/>
  <c r="O31" i="11"/>
  <c r="H171" i="24" s="1"/>
  <c r="O32" i="11"/>
  <c r="H172" i="24" s="1"/>
  <c r="O33" i="11"/>
  <c r="H173" i="24" s="1"/>
  <c r="O34" i="11"/>
  <c r="H174" i="24" s="1"/>
  <c r="O35" i="11"/>
  <c r="H175" i="24" s="1"/>
  <c r="O36" i="11"/>
  <c r="H176" i="24" s="1"/>
  <c r="O37" i="11"/>
  <c r="H177" i="24" s="1"/>
  <c r="O38" i="11"/>
  <c r="H178" i="24" s="1"/>
  <c r="O39" i="11"/>
  <c r="H179" i="24" s="1"/>
  <c r="O40" i="11"/>
  <c r="H180" i="24" s="1"/>
  <c r="O41" i="11"/>
  <c r="H181" i="24" s="1"/>
  <c r="O42" i="11"/>
  <c r="H182" i="24" s="1"/>
  <c r="O43" i="11"/>
  <c r="H183" i="24" s="1"/>
  <c r="O44" i="11"/>
  <c r="H184" i="24" s="1"/>
  <c r="O45" i="11"/>
  <c r="H185" i="24" s="1"/>
  <c r="O46" i="11"/>
  <c r="H186" i="24" s="1"/>
  <c r="O47" i="11"/>
  <c r="H187" i="24" s="1"/>
  <c r="O48" i="11"/>
  <c r="H188" i="24" s="1"/>
  <c r="O49" i="11"/>
  <c r="H189" i="24" s="1"/>
  <c r="O50" i="11"/>
  <c r="H190" i="24" s="1"/>
  <c r="O51" i="11"/>
  <c r="H191" i="24" s="1"/>
  <c r="O52" i="11"/>
  <c r="H192" i="24" s="1"/>
  <c r="O53" i="11"/>
  <c r="H193" i="24" s="1"/>
  <c r="Q9" i="15"/>
  <c r="J194" i="24" s="1"/>
  <c r="Q10" i="15"/>
  <c r="J195" i="24" s="1"/>
  <c r="Q11" i="15"/>
  <c r="J196" i="24" s="1"/>
  <c r="Q12" i="15"/>
  <c r="J197" i="24" s="1"/>
  <c r="Q13" i="15"/>
  <c r="J198" i="24" s="1"/>
  <c r="Q14" i="15"/>
  <c r="J199" i="24" s="1"/>
  <c r="Q15" i="15"/>
  <c r="J200" i="24" s="1"/>
  <c r="Q16" i="15"/>
  <c r="J201" i="24" s="1"/>
  <c r="Q17" i="15"/>
  <c r="J202" i="24" s="1"/>
  <c r="Q18" i="15"/>
  <c r="J203" i="24" s="1"/>
  <c r="Q19" i="15"/>
  <c r="J204" i="24" s="1"/>
  <c r="Q20" i="15"/>
  <c r="J205" i="24" s="1"/>
  <c r="Q21" i="15"/>
  <c r="J206" i="24" s="1"/>
  <c r="Q22" i="15"/>
  <c r="J207" i="24" s="1"/>
  <c r="Q23" i="15"/>
  <c r="J208" i="24" s="1"/>
  <c r="Q24" i="15"/>
  <c r="J209" i="24" s="1"/>
  <c r="Q25" i="15"/>
  <c r="J210" i="24" s="1"/>
  <c r="Q26" i="15"/>
  <c r="J211" i="24" s="1"/>
  <c r="Q27" i="15"/>
  <c r="J212" i="24" s="1"/>
  <c r="Q28" i="15"/>
  <c r="J213" i="24" s="1"/>
  <c r="Q29" i="15"/>
  <c r="J214" i="24" s="1"/>
  <c r="Q30" i="15"/>
  <c r="J215" i="24" s="1"/>
  <c r="Q31" i="15"/>
  <c r="J216" i="24" s="1"/>
  <c r="Q32" i="15"/>
  <c r="J217" i="24" s="1"/>
  <c r="Q33" i="15"/>
  <c r="J218" i="24" s="1"/>
  <c r="Q34" i="15"/>
  <c r="J219" i="24" s="1"/>
  <c r="Q35" i="15"/>
  <c r="J220" i="24" s="1"/>
  <c r="Q36" i="15"/>
  <c r="J221" i="24" s="1"/>
  <c r="Q37" i="15"/>
  <c r="J222" i="24" s="1"/>
  <c r="Q38" i="15"/>
  <c r="J223" i="24" s="1"/>
  <c r="Q39" i="15"/>
  <c r="J224" i="24" s="1"/>
  <c r="Q40" i="15"/>
  <c r="J225" i="24" s="1"/>
  <c r="Q41" i="15"/>
  <c r="J226" i="24" s="1"/>
  <c r="Q42" i="15"/>
  <c r="J227" i="24" s="1"/>
  <c r="Q43" i="15"/>
  <c r="J228" i="24" s="1"/>
  <c r="Q44" i="15"/>
  <c r="J229" i="24" s="1"/>
  <c r="Q45" i="15"/>
  <c r="J230" i="24" s="1"/>
  <c r="Q46" i="15"/>
  <c r="J231" i="24" s="1"/>
  <c r="Q47" i="15"/>
  <c r="J232" i="24" s="1"/>
  <c r="Q48" i="15"/>
  <c r="J233" i="24" s="1"/>
  <c r="Q49" i="15"/>
  <c r="J234" i="24" s="1"/>
  <c r="Q50" i="15"/>
  <c r="J235" i="24" s="1"/>
  <c r="Q51" i="15"/>
  <c r="J236" i="24" s="1"/>
  <c r="Q52" i="15"/>
  <c r="J237" i="24" s="1"/>
  <c r="Q53" i="15"/>
  <c r="J238" i="24" s="1"/>
  <c r="Q54" i="15"/>
  <c r="J239" i="24" s="1"/>
  <c r="Q55" i="15"/>
  <c r="J240" i="24" s="1"/>
  <c r="Q56" i="15"/>
  <c r="J241" i="24" s="1"/>
  <c r="Q57" i="15"/>
  <c r="J242" i="24" s="1"/>
  <c r="Q58" i="15"/>
  <c r="J243" i="24" s="1"/>
  <c r="Q59" i="15"/>
  <c r="J244" i="24" s="1"/>
  <c r="Q60" i="15"/>
  <c r="J245" i="24" s="1"/>
  <c r="Q61" i="15"/>
  <c r="J246" i="24" s="1"/>
  <c r="Q62" i="15"/>
  <c r="J247" i="24" s="1"/>
  <c r="Q63" i="15"/>
  <c r="J248" i="24" s="1"/>
  <c r="Q64" i="15"/>
  <c r="J249" i="24" s="1"/>
  <c r="Q65" i="15"/>
  <c r="J250" i="24" s="1"/>
  <c r="Q66" i="15"/>
  <c r="J251" i="24" s="1"/>
  <c r="Q67" i="15"/>
  <c r="J252" i="24" s="1"/>
  <c r="Q68" i="15"/>
  <c r="J253" i="24" s="1"/>
  <c r="Q69" i="15"/>
  <c r="J254" i="24" s="1"/>
  <c r="Q70" i="15"/>
  <c r="J255" i="24" s="1"/>
  <c r="Q71" i="15"/>
  <c r="J256" i="24" s="1"/>
  <c r="Q72" i="15"/>
  <c r="J257" i="24" s="1"/>
  <c r="Q73" i="15"/>
  <c r="J258" i="24" s="1"/>
  <c r="Q74" i="15"/>
  <c r="J259" i="24" s="1"/>
  <c r="Q75" i="15"/>
  <c r="J260" i="24" s="1"/>
  <c r="Q76" i="15"/>
  <c r="J261" i="24" s="1"/>
  <c r="Q77" i="15"/>
  <c r="J262" i="24" s="1"/>
  <c r="Q78" i="15"/>
  <c r="J263" i="24" s="1"/>
  <c r="Q79" i="15"/>
  <c r="J264" i="24" s="1"/>
  <c r="Q80" i="15"/>
  <c r="J265" i="24" s="1"/>
  <c r="Q81" i="15"/>
  <c r="J266" i="24" s="1"/>
  <c r="Q82" i="15"/>
  <c r="J267" i="24" s="1"/>
  <c r="Q83" i="15"/>
  <c r="J268" i="24" s="1"/>
  <c r="Q84" i="15"/>
  <c r="J269" i="24" s="1"/>
  <c r="Q85" i="15"/>
  <c r="J270" i="24" s="1"/>
  <c r="Q86" i="15"/>
  <c r="J271" i="24" s="1"/>
  <c r="Q87" i="15"/>
  <c r="J272" i="24" s="1"/>
  <c r="Q88" i="15"/>
  <c r="J273" i="24" s="1"/>
  <c r="Q89" i="15"/>
  <c r="J274" i="24" s="1"/>
  <c r="Q90" i="15"/>
  <c r="J275" i="24" s="1"/>
  <c r="Q91" i="15"/>
  <c r="J276" i="24" s="1"/>
  <c r="Q92" i="15"/>
  <c r="J277" i="24" s="1"/>
  <c r="Q93" i="15"/>
  <c r="J278" i="24" s="1"/>
  <c r="Q94" i="15"/>
  <c r="J279" i="24" s="1"/>
  <c r="Q95" i="15"/>
  <c r="J280" i="24" s="1"/>
  <c r="Q96" i="15"/>
  <c r="J281" i="24" s="1"/>
  <c r="Q97" i="15"/>
  <c r="J282" i="24" s="1"/>
  <c r="Q98" i="15"/>
  <c r="J283" i="24" s="1"/>
  <c r="Q99" i="15"/>
  <c r="J284" i="24" s="1"/>
  <c r="Q100" i="15"/>
  <c r="J285" i="24" s="1"/>
  <c r="Q101" i="15"/>
  <c r="J286" i="24" s="1"/>
  <c r="Q102" i="15"/>
  <c r="J287" i="24" s="1"/>
  <c r="Q103" i="15"/>
  <c r="J288" i="24" s="1"/>
  <c r="Q104" i="15"/>
  <c r="J289" i="24" s="1"/>
  <c r="Q105" i="15"/>
  <c r="J290" i="24" s="1"/>
  <c r="Q106" i="15"/>
  <c r="J291" i="24" s="1"/>
  <c r="Q107" i="15"/>
  <c r="J292" i="24" s="1"/>
  <c r="Q108" i="15"/>
  <c r="J293" i="24" s="1"/>
  <c r="Q109" i="15"/>
  <c r="J294" i="24" s="1"/>
  <c r="Q110" i="15"/>
  <c r="J295" i="24" s="1"/>
  <c r="Q111" i="15"/>
  <c r="J296" i="24" s="1"/>
  <c r="Q112" i="15"/>
  <c r="J297" i="24" s="1"/>
  <c r="Q113" i="15"/>
  <c r="J298" i="24" s="1"/>
  <c r="Q114" i="15"/>
  <c r="J299" i="24" s="1"/>
  <c r="Q115" i="15"/>
  <c r="J300" i="24" s="1"/>
  <c r="Q116" i="15"/>
  <c r="J301" i="24" s="1"/>
  <c r="Q117" i="15"/>
  <c r="J302" i="24" s="1"/>
  <c r="Q118" i="15"/>
  <c r="J303" i="24" s="1"/>
  <c r="Q119" i="15"/>
  <c r="J304" i="24" s="1"/>
  <c r="Q120" i="15"/>
  <c r="J305" i="24" s="1"/>
  <c r="Q121" i="15"/>
  <c r="J306" i="24" s="1"/>
  <c r="Q122" i="15"/>
  <c r="J307" i="24" s="1"/>
  <c r="Q123" i="15"/>
  <c r="J308" i="24" s="1"/>
  <c r="Q124" i="15"/>
  <c r="J309" i="24" s="1"/>
  <c r="Q125" i="15"/>
  <c r="J310" i="24" s="1"/>
  <c r="Q126" i="15"/>
  <c r="J311" i="24" s="1"/>
  <c r="Q127" i="15"/>
  <c r="J312" i="24" s="1"/>
  <c r="Q128" i="15"/>
  <c r="J313" i="24" s="1"/>
  <c r="Q129" i="15"/>
  <c r="J314" i="24" s="1"/>
  <c r="Q130" i="15"/>
  <c r="J315" i="24" s="1"/>
  <c r="Q131" i="15"/>
  <c r="J316" i="24" s="1"/>
  <c r="Q132" i="15"/>
  <c r="J317" i="24" s="1"/>
  <c r="Q133" i="15"/>
  <c r="J318" i="24" s="1"/>
  <c r="Q134" i="15"/>
  <c r="J319" i="24" s="1"/>
  <c r="Q135" i="15"/>
  <c r="J320" i="24" s="1"/>
  <c r="Q136" i="15"/>
  <c r="J321" i="24" s="1"/>
  <c r="Q137" i="15"/>
  <c r="J322" i="24" s="1"/>
  <c r="Q138" i="15"/>
  <c r="J323" i="24" s="1"/>
  <c r="Q139" i="15"/>
  <c r="J324" i="24" s="1"/>
  <c r="Q140" i="15"/>
  <c r="J325" i="24" s="1"/>
  <c r="Q141" i="15"/>
  <c r="J326" i="24" s="1"/>
  <c r="Q142" i="15"/>
  <c r="J327" i="24" s="1"/>
  <c r="Q143" i="15"/>
  <c r="J328" i="24" s="1"/>
  <c r="Q144" i="15"/>
  <c r="J329" i="24" s="1"/>
  <c r="Q145" i="15"/>
  <c r="J330" i="24" s="1"/>
  <c r="Q146" i="15"/>
  <c r="J331" i="24" s="1"/>
  <c r="Q147" i="15"/>
  <c r="J332" i="24" s="1"/>
  <c r="Q148" i="15"/>
  <c r="J333" i="24" s="1"/>
  <c r="Q149" i="15"/>
  <c r="J334" i="24" s="1"/>
  <c r="Q150" i="15"/>
  <c r="J335" i="24" s="1"/>
  <c r="Q151" i="15"/>
  <c r="J336" i="24" s="1"/>
  <c r="Q152" i="15"/>
  <c r="J337" i="24" s="1"/>
  <c r="Q153" i="15"/>
  <c r="J338" i="24" s="1"/>
  <c r="Q154" i="15"/>
  <c r="J339" i="24" s="1"/>
  <c r="Q155" i="15"/>
  <c r="J340" i="24" s="1"/>
  <c r="Q156" i="15"/>
  <c r="J341" i="24" s="1"/>
  <c r="Q157" i="15"/>
  <c r="J342" i="24" s="1"/>
  <c r="Q158" i="15"/>
  <c r="J343" i="24" s="1"/>
  <c r="Q159" i="15"/>
  <c r="J344" i="24" s="1"/>
  <c r="Q160" i="15"/>
  <c r="J345" i="24" s="1"/>
  <c r="Q161" i="15"/>
  <c r="J346" i="24" s="1"/>
  <c r="Q162" i="15"/>
  <c r="J347" i="24" s="1"/>
  <c r="Q163" i="15"/>
  <c r="J348" i="24" s="1"/>
  <c r="Q164" i="15"/>
  <c r="J349" i="24" s="1"/>
  <c r="Q165" i="15"/>
  <c r="J350" i="24" s="1"/>
  <c r="Q166" i="15"/>
  <c r="J351" i="24" s="1"/>
  <c r="Q167" i="15"/>
  <c r="J352" i="24" s="1"/>
  <c r="Q168" i="15"/>
  <c r="J353" i="24" s="1"/>
  <c r="Q169" i="15"/>
  <c r="J354" i="24" s="1"/>
  <c r="Q170" i="15"/>
  <c r="J355" i="24" s="1"/>
  <c r="Q171" i="15"/>
  <c r="J356" i="24" s="1"/>
  <c r="Q172" i="15"/>
  <c r="J357" i="24" s="1"/>
  <c r="Q173" i="15"/>
  <c r="J358" i="24" s="1"/>
  <c r="Q174" i="15"/>
  <c r="J359" i="24" s="1"/>
  <c r="Q175" i="15"/>
  <c r="J360" i="24" s="1"/>
  <c r="Q176" i="15"/>
  <c r="J361" i="24" s="1"/>
  <c r="Q177" i="15"/>
  <c r="J362" i="24" s="1"/>
  <c r="Q178" i="15"/>
  <c r="J363" i="24" s="1"/>
  <c r="Q179" i="15"/>
  <c r="J364" i="24" s="1"/>
  <c r="Q180" i="15"/>
  <c r="J365" i="24" s="1"/>
  <c r="Q181" i="15"/>
  <c r="J366" i="24" s="1"/>
  <c r="Q182" i="15"/>
  <c r="J367" i="24" s="1"/>
  <c r="P9" i="15"/>
  <c r="I194" i="24" s="1"/>
  <c r="P10" i="15"/>
  <c r="I195" i="24" s="1"/>
  <c r="P11" i="15"/>
  <c r="I196" i="24" s="1"/>
  <c r="P12" i="15"/>
  <c r="I197" i="24" s="1"/>
  <c r="P13" i="15"/>
  <c r="I198" i="24" s="1"/>
  <c r="P14" i="15"/>
  <c r="I199" i="24" s="1"/>
  <c r="P15" i="15"/>
  <c r="I200" i="24" s="1"/>
  <c r="P16" i="15"/>
  <c r="I201" i="24" s="1"/>
  <c r="P17" i="15"/>
  <c r="I202" i="24" s="1"/>
  <c r="P18" i="15"/>
  <c r="I203" i="24" s="1"/>
  <c r="P19" i="15"/>
  <c r="I204" i="24" s="1"/>
  <c r="P20" i="15"/>
  <c r="I205" i="24" s="1"/>
  <c r="P21" i="15"/>
  <c r="I206" i="24" s="1"/>
  <c r="P22" i="15"/>
  <c r="I207" i="24" s="1"/>
  <c r="P23" i="15"/>
  <c r="I208" i="24" s="1"/>
  <c r="P24" i="15"/>
  <c r="I209" i="24" s="1"/>
  <c r="P25" i="15"/>
  <c r="I210" i="24" s="1"/>
  <c r="P26" i="15"/>
  <c r="I211" i="24" s="1"/>
  <c r="P27" i="15"/>
  <c r="I212" i="24" s="1"/>
  <c r="P28" i="15"/>
  <c r="I213" i="24" s="1"/>
  <c r="P29" i="15"/>
  <c r="I214" i="24" s="1"/>
  <c r="P30" i="15"/>
  <c r="I215" i="24" s="1"/>
  <c r="P31" i="15"/>
  <c r="I216" i="24" s="1"/>
  <c r="P32" i="15"/>
  <c r="I217" i="24" s="1"/>
  <c r="P33" i="15"/>
  <c r="I218" i="24" s="1"/>
  <c r="P34" i="15"/>
  <c r="I219" i="24" s="1"/>
  <c r="P35" i="15"/>
  <c r="I220" i="24" s="1"/>
  <c r="P36" i="15"/>
  <c r="I221" i="24" s="1"/>
  <c r="P37" i="15"/>
  <c r="I222" i="24" s="1"/>
  <c r="P38" i="15"/>
  <c r="I223" i="24" s="1"/>
  <c r="P39" i="15"/>
  <c r="I224" i="24" s="1"/>
  <c r="P40" i="15"/>
  <c r="I225" i="24" s="1"/>
  <c r="P41" i="15"/>
  <c r="I226" i="24" s="1"/>
  <c r="P42" i="15"/>
  <c r="I227" i="24" s="1"/>
  <c r="P43" i="15"/>
  <c r="I228" i="24" s="1"/>
  <c r="P44" i="15"/>
  <c r="I229" i="24" s="1"/>
  <c r="P45" i="15"/>
  <c r="I230" i="24" s="1"/>
  <c r="P46" i="15"/>
  <c r="I231" i="24" s="1"/>
  <c r="P47" i="15"/>
  <c r="I232" i="24" s="1"/>
  <c r="P48" i="15"/>
  <c r="I233" i="24" s="1"/>
  <c r="P49" i="15"/>
  <c r="I234" i="24" s="1"/>
  <c r="P50" i="15"/>
  <c r="I235" i="24" s="1"/>
  <c r="P51" i="15"/>
  <c r="I236" i="24" s="1"/>
  <c r="P52" i="15"/>
  <c r="I237" i="24" s="1"/>
  <c r="P53" i="15"/>
  <c r="I238" i="24" s="1"/>
  <c r="P54" i="15"/>
  <c r="I239" i="24" s="1"/>
  <c r="P55" i="15"/>
  <c r="I240" i="24" s="1"/>
  <c r="P56" i="15"/>
  <c r="I241" i="24" s="1"/>
  <c r="P57" i="15"/>
  <c r="I242" i="24" s="1"/>
  <c r="P58" i="15"/>
  <c r="I243" i="24" s="1"/>
  <c r="P59" i="15"/>
  <c r="I244" i="24" s="1"/>
  <c r="P60" i="15"/>
  <c r="I245" i="24" s="1"/>
  <c r="P61" i="15"/>
  <c r="I246" i="24" s="1"/>
  <c r="P62" i="15"/>
  <c r="I247" i="24" s="1"/>
  <c r="P63" i="15"/>
  <c r="I248" i="24" s="1"/>
  <c r="P64" i="15"/>
  <c r="I249" i="24" s="1"/>
  <c r="P65" i="15"/>
  <c r="I250" i="24" s="1"/>
  <c r="P66" i="15"/>
  <c r="I251" i="24" s="1"/>
  <c r="P67" i="15"/>
  <c r="I252" i="24" s="1"/>
  <c r="P68" i="15"/>
  <c r="I253" i="24" s="1"/>
  <c r="P69" i="15"/>
  <c r="I254" i="24" s="1"/>
  <c r="P70" i="15"/>
  <c r="I255" i="24" s="1"/>
  <c r="P71" i="15"/>
  <c r="I256" i="24" s="1"/>
  <c r="P72" i="15"/>
  <c r="I257" i="24" s="1"/>
  <c r="P73" i="15"/>
  <c r="I258" i="24" s="1"/>
  <c r="P74" i="15"/>
  <c r="I259" i="24" s="1"/>
  <c r="P75" i="15"/>
  <c r="I260" i="24" s="1"/>
  <c r="P76" i="15"/>
  <c r="I261" i="24" s="1"/>
  <c r="P77" i="15"/>
  <c r="I262" i="24" s="1"/>
  <c r="P78" i="15"/>
  <c r="I263" i="24" s="1"/>
  <c r="P79" i="15"/>
  <c r="I264" i="24" s="1"/>
  <c r="P80" i="15"/>
  <c r="I265" i="24" s="1"/>
  <c r="P81" i="15"/>
  <c r="I266" i="24" s="1"/>
  <c r="P82" i="15"/>
  <c r="I267" i="24" s="1"/>
  <c r="P83" i="15"/>
  <c r="I268" i="24" s="1"/>
  <c r="P84" i="15"/>
  <c r="I269" i="24" s="1"/>
  <c r="P85" i="15"/>
  <c r="I270" i="24" s="1"/>
  <c r="P86" i="15"/>
  <c r="I271" i="24" s="1"/>
  <c r="P87" i="15"/>
  <c r="I272" i="24" s="1"/>
  <c r="P88" i="15"/>
  <c r="I273" i="24" s="1"/>
  <c r="P89" i="15"/>
  <c r="I274" i="24" s="1"/>
  <c r="P90" i="15"/>
  <c r="I275" i="24" s="1"/>
  <c r="P91" i="15"/>
  <c r="I276" i="24" s="1"/>
  <c r="P92" i="15"/>
  <c r="I277" i="24" s="1"/>
  <c r="P93" i="15"/>
  <c r="I278" i="24" s="1"/>
  <c r="P94" i="15"/>
  <c r="I279" i="24" s="1"/>
  <c r="P95" i="15"/>
  <c r="I280" i="24" s="1"/>
  <c r="P96" i="15"/>
  <c r="I281" i="24" s="1"/>
  <c r="P97" i="15"/>
  <c r="I282" i="24" s="1"/>
  <c r="P98" i="15"/>
  <c r="I283" i="24" s="1"/>
  <c r="P99" i="15"/>
  <c r="I284" i="24" s="1"/>
  <c r="P100" i="15"/>
  <c r="I285" i="24" s="1"/>
  <c r="P101" i="15"/>
  <c r="I286" i="24" s="1"/>
  <c r="P102" i="15"/>
  <c r="I287" i="24" s="1"/>
  <c r="P103" i="15"/>
  <c r="I288" i="24" s="1"/>
  <c r="P104" i="15"/>
  <c r="I289" i="24" s="1"/>
  <c r="P105" i="15"/>
  <c r="I290" i="24" s="1"/>
  <c r="P106" i="15"/>
  <c r="I291" i="24" s="1"/>
  <c r="P107" i="15"/>
  <c r="I292" i="24" s="1"/>
  <c r="P108" i="15"/>
  <c r="I293" i="24" s="1"/>
  <c r="P109" i="15"/>
  <c r="I294" i="24" s="1"/>
  <c r="P110" i="15"/>
  <c r="I295" i="24" s="1"/>
  <c r="P111" i="15"/>
  <c r="I296" i="24" s="1"/>
  <c r="P112" i="15"/>
  <c r="I297" i="24" s="1"/>
  <c r="P113" i="15"/>
  <c r="I298" i="24" s="1"/>
  <c r="P114" i="15"/>
  <c r="I299" i="24" s="1"/>
  <c r="P115" i="15"/>
  <c r="I300" i="24" s="1"/>
  <c r="P116" i="15"/>
  <c r="I301" i="24" s="1"/>
  <c r="P117" i="15"/>
  <c r="I302" i="24" s="1"/>
  <c r="P118" i="15"/>
  <c r="I303" i="24" s="1"/>
  <c r="P119" i="15"/>
  <c r="I304" i="24" s="1"/>
  <c r="P120" i="15"/>
  <c r="I305" i="24" s="1"/>
  <c r="P121" i="15"/>
  <c r="I306" i="24" s="1"/>
  <c r="P122" i="15"/>
  <c r="I307" i="24" s="1"/>
  <c r="P123" i="15"/>
  <c r="I308" i="24" s="1"/>
  <c r="P124" i="15"/>
  <c r="I309" i="24" s="1"/>
  <c r="P125" i="15"/>
  <c r="I310" i="24" s="1"/>
  <c r="P126" i="15"/>
  <c r="I311" i="24" s="1"/>
  <c r="P127" i="15"/>
  <c r="I312" i="24" s="1"/>
  <c r="P128" i="15"/>
  <c r="I313" i="24" s="1"/>
  <c r="P129" i="15"/>
  <c r="I314" i="24" s="1"/>
  <c r="P130" i="15"/>
  <c r="I315" i="24" s="1"/>
  <c r="P131" i="15"/>
  <c r="I316" i="24" s="1"/>
  <c r="P132" i="15"/>
  <c r="I317" i="24" s="1"/>
  <c r="P133" i="15"/>
  <c r="I318" i="24" s="1"/>
  <c r="P134" i="15"/>
  <c r="I319" i="24" s="1"/>
  <c r="P135" i="15"/>
  <c r="I320" i="24" s="1"/>
  <c r="P136" i="15"/>
  <c r="I321" i="24" s="1"/>
  <c r="P137" i="15"/>
  <c r="I322" i="24" s="1"/>
  <c r="P138" i="15"/>
  <c r="I323" i="24" s="1"/>
  <c r="P139" i="15"/>
  <c r="I324" i="24" s="1"/>
  <c r="P140" i="15"/>
  <c r="I325" i="24" s="1"/>
  <c r="P141" i="15"/>
  <c r="I326" i="24" s="1"/>
  <c r="P142" i="15"/>
  <c r="I327" i="24" s="1"/>
  <c r="P143" i="15"/>
  <c r="I328" i="24" s="1"/>
  <c r="P144" i="15"/>
  <c r="I329" i="24" s="1"/>
  <c r="P145" i="15"/>
  <c r="I330" i="24" s="1"/>
  <c r="P146" i="15"/>
  <c r="I331" i="24" s="1"/>
  <c r="P147" i="15"/>
  <c r="I332" i="24" s="1"/>
  <c r="P148" i="15"/>
  <c r="I333" i="24" s="1"/>
  <c r="P149" i="15"/>
  <c r="I334" i="24" s="1"/>
  <c r="P150" i="15"/>
  <c r="I335" i="24" s="1"/>
  <c r="P151" i="15"/>
  <c r="I336" i="24" s="1"/>
  <c r="P152" i="15"/>
  <c r="I337" i="24" s="1"/>
  <c r="P153" i="15"/>
  <c r="I338" i="24" s="1"/>
  <c r="P154" i="15"/>
  <c r="I339" i="24" s="1"/>
  <c r="P155" i="15"/>
  <c r="I340" i="24" s="1"/>
  <c r="P156" i="15"/>
  <c r="I341" i="24" s="1"/>
  <c r="P157" i="15"/>
  <c r="I342" i="24" s="1"/>
  <c r="P158" i="15"/>
  <c r="I343" i="24" s="1"/>
  <c r="P159" i="15"/>
  <c r="I344" i="24" s="1"/>
  <c r="P160" i="15"/>
  <c r="I345" i="24" s="1"/>
  <c r="P161" i="15"/>
  <c r="I346" i="24" s="1"/>
  <c r="P162" i="15"/>
  <c r="I347" i="24" s="1"/>
  <c r="P163" i="15"/>
  <c r="I348" i="24" s="1"/>
  <c r="P164" i="15"/>
  <c r="I349" i="24" s="1"/>
  <c r="P165" i="15"/>
  <c r="I350" i="24" s="1"/>
  <c r="P166" i="15"/>
  <c r="I351" i="24" s="1"/>
  <c r="P167" i="15"/>
  <c r="I352" i="24" s="1"/>
  <c r="P168" i="15"/>
  <c r="I353" i="24" s="1"/>
  <c r="P169" i="15"/>
  <c r="I354" i="24" s="1"/>
  <c r="P170" i="15"/>
  <c r="I355" i="24" s="1"/>
  <c r="P171" i="15"/>
  <c r="I356" i="24" s="1"/>
  <c r="P172" i="15"/>
  <c r="I357" i="24" s="1"/>
  <c r="P173" i="15"/>
  <c r="I358" i="24" s="1"/>
  <c r="P174" i="15"/>
  <c r="I359" i="24" s="1"/>
  <c r="P175" i="15"/>
  <c r="I360" i="24" s="1"/>
  <c r="P176" i="15"/>
  <c r="I361" i="24" s="1"/>
  <c r="P177" i="15"/>
  <c r="I362" i="24" s="1"/>
  <c r="P178" i="15"/>
  <c r="I363" i="24" s="1"/>
  <c r="P179" i="15"/>
  <c r="I364" i="24" s="1"/>
  <c r="P180" i="15"/>
  <c r="I365" i="24" s="1"/>
  <c r="P181" i="15"/>
  <c r="I366" i="24" s="1"/>
  <c r="P182" i="15"/>
  <c r="I367" i="24" s="1"/>
  <c r="O9" i="15"/>
  <c r="H194" i="24" s="1"/>
  <c r="O10" i="15"/>
  <c r="H195" i="24" s="1"/>
  <c r="O11" i="15"/>
  <c r="H196" i="24" s="1"/>
  <c r="O12" i="15"/>
  <c r="H197" i="24" s="1"/>
  <c r="O13" i="15"/>
  <c r="H198" i="24" s="1"/>
  <c r="O14" i="15"/>
  <c r="H199" i="24" s="1"/>
  <c r="O15" i="15"/>
  <c r="H200" i="24" s="1"/>
  <c r="O16" i="15"/>
  <c r="H201" i="24" s="1"/>
  <c r="O17" i="15"/>
  <c r="H202" i="24" s="1"/>
  <c r="O18" i="15"/>
  <c r="H203" i="24" s="1"/>
  <c r="O19" i="15"/>
  <c r="H204" i="24" s="1"/>
  <c r="O20" i="15"/>
  <c r="H205" i="24" s="1"/>
  <c r="O21" i="15"/>
  <c r="H206" i="24" s="1"/>
  <c r="O22" i="15"/>
  <c r="H207" i="24" s="1"/>
  <c r="O23" i="15"/>
  <c r="H208" i="24" s="1"/>
  <c r="O24" i="15"/>
  <c r="H209" i="24" s="1"/>
  <c r="O25" i="15"/>
  <c r="H210" i="24" s="1"/>
  <c r="O26" i="15"/>
  <c r="H211" i="24" s="1"/>
  <c r="O27" i="15"/>
  <c r="H212" i="24" s="1"/>
  <c r="O28" i="15"/>
  <c r="H213" i="24" s="1"/>
  <c r="O29" i="15"/>
  <c r="H214" i="24" s="1"/>
  <c r="O30" i="15"/>
  <c r="H215" i="24" s="1"/>
  <c r="O31" i="15"/>
  <c r="H216" i="24" s="1"/>
  <c r="O32" i="15"/>
  <c r="H217" i="24" s="1"/>
  <c r="O33" i="15"/>
  <c r="H218" i="24" s="1"/>
  <c r="O34" i="15"/>
  <c r="H219" i="24" s="1"/>
  <c r="O35" i="15"/>
  <c r="H220" i="24" s="1"/>
  <c r="O36" i="15"/>
  <c r="H221" i="24" s="1"/>
  <c r="O37" i="15"/>
  <c r="H222" i="24" s="1"/>
  <c r="O38" i="15"/>
  <c r="H223" i="24" s="1"/>
  <c r="O39" i="15"/>
  <c r="H224" i="24" s="1"/>
  <c r="O40" i="15"/>
  <c r="H225" i="24" s="1"/>
  <c r="O41" i="15"/>
  <c r="H226" i="24" s="1"/>
  <c r="O42" i="15"/>
  <c r="H227" i="24" s="1"/>
  <c r="O43" i="15"/>
  <c r="H228" i="24" s="1"/>
  <c r="O44" i="15"/>
  <c r="H229" i="24" s="1"/>
  <c r="O45" i="15"/>
  <c r="H230" i="24" s="1"/>
  <c r="O46" i="15"/>
  <c r="H231" i="24" s="1"/>
  <c r="O47" i="15"/>
  <c r="H232" i="24" s="1"/>
  <c r="O48" i="15"/>
  <c r="H233" i="24" s="1"/>
  <c r="O49" i="15"/>
  <c r="H234" i="24" s="1"/>
  <c r="O50" i="15"/>
  <c r="H235" i="24" s="1"/>
  <c r="O51" i="15"/>
  <c r="H236" i="24" s="1"/>
  <c r="O52" i="15"/>
  <c r="H237" i="24" s="1"/>
  <c r="O53" i="15"/>
  <c r="H238" i="24" s="1"/>
  <c r="O54" i="15"/>
  <c r="H239" i="24" s="1"/>
  <c r="O55" i="15"/>
  <c r="H240" i="24" s="1"/>
  <c r="O56" i="15"/>
  <c r="H241" i="24" s="1"/>
  <c r="O57" i="15"/>
  <c r="H242" i="24" s="1"/>
  <c r="O58" i="15"/>
  <c r="H243" i="24" s="1"/>
  <c r="O59" i="15"/>
  <c r="H244" i="24" s="1"/>
  <c r="O60" i="15"/>
  <c r="H245" i="24" s="1"/>
  <c r="O61" i="15"/>
  <c r="H246" i="24" s="1"/>
  <c r="O62" i="15"/>
  <c r="H247" i="24" s="1"/>
  <c r="O63" i="15"/>
  <c r="H248" i="24" s="1"/>
  <c r="O64" i="15"/>
  <c r="H249" i="24" s="1"/>
  <c r="O65" i="15"/>
  <c r="H250" i="24" s="1"/>
  <c r="O66" i="15"/>
  <c r="H251" i="24" s="1"/>
  <c r="O67" i="15"/>
  <c r="H252" i="24" s="1"/>
  <c r="O68" i="15"/>
  <c r="H253" i="24" s="1"/>
  <c r="O69" i="15"/>
  <c r="H254" i="24" s="1"/>
  <c r="O70" i="15"/>
  <c r="H255" i="24" s="1"/>
  <c r="O71" i="15"/>
  <c r="H256" i="24" s="1"/>
  <c r="O72" i="15"/>
  <c r="H257" i="24" s="1"/>
  <c r="O73" i="15"/>
  <c r="H258" i="24" s="1"/>
  <c r="O74" i="15"/>
  <c r="H259" i="24" s="1"/>
  <c r="O75" i="15"/>
  <c r="H260" i="24" s="1"/>
  <c r="O76" i="15"/>
  <c r="H261" i="24" s="1"/>
  <c r="O77" i="15"/>
  <c r="H262" i="24" s="1"/>
  <c r="O78" i="15"/>
  <c r="H263" i="24" s="1"/>
  <c r="O79" i="15"/>
  <c r="H264" i="24" s="1"/>
  <c r="O80" i="15"/>
  <c r="H265" i="24" s="1"/>
  <c r="O81" i="15"/>
  <c r="H266" i="24" s="1"/>
  <c r="O82" i="15"/>
  <c r="H267" i="24" s="1"/>
  <c r="O83" i="15"/>
  <c r="H268" i="24" s="1"/>
  <c r="O84" i="15"/>
  <c r="H269" i="24" s="1"/>
  <c r="O85" i="15"/>
  <c r="H270" i="24" s="1"/>
  <c r="O86" i="15"/>
  <c r="H271" i="24" s="1"/>
  <c r="O87" i="15"/>
  <c r="H272" i="24" s="1"/>
  <c r="O88" i="15"/>
  <c r="H273" i="24" s="1"/>
  <c r="O89" i="15"/>
  <c r="H274" i="24" s="1"/>
  <c r="O90" i="15"/>
  <c r="H275" i="24" s="1"/>
  <c r="O91" i="15"/>
  <c r="H276" i="24" s="1"/>
  <c r="O92" i="15"/>
  <c r="H277" i="24" s="1"/>
  <c r="O93" i="15"/>
  <c r="H278" i="24" s="1"/>
  <c r="O94" i="15"/>
  <c r="H279" i="24" s="1"/>
  <c r="O95" i="15"/>
  <c r="H280" i="24" s="1"/>
  <c r="O96" i="15"/>
  <c r="H281" i="24" s="1"/>
  <c r="O97" i="15"/>
  <c r="H282" i="24" s="1"/>
  <c r="O98" i="15"/>
  <c r="H283" i="24" s="1"/>
  <c r="O99" i="15"/>
  <c r="H284" i="24" s="1"/>
  <c r="O100" i="15"/>
  <c r="H285" i="24" s="1"/>
  <c r="O101" i="15"/>
  <c r="H286" i="24" s="1"/>
  <c r="O102" i="15"/>
  <c r="H287" i="24" s="1"/>
  <c r="O103" i="15"/>
  <c r="H288" i="24" s="1"/>
  <c r="O104" i="15"/>
  <c r="H289" i="24" s="1"/>
  <c r="O105" i="15"/>
  <c r="H290" i="24" s="1"/>
  <c r="O106" i="15"/>
  <c r="H291" i="24" s="1"/>
  <c r="O107" i="15"/>
  <c r="H292" i="24" s="1"/>
  <c r="O108" i="15"/>
  <c r="H293" i="24" s="1"/>
  <c r="O109" i="15"/>
  <c r="H294" i="24" s="1"/>
  <c r="O110" i="15"/>
  <c r="H295" i="24" s="1"/>
  <c r="O111" i="15"/>
  <c r="H296" i="24" s="1"/>
  <c r="O112" i="15"/>
  <c r="H297" i="24" s="1"/>
  <c r="O113" i="15"/>
  <c r="H298" i="24" s="1"/>
  <c r="O114" i="15"/>
  <c r="H299" i="24" s="1"/>
  <c r="O115" i="15"/>
  <c r="H300" i="24" s="1"/>
  <c r="O116" i="15"/>
  <c r="H301" i="24" s="1"/>
  <c r="O117" i="15"/>
  <c r="H302" i="24" s="1"/>
  <c r="O118" i="15"/>
  <c r="H303" i="24" s="1"/>
  <c r="O119" i="15"/>
  <c r="H304" i="24" s="1"/>
  <c r="O120" i="15"/>
  <c r="H305" i="24" s="1"/>
  <c r="O121" i="15"/>
  <c r="H306" i="24" s="1"/>
  <c r="O122" i="15"/>
  <c r="H307" i="24" s="1"/>
  <c r="O123" i="15"/>
  <c r="H308" i="24" s="1"/>
  <c r="O124" i="15"/>
  <c r="H309" i="24" s="1"/>
  <c r="O125" i="15"/>
  <c r="H310" i="24" s="1"/>
  <c r="O126" i="15"/>
  <c r="H311" i="24" s="1"/>
  <c r="O127" i="15"/>
  <c r="H312" i="24" s="1"/>
  <c r="O128" i="15"/>
  <c r="H313" i="24" s="1"/>
  <c r="O129" i="15"/>
  <c r="H314" i="24" s="1"/>
  <c r="O130" i="15"/>
  <c r="H315" i="24" s="1"/>
  <c r="O131" i="15"/>
  <c r="H316" i="24" s="1"/>
  <c r="O132" i="15"/>
  <c r="H317" i="24" s="1"/>
  <c r="O133" i="15"/>
  <c r="H318" i="24" s="1"/>
  <c r="O134" i="15"/>
  <c r="H319" i="24" s="1"/>
  <c r="O135" i="15"/>
  <c r="H320" i="24" s="1"/>
  <c r="O136" i="15"/>
  <c r="H321" i="24" s="1"/>
  <c r="O137" i="15"/>
  <c r="H322" i="24" s="1"/>
  <c r="O138" i="15"/>
  <c r="H323" i="24" s="1"/>
  <c r="O139" i="15"/>
  <c r="H324" i="24" s="1"/>
  <c r="O140" i="15"/>
  <c r="H325" i="24" s="1"/>
  <c r="O141" i="15"/>
  <c r="H326" i="24" s="1"/>
  <c r="O142" i="15"/>
  <c r="H327" i="24" s="1"/>
  <c r="O143" i="15"/>
  <c r="H328" i="24" s="1"/>
  <c r="O144" i="15"/>
  <c r="H329" i="24" s="1"/>
  <c r="O145" i="15"/>
  <c r="H330" i="24" s="1"/>
  <c r="O146" i="15"/>
  <c r="H331" i="24" s="1"/>
  <c r="O147" i="15"/>
  <c r="H332" i="24" s="1"/>
  <c r="O148" i="15"/>
  <c r="H333" i="24" s="1"/>
  <c r="O149" i="15"/>
  <c r="H334" i="24" s="1"/>
  <c r="O150" i="15"/>
  <c r="H335" i="24" s="1"/>
  <c r="O151" i="15"/>
  <c r="H336" i="24" s="1"/>
  <c r="O152" i="15"/>
  <c r="H337" i="24" s="1"/>
  <c r="O153" i="15"/>
  <c r="H338" i="24" s="1"/>
  <c r="O154" i="15"/>
  <c r="H339" i="24" s="1"/>
  <c r="O155" i="15"/>
  <c r="H340" i="24" s="1"/>
  <c r="O156" i="15"/>
  <c r="H341" i="24" s="1"/>
  <c r="O157" i="15"/>
  <c r="H342" i="24" s="1"/>
  <c r="O158" i="15"/>
  <c r="H343" i="24" s="1"/>
  <c r="O159" i="15"/>
  <c r="H344" i="24" s="1"/>
  <c r="O160" i="15"/>
  <c r="H345" i="24" s="1"/>
  <c r="O161" i="15"/>
  <c r="H346" i="24" s="1"/>
  <c r="O162" i="15"/>
  <c r="H347" i="24" s="1"/>
  <c r="O163" i="15"/>
  <c r="H348" i="24" s="1"/>
  <c r="O164" i="15"/>
  <c r="H349" i="24" s="1"/>
  <c r="O165" i="15"/>
  <c r="H350" i="24" s="1"/>
  <c r="O166" i="15"/>
  <c r="H351" i="24" s="1"/>
  <c r="O167" i="15"/>
  <c r="H352" i="24" s="1"/>
  <c r="O168" i="15"/>
  <c r="H353" i="24" s="1"/>
  <c r="O169" i="15"/>
  <c r="H354" i="24" s="1"/>
  <c r="O170" i="15"/>
  <c r="H355" i="24" s="1"/>
  <c r="O171" i="15"/>
  <c r="H356" i="24" s="1"/>
  <c r="O172" i="15"/>
  <c r="H357" i="24" s="1"/>
  <c r="O173" i="15"/>
  <c r="H358" i="24" s="1"/>
  <c r="O174" i="15"/>
  <c r="H359" i="24" s="1"/>
  <c r="O175" i="15"/>
  <c r="H360" i="24" s="1"/>
  <c r="O176" i="15"/>
  <c r="H361" i="24" s="1"/>
  <c r="O177" i="15"/>
  <c r="H362" i="24" s="1"/>
  <c r="O178" i="15"/>
  <c r="H363" i="24" s="1"/>
  <c r="O179" i="15"/>
  <c r="H364" i="24" s="1"/>
  <c r="O180" i="15"/>
  <c r="H365" i="24" s="1"/>
  <c r="O181" i="15"/>
  <c r="H366" i="24" s="1"/>
  <c r="O182" i="15"/>
  <c r="H367" i="24" s="1"/>
  <c r="N9" i="15"/>
  <c r="G194" i="24" s="1"/>
  <c r="N10" i="15"/>
  <c r="G195" i="24" s="1"/>
  <c r="N11" i="15"/>
  <c r="G196" i="24" s="1"/>
  <c r="N12" i="15"/>
  <c r="G197" i="24" s="1"/>
  <c r="N13" i="15"/>
  <c r="G198" i="24" s="1"/>
  <c r="N14" i="15"/>
  <c r="G199" i="24" s="1"/>
  <c r="N15" i="15"/>
  <c r="G200" i="24" s="1"/>
  <c r="N16" i="15"/>
  <c r="G201" i="24" s="1"/>
  <c r="N17" i="15"/>
  <c r="G202" i="24" s="1"/>
  <c r="N18" i="15"/>
  <c r="G203" i="24" s="1"/>
  <c r="N19" i="15"/>
  <c r="G204" i="24" s="1"/>
  <c r="N20" i="15"/>
  <c r="G205" i="24" s="1"/>
  <c r="N21" i="15"/>
  <c r="G206" i="24" s="1"/>
  <c r="N22" i="15"/>
  <c r="G207" i="24" s="1"/>
  <c r="N23" i="15"/>
  <c r="G208" i="24" s="1"/>
  <c r="N24" i="15"/>
  <c r="G209" i="24" s="1"/>
  <c r="N25" i="15"/>
  <c r="G210" i="24" s="1"/>
  <c r="N26" i="15"/>
  <c r="G211" i="24" s="1"/>
  <c r="N27" i="15"/>
  <c r="G212" i="24" s="1"/>
  <c r="N28" i="15"/>
  <c r="G213" i="24" s="1"/>
  <c r="N29" i="15"/>
  <c r="G214" i="24" s="1"/>
  <c r="N30" i="15"/>
  <c r="G215" i="24" s="1"/>
  <c r="N31" i="15"/>
  <c r="G216" i="24" s="1"/>
  <c r="N32" i="15"/>
  <c r="G217" i="24" s="1"/>
  <c r="N33" i="15"/>
  <c r="G218" i="24" s="1"/>
  <c r="N34" i="15"/>
  <c r="G219" i="24" s="1"/>
  <c r="N35" i="15"/>
  <c r="G220" i="24" s="1"/>
  <c r="N36" i="15"/>
  <c r="G221" i="24" s="1"/>
  <c r="N37" i="15"/>
  <c r="G222" i="24" s="1"/>
  <c r="N38" i="15"/>
  <c r="G223" i="24" s="1"/>
  <c r="N39" i="15"/>
  <c r="G224" i="24" s="1"/>
  <c r="N40" i="15"/>
  <c r="G225" i="24" s="1"/>
  <c r="N41" i="15"/>
  <c r="G226" i="24" s="1"/>
  <c r="N42" i="15"/>
  <c r="G227" i="24" s="1"/>
  <c r="N43" i="15"/>
  <c r="G228" i="24" s="1"/>
  <c r="N44" i="15"/>
  <c r="G229" i="24" s="1"/>
  <c r="N45" i="15"/>
  <c r="G230" i="24" s="1"/>
  <c r="N46" i="15"/>
  <c r="G231" i="24" s="1"/>
  <c r="N47" i="15"/>
  <c r="G232" i="24" s="1"/>
  <c r="N48" i="15"/>
  <c r="G233" i="24" s="1"/>
  <c r="N49" i="15"/>
  <c r="G234" i="24" s="1"/>
  <c r="N50" i="15"/>
  <c r="G235" i="24" s="1"/>
  <c r="N51" i="15"/>
  <c r="G236" i="24" s="1"/>
  <c r="N52" i="15"/>
  <c r="G237" i="24" s="1"/>
  <c r="N53" i="15"/>
  <c r="G238" i="24" s="1"/>
  <c r="N54" i="15"/>
  <c r="G239" i="24" s="1"/>
  <c r="N55" i="15"/>
  <c r="G240" i="24" s="1"/>
  <c r="N56" i="15"/>
  <c r="G241" i="24" s="1"/>
  <c r="N57" i="15"/>
  <c r="G242" i="24" s="1"/>
  <c r="N58" i="15"/>
  <c r="G243" i="24" s="1"/>
  <c r="N59" i="15"/>
  <c r="G244" i="24" s="1"/>
  <c r="N60" i="15"/>
  <c r="G245" i="24" s="1"/>
  <c r="N61" i="15"/>
  <c r="G246" i="24" s="1"/>
  <c r="N62" i="15"/>
  <c r="G247" i="24" s="1"/>
  <c r="N63" i="15"/>
  <c r="G248" i="24" s="1"/>
  <c r="N64" i="15"/>
  <c r="G249" i="24" s="1"/>
  <c r="N65" i="15"/>
  <c r="G250" i="24" s="1"/>
  <c r="N66" i="15"/>
  <c r="G251" i="24" s="1"/>
  <c r="N67" i="15"/>
  <c r="G252" i="24" s="1"/>
  <c r="N68" i="15"/>
  <c r="G253" i="24" s="1"/>
  <c r="N69" i="15"/>
  <c r="G254" i="24" s="1"/>
  <c r="N70" i="15"/>
  <c r="G255" i="24" s="1"/>
  <c r="N71" i="15"/>
  <c r="G256" i="24" s="1"/>
  <c r="N72" i="15"/>
  <c r="G257" i="24" s="1"/>
  <c r="N73" i="15"/>
  <c r="G258" i="24" s="1"/>
  <c r="N74" i="15"/>
  <c r="G259" i="24" s="1"/>
  <c r="N75" i="15"/>
  <c r="G260" i="24" s="1"/>
  <c r="N76" i="15"/>
  <c r="G261" i="24" s="1"/>
  <c r="N77" i="15"/>
  <c r="G262" i="24" s="1"/>
  <c r="N78" i="15"/>
  <c r="G263" i="24" s="1"/>
  <c r="N79" i="15"/>
  <c r="G264" i="24" s="1"/>
  <c r="N80" i="15"/>
  <c r="G265" i="24" s="1"/>
  <c r="N81" i="15"/>
  <c r="G266" i="24" s="1"/>
  <c r="N82" i="15"/>
  <c r="G267" i="24" s="1"/>
  <c r="N83" i="15"/>
  <c r="G268" i="24" s="1"/>
  <c r="N84" i="15"/>
  <c r="G269" i="24" s="1"/>
  <c r="N85" i="15"/>
  <c r="G270" i="24" s="1"/>
  <c r="N86" i="15"/>
  <c r="G271" i="24" s="1"/>
  <c r="N87" i="15"/>
  <c r="G272" i="24" s="1"/>
  <c r="N88" i="15"/>
  <c r="G273" i="24" s="1"/>
  <c r="N89" i="15"/>
  <c r="G274" i="24" s="1"/>
  <c r="N90" i="15"/>
  <c r="G275" i="24" s="1"/>
  <c r="N91" i="15"/>
  <c r="G276" i="24" s="1"/>
  <c r="N92" i="15"/>
  <c r="G277" i="24" s="1"/>
  <c r="N93" i="15"/>
  <c r="G278" i="24" s="1"/>
  <c r="N94" i="15"/>
  <c r="G279" i="24" s="1"/>
  <c r="N95" i="15"/>
  <c r="G280" i="24" s="1"/>
  <c r="N96" i="15"/>
  <c r="G281" i="24" s="1"/>
  <c r="N97" i="15"/>
  <c r="G282" i="24" s="1"/>
  <c r="N98" i="15"/>
  <c r="G283" i="24" s="1"/>
  <c r="N99" i="15"/>
  <c r="G284" i="24" s="1"/>
  <c r="N100" i="15"/>
  <c r="G285" i="24" s="1"/>
  <c r="N101" i="15"/>
  <c r="G286" i="24" s="1"/>
  <c r="N102" i="15"/>
  <c r="G287" i="24" s="1"/>
  <c r="N103" i="15"/>
  <c r="G288" i="24" s="1"/>
  <c r="N104" i="15"/>
  <c r="G289" i="24" s="1"/>
  <c r="N105" i="15"/>
  <c r="G290" i="24" s="1"/>
  <c r="N106" i="15"/>
  <c r="G291" i="24" s="1"/>
  <c r="N107" i="15"/>
  <c r="G292" i="24" s="1"/>
  <c r="N108" i="15"/>
  <c r="G293" i="24" s="1"/>
  <c r="N109" i="15"/>
  <c r="G294" i="24" s="1"/>
  <c r="N110" i="15"/>
  <c r="G295" i="24" s="1"/>
  <c r="N111" i="15"/>
  <c r="G296" i="24" s="1"/>
  <c r="N112" i="15"/>
  <c r="G297" i="24" s="1"/>
  <c r="N113" i="15"/>
  <c r="G298" i="24" s="1"/>
  <c r="N114" i="15"/>
  <c r="G299" i="24" s="1"/>
  <c r="N115" i="15"/>
  <c r="G300" i="24" s="1"/>
  <c r="N116" i="15"/>
  <c r="G301" i="24" s="1"/>
  <c r="N117" i="15"/>
  <c r="G302" i="24" s="1"/>
  <c r="N118" i="15"/>
  <c r="G303" i="24" s="1"/>
  <c r="N119" i="15"/>
  <c r="G304" i="24" s="1"/>
  <c r="N120" i="15"/>
  <c r="G305" i="24" s="1"/>
  <c r="N121" i="15"/>
  <c r="G306" i="24" s="1"/>
  <c r="N122" i="15"/>
  <c r="G307" i="24" s="1"/>
  <c r="N123" i="15"/>
  <c r="G308" i="24" s="1"/>
  <c r="N124" i="15"/>
  <c r="G309" i="24" s="1"/>
  <c r="N125" i="15"/>
  <c r="G310" i="24" s="1"/>
  <c r="N126" i="15"/>
  <c r="G311" i="24" s="1"/>
  <c r="N127" i="15"/>
  <c r="G312" i="24" s="1"/>
  <c r="N128" i="15"/>
  <c r="G313" i="24" s="1"/>
  <c r="N129" i="15"/>
  <c r="G314" i="24" s="1"/>
  <c r="N130" i="15"/>
  <c r="G315" i="24" s="1"/>
  <c r="N131" i="15"/>
  <c r="G316" i="24" s="1"/>
  <c r="N132" i="15"/>
  <c r="G317" i="24" s="1"/>
  <c r="N133" i="15"/>
  <c r="G318" i="24" s="1"/>
  <c r="N134" i="15"/>
  <c r="G319" i="24" s="1"/>
  <c r="N135" i="15"/>
  <c r="G320" i="24" s="1"/>
  <c r="N136" i="15"/>
  <c r="G321" i="24" s="1"/>
  <c r="N137" i="15"/>
  <c r="G322" i="24" s="1"/>
  <c r="N138" i="15"/>
  <c r="G323" i="24" s="1"/>
  <c r="N139" i="15"/>
  <c r="G324" i="24" s="1"/>
  <c r="N140" i="15"/>
  <c r="G325" i="24" s="1"/>
  <c r="N141" i="15"/>
  <c r="G326" i="24" s="1"/>
  <c r="N142" i="15"/>
  <c r="G327" i="24" s="1"/>
  <c r="N143" i="15"/>
  <c r="G328" i="24" s="1"/>
  <c r="N144" i="15"/>
  <c r="G329" i="24" s="1"/>
  <c r="N145" i="15"/>
  <c r="G330" i="24" s="1"/>
  <c r="N146" i="15"/>
  <c r="G331" i="24" s="1"/>
  <c r="N147" i="15"/>
  <c r="G332" i="24" s="1"/>
  <c r="N148" i="15"/>
  <c r="G333" i="24" s="1"/>
  <c r="N149" i="15"/>
  <c r="G334" i="24" s="1"/>
  <c r="N150" i="15"/>
  <c r="G335" i="24" s="1"/>
  <c r="N151" i="15"/>
  <c r="G336" i="24" s="1"/>
  <c r="N152" i="15"/>
  <c r="G337" i="24" s="1"/>
  <c r="N153" i="15"/>
  <c r="G338" i="24" s="1"/>
  <c r="N154" i="15"/>
  <c r="G339" i="24" s="1"/>
  <c r="N155" i="15"/>
  <c r="G340" i="24" s="1"/>
  <c r="N156" i="15"/>
  <c r="G341" i="24" s="1"/>
  <c r="N157" i="15"/>
  <c r="G342" i="24" s="1"/>
  <c r="N158" i="15"/>
  <c r="G343" i="24" s="1"/>
  <c r="N159" i="15"/>
  <c r="G344" i="24" s="1"/>
  <c r="N160" i="15"/>
  <c r="G345" i="24" s="1"/>
  <c r="N161" i="15"/>
  <c r="G346" i="24" s="1"/>
  <c r="N162" i="15"/>
  <c r="G347" i="24" s="1"/>
  <c r="N163" i="15"/>
  <c r="G348" i="24" s="1"/>
  <c r="N164" i="15"/>
  <c r="G349" i="24" s="1"/>
  <c r="N165" i="15"/>
  <c r="G350" i="24" s="1"/>
  <c r="N166" i="15"/>
  <c r="G351" i="24" s="1"/>
  <c r="N167" i="15"/>
  <c r="G352" i="24" s="1"/>
  <c r="N168" i="15"/>
  <c r="G353" i="24" s="1"/>
  <c r="N169" i="15"/>
  <c r="G354" i="24" s="1"/>
  <c r="N170" i="15"/>
  <c r="G355" i="24" s="1"/>
  <c r="N171" i="15"/>
  <c r="G356" i="24" s="1"/>
  <c r="N172" i="15"/>
  <c r="G357" i="24" s="1"/>
  <c r="N173" i="15"/>
  <c r="G358" i="24" s="1"/>
  <c r="N174" i="15"/>
  <c r="G359" i="24" s="1"/>
  <c r="N175" i="15"/>
  <c r="G360" i="24" s="1"/>
  <c r="N176" i="15"/>
  <c r="G361" i="24" s="1"/>
  <c r="N177" i="15"/>
  <c r="G362" i="24" s="1"/>
  <c r="N178" i="15"/>
  <c r="G363" i="24" s="1"/>
  <c r="N179" i="15"/>
  <c r="G364" i="24" s="1"/>
  <c r="N180" i="15"/>
  <c r="G365" i="24" s="1"/>
  <c r="N181" i="15"/>
  <c r="G366" i="24" s="1"/>
  <c r="N182" i="15"/>
  <c r="G367" i="24" s="1"/>
  <c r="Q9" i="16"/>
  <c r="J368" i="24" s="1"/>
  <c r="Q10" i="16"/>
  <c r="J369" i="24" s="1"/>
  <c r="Q11" i="16"/>
  <c r="J370" i="24" s="1"/>
  <c r="Q12" i="16"/>
  <c r="J371" i="24" s="1"/>
  <c r="Q13" i="16"/>
  <c r="J372" i="24" s="1"/>
  <c r="Q14" i="16"/>
  <c r="J373" i="24" s="1"/>
  <c r="Q15" i="16"/>
  <c r="J374" i="24" s="1"/>
  <c r="Q16" i="16"/>
  <c r="J375" i="24" s="1"/>
  <c r="Q17" i="16"/>
  <c r="J376" i="24" s="1"/>
  <c r="Q18" i="16"/>
  <c r="J377" i="24" s="1"/>
  <c r="Q19" i="16"/>
  <c r="J378" i="24" s="1"/>
  <c r="Q20" i="16"/>
  <c r="J379" i="24" s="1"/>
  <c r="Q21" i="16"/>
  <c r="J380" i="24" s="1"/>
  <c r="Q22" i="16"/>
  <c r="J381" i="24" s="1"/>
  <c r="Q23" i="16"/>
  <c r="J382" i="24" s="1"/>
  <c r="Q24" i="16"/>
  <c r="J383" i="24" s="1"/>
  <c r="Q25" i="16"/>
  <c r="J384" i="24" s="1"/>
  <c r="Q26" i="16"/>
  <c r="J385" i="24" s="1"/>
  <c r="Q27" i="16"/>
  <c r="J386" i="24" s="1"/>
  <c r="Q28" i="16"/>
  <c r="J387" i="24" s="1"/>
  <c r="Q29" i="16"/>
  <c r="J388" i="24" s="1"/>
  <c r="Q30" i="16"/>
  <c r="J389" i="24" s="1"/>
  <c r="Q31" i="16"/>
  <c r="J390" i="24" s="1"/>
  <c r="Q32" i="16"/>
  <c r="J391" i="24" s="1"/>
  <c r="Q33" i="16"/>
  <c r="J392" i="24" s="1"/>
  <c r="Q34" i="16"/>
  <c r="J393" i="24" s="1"/>
  <c r="Q35" i="16"/>
  <c r="J394" i="24" s="1"/>
  <c r="Q36" i="16"/>
  <c r="J395" i="24" s="1"/>
  <c r="Q37" i="16"/>
  <c r="J396" i="24" s="1"/>
  <c r="Q38" i="16"/>
  <c r="J397" i="24" s="1"/>
  <c r="Q39" i="16"/>
  <c r="J398" i="24" s="1"/>
  <c r="Q40" i="16"/>
  <c r="J399" i="24" s="1"/>
  <c r="Q41" i="16"/>
  <c r="J400" i="24" s="1"/>
  <c r="Q42" i="16"/>
  <c r="J401" i="24" s="1"/>
  <c r="Q43" i="16"/>
  <c r="J402" i="24" s="1"/>
  <c r="Q44" i="16"/>
  <c r="J403" i="24" s="1"/>
  <c r="Q45" i="16"/>
  <c r="J404" i="24" s="1"/>
  <c r="Q46" i="16"/>
  <c r="J405" i="24" s="1"/>
  <c r="Q47" i="16"/>
  <c r="J406" i="24" s="1"/>
  <c r="Q48" i="16"/>
  <c r="J407" i="24" s="1"/>
  <c r="Q49" i="16"/>
  <c r="J408" i="24" s="1"/>
  <c r="Q50" i="16"/>
  <c r="J409" i="24" s="1"/>
  <c r="Q51" i="16"/>
  <c r="J410" i="24" s="1"/>
  <c r="Q52" i="16"/>
  <c r="J411" i="24" s="1"/>
  <c r="Q53" i="16"/>
  <c r="J412" i="24" s="1"/>
  <c r="Q54" i="16"/>
  <c r="J413" i="24" s="1"/>
  <c r="Q55" i="16"/>
  <c r="J414" i="24" s="1"/>
  <c r="Q56" i="16"/>
  <c r="J415" i="24" s="1"/>
  <c r="Q57" i="16"/>
  <c r="J416" i="24" s="1"/>
  <c r="Q58" i="16"/>
  <c r="J417" i="24" s="1"/>
  <c r="Q59" i="16"/>
  <c r="J418" i="24" s="1"/>
  <c r="P9" i="16"/>
  <c r="I368" i="24" s="1"/>
  <c r="P10" i="16"/>
  <c r="I369" i="24" s="1"/>
  <c r="P11" i="16"/>
  <c r="I370" i="24" s="1"/>
  <c r="P12" i="16"/>
  <c r="I371" i="24" s="1"/>
  <c r="P13" i="16"/>
  <c r="I372" i="24" s="1"/>
  <c r="P14" i="16"/>
  <c r="I373" i="24" s="1"/>
  <c r="P15" i="16"/>
  <c r="I374" i="24" s="1"/>
  <c r="P16" i="16"/>
  <c r="I375" i="24" s="1"/>
  <c r="P17" i="16"/>
  <c r="I376" i="24" s="1"/>
  <c r="P18" i="16"/>
  <c r="I377" i="24" s="1"/>
  <c r="P19" i="16"/>
  <c r="I378" i="24" s="1"/>
  <c r="P20" i="16"/>
  <c r="I379" i="24" s="1"/>
  <c r="P21" i="16"/>
  <c r="I380" i="24" s="1"/>
  <c r="P22" i="16"/>
  <c r="I381" i="24" s="1"/>
  <c r="P23" i="16"/>
  <c r="I382" i="24" s="1"/>
  <c r="P24" i="16"/>
  <c r="I383" i="24" s="1"/>
  <c r="P25" i="16"/>
  <c r="I384" i="24" s="1"/>
  <c r="P26" i="16"/>
  <c r="I385" i="24" s="1"/>
  <c r="P27" i="16"/>
  <c r="I386" i="24" s="1"/>
  <c r="P28" i="16"/>
  <c r="I387" i="24" s="1"/>
  <c r="P29" i="16"/>
  <c r="I388" i="24" s="1"/>
  <c r="P30" i="16"/>
  <c r="I389" i="24" s="1"/>
  <c r="P31" i="16"/>
  <c r="I390" i="24" s="1"/>
  <c r="P32" i="16"/>
  <c r="I391" i="24" s="1"/>
  <c r="P33" i="16"/>
  <c r="I392" i="24" s="1"/>
  <c r="P34" i="16"/>
  <c r="I393" i="24" s="1"/>
  <c r="P35" i="16"/>
  <c r="I394" i="24" s="1"/>
  <c r="P36" i="16"/>
  <c r="I395" i="24" s="1"/>
  <c r="P37" i="16"/>
  <c r="I396" i="24" s="1"/>
  <c r="P38" i="16"/>
  <c r="I397" i="24" s="1"/>
  <c r="P39" i="16"/>
  <c r="I398" i="24" s="1"/>
  <c r="P40" i="16"/>
  <c r="I399" i="24" s="1"/>
  <c r="P41" i="16"/>
  <c r="I400" i="24" s="1"/>
  <c r="P42" i="16"/>
  <c r="I401" i="24" s="1"/>
  <c r="P43" i="16"/>
  <c r="I402" i="24" s="1"/>
  <c r="P44" i="16"/>
  <c r="I403" i="24" s="1"/>
  <c r="P45" i="16"/>
  <c r="I404" i="24" s="1"/>
  <c r="P46" i="16"/>
  <c r="I405" i="24" s="1"/>
  <c r="P47" i="16"/>
  <c r="I406" i="24" s="1"/>
  <c r="P48" i="16"/>
  <c r="I407" i="24" s="1"/>
  <c r="P49" i="16"/>
  <c r="I408" i="24" s="1"/>
  <c r="P50" i="16"/>
  <c r="I409" i="24" s="1"/>
  <c r="P51" i="16"/>
  <c r="I410" i="24" s="1"/>
  <c r="P52" i="16"/>
  <c r="I411" i="24" s="1"/>
  <c r="P53" i="16"/>
  <c r="I412" i="24" s="1"/>
  <c r="P54" i="16"/>
  <c r="I413" i="24" s="1"/>
  <c r="P55" i="16"/>
  <c r="I414" i="24" s="1"/>
  <c r="P56" i="16"/>
  <c r="I415" i="24" s="1"/>
  <c r="P57" i="16"/>
  <c r="I416" i="24" s="1"/>
  <c r="P58" i="16"/>
  <c r="I417" i="24" s="1"/>
  <c r="P59" i="16"/>
  <c r="I418" i="24" s="1"/>
  <c r="O9" i="16"/>
  <c r="H368" i="24" s="1"/>
  <c r="O10" i="16"/>
  <c r="H369" i="24" s="1"/>
  <c r="O11" i="16"/>
  <c r="H370" i="24" s="1"/>
  <c r="O12" i="16"/>
  <c r="H371" i="24" s="1"/>
  <c r="O13" i="16"/>
  <c r="H372" i="24" s="1"/>
  <c r="O14" i="16"/>
  <c r="H373" i="24" s="1"/>
  <c r="O15" i="16"/>
  <c r="H374" i="24" s="1"/>
  <c r="O16" i="16"/>
  <c r="H375" i="24" s="1"/>
  <c r="O17" i="16"/>
  <c r="H376" i="24" s="1"/>
  <c r="O18" i="16"/>
  <c r="H377" i="24" s="1"/>
  <c r="O19" i="16"/>
  <c r="H378" i="24" s="1"/>
  <c r="O20" i="16"/>
  <c r="H379" i="24" s="1"/>
  <c r="O21" i="16"/>
  <c r="H380" i="24" s="1"/>
  <c r="O22" i="16"/>
  <c r="H381" i="24" s="1"/>
  <c r="O23" i="16"/>
  <c r="H382" i="24" s="1"/>
  <c r="O24" i="16"/>
  <c r="H383" i="24" s="1"/>
  <c r="O25" i="16"/>
  <c r="H384" i="24" s="1"/>
  <c r="O26" i="16"/>
  <c r="H385" i="24" s="1"/>
  <c r="O27" i="16"/>
  <c r="H386" i="24" s="1"/>
  <c r="O28" i="16"/>
  <c r="H387" i="24" s="1"/>
  <c r="O29" i="16"/>
  <c r="H388" i="24" s="1"/>
  <c r="O30" i="16"/>
  <c r="H389" i="24" s="1"/>
  <c r="O31" i="16"/>
  <c r="H390" i="24" s="1"/>
  <c r="O32" i="16"/>
  <c r="H391" i="24" s="1"/>
  <c r="O33" i="16"/>
  <c r="H392" i="24" s="1"/>
  <c r="O34" i="16"/>
  <c r="H393" i="24" s="1"/>
  <c r="O35" i="16"/>
  <c r="H394" i="24" s="1"/>
  <c r="O36" i="16"/>
  <c r="H395" i="24" s="1"/>
  <c r="O37" i="16"/>
  <c r="H396" i="24" s="1"/>
  <c r="O38" i="16"/>
  <c r="H397" i="24" s="1"/>
  <c r="O39" i="16"/>
  <c r="H398" i="24" s="1"/>
  <c r="O40" i="16"/>
  <c r="H399" i="24" s="1"/>
  <c r="O41" i="16"/>
  <c r="H400" i="24" s="1"/>
  <c r="O42" i="16"/>
  <c r="H401" i="24" s="1"/>
  <c r="O43" i="16"/>
  <c r="H402" i="24" s="1"/>
  <c r="O44" i="16"/>
  <c r="H403" i="24" s="1"/>
  <c r="O45" i="16"/>
  <c r="H404" i="24" s="1"/>
  <c r="O46" i="16"/>
  <c r="H405" i="24" s="1"/>
  <c r="O47" i="16"/>
  <c r="H406" i="24" s="1"/>
  <c r="O48" i="16"/>
  <c r="H407" i="24" s="1"/>
  <c r="O49" i="16"/>
  <c r="H408" i="24" s="1"/>
  <c r="O50" i="16"/>
  <c r="H409" i="24" s="1"/>
  <c r="O51" i="16"/>
  <c r="H410" i="24" s="1"/>
  <c r="O52" i="16"/>
  <c r="H411" i="24" s="1"/>
  <c r="O53" i="16"/>
  <c r="H412" i="24" s="1"/>
  <c r="O54" i="16"/>
  <c r="H413" i="24" s="1"/>
  <c r="O55" i="16"/>
  <c r="H414" i="24" s="1"/>
  <c r="O56" i="16"/>
  <c r="H415" i="24" s="1"/>
  <c r="O57" i="16"/>
  <c r="H416" i="24" s="1"/>
  <c r="O58" i="16"/>
  <c r="H417" i="24" s="1"/>
  <c r="O59" i="16"/>
  <c r="H418" i="24" s="1"/>
  <c r="N9" i="16"/>
  <c r="G368" i="24" s="1"/>
  <c r="N10" i="16"/>
  <c r="G369" i="24" s="1"/>
  <c r="N11" i="16"/>
  <c r="G370" i="24" s="1"/>
  <c r="N12" i="16"/>
  <c r="G371" i="24" s="1"/>
  <c r="N13" i="16"/>
  <c r="G372" i="24" s="1"/>
  <c r="N14" i="16"/>
  <c r="G373" i="24" s="1"/>
  <c r="N15" i="16"/>
  <c r="G374" i="24" s="1"/>
  <c r="N16" i="16"/>
  <c r="G375" i="24" s="1"/>
  <c r="N17" i="16"/>
  <c r="G376" i="24" s="1"/>
  <c r="N18" i="16"/>
  <c r="G377" i="24" s="1"/>
  <c r="N19" i="16"/>
  <c r="G378" i="24" s="1"/>
  <c r="N20" i="16"/>
  <c r="G379" i="24" s="1"/>
  <c r="N21" i="16"/>
  <c r="G380" i="24" s="1"/>
  <c r="N22" i="16"/>
  <c r="G381" i="24" s="1"/>
  <c r="N23" i="16"/>
  <c r="G382" i="24" s="1"/>
  <c r="N24" i="16"/>
  <c r="G383" i="24" s="1"/>
  <c r="N25" i="16"/>
  <c r="G384" i="24" s="1"/>
  <c r="N26" i="16"/>
  <c r="G385" i="24" s="1"/>
  <c r="N27" i="16"/>
  <c r="G386" i="24" s="1"/>
  <c r="N28" i="16"/>
  <c r="G387" i="24" s="1"/>
  <c r="N29" i="16"/>
  <c r="G388" i="24" s="1"/>
  <c r="N30" i="16"/>
  <c r="G389" i="24" s="1"/>
  <c r="N31" i="16"/>
  <c r="G390" i="24" s="1"/>
  <c r="N32" i="16"/>
  <c r="G391" i="24" s="1"/>
  <c r="N33" i="16"/>
  <c r="G392" i="24" s="1"/>
  <c r="N34" i="16"/>
  <c r="G393" i="24" s="1"/>
  <c r="N35" i="16"/>
  <c r="G394" i="24" s="1"/>
  <c r="N36" i="16"/>
  <c r="G395" i="24" s="1"/>
  <c r="N37" i="16"/>
  <c r="G396" i="24" s="1"/>
  <c r="N38" i="16"/>
  <c r="G397" i="24" s="1"/>
  <c r="N39" i="16"/>
  <c r="G398" i="24" s="1"/>
  <c r="N40" i="16"/>
  <c r="G399" i="24" s="1"/>
  <c r="N41" i="16"/>
  <c r="G400" i="24" s="1"/>
  <c r="N42" i="16"/>
  <c r="G401" i="24" s="1"/>
  <c r="N43" i="16"/>
  <c r="G402" i="24" s="1"/>
  <c r="N44" i="16"/>
  <c r="G403" i="24" s="1"/>
  <c r="N45" i="16"/>
  <c r="G404" i="24" s="1"/>
  <c r="N46" i="16"/>
  <c r="G405" i="24" s="1"/>
  <c r="N47" i="16"/>
  <c r="G406" i="24" s="1"/>
  <c r="N48" i="16"/>
  <c r="G407" i="24" s="1"/>
  <c r="N49" i="16"/>
  <c r="G408" i="24" s="1"/>
  <c r="N50" i="16"/>
  <c r="G409" i="24" s="1"/>
  <c r="N51" i="16"/>
  <c r="G410" i="24" s="1"/>
  <c r="N52" i="16"/>
  <c r="G411" i="24" s="1"/>
  <c r="N53" i="16"/>
  <c r="G412" i="24" s="1"/>
  <c r="N54" i="16"/>
  <c r="G413" i="24" s="1"/>
  <c r="N55" i="16"/>
  <c r="G414" i="24" s="1"/>
  <c r="N56" i="16"/>
  <c r="G415" i="24" s="1"/>
  <c r="N57" i="16"/>
  <c r="G416" i="24" s="1"/>
  <c r="N58" i="16"/>
  <c r="G417" i="24" s="1"/>
  <c r="N59" i="16"/>
  <c r="G418" i="24" s="1"/>
  <c r="N9" i="11"/>
  <c r="G149" i="24" s="1"/>
  <c r="N10" i="11"/>
  <c r="G150" i="24" s="1"/>
  <c r="N11" i="11"/>
  <c r="G151" i="24" s="1"/>
  <c r="N12" i="11"/>
  <c r="G152" i="24" s="1"/>
  <c r="N13" i="11"/>
  <c r="G153" i="24" s="1"/>
  <c r="N14" i="11"/>
  <c r="G154" i="24" s="1"/>
  <c r="N15" i="11"/>
  <c r="G155" i="24" s="1"/>
  <c r="N16" i="11"/>
  <c r="G156" i="24" s="1"/>
  <c r="N17" i="11"/>
  <c r="G157" i="24" s="1"/>
  <c r="N18" i="11"/>
  <c r="G158" i="24" s="1"/>
  <c r="N19" i="11"/>
  <c r="G159" i="24" s="1"/>
  <c r="N20" i="11"/>
  <c r="G160" i="24" s="1"/>
  <c r="N21" i="11"/>
  <c r="G161" i="24" s="1"/>
  <c r="N22" i="11"/>
  <c r="G162" i="24" s="1"/>
  <c r="N23" i="11"/>
  <c r="G163" i="24" s="1"/>
  <c r="N24" i="11"/>
  <c r="G164" i="24" s="1"/>
  <c r="N25" i="11"/>
  <c r="G165" i="24" s="1"/>
  <c r="N26" i="11"/>
  <c r="G166" i="24" s="1"/>
  <c r="N27" i="11"/>
  <c r="G167" i="24" s="1"/>
  <c r="N28" i="11"/>
  <c r="G168" i="24" s="1"/>
  <c r="N29" i="11"/>
  <c r="G169" i="24" s="1"/>
  <c r="N30" i="11"/>
  <c r="G170" i="24" s="1"/>
  <c r="N31" i="11"/>
  <c r="G171" i="24" s="1"/>
  <c r="N32" i="11"/>
  <c r="G172" i="24" s="1"/>
  <c r="N33" i="11"/>
  <c r="G173" i="24" s="1"/>
  <c r="N34" i="11"/>
  <c r="G174" i="24" s="1"/>
  <c r="N35" i="11"/>
  <c r="G175" i="24" s="1"/>
  <c r="N36" i="11"/>
  <c r="G176" i="24" s="1"/>
  <c r="N37" i="11"/>
  <c r="G177" i="24" s="1"/>
  <c r="N38" i="11"/>
  <c r="G178" i="24" s="1"/>
  <c r="N39" i="11"/>
  <c r="G179" i="24" s="1"/>
  <c r="N40" i="11"/>
  <c r="G180" i="24" s="1"/>
  <c r="N41" i="11"/>
  <c r="G181" i="24" s="1"/>
  <c r="N42" i="11"/>
  <c r="G182" i="24" s="1"/>
  <c r="N43" i="11"/>
  <c r="G183" i="24" s="1"/>
  <c r="N44" i="11"/>
  <c r="G184" i="24" s="1"/>
  <c r="N45" i="11"/>
  <c r="G185" i="24" s="1"/>
  <c r="N46" i="11"/>
  <c r="G186" i="24" s="1"/>
  <c r="N47" i="11"/>
  <c r="G187" i="24" s="1"/>
  <c r="N48" i="11"/>
  <c r="G188" i="24" s="1"/>
  <c r="N49" i="11"/>
  <c r="G189" i="24" s="1"/>
  <c r="N50" i="11"/>
  <c r="G190" i="24" s="1"/>
  <c r="N51" i="11"/>
  <c r="G191" i="24" s="1"/>
  <c r="N52" i="11"/>
  <c r="G192" i="24" s="1"/>
  <c r="N53" i="11"/>
  <c r="G193" i="24" s="1"/>
  <c r="AD57" i="25" l="1"/>
  <c r="AD12" i="25"/>
  <c r="AD26" i="25"/>
  <c r="AD129" i="25"/>
  <c r="AD90" i="25"/>
  <c r="D90" i="25" s="1"/>
  <c r="AD30" i="25"/>
  <c r="D30" i="25" s="1"/>
  <c r="AD99" i="25"/>
  <c r="AD34" i="25"/>
  <c r="D34" i="25" s="1"/>
  <c r="AD63" i="25"/>
  <c r="D63" i="25" s="1"/>
  <c r="AD92" i="25"/>
  <c r="D92" i="25" s="1"/>
  <c r="AD79" i="25"/>
  <c r="AD58" i="25"/>
  <c r="D58" i="25" s="1"/>
  <c r="AD101" i="25"/>
  <c r="AD65" i="25"/>
  <c r="AD104" i="25"/>
  <c r="AD52" i="25"/>
  <c r="AD13" i="25"/>
  <c r="D13" i="25" s="1"/>
  <c r="AD118" i="25"/>
  <c r="D118" i="25" s="1"/>
  <c r="AD40" i="25"/>
  <c r="D40" i="25" s="1"/>
  <c r="AD44" i="25"/>
  <c r="AD120" i="25"/>
  <c r="D120" i="25" s="1"/>
  <c r="AD27" i="25"/>
  <c r="AD48" i="25"/>
  <c r="D48" i="25" s="1"/>
  <c r="AD51" i="25"/>
  <c r="D51" i="25" s="1"/>
  <c r="AD127" i="25"/>
  <c r="D127" i="25" s="1"/>
  <c r="AD131" i="25"/>
  <c r="D131" i="25" s="1"/>
  <c r="AD106" i="25"/>
  <c r="AD123" i="25"/>
  <c r="AD7" i="25"/>
  <c r="AD69" i="25"/>
  <c r="D69" i="25" s="1"/>
  <c r="AD77" i="25"/>
  <c r="D77" i="25" s="1"/>
  <c r="AD47" i="25"/>
  <c r="AD71" i="25"/>
  <c r="AD32" i="25"/>
  <c r="AD80" i="25"/>
  <c r="D80" i="25" s="1"/>
  <c r="AD67" i="25"/>
  <c r="D67" i="25" s="1"/>
  <c r="AD64" i="25"/>
  <c r="AD95" i="25"/>
  <c r="D95" i="25" s="1"/>
  <c r="AD100" i="25"/>
  <c r="D100" i="25" s="1"/>
  <c r="AD68" i="25"/>
  <c r="AD45" i="25"/>
  <c r="D45" i="25" s="1"/>
  <c r="AD31" i="25"/>
  <c r="AD125" i="25"/>
  <c r="AD46" i="25"/>
  <c r="D46" i="25" s="1"/>
  <c r="AD15" i="25"/>
  <c r="D15" i="25" s="1"/>
  <c r="AD87" i="25"/>
  <c r="D87" i="25" s="1"/>
  <c r="AD70" i="25"/>
  <c r="D70" i="25" s="1"/>
  <c r="AD119" i="25"/>
  <c r="AD21" i="25"/>
  <c r="D21" i="25" s="1"/>
  <c r="AD85" i="25"/>
  <c r="AD66" i="25"/>
  <c r="D66" i="25" s="1"/>
  <c r="AD130" i="25"/>
  <c r="D130" i="25" s="1"/>
  <c r="AD105" i="25"/>
  <c r="D105" i="25" s="1"/>
  <c r="AD37" i="25"/>
  <c r="D37" i="25" s="1"/>
  <c r="AD49" i="25"/>
  <c r="D49" i="25" s="1"/>
  <c r="AD81" i="25"/>
  <c r="AD62" i="25"/>
  <c r="D62" i="25" s="1"/>
  <c r="AD9" i="25"/>
  <c r="D9" i="25" s="1"/>
  <c r="AD43" i="25"/>
  <c r="D43" i="25" s="1"/>
  <c r="AD50" i="25"/>
  <c r="AD117" i="25"/>
  <c r="AD84" i="25"/>
  <c r="D84" i="25" s="1"/>
  <c r="AD121" i="25"/>
  <c r="AD23" i="25"/>
  <c r="D23" i="25" s="1"/>
  <c r="AD56" i="25"/>
  <c r="D56" i="25" s="1"/>
  <c r="AD54" i="25"/>
  <c r="D54" i="25" s="1"/>
  <c r="AD126" i="25"/>
  <c r="D126" i="25" s="1"/>
  <c r="AD33" i="25"/>
  <c r="D33" i="25" s="1"/>
  <c r="AD38" i="25"/>
  <c r="D38" i="25" s="1"/>
  <c r="AD103" i="25"/>
  <c r="AD53" i="25"/>
  <c r="D53" i="25" s="1"/>
  <c r="AD14" i="25"/>
  <c r="AD124" i="25"/>
  <c r="D124" i="25" s="1"/>
  <c r="AD29" i="25"/>
  <c r="D29" i="25" s="1"/>
  <c r="AD94" i="25"/>
  <c r="D94" i="25" s="1"/>
  <c r="AD20" i="25"/>
  <c r="AD25" i="25"/>
  <c r="AD98" i="25"/>
  <c r="D98" i="25" s="1"/>
  <c r="AD75" i="25"/>
  <c r="AD82" i="25"/>
  <c r="D82" i="25" s="1"/>
  <c r="AD113" i="25"/>
  <c r="D113" i="25" s="1"/>
  <c r="AD59" i="25"/>
  <c r="D59" i="25" s="1"/>
  <c r="G258" i="25"/>
  <c r="G228" i="25"/>
  <c r="G239" i="25"/>
  <c r="G320" i="25"/>
  <c r="AD60" i="25" s="1"/>
  <c r="G261" i="25"/>
  <c r="G226" i="25"/>
  <c r="G187" i="25"/>
  <c r="G170" i="25"/>
  <c r="G319" i="25"/>
  <c r="G280" i="25"/>
  <c r="G308" i="25"/>
  <c r="AD83" i="25" s="1"/>
  <c r="G293" i="25"/>
  <c r="G181" i="25"/>
  <c r="G276" i="25"/>
  <c r="G271" i="25"/>
  <c r="G194" i="25"/>
  <c r="G222" i="25"/>
  <c r="G252" i="25"/>
  <c r="G195" i="25"/>
  <c r="G159" i="25"/>
  <c r="G219" i="25"/>
  <c r="G156" i="25"/>
  <c r="G217" i="25"/>
  <c r="G268" i="25"/>
  <c r="G211" i="25"/>
  <c r="G245" i="25"/>
  <c r="G224" i="25"/>
  <c r="G230" i="25"/>
  <c r="G132" i="25"/>
  <c r="AD132" i="25" s="1"/>
  <c r="G283" i="25"/>
  <c r="AD91" i="25" s="1"/>
  <c r="G241" i="25"/>
  <c r="G145" i="25"/>
  <c r="AD96" i="25" s="1"/>
  <c r="G326" i="25"/>
  <c r="G174" i="25"/>
  <c r="G259" i="25"/>
  <c r="G229" i="25"/>
  <c r="G240" i="25"/>
  <c r="G264" i="25"/>
  <c r="G262" i="25"/>
  <c r="G146" i="25"/>
  <c r="G311" i="25"/>
  <c r="G171" i="25"/>
  <c r="G178" i="25"/>
  <c r="G214" i="25"/>
  <c r="G281" i="25"/>
  <c r="G164" i="25"/>
  <c r="G269" i="25"/>
  <c r="G273" i="25"/>
  <c r="G272" i="25"/>
  <c r="AD74" i="25" s="1"/>
  <c r="G172" i="25"/>
  <c r="AD172" i="25" s="1"/>
  <c r="G223" i="25"/>
  <c r="G253" i="25"/>
  <c r="G196" i="25"/>
  <c r="G160" i="25"/>
  <c r="G153" i="25"/>
  <c r="G157" i="25"/>
  <c r="G265" i="25"/>
  <c r="G166" i="25"/>
  <c r="G212" i="25"/>
  <c r="G225" i="25"/>
  <c r="AD11" i="25" s="1"/>
  <c r="G231" i="25"/>
  <c r="G133" i="25"/>
  <c r="G242" i="25"/>
  <c r="G144" i="25"/>
  <c r="G327" i="25"/>
  <c r="AD327" i="25" s="1"/>
  <c r="D327" i="25" s="1"/>
  <c r="G175" i="25"/>
  <c r="AD175" i="25" s="1"/>
  <c r="D175" i="25" s="1"/>
  <c r="G185" i="25"/>
  <c r="G255" i="25"/>
  <c r="G295" i="25"/>
  <c r="G150" i="25"/>
  <c r="G135" i="25"/>
  <c r="AD35" i="25" s="1"/>
  <c r="G309" i="25"/>
  <c r="AD61" i="25" s="1"/>
  <c r="G246" i="25"/>
  <c r="G108" i="25"/>
  <c r="G249" i="25"/>
  <c r="G288" i="25"/>
  <c r="G289" i="25"/>
  <c r="AD115" i="25" s="1"/>
  <c r="G221" i="25"/>
  <c r="AD88" i="25" s="1"/>
  <c r="G301" i="25"/>
  <c r="G236" i="25"/>
  <c r="G206" i="25"/>
  <c r="G201" i="25"/>
  <c r="G317" i="25"/>
  <c r="G162" i="25"/>
  <c r="G331" i="25"/>
  <c r="G299" i="25"/>
  <c r="G251" i="25"/>
  <c r="G238" i="25"/>
  <c r="AD116" i="25" s="1"/>
  <c r="G322" i="25"/>
  <c r="G260" i="25"/>
  <c r="G169" i="25"/>
  <c r="G186" i="25"/>
  <c r="G313" i="25"/>
  <c r="G139" i="25"/>
  <c r="G318" i="25"/>
  <c r="G279" i="25"/>
  <c r="G307" i="25"/>
  <c r="AD42" i="25" s="1"/>
  <c r="G292" i="25"/>
  <c r="G180" i="25"/>
  <c r="G275" i="25"/>
  <c r="G277" i="25"/>
  <c r="G193" i="25"/>
  <c r="G189" i="25"/>
  <c r="G191" i="25"/>
  <c r="G198" i="25"/>
  <c r="G218" i="25"/>
  <c r="G155" i="25"/>
  <c r="G216" i="25"/>
  <c r="G267" i="25"/>
  <c r="G330" i="25"/>
  <c r="AD78" i="25" s="1"/>
  <c r="G210" i="25"/>
  <c r="AD19" i="25" s="1"/>
  <c r="G209" i="25"/>
  <c r="G244" i="25"/>
  <c r="G183" i="25"/>
  <c r="G285" i="25"/>
  <c r="G243" i="25"/>
  <c r="AD93" i="25" s="1"/>
  <c r="G177" i="25"/>
  <c r="G325" i="25"/>
  <c r="G232" i="25"/>
  <c r="G149" i="25"/>
  <c r="G234" i="25"/>
  <c r="G257" i="25"/>
  <c r="G304" i="25"/>
  <c r="AD36" i="25" s="1"/>
  <c r="G314" i="25"/>
  <c r="G143" i="25"/>
  <c r="G138" i="25"/>
  <c r="G110" i="25"/>
  <c r="G290" i="25"/>
  <c r="G303" i="25"/>
  <c r="G329" i="25"/>
  <c r="G297" i="25"/>
  <c r="G204" i="25"/>
  <c r="AD97" i="25" s="1"/>
  <c r="G199" i="25"/>
  <c r="AD199" i="25" s="1"/>
  <c r="G278" i="25"/>
  <c r="G141" i="25"/>
  <c r="G151" i="25"/>
  <c r="G237" i="25"/>
  <c r="G147" i="25"/>
  <c r="G192" i="25"/>
  <c r="G158" i="25"/>
  <c r="AD158" i="25" s="1"/>
  <c r="D158" i="25" s="1"/>
  <c r="G284" i="25"/>
  <c r="G324" i="25"/>
  <c r="G233" i="25"/>
  <c r="AD233" i="25" s="1"/>
  <c r="G306" i="25"/>
  <c r="AD41" i="25" s="1"/>
  <c r="G315" i="25"/>
  <c r="G136" i="25"/>
  <c r="G247" i="25"/>
  <c r="G248" i="25"/>
  <c r="G287" i="25"/>
  <c r="AD72" i="25" s="1"/>
  <c r="G220" i="25"/>
  <c r="G235" i="25"/>
  <c r="G203" i="25"/>
  <c r="AD89" i="25" s="1"/>
  <c r="G202" i="25"/>
  <c r="AD18" i="25" s="1"/>
  <c r="G163" i="25"/>
  <c r="G321" i="25"/>
  <c r="G312" i="25"/>
  <c r="G179" i="25"/>
  <c r="G173" i="25"/>
  <c r="AD173" i="25" s="1"/>
  <c r="D173" i="25" s="1"/>
  <c r="G188" i="25"/>
  <c r="AD188" i="25" s="1"/>
  <c r="G197" i="25"/>
  <c r="G266" i="25"/>
  <c r="AD266" i="25" s="1"/>
  <c r="D266" i="25" s="1"/>
  <c r="G323" i="25"/>
  <c r="G254" i="25"/>
  <c r="G305" i="25"/>
  <c r="AD86" i="25" s="1"/>
  <c r="G142" i="25"/>
  <c r="G310" i="25"/>
  <c r="AD76" i="25" s="1"/>
  <c r="G291" i="25"/>
  <c r="G302" i="25"/>
  <c r="G296" i="25"/>
  <c r="AD296" i="25" s="1"/>
  <c r="G205" i="25"/>
  <c r="AD102" i="25" s="1"/>
  <c r="G316" i="25"/>
  <c r="G152" i="25"/>
  <c r="AD152" i="25" s="1"/>
  <c r="D152" i="25" s="1"/>
  <c r="G263" i="25"/>
  <c r="G213" i="25"/>
  <c r="AD10" i="25" s="1"/>
  <c r="G182" i="25"/>
  <c r="G148" i="25"/>
  <c r="G109" i="25"/>
  <c r="G140" i="25"/>
  <c r="AD140" i="25" s="1"/>
  <c r="G165" i="25"/>
  <c r="G190" i="25"/>
  <c r="G256" i="25"/>
  <c r="G300" i="25"/>
  <c r="AD28" i="25" s="1"/>
  <c r="G168" i="25"/>
  <c r="G282" i="25"/>
  <c r="G270" i="25"/>
  <c r="G227" i="25"/>
  <c r="AD227" i="25" s="1"/>
  <c r="G184" i="25"/>
  <c r="G161" i="25"/>
  <c r="G298" i="25"/>
  <c r="G215" i="25"/>
  <c r="G274" i="25"/>
  <c r="G154" i="25"/>
  <c r="G134" i="25"/>
  <c r="G207" i="25"/>
  <c r="G167" i="25"/>
  <c r="G328" i="25"/>
  <c r="G250" i="25"/>
  <c r="G176" i="25"/>
  <c r="G107" i="25"/>
  <c r="AD107" i="25" s="1"/>
  <c r="G294" i="25"/>
  <c r="AD294" i="25" s="1"/>
  <c r="G200" i="25"/>
  <c r="AD200" i="25" s="1"/>
  <c r="D200" i="25" s="1"/>
  <c r="G286" i="25"/>
  <c r="AD286" i="25" s="1"/>
  <c r="G137" i="25"/>
  <c r="G208" i="25"/>
  <c r="Q9" i="10"/>
  <c r="J8" i="24" s="1"/>
  <c r="Q10" i="10"/>
  <c r="J9" i="24" s="1"/>
  <c r="Q11" i="10"/>
  <c r="J10" i="24" s="1"/>
  <c r="Q12" i="10"/>
  <c r="J11" i="24" s="1"/>
  <c r="Q13" i="10"/>
  <c r="J12" i="24" s="1"/>
  <c r="Q14" i="10"/>
  <c r="J13" i="24" s="1"/>
  <c r="Q15" i="10"/>
  <c r="J14" i="24" s="1"/>
  <c r="Q16" i="10"/>
  <c r="J15" i="24" s="1"/>
  <c r="Q17" i="10"/>
  <c r="J16" i="24" s="1"/>
  <c r="Q18" i="10"/>
  <c r="J17" i="24" s="1"/>
  <c r="Q19" i="10"/>
  <c r="J18" i="24" s="1"/>
  <c r="Q20" i="10"/>
  <c r="J19" i="24" s="1"/>
  <c r="Q21" i="10"/>
  <c r="J20" i="24" s="1"/>
  <c r="Q22" i="10"/>
  <c r="J21" i="24" s="1"/>
  <c r="Q23" i="10"/>
  <c r="J22" i="24" s="1"/>
  <c r="Q24" i="10"/>
  <c r="J23" i="24" s="1"/>
  <c r="Q25" i="10"/>
  <c r="J24" i="24" s="1"/>
  <c r="Q26" i="10"/>
  <c r="J25" i="24" s="1"/>
  <c r="Q27" i="10"/>
  <c r="J26" i="24" s="1"/>
  <c r="Q28" i="10"/>
  <c r="J27" i="24" s="1"/>
  <c r="Q29" i="10"/>
  <c r="J28" i="24" s="1"/>
  <c r="Q30" i="10"/>
  <c r="J29" i="24" s="1"/>
  <c r="Q31" i="10"/>
  <c r="J30" i="24" s="1"/>
  <c r="Q32" i="10"/>
  <c r="J31" i="24" s="1"/>
  <c r="Q33" i="10"/>
  <c r="J32" i="24" s="1"/>
  <c r="Q34" i="10"/>
  <c r="J33" i="24" s="1"/>
  <c r="Q35" i="10"/>
  <c r="J34" i="24" s="1"/>
  <c r="Q36" i="10"/>
  <c r="J35" i="24" s="1"/>
  <c r="Q37" i="10"/>
  <c r="J36" i="24" s="1"/>
  <c r="Q38" i="10"/>
  <c r="J37" i="24" s="1"/>
  <c r="Q39" i="10"/>
  <c r="J38" i="24" s="1"/>
  <c r="Q40" i="10"/>
  <c r="J39" i="24" s="1"/>
  <c r="Q41" i="10"/>
  <c r="J40" i="24" s="1"/>
  <c r="Q42" i="10"/>
  <c r="J41" i="24" s="1"/>
  <c r="Q43" i="10"/>
  <c r="J42" i="24" s="1"/>
  <c r="Q44" i="10"/>
  <c r="J43" i="24" s="1"/>
  <c r="Q45" i="10"/>
  <c r="J44" i="24" s="1"/>
  <c r="Q46" i="10"/>
  <c r="J45" i="24" s="1"/>
  <c r="Q47" i="10"/>
  <c r="J46" i="24" s="1"/>
  <c r="Q48" i="10"/>
  <c r="J47" i="24" s="1"/>
  <c r="Q49" i="10"/>
  <c r="J48" i="24" s="1"/>
  <c r="Q50" i="10"/>
  <c r="J49" i="24" s="1"/>
  <c r="Q51" i="10"/>
  <c r="J50" i="24" s="1"/>
  <c r="Q52" i="10"/>
  <c r="J51" i="24" s="1"/>
  <c r="Q53" i="10"/>
  <c r="J52" i="24" s="1"/>
  <c r="Q54" i="10"/>
  <c r="J53" i="24" s="1"/>
  <c r="Q55" i="10"/>
  <c r="J54" i="24" s="1"/>
  <c r="Q56" i="10"/>
  <c r="J55" i="24" s="1"/>
  <c r="Q57" i="10"/>
  <c r="J56" i="24" s="1"/>
  <c r="Q58" i="10"/>
  <c r="J57" i="24" s="1"/>
  <c r="Q59" i="10"/>
  <c r="J58" i="24" s="1"/>
  <c r="Q60" i="10"/>
  <c r="J59" i="24" s="1"/>
  <c r="Q61" i="10"/>
  <c r="J60" i="24" s="1"/>
  <c r="Q62" i="10"/>
  <c r="J61" i="24" s="1"/>
  <c r="Q63" i="10"/>
  <c r="J62" i="24" s="1"/>
  <c r="Q64" i="10"/>
  <c r="J63" i="24" s="1"/>
  <c r="Q65" i="10"/>
  <c r="J64" i="24" s="1"/>
  <c r="Q66" i="10"/>
  <c r="J65" i="24" s="1"/>
  <c r="Q67" i="10"/>
  <c r="J66" i="24" s="1"/>
  <c r="Q68" i="10"/>
  <c r="J67" i="24" s="1"/>
  <c r="Q69" i="10"/>
  <c r="J68" i="24" s="1"/>
  <c r="Q70" i="10"/>
  <c r="J69" i="24" s="1"/>
  <c r="Q71" i="10"/>
  <c r="J70" i="24" s="1"/>
  <c r="Q72" i="10"/>
  <c r="J71" i="24" s="1"/>
  <c r="Q73" i="10"/>
  <c r="J72" i="24" s="1"/>
  <c r="Q74" i="10"/>
  <c r="J73" i="24" s="1"/>
  <c r="Q75" i="10"/>
  <c r="J74" i="24" s="1"/>
  <c r="Q76" i="10"/>
  <c r="J75" i="24" s="1"/>
  <c r="Q77" i="10"/>
  <c r="J76" i="24" s="1"/>
  <c r="Q78" i="10"/>
  <c r="J77" i="24" s="1"/>
  <c r="Q79" i="10"/>
  <c r="J78" i="24" s="1"/>
  <c r="Q80" i="10"/>
  <c r="J79" i="24" s="1"/>
  <c r="Q81" i="10"/>
  <c r="J80" i="24" s="1"/>
  <c r="Q82" i="10"/>
  <c r="J81" i="24" s="1"/>
  <c r="Q83" i="10"/>
  <c r="J82" i="24" s="1"/>
  <c r="Q84" i="10"/>
  <c r="J83" i="24" s="1"/>
  <c r="Q85" i="10"/>
  <c r="J84" i="24" s="1"/>
  <c r="Q86" i="10"/>
  <c r="J85" i="24" s="1"/>
  <c r="Q87" i="10"/>
  <c r="J86" i="24" s="1"/>
  <c r="Q88" i="10"/>
  <c r="J87" i="24" s="1"/>
  <c r="Q89" i="10"/>
  <c r="J88" i="24" s="1"/>
  <c r="Q90" i="10"/>
  <c r="J89" i="24" s="1"/>
  <c r="Q91" i="10"/>
  <c r="J90" i="24" s="1"/>
  <c r="Q92" i="10"/>
  <c r="J91" i="24" s="1"/>
  <c r="Q93" i="10"/>
  <c r="J92" i="24" s="1"/>
  <c r="Q94" i="10"/>
  <c r="J93" i="24" s="1"/>
  <c r="Q95" i="10"/>
  <c r="J94" i="24" s="1"/>
  <c r="Q96" i="10"/>
  <c r="J95" i="24" s="1"/>
  <c r="Q97" i="10"/>
  <c r="J96" i="24" s="1"/>
  <c r="Q98" i="10"/>
  <c r="J97" i="24" s="1"/>
  <c r="Q99" i="10"/>
  <c r="J98" i="24" s="1"/>
  <c r="Q100" i="10"/>
  <c r="J99" i="24" s="1"/>
  <c r="Q101" i="10"/>
  <c r="J100" i="24" s="1"/>
  <c r="Q102" i="10"/>
  <c r="J101" i="24" s="1"/>
  <c r="Q103" i="10"/>
  <c r="J102" i="24" s="1"/>
  <c r="Q104" i="10"/>
  <c r="J103" i="24" s="1"/>
  <c r="Q105" i="10"/>
  <c r="J104" i="24" s="1"/>
  <c r="Q106" i="10"/>
  <c r="J105" i="24" s="1"/>
  <c r="Q107" i="10"/>
  <c r="J106" i="24" s="1"/>
  <c r="Q108" i="10"/>
  <c r="J107" i="24" s="1"/>
  <c r="Q109" i="10"/>
  <c r="J108" i="24" s="1"/>
  <c r="Q110" i="10"/>
  <c r="J109" i="24" s="1"/>
  <c r="Q111" i="10"/>
  <c r="J110" i="24" s="1"/>
  <c r="Q112" i="10"/>
  <c r="J111" i="24" s="1"/>
  <c r="Q113" i="10"/>
  <c r="J112" i="24" s="1"/>
  <c r="Q114" i="10"/>
  <c r="J113" i="24" s="1"/>
  <c r="Q115" i="10"/>
  <c r="J114" i="24" s="1"/>
  <c r="Q116" i="10"/>
  <c r="J115" i="24" s="1"/>
  <c r="Q117" i="10"/>
  <c r="J116" i="24" s="1"/>
  <c r="Q118" i="10"/>
  <c r="J117" i="24" s="1"/>
  <c r="Q119" i="10"/>
  <c r="J118" i="24" s="1"/>
  <c r="Q120" i="10"/>
  <c r="J119" i="24" s="1"/>
  <c r="Q121" i="10"/>
  <c r="J120" i="24" s="1"/>
  <c r="Q122" i="10"/>
  <c r="J121" i="24" s="1"/>
  <c r="Q123" i="10"/>
  <c r="J122" i="24" s="1"/>
  <c r="Q124" i="10"/>
  <c r="J123" i="24" s="1"/>
  <c r="Q125" i="10"/>
  <c r="J124" i="24" s="1"/>
  <c r="Q126" i="10"/>
  <c r="J125" i="24" s="1"/>
  <c r="Q127" i="10"/>
  <c r="J126" i="24" s="1"/>
  <c r="Q128" i="10"/>
  <c r="J127" i="24" s="1"/>
  <c r="Q129" i="10"/>
  <c r="J128" i="24" s="1"/>
  <c r="Q130" i="10"/>
  <c r="J129" i="24" s="1"/>
  <c r="Q131" i="10"/>
  <c r="J130" i="24" s="1"/>
  <c r="Q132" i="10"/>
  <c r="J131" i="24" s="1"/>
  <c r="Q133" i="10"/>
  <c r="J132" i="24" s="1"/>
  <c r="Q134" i="10"/>
  <c r="J133" i="24" s="1"/>
  <c r="Q135" i="10"/>
  <c r="J134" i="24" s="1"/>
  <c r="Q136" i="10"/>
  <c r="J135" i="24" s="1"/>
  <c r="Q137" i="10"/>
  <c r="J136" i="24" s="1"/>
  <c r="Q138" i="10"/>
  <c r="J137" i="24" s="1"/>
  <c r="Q139" i="10"/>
  <c r="J138" i="24" s="1"/>
  <c r="Q140" i="10"/>
  <c r="J139" i="24" s="1"/>
  <c r="Q141" i="10"/>
  <c r="J140" i="24" s="1"/>
  <c r="Q142" i="10"/>
  <c r="J141" i="24" s="1"/>
  <c r="Q143" i="10"/>
  <c r="J142" i="24" s="1"/>
  <c r="Q144" i="10"/>
  <c r="J143" i="24" s="1"/>
  <c r="Q145" i="10"/>
  <c r="J144" i="24" s="1"/>
  <c r="Q146" i="10"/>
  <c r="J145" i="24" s="1"/>
  <c r="Q147" i="10"/>
  <c r="J146" i="24" s="1"/>
  <c r="Q148" i="10"/>
  <c r="J147" i="24" s="1"/>
  <c r="Q149" i="10"/>
  <c r="J148" i="24" s="1"/>
  <c r="P9" i="10"/>
  <c r="I8" i="24" s="1"/>
  <c r="P10" i="10"/>
  <c r="I9" i="24" s="1"/>
  <c r="P11" i="10"/>
  <c r="I10" i="24" s="1"/>
  <c r="P12" i="10"/>
  <c r="I11" i="24" s="1"/>
  <c r="P13" i="10"/>
  <c r="I12" i="24" s="1"/>
  <c r="P14" i="10"/>
  <c r="I13" i="24" s="1"/>
  <c r="P15" i="10"/>
  <c r="I14" i="24" s="1"/>
  <c r="P16" i="10"/>
  <c r="I15" i="24" s="1"/>
  <c r="P17" i="10"/>
  <c r="I16" i="24" s="1"/>
  <c r="P18" i="10"/>
  <c r="I17" i="24" s="1"/>
  <c r="P19" i="10"/>
  <c r="I18" i="24" s="1"/>
  <c r="P20" i="10"/>
  <c r="I19" i="24" s="1"/>
  <c r="P21" i="10"/>
  <c r="I20" i="24" s="1"/>
  <c r="P22" i="10"/>
  <c r="I21" i="24" s="1"/>
  <c r="P23" i="10"/>
  <c r="I22" i="24" s="1"/>
  <c r="P24" i="10"/>
  <c r="I23" i="24" s="1"/>
  <c r="P25" i="10"/>
  <c r="I24" i="24" s="1"/>
  <c r="P26" i="10"/>
  <c r="I25" i="24" s="1"/>
  <c r="P27" i="10"/>
  <c r="I26" i="24" s="1"/>
  <c r="P28" i="10"/>
  <c r="I27" i="24" s="1"/>
  <c r="P29" i="10"/>
  <c r="I28" i="24" s="1"/>
  <c r="P30" i="10"/>
  <c r="I29" i="24" s="1"/>
  <c r="P31" i="10"/>
  <c r="I30" i="24" s="1"/>
  <c r="P32" i="10"/>
  <c r="I31" i="24" s="1"/>
  <c r="P33" i="10"/>
  <c r="I32" i="24" s="1"/>
  <c r="P34" i="10"/>
  <c r="I33" i="24" s="1"/>
  <c r="P35" i="10"/>
  <c r="I34" i="24" s="1"/>
  <c r="P36" i="10"/>
  <c r="I35" i="24" s="1"/>
  <c r="P37" i="10"/>
  <c r="I36" i="24" s="1"/>
  <c r="P38" i="10"/>
  <c r="I37" i="24" s="1"/>
  <c r="P39" i="10"/>
  <c r="I38" i="24" s="1"/>
  <c r="P40" i="10"/>
  <c r="I39" i="24" s="1"/>
  <c r="P41" i="10"/>
  <c r="I40" i="24" s="1"/>
  <c r="P42" i="10"/>
  <c r="I41" i="24" s="1"/>
  <c r="P43" i="10"/>
  <c r="I42" i="24" s="1"/>
  <c r="P44" i="10"/>
  <c r="I43" i="24" s="1"/>
  <c r="P45" i="10"/>
  <c r="I44" i="24" s="1"/>
  <c r="P46" i="10"/>
  <c r="I45" i="24" s="1"/>
  <c r="P47" i="10"/>
  <c r="I46" i="24" s="1"/>
  <c r="P48" i="10"/>
  <c r="I47" i="24" s="1"/>
  <c r="P49" i="10"/>
  <c r="I48" i="24" s="1"/>
  <c r="P50" i="10"/>
  <c r="I49" i="24" s="1"/>
  <c r="P51" i="10"/>
  <c r="I50" i="24" s="1"/>
  <c r="P52" i="10"/>
  <c r="I51" i="24" s="1"/>
  <c r="P53" i="10"/>
  <c r="I52" i="24" s="1"/>
  <c r="P54" i="10"/>
  <c r="I53" i="24" s="1"/>
  <c r="P55" i="10"/>
  <c r="I54" i="24" s="1"/>
  <c r="P56" i="10"/>
  <c r="I55" i="24" s="1"/>
  <c r="P57" i="10"/>
  <c r="I56" i="24" s="1"/>
  <c r="P58" i="10"/>
  <c r="I57" i="24" s="1"/>
  <c r="P59" i="10"/>
  <c r="I58" i="24" s="1"/>
  <c r="P60" i="10"/>
  <c r="I59" i="24" s="1"/>
  <c r="P61" i="10"/>
  <c r="I60" i="24" s="1"/>
  <c r="P62" i="10"/>
  <c r="I61" i="24" s="1"/>
  <c r="P63" i="10"/>
  <c r="I62" i="24" s="1"/>
  <c r="P64" i="10"/>
  <c r="I63" i="24" s="1"/>
  <c r="P65" i="10"/>
  <c r="I64" i="24" s="1"/>
  <c r="P66" i="10"/>
  <c r="I65" i="24" s="1"/>
  <c r="P67" i="10"/>
  <c r="I66" i="24" s="1"/>
  <c r="P68" i="10"/>
  <c r="I67" i="24" s="1"/>
  <c r="P69" i="10"/>
  <c r="I68" i="24" s="1"/>
  <c r="P70" i="10"/>
  <c r="I69" i="24" s="1"/>
  <c r="P71" i="10"/>
  <c r="I70" i="24" s="1"/>
  <c r="P72" i="10"/>
  <c r="I71" i="24" s="1"/>
  <c r="P73" i="10"/>
  <c r="I72" i="24" s="1"/>
  <c r="P74" i="10"/>
  <c r="I73" i="24" s="1"/>
  <c r="P75" i="10"/>
  <c r="I74" i="24" s="1"/>
  <c r="P76" i="10"/>
  <c r="I75" i="24" s="1"/>
  <c r="P77" i="10"/>
  <c r="I76" i="24" s="1"/>
  <c r="P78" i="10"/>
  <c r="I77" i="24" s="1"/>
  <c r="P79" i="10"/>
  <c r="I78" i="24" s="1"/>
  <c r="P80" i="10"/>
  <c r="I79" i="24" s="1"/>
  <c r="P81" i="10"/>
  <c r="I80" i="24" s="1"/>
  <c r="P82" i="10"/>
  <c r="I81" i="24" s="1"/>
  <c r="P83" i="10"/>
  <c r="I82" i="24" s="1"/>
  <c r="P84" i="10"/>
  <c r="I83" i="24" s="1"/>
  <c r="P85" i="10"/>
  <c r="I84" i="24" s="1"/>
  <c r="P86" i="10"/>
  <c r="I85" i="24" s="1"/>
  <c r="P87" i="10"/>
  <c r="I86" i="24" s="1"/>
  <c r="P88" i="10"/>
  <c r="I87" i="24" s="1"/>
  <c r="P89" i="10"/>
  <c r="I88" i="24" s="1"/>
  <c r="P90" i="10"/>
  <c r="I89" i="24" s="1"/>
  <c r="P91" i="10"/>
  <c r="I90" i="24" s="1"/>
  <c r="P92" i="10"/>
  <c r="I91" i="24" s="1"/>
  <c r="P93" i="10"/>
  <c r="I92" i="24" s="1"/>
  <c r="P94" i="10"/>
  <c r="I93" i="24" s="1"/>
  <c r="P95" i="10"/>
  <c r="I94" i="24" s="1"/>
  <c r="P96" i="10"/>
  <c r="I95" i="24" s="1"/>
  <c r="P97" i="10"/>
  <c r="I96" i="24" s="1"/>
  <c r="P98" i="10"/>
  <c r="I97" i="24" s="1"/>
  <c r="P99" i="10"/>
  <c r="I98" i="24" s="1"/>
  <c r="P100" i="10"/>
  <c r="I99" i="24" s="1"/>
  <c r="P101" i="10"/>
  <c r="I100" i="24" s="1"/>
  <c r="P102" i="10"/>
  <c r="I101" i="24" s="1"/>
  <c r="P103" i="10"/>
  <c r="I102" i="24" s="1"/>
  <c r="P104" i="10"/>
  <c r="I103" i="24" s="1"/>
  <c r="P105" i="10"/>
  <c r="I104" i="24" s="1"/>
  <c r="P106" i="10"/>
  <c r="I105" i="24" s="1"/>
  <c r="P107" i="10"/>
  <c r="I106" i="24" s="1"/>
  <c r="P108" i="10"/>
  <c r="I107" i="24" s="1"/>
  <c r="P109" i="10"/>
  <c r="I108" i="24" s="1"/>
  <c r="P110" i="10"/>
  <c r="I109" i="24" s="1"/>
  <c r="P111" i="10"/>
  <c r="I110" i="24" s="1"/>
  <c r="P112" i="10"/>
  <c r="I111" i="24" s="1"/>
  <c r="P113" i="10"/>
  <c r="I112" i="24" s="1"/>
  <c r="P114" i="10"/>
  <c r="I113" i="24" s="1"/>
  <c r="P115" i="10"/>
  <c r="I114" i="24" s="1"/>
  <c r="P116" i="10"/>
  <c r="I115" i="24" s="1"/>
  <c r="P117" i="10"/>
  <c r="I116" i="24" s="1"/>
  <c r="P118" i="10"/>
  <c r="I117" i="24" s="1"/>
  <c r="P119" i="10"/>
  <c r="I118" i="24" s="1"/>
  <c r="P120" i="10"/>
  <c r="I119" i="24" s="1"/>
  <c r="P121" i="10"/>
  <c r="I120" i="24" s="1"/>
  <c r="P122" i="10"/>
  <c r="I121" i="24" s="1"/>
  <c r="P123" i="10"/>
  <c r="I122" i="24" s="1"/>
  <c r="P124" i="10"/>
  <c r="I123" i="24" s="1"/>
  <c r="P125" i="10"/>
  <c r="I124" i="24" s="1"/>
  <c r="P126" i="10"/>
  <c r="I125" i="24" s="1"/>
  <c r="P127" i="10"/>
  <c r="I126" i="24" s="1"/>
  <c r="P128" i="10"/>
  <c r="I127" i="24" s="1"/>
  <c r="P129" i="10"/>
  <c r="I128" i="24" s="1"/>
  <c r="P130" i="10"/>
  <c r="I129" i="24" s="1"/>
  <c r="P131" i="10"/>
  <c r="I130" i="24" s="1"/>
  <c r="P132" i="10"/>
  <c r="I131" i="24" s="1"/>
  <c r="P133" i="10"/>
  <c r="I132" i="24" s="1"/>
  <c r="P134" i="10"/>
  <c r="I133" i="24" s="1"/>
  <c r="P135" i="10"/>
  <c r="I134" i="24" s="1"/>
  <c r="P136" i="10"/>
  <c r="I135" i="24" s="1"/>
  <c r="P137" i="10"/>
  <c r="I136" i="24" s="1"/>
  <c r="P138" i="10"/>
  <c r="I137" i="24" s="1"/>
  <c r="P139" i="10"/>
  <c r="I138" i="24" s="1"/>
  <c r="P140" i="10"/>
  <c r="I139" i="24" s="1"/>
  <c r="P141" i="10"/>
  <c r="I140" i="24" s="1"/>
  <c r="P142" i="10"/>
  <c r="I141" i="24" s="1"/>
  <c r="P143" i="10"/>
  <c r="I142" i="24" s="1"/>
  <c r="P144" i="10"/>
  <c r="I143" i="24" s="1"/>
  <c r="P145" i="10"/>
  <c r="I144" i="24" s="1"/>
  <c r="P146" i="10"/>
  <c r="I145" i="24" s="1"/>
  <c r="P147" i="10"/>
  <c r="I146" i="24" s="1"/>
  <c r="P148" i="10"/>
  <c r="I147" i="24" s="1"/>
  <c r="P149" i="10"/>
  <c r="I148" i="24" s="1"/>
  <c r="O9" i="10"/>
  <c r="H8" i="24" s="1"/>
  <c r="O10" i="10"/>
  <c r="H9" i="24" s="1"/>
  <c r="O11" i="10"/>
  <c r="H10" i="24" s="1"/>
  <c r="O12" i="10"/>
  <c r="H11" i="24" s="1"/>
  <c r="O13" i="10"/>
  <c r="H12" i="24" s="1"/>
  <c r="O14" i="10"/>
  <c r="H13" i="24" s="1"/>
  <c r="O15" i="10"/>
  <c r="H14" i="24" s="1"/>
  <c r="O16" i="10"/>
  <c r="H15" i="24" s="1"/>
  <c r="O17" i="10"/>
  <c r="H16" i="24" s="1"/>
  <c r="O18" i="10"/>
  <c r="H17" i="24" s="1"/>
  <c r="O19" i="10"/>
  <c r="H18" i="24" s="1"/>
  <c r="O20" i="10"/>
  <c r="H19" i="24" s="1"/>
  <c r="O21" i="10"/>
  <c r="H20" i="24" s="1"/>
  <c r="O22" i="10"/>
  <c r="H21" i="24" s="1"/>
  <c r="O23" i="10"/>
  <c r="H22" i="24" s="1"/>
  <c r="O24" i="10"/>
  <c r="H23" i="24" s="1"/>
  <c r="O25" i="10"/>
  <c r="H24" i="24" s="1"/>
  <c r="O26" i="10"/>
  <c r="H25" i="24" s="1"/>
  <c r="O27" i="10"/>
  <c r="H26" i="24" s="1"/>
  <c r="O28" i="10"/>
  <c r="H27" i="24" s="1"/>
  <c r="O29" i="10"/>
  <c r="H28" i="24" s="1"/>
  <c r="O30" i="10"/>
  <c r="H29" i="24" s="1"/>
  <c r="O31" i="10"/>
  <c r="H30" i="24" s="1"/>
  <c r="O32" i="10"/>
  <c r="H31" i="24" s="1"/>
  <c r="O33" i="10"/>
  <c r="H32" i="24" s="1"/>
  <c r="O34" i="10"/>
  <c r="H33" i="24" s="1"/>
  <c r="O35" i="10"/>
  <c r="H34" i="24" s="1"/>
  <c r="O36" i="10"/>
  <c r="H35" i="24" s="1"/>
  <c r="O37" i="10"/>
  <c r="H36" i="24" s="1"/>
  <c r="O38" i="10"/>
  <c r="H37" i="24" s="1"/>
  <c r="O39" i="10"/>
  <c r="H38" i="24" s="1"/>
  <c r="O40" i="10"/>
  <c r="H39" i="24" s="1"/>
  <c r="O41" i="10"/>
  <c r="H40" i="24" s="1"/>
  <c r="O42" i="10"/>
  <c r="H41" i="24" s="1"/>
  <c r="O43" i="10"/>
  <c r="H42" i="24" s="1"/>
  <c r="O44" i="10"/>
  <c r="H43" i="24" s="1"/>
  <c r="O45" i="10"/>
  <c r="H44" i="24" s="1"/>
  <c r="O46" i="10"/>
  <c r="H45" i="24" s="1"/>
  <c r="O47" i="10"/>
  <c r="H46" i="24" s="1"/>
  <c r="O48" i="10"/>
  <c r="H47" i="24" s="1"/>
  <c r="O49" i="10"/>
  <c r="H48" i="24" s="1"/>
  <c r="O50" i="10"/>
  <c r="H49" i="24" s="1"/>
  <c r="O51" i="10"/>
  <c r="H50" i="24" s="1"/>
  <c r="O52" i="10"/>
  <c r="H51" i="24" s="1"/>
  <c r="O53" i="10"/>
  <c r="H52" i="24" s="1"/>
  <c r="O54" i="10"/>
  <c r="H53" i="24" s="1"/>
  <c r="O55" i="10"/>
  <c r="H54" i="24" s="1"/>
  <c r="O56" i="10"/>
  <c r="H55" i="24" s="1"/>
  <c r="O57" i="10"/>
  <c r="H56" i="24" s="1"/>
  <c r="O58" i="10"/>
  <c r="H57" i="24" s="1"/>
  <c r="O59" i="10"/>
  <c r="H58" i="24" s="1"/>
  <c r="O60" i="10"/>
  <c r="H59" i="24" s="1"/>
  <c r="O61" i="10"/>
  <c r="H60" i="24" s="1"/>
  <c r="O62" i="10"/>
  <c r="H61" i="24" s="1"/>
  <c r="O63" i="10"/>
  <c r="H62" i="24" s="1"/>
  <c r="O64" i="10"/>
  <c r="H63" i="24" s="1"/>
  <c r="O65" i="10"/>
  <c r="H64" i="24" s="1"/>
  <c r="O66" i="10"/>
  <c r="H65" i="24" s="1"/>
  <c r="O67" i="10"/>
  <c r="H66" i="24" s="1"/>
  <c r="O68" i="10"/>
  <c r="H67" i="24" s="1"/>
  <c r="O69" i="10"/>
  <c r="H68" i="24" s="1"/>
  <c r="O70" i="10"/>
  <c r="H69" i="24" s="1"/>
  <c r="O71" i="10"/>
  <c r="H70" i="24" s="1"/>
  <c r="O72" i="10"/>
  <c r="H71" i="24" s="1"/>
  <c r="O73" i="10"/>
  <c r="H72" i="24" s="1"/>
  <c r="O74" i="10"/>
  <c r="H73" i="24" s="1"/>
  <c r="O75" i="10"/>
  <c r="H74" i="24" s="1"/>
  <c r="O76" i="10"/>
  <c r="H75" i="24" s="1"/>
  <c r="O77" i="10"/>
  <c r="H76" i="24" s="1"/>
  <c r="O78" i="10"/>
  <c r="H77" i="24" s="1"/>
  <c r="O79" i="10"/>
  <c r="H78" i="24" s="1"/>
  <c r="O80" i="10"/>
  <c r="H79" i="24" s="1"/>
  <c r="O81" i="10"/>
  <c r="H80" i="24" s="1"/>
  <c r="O82" i="10"/>
  <c r="H81" i="24" s="1"/>
  <c r="O83" i="10"/>
  <c r="H82" i="24" s="1"/>
  <c r="O84" i="10"/>
  <c r="H83" i="24" s="1"/>
  <c r="O85" i="10"/>
  <c r="H84" i="24" s="1"/>
  <c r="O86" i="10"/>
  <c r="H85" i="24" s="1"/>
  <c r="O87" i="10"/>
  <c r="H86" i="24" s="1"/>
  <c r="O88" i="10"/>
  <c r="H87" i="24" s="1"/>
  <c r="O89" i="10"/>
  <c r="H88" i="24" s="1"/>
  <c r="O90" i="10"/>
  <c r="H89" i="24" s="1"/>
  <c r="O91" i="10"/>
  <c r="H90" i="24" s="1"/>
  <c r="O92" i="10"/>
  <c r="H91" i="24" s="1"/>
  <c r="O93" i="10"/>
  <c r="H92" i="24" s="1"/>
  <c r="O94" i="10"/>
  <c r="H93" i="24" s="1"/>
  <c r="O95" i="10"/>
  <c r="H94" i="24" s="1"/>
  <c r="O96" i="10"/>
  <c r="H95" i="24" s="1"/>
  <c r="O97" i="10"/>
  <c r="H96" i="24" s="1"/>
  <c r="O98" i="10"/>
  <c r="H97" i="24" s="1"/>
  <c r="O99" i="10"/>
  <c r="H98" i="24" s="1"/>
  <c r="O100" i="10"/>
  <c r="H99" i="24" s="1"/>
  <c r="O101" i="10"/>
  <c r="H100" i="24" s="1"/>
  <c r="O102" i="10"/>
  <c r="H101" i="24" s="1"/>
  <c r="O103" i="10"/>
  <c r="H102" i="24" s="1"/>
  <c r="O104" i="10"/>
  <c r="H103" i="24" s="1"/>
  <c r="O105" i="10"/>
  <c r="H104" i="24" s="1"/>
  <c r="O106" i="10"/>
  <c r="H105" i="24" s="1"/>
  <c r="O107" i="10"/>
  <c r="H106" i="24" s="1"/>
  <c r="O108" i="10"/>
  <c r="H107" i="24" s="1"/>
  <c r="O109" i="10"/>
  <c r="H108" i="24" s="1"/>
  <c r="O110" i="10"/>
  <c r="H109" i="24" s="1"/>
  <c r="O111" i="10"/>
  <c r="H110" i="24" s="1"/>
  <c r="O112" i="10"/>
  <c r="H111" i="24" s="1"/>
  <c r="O113" i="10"/>
  <c r="H112" i="24" s="1"/>
  <c r="O114" i="10"/>
  <c r="H113" i="24" s="1"/>
  <c r="O115" i="10"/>
  <c r="H114" i="24" s="1"/>
  <c r="O116" i="10"/>
  <c r="H115" i="24" s="1"/>
  <c r="O117" i="10"/>
  <c r="H116" i="24" s="1"/>
  <c r="O118" i="10"/>
  <c r="H117" i="24" s="1"/>
  <c r="O119" i="10"/>
  <c r="H118" i="24" s="1"/>
  <c r="O120" i="10"/>
  <c r="H119" i="24" s="1"/>
  <c r="O121" i="10"/>
  <c r="H120" i="24" s="1"/>
  <c r="O122" i="10"/>
  <c r="H121" i="24" s="1"/>
  <c r="O123" i="10"/>
  <c r="H122" i="24" s="1"/>
  <c r="O124" i="10"/>
  <c r="H123" i="24" s="1"/>
  <c r="O125" i="10"/>
  <c r="H124" i="24" s="1"/>
  <c r="O126" i="10"/>
  <c r="H125" i="24" s="1"/>
  <c r="O127" i="10"/>
  <c r="H126" i="24" s="1"/>
  <c r="O128" i="10"/>
  <c r="H127" i="24" s="1"/>
  <c r="O129" i="10"/>
  <c r="H128" i="24" s="1"/>
  <c r="O130" i="10"/>
  <c r="H129" i="24" s="1"/>
  <c r="O131" i="10"/>
  <c r="H130" i="24" s="1"/>
  <c r="O132" i="10"/>
  <c r="H131" i="24" s="1"/>
  <c r="O133" i="10"/>
  <c r="H132" i="24" s="1"/>
  <c r="O134" i="10"/>
  <c r="H133" i="24" s="1"/>
  <c r="O135" i="10"/>
  <c r="H134" i="24" s="1"/>
  <c r="O136" i="10"/>
  <c r="H135" i="24" s="1"/>
  <c r="O137" i="10"/>
  <c r="H136" i="24" s="1"/>
  <c r="O138" i="10"/>
  <c r="H137" i="24" s="1"/>
  <c r="O139" i="10"/>
  <c r="H138" i="24" s="1"/>
  <c r="O140" i="10"/>
  <c r="H139" i="24" s="1"/>
  <c r="O141" i="10"/>
  <c r="H140" i="24" s="1"/>
  <c r="O142" i="10"/>
  <c r="H141" i="24" s="1"/>
  <c r="O143" i="10"/>
  <c r="H142" i="24" s="1"/>
  <c r="O144" i="10"/>
  <c r="H143" i="24" s="1"/>
  <c r="O145" i="10"/>
  <c r="H144" i="24" s="1"/>
  <c r="O146" i="10"/>
  <c r="H145" i="24" s="1"/>
  <c r="O147" i="10"/>
  <c r="H146" i="24" s="1"/>
  <c r="O148" i="10"/>
  <c r="H147" i="24" s="1"/>
  <c r="O149" i="10"/>
  <c r="H148" i="24" s="1"/>
  <c r="N9" i="10"/>
  <c r="G8" i="24" s="1"/>
  <c r="N10" i="10"/>
  <c r="G9" i="24" s="1"/>
  <c r="N11" i="10"/>
  <c r="G10" i="24" s="1"/>
  <c r="N12" i="10"/>
  <c r="G11" i="24" s="1"/>
  <c r="N13" i="10"/>
  <c r="G12" i="24" s="1"/>
  <c r="N14" i="10"/>
  <c r="G13" i="24" s="1"/>
  <c r="N15" i="10"/>
  <c r="G14" i="24" s="1"/>
  <c r="N16" i="10"/>
  <c r="G15" i="24" s="1"/>
  <c r="N17" i="10"/>
  <c r="G16" i="24" s="1"/>
  <c r="N18" i="10"/>
  <c r="G17" i="24" s="1"/>
  <c r="N19" i="10"/>
  <c r="G18" i="24" s="1"/>
  <c r="N20" i="10"/>
  <c r="G19" i="24" s="1"/>
  <c r="N21" i="10"/>
  <c r="G20" i="24" s="1"/>
  <c r="N22" i="10"/>
  <c r="G21" i="24" s="1"/>
  <c r="N23" i="10"/>
  <c r="G22" i="24" s="1"/>
  <c r="N24" i="10"/>
  <c r="G23" i="24" s="1"/>
  <c r="N25" i="10"/>
  <c r="G24" i="24" s="1"/>
  <c r="N26" i="10"/>
  <c r="G25" i="24" s="1"/>
  <c r="N27" i="10"/>
  <c r="G26" i="24" s="1"/>
  <c r="N28" i="10"/>
  <c r="G27" i="24" s="1"/>
  <c r="N29" i="10"/>
  <c r="G28" i="24" s="1"/>
  <c r="N30" i="10"/>
  <c r="G29" i="24" s="1"/>
  <c r="N31" i="10"/>
  <c r="G30" i="24" s="1"/>
  <c r="N32" i="10"/>
  <c r="G31" i="24" s="1"/>
  <c r="N33" i="10"/>
  <c r="G32" i="24" s="1"/>
  <c r="N34" i="10"/>
  <c r="G33" i="24" s="1"/>
  <c r="N35" i="10"/>
  <c r="G34" i="24" s="1"/>
  <c r="N36" i="10"/>
  <c r="G35" i="24" s="1"/>
  <c r="N37" i="10"/>
  <c r="G36" i="24" s="1"/>
  <c r="N38" i="10"/>
  <c r="G37" i="24" s="1"/>
  <c r="N39" i="10"/>
  <c r="G38" i="24" s="1"/>
  <c r="N40" i="10"/>
  <c r="G39" i="24" s="1"/>
  <c r="N41" i="10"/>
  <c r="G40" i="24" s="1"/>
  <c r="N42" i="10"/>
  <c r="G41" i="24" s="1"/>
  <c r="N43" i="10"/>
  <c r="G42" i="24" s="1"/>
  <c r="N44" i="10"/>
  <c r="G43" i="24" s="1"/>
  <c r="N45" i="10"/>
  <c r="G44" i="24" s="1"/>
  <c r="N46" i="10"/>
  <c r="G45" i="24" s="1"/>
  <c r="N47" i="10"/>
  <c r="G46" i="24" s="1"/>
  <c r="N48" i="10"/>
  <c r="G47" i="24" s="1"/>
  <c r="N49" i="10"/>
  <c r="G48" i="24" s="1"/>
  <c r="N50" i="10"/>
  <c r="G49" i="24" s="1"/>
  <c r="N51" i="10"/>
  <c r="G50" i="24" s="1"/>
  <c r="N52" i="10"/>
  <c r="G51" i="24" s="1"/>
  <c r="N53" i="10"/>
  <c r="G52" i="24" s="1"/>
  <c r="N54" i="10"/>
  <c r="G53" i="24" s="1"/>
  <c r="N55" i="10"/>
  <c r="G54" i="24" s="1"/>
  <c r="N56" i="10"/>
  <c r="G55" i="24" s="1"/>
  <c r="N57" i="10"/>
  <c r="G56" i="24" s="1"/>
  <c r="N58" i="10"/>
  <c r="G57" i="24" s="1"/>
  <c r="N59" i="10"/>
  <c r="G58" i="24" s="1"/>
  <c r="N60" i="10"/>
  <c r="G59" i="24" s="1"/>
  <c r="N61" i="10"/>
  <c r="G60" i="24" s="1"/>
  <c r="N62" i="10"/>
  <c r="G61" i="24" s="1"/>
  <c r="N63" i="10"/>
  <c r="G62" i="24" s="1"/>
  <c r="N64" i="10"/>
  <c r="G63" i="24" s="1"/>
  <c r="N65" i="10"/>
  <c r="G64" i="24" s="1"/>
  <c r="N66" i="10"/>
  <c r="G65" i="24" s="1"/>
  <c r="N67" i="10"/>
  <c r="G66" i="24" s="1"/>
  <c r="N68" i="10"/>
  <c r="G67" i="24" s="1"/>
  <c r="N69" i="10"/>
  <c r="G68" i="24" s="1"/>
  <c r="N70" i="10"/>
  <c r="G69" i="24" s="1"/>
  <c r="N71" i="10"/>
  <c r="G70" i="24" s="1"/>
  <c r="N72" i="10"/>
  <c r="G71" i="24" s="1"/>
  <c r="N73" i="10"/>
  <c r="G72" i="24" s="1"/>
  <c r="N74" i="10"/>
  <c r="G73" i="24" s="1"/>
  <c r="N75" i="10"/>
  <c r="G74" i="24" s="1"/>
  <c r="N76" i="10"/>
  <c r="G75" i="24" s="1"/>
  <c r="N77" i="10"/>
  <c r="G76" i="24" s="1"/>
  <c r="N78" i="10"/>
  <c r="G77" i="24" s="1"/>
  <c r="N79" i="10"/>
  <c r="G78" i="24" s="1"/>
  <c r="N80" i="10"/>
  <c r="G79" i="24" s="1"/>
  <c r="N81" i="10"/>
  <c r="G80" i="24" s="1"/>
  <c r="N82" i="10"/>
  <c r="G81" i="24" s="1"/>
  <c r="N83" i="10"/>
  <c r="G82" i="24" s="1"/>
  <c r="N84" i="10"/>
  <c r="G83" i="24" s="1"/>
  <c r="N85" i="10"/>
  <c r="G84" i="24" s="1"/>
  <c r="N86" i="10"/>
  <c r="G85" i="24" s="1"/>
  <c r="N87" i="10"/>
  <c r="G86" i="24" s="1"/>
  <c r="N88" i="10"/>
  <c r="G87" i="24" s="1"/>
  <c r="N89" i="10"/>
  <c r="G88" i="24" s="1"/>
  <c r="N90" i="10"/>
  <c r="G89" i="24" s="1"/>
  <c r="N91" i="10"/>
  <c r="G90" i="24" s="1"/>
  <c r="N92" i="10"/>
  <c r="G91" i="24" s="1"/>
  <c r="N93" i="10"/>
  <c r="G92" i="24" s="1"/>
  <c r="N94" i="10"/>
  <c r="G93" i="24" s="1"/>
  <c r="N95" i="10"/>
  <c r="G94" i="24" s="1"/>
  <c r="N96" i="10"/>
  <c r="G95" i="24" s="1"/>
  <c r="N97" i="10"/>
  <c r="G96" i="24" s="1"/>
  <c r="N98" i="10"/>
  <c r="G97" i="24" s="1"/>
  <c r="N99" i="10"/>
  <c r="G98" i="24" s="1"/>
  <c r="N100" i="10"/>
  <c r="G99" i="24" s="1"/>
  <c r="N101" i="10"/>
  <c r="G100" i="24" s="1"/>
  <c r="N102" i="10"/>
  <c r="G101" i="24" s="1"/>
  <c r="N103" i="10"/>
  <c r="G102" i="24" s="1"/>
  <c r="N104" i="10"/>
  <c r="G103" i="24" s="1"/>
  <c r="N105" i="10"/>
  <c r="G104" i="24" s="1"/>
  <c r="N106" i="10"/>
  <c r="G105" i="24" s="1"/>
  <c r="N107" i="10"/>
  <c r="G106" i="24" s="1"/>
  <c r="N108" i="10"/>
  <c r="G107" i="24" s="1"/>
  <c r="N109" i="10"/>
  <c r="G108" i="24" s="1"/>
  <c r="N110" i="10"/>
  <c r="G109" i="24" s="1"/>
  <c r="N111" i="10"/>
  <c r="G110" i="24" s="1"/>
  <c r="N112" i="10"/>
  <c r="G111" i="24" s="1"/>
  <c r="N113" i="10"/>
  <c r="G112" i="24" s="1"/>
  <c r="N114" i="10"/>
  <c r="G113" i="24" s="1"/>
  <c r="N115" i="10"/>
  <c r="G114" i="24" s="1"/>
  <c r="N116" i="10"/>
  <c r="G115" i="24" s="1"/>
  <c r="N117" i="10"/>
  <c r="G116" i="24" s="1"/>
  <c r="N118" i="10"/>
  <c r="G117" i="24" s="1"/>
  <c r="N119" i="10"/>
  <c r="G118" i="24" s="1"/>
  <c r="N120" i="10"/>
  <c r="G119" i="24" s="1"/>
  <c r="N121" i="10"/>
  <c r="G120" i="24" s="1"/>
  <c r="N122" i="10"/>
  <c r="G121" i="24" s="1"/>
  <c r="N123" i="10"/>
  <c r="G122" i="24" s="1"/>
  <c r="N124" i="10"/>
  <c r="G123" i="24" s="1"/>
  <c r="N125" i="10"/>
  <c r="G124" i="24" s="1"/>
  <c r="N126" i="10"/>
  <c r="G125" i="24" s="1"/>
  <c r="N127" i="10"/>
  <c r="G126" i="24" s="1"/>
  <c r="N128" i="10"/>
  <c r="G127" i="24" s="1"/>
  <c r="N129" i="10"/>
  <c r="G128" i="24" s="1"/>
  <c r="N130" i="10"/>
  <c r="G129" i="24" s="1"/>
  <c r="N131" i="10"/>
  <c r="G130" i="24" s="1"/>
  <c r="N132" i="10"/>
  <c r="G131" i="24" s="1"/>
  <c r="N133" i="10"/>
  <c r="G132" i="24" s="1"/>
  <c r="N134" i="10"/>
  <c r="G133" i="24" s="1"/>
  <c r="N135" i="10"/>
  <c r="G134" i="24" s="1"/>
  <c r="N136" i="10"/>
  <c r="G135" i="24" s="1"/>
  <c r="N137" i="10"/>
  <c r="G136" i="24" s="1"/>
  <c r="N138" i="10"/>
  <c r="G137" i="24" s="1"/>
  <c r="N139" i="10"/>
  <c r="G138" i="24" s="1"/>
  <c r="N140" i="10"/>
  <c r="G139" i="24" s="1"/>
  <c r="N141" i="10"/>
  <c r="G140" i="24" s="1"/>
  <c r="N142" i="10"/>
  <c r="G141" i="24" s="1"/>
  <c r="N143" i="10"/>
  <c r="G142" i="24" s="1"/>
  <c r="N144" i="10"/>
  <c r="G143" i="24" s="1"/>
  <c r="N145" i="10"/>
  <c r="G144" i="24" s="1"/>
  <c r="N146" i="10"/>
  <c r="G145" i="24" s="1"/>
  <c r="N147" i="10"/>
  <c r="G146" i="24" s="1"/>
  <c r="N148" i="10"/>
  <c r="G147" i="24" s="1"/>
  <c r="N149" i="10"/>
  <c r="G148" i="24" s="1"/>
  <c r="M9" i="10"/>
  <c r="B8" i="24" s="1"/>
  <c r="M10" i="10"/>
  <c r="B9" i="24" s="1"/>
  <c r="M11" i="10"/>
  <c r="B10" i="24" s="1"/>
  <c r="M12" i="10"/>
  <c r="B11" i="24" s="1"/>
  <c r="M13" i="10"/>
  <c r="B12" i="24" s="1"/>
  <c r="M14" i="10"/>
  <c r="B13" i="24" s="1"/>
  <c r="M15" i="10"/>
  <c r="B14" i="24" s="1"/>
  <c r="M16" i="10"/>
  <c r="B15" i="24" s="1"/>
  <c r="M17" i="10"/>
  <c r="B16" i="24" s="1"/>
  <c r="M18" i="10"/>
  <c r="B17" i="24" s="1"/>
  <c r="M19" i="10"/>
  <c r="B18" i="24" s="1"/>
  <c r="M20" i="10"/>
  <c r="B19" i="24" s="1"/>
  <c r="M21" i="10"/>
  <c r="B20" i="24" s="1"/>
  <c r="M22" i="10"/>
  <c r="B21" i="24" s="1"/>
  <c r="M23" i="10"/>
  <c r="B22" i="24" s="1"/>
  <c r="M24" i="10"/>
  <c r="B23" i="24" s="1"/>
  <c r="M25" i="10"/>
  <c r="B24" i="24" s="1"/>
  <c r="M26" i="10"/>
  <c r="B25" i="24" s="1"/>
  <c r="M27" i="10"/>
  <c r="B26" i="24" s="1"/>
  <c r="M28" i="10"/>
  <c r="B27" i="24" s="1"/>
  <c r="M29" i="10"/>
  <c r="B28" i="24" s="1"/>
  <c r="M30" i="10"/>
  <c r="B29" i="24" s="1"/>
  <c r="M31" i="10"/>
  <c r="B30" i="24" s="1"/>
  <c r="M32" i="10"/>
  <c r="B31" i="24" s="1"/>
  <c r="M33" i="10"/>
  <c r="B32" i="24" s="1"/>
  <c r="M34" i="10"/>
  <c r="B33" i="24" s="1"/>
  <c r="M35" i="10"/>
  <c r="B34" i="24" s="1"/>
  <c r="M36" i="10"/>
  <c r="B35" i="24" s="1"/>
  <c r="M37" i="10"/>
  <c r="B36" i="24" s="1"/>
  <c r="M38" i="10"/>
  <c r="B37" i="24" s="1"/>
  <c r="M39" i="10"/>
  <c r="B38" i="24" s="1"/>
  <c r="M40" i="10"/>
  <c r="B39" i="24" s="1"/>
  <c r="M41" i="10"/>
  <c r="B40" i="24" s="1"/>
  <c r="M42" i="10"/>
  <c r="B41" i="24" s="1"/>
  <c r="M43" i="10"/>
  <c r="B42" i="24" s="1"/>
  <c r="M44" i="10"/>
  <c r="B43" i="24" s="1"/>
  <c r="M45" i="10"/>
  <c r="B44" i="24" s="1"/>
  <c r="M46" i="10"/>
  <c r="B45" i="24" s="1"/>
  <c r="M47" i="10"/>
  <c r="B46" i="24" s="1"/>
  <c r="M48" i="10"/>
  <c r="B47" i="24" s="1"/>
  <c r="M49" i="10"/>
  <c r="B48" i="24" s="1"/>
  <c r="M50" i="10"/>
  <c r="B49" i="24" s="1"/>
  <c r="M51" i="10"/>
  <c r="B50" i="24" s="1"/>
  <c r="M52" i="10"/>
  <c r="B51" i="24" s="1"/>
  <c r="M53" i="10"/>
  <c r="B52" i="24" s="1"/>
  <c r="M54" i="10"/>
  <c r="B53" i="24" s="1"/>
  <c r="M55" i="10"/>
  <c r="B54" i="24" s="1"/>
  <c r="M56" i="10"/>
  <c r="B55" i="24" s="1"/>
  <c r="M57" i="10"/>
  <c r="B56" i="24" s="1"/>
  <c r="M58" i="10"/>
  <c r="B57" i="24" s="1"/>
  <c r="M59" i="10"/>
  <c r="B58" i="24" s="1"/>
  <c r="M60" i="10"/>
  <c r="B59" i="24" s="1"/>
  <c r="M61" i="10"/>
  <c r="B60" i="24" s="1"/>
  <c r="M62" i="10"/>
  <c r="B61" i="24" s="1"/>
  <c r="M63" i="10"/>
  <c r="B62" i="24" s="1"/>
  <c r="M64" i="10"/>
  <c r="B63" i="24" s="1"/>
  <c r="M65" i="10"/>
  <c r="B64" i="24" s="1"/>
  <c r="M66" i="10"/>
  <c r="B65" i="24" s="1"/>
  <c r="M67" i="10"/>
  <c r="B66" i="24" s="1"/>
  <c r="M68" i="10"/>
  <c r="B67" i="24" s="1"/>
  <c r="M69" i="10"/>
  <c r="B68" i="24" s="1"/>
  <c r="M70" i="10"/>
  <c r="B69" i="24" s="1"/>
  <c r="M71" i="10"/>
  <c r="B70" i="24" s="1"/>
  <c r="M72" i="10"/>
  <c r="B71" i="24" s="1"/>
  <c r="M73" i="10"/>
  <c r="B72" i="24" s="1"/>
  <c r="M74" i="10"/>
  <c r="B73" i="24" s="1"/>
  <c r="M75" i="10"/>
  <c r="B74" i="24" s="1"/>
  <c r="M76" i="10"/>
  <c r="B75" i="24" s="1"/>
  <c r="M77" i="10"/>
  <c r="B76" i="24" s="1"/>
  <c r="M78" i="10"/>
  <c r="B77" i="24" s="1"/>
  <c r="M79" i="10"/>
  <c r="B78" i="24" s="1"/>
  <c r="M80" i="10"/>
  <c r="B79" i="24" s="1"/>
  <c r="M81" i="10"/>
  <c r="B80" i="24" s="1"/>
  <c r="M82" i="10"/>
  <c r="B81" i="24" s="1"/>
  <c r="M83" i="10"/>
  <c r="B82" i="24" s="1"/>
  <c r="M84" i="10"/>
  <c r="B83" i="24" s="1"/>
  <c r="M85" i="10"/>
  <c r="B84" i="24" s="1"/>
  <c r="M86" i="10"/>
  <c r="B85" i="24" s="1"/>
  <c r="M87" i="10"/>
  <c r="B86" i="24" s="1"/>
  <c r="M88" i="10"/>
  <c r="B87" i="24" s="1"/>
  <c r="M89" i="10"/>
  <c r="B88" i="24" s="1"/>
  <c r="M90" i="10"/>
  <c r="B89" i="24" s="1"/>
  <c r="M91" i="10"/>
  <c r="B90" i="24" s="1"/>
  <c r="M92" i="10"/>
  <c r="B91" i="24" s="1"/>
  <c r="M93" i="10"/>
  <c r="B92" i="24" s="1"/>
  <c r="M94" i="10"/>
  <c r="B93" i="24" s="1"/>
  <c r="M95" i="10"/>
  <c r="B94" i="24" s="1"/>
  <c r="M96" i="10"/>
  <c r="B95" i="24" s="1"/>
  <c r="M97" i="10"/>
  <c r="B96" i="24" s="1"/>
  <c r="M98" i="10"/>
  <c r="B97" i="24" s="1"/>
  <c r="M99" i="10"/>
  <c r="B98" i="24" s="1"/>
  <c r="M100" i="10"/>
  <c r="B99" i="24" s="1"/>
  <c r="M101" i="10"/>
  <c r="B100" i="24" s="1"/>
  <c r="M102" i="10"/>
  <c r="B101" i="24" s="1"/>
  <c r="M103" i="10"/>
  <c r="B102" i="24" s="1"/>
  <c r="M104" i="10"/>
  <c r="B103" i="24" s="1"/>
  <c r="M105" i="10"/>
  <c r="B104" i="24" s="1"/>
  <c r="M106" i="10"/>
  <c r="B105" i="24" s="1"/>
  <c r="M107" i="10"/>
  <c r="B106" i="24" s="1"/>
  <c r="M108" i="10"/>
  <c r="B107" i="24" s="1"/>
  <c r="M109" i="10"/>
  <c r="B108" i="24" s="1"/>
  <c r="M110" i="10"/>
  <c r="B109" i="24" s="1"/>
  <c r="M111" i="10"/>
  <c r="B110" i="24" s="1"/>
  <c r="M112" i="10"/>
  <c r="B111" i="24" s="1"/>
  <c r="M113" i="10"/>
  <c r="B112" i="24" s="1"/>
  <c r="M114" i="10"/>
  <c r="B113" i="24" s="1"/>
  <c r="M115" i="10"/>
  <c r="B114" i="24" s="1"/>
  <c r="M116" i="10"/>
  <c r="B115" i="24" s="1"/>
  <c r="M117" i="10"/>
  <c r="B116" i="24" s="1"/>
  <c r="M118" i="10"/>
  <c r="B117" i="24" s="1"/>
  <c r="M119" i="10"/>
  <c r="B118" i="24" s="1"/>
  <c r="M120" i="10"/>
  <c r="B119" i="24" s="1"/>
  <c r="M121" i="10"/>
  <c r="B120" i="24" s="1"/>
  <c r="M122" i="10"/>
  <c r="B121" i="24" s="1"/>
  <c r="M123" i="10"/>
  <c r="B122" i="24" s="1"/>
  <c r="M124" i="10"/>
  <c r="B123" i="24" s="1"/>
  <c r="M125" i="10"/>
  <c r="B124" i="24" s="1"/>
  <c r="M126" i="10"/>
  <c r="B125" i="24" s="1"/>
  <c r="M127" i="10"/>
  <c r="B126" i="24" s="1"/>
  <c r="M128" i="10"/>
  <c r="B127" i="24" s="1"/>
  <c r="M129" i="10"/>
  <c r="B128" i="24" s="1"/>
  <c r="M130" i="10"/>
  <c r="B129" i="24" s="1"/>
  <c r="M131" i="10"/>
  <c r="B130" i="24" s="1"/>
  <c r="M132" i="10"/>
  <c r="B131" i="24" s="1"/>
  <c r="M133" i="10"/>
  <c r="B132" i="24" s="1"/>
  <c r="M134" i="10"/>
  <c r="B133" i="24" s="1"/>
  <c r="M135" i="10"/>
  <c r="B134" i="24" s="1"/>
  <c r="M136" i="10"/>
  <c r="B135" i="24" s="1"/>
  <c r="M137" i="10"/>
  <c r="B136" i="24" s="1"/>
  <c r="M138" i="10"/>
  <c r="B137" i="24" s="1"/>
  <c r="M139" i="10"/>
  <c r="B138" i="24" s="1"/>
  <c r="M140" i="10"/>
  <c r="B139" i="24" s="1"/>
  <c r="M141" i="10"/>
  <c r="B140" i="24" s="1"/>
  <c r="M142" i="10"/>
  <c r="B141" i="24" s="1"/>
  <c r="M143" i="10"/>
  <c r="B142" i="24" s="1"/>
  <c r="M144" i="10"/>
  <c r="B143" i="24" s="1"/>
  <c r="M145" i="10"/>
  <c r="B144" i="24" s="1"/>
  <c r="M146" i="10"/>
  <c r="B145" i="24" s="1"/>
  <c r="M147" i="10"/>
  <c r="B146" i="24" s="1"/>
  <c r="M148" i="10"/>
  <c r="B147" i="24" s="1"/>
  <c r="M149" i="10"/>
  <c r="B148" i="24" s="1"/>
  <c r="A3" i="21"/>
  <c r="D22" i="21" s="1"/>
  <c r="A3" i="20"/>
  <c r="A3" i="18"/>
  <c r="D3" i="21"/>
  <c r="D2" i="21"/>
  <c r="H1" i="21"/>
  <c r="D1" i="21"/>
  <c r="A1" i="21"/>
  <c r="A3" i="17"/>
  <c r="A3" i="16"/>
  <c r="A3" i="15"/>
  <c r="A3" i="11"/>
  <c r="A3" i="10"/>
  <c r="A3" i="9"/>
  <c r="D14" i="21" s="1"/>
  <c r="A3" i="19"/>
  <c r="A3" i="6"/>
  <c r="D12" i="21" s="1"/>
  <c r="A3" i="5"/>
  <c r="D11" i="21" s="1"/>
  <c r="A3" i="4"/>
  <c r="D10" i="21" s="1"/>
  <c r="A3" i="3"/>
  <c r="D9" i="21" s="1"/>
  <c r="A3" i="1"/>
  <c r="D8" i="21" s="1"/>
  <c r="A3" i="8"/>
  <c r="A3" i="13"/>
  <c r="AD144" i="25" l="1"/>
  <c r="AD242" i="25"/>
  <c r="AD318" i="25"/>
  <c r="AD137" i="25"/>
  <c r="AD114" i="25"/>
  <c r="AE7" i="25"/>
  <c r="D7" i="25"/>
  <c r="C132" i="26"/>
  <c r="C128" i="26"/>
  <c r="C124" i="26"/>
  <c r="C120" i="26"/>
  <c r="C121" i="26"/>
  <c r="C131" i="26"/>
  <c r="C127" i="26"/>
  <c r="C123" i="26"/>
  <c r="C119" i="26"/>
  <c r="P119" i="26" s="1"/>
  <c r="C125" i="26"/>
  <c r="C130" i="26"/>
  <c r="P130" i="26" s="1"/>
  <c r="C126" i="26"/>
  <c r="C122" i="26"/>
  <c r="C118" i="26"/>
  <c r="C129" i="26"/>
  <c r="C117" i="26"/>
  <c r="D19" i="21"/>
  <c r="C116" i="26"/>
  <c r="C115" i="26"/>
  <c r="C111" i="26"/>
  <c r="C107" i="26"/>
  <c r="C103" i="26"/>
  <c r="C108" i="26"/>
  <c r="C114" i="26"/>
  <c r="C110" i="26"/>
  <c r="C106" i="26"/>
  <c r="C102" i="26"/>
  <c r="C112" i="26"/>
  <c r="C113" i="26"/>
  <c r="C109" i="26"/>
  <c r="C105" i="26"/>
  <c r="C101" i="26"/>
  <c r="C104" i="26"/>
  <c r="D18" i="21"/>
  <c r="C100" i="26"/>
  <c r="C99" i="26"/>
  <c r="C95" i="26"/>
  <c r="C91" i="26"/>
  <c r="C87" i="26"/>
  <c r="C83" i="26"/>
  <c r="C79" i="26"/>
  <c r="C75" i="26"/>
  <c r="C71" i="26"/>
  <c r="C67" i="26"/>
  <c r="C63" i="26"/>
  <c r="C59" i="26"/>
  <c r="C55" i="26"/>
  <c r="C51" i="26"/>
  <c r="C98" i="26"/>
  <c r="C94" i="26"/>
  <c r="C90" i="26"/>
  <c r="C86" i="26"/>
  <c r="C82" i="26"/>
  <c r="C78" i="26"/>
  <c r="C70" i="26"/>
  <c r="C66" i="26"/>
  <c r="C62" i="26"/>
  <c r="C58" i="26"/>
  <c r="C54" i="26"/>
  <c r="C50" i="26"/>
  <c r="C97" i="26"/>
  <c r="C89" i="26"/>
  <c r="C85" i="26"/>
  <c r="C81" i="26"/>
  <c r="C77" i="26"/>
  <c r="C73" i="26"/>
  <c r="C65" i="26"/>
  <c r="C57" i="26"/>
  <c r="C88" i="26"/>
  <c r="C80" i="26"/>
  <c r="C68" i="26"/>
  <c r="P68" i="26" s="1"/>
  <c r="C56" i="26"/>
  <c r="C74" i="26"/>
  <c r="C53" i="26"/>
  <c r="C84" i="26"/>
  <c r="C64" i="26"/>
  <c r="C93" i="26"/>
  <c r="C69" i="26"/>
  <c r="C61" i="26"/>
  <c r="C92" i="26"/>
  <c r="C76" i="26"/>
  <c r="C60" i="26"/>
  <c r="C52" i="26"/>
  <c r="C96" i="26"/>
  <c r="C72" i="26"/>
  <c r="D17" i="21"/>
  <c r="C49" i="26"/>
  <c r="C48" i="26"/>
  <c r="C44" i="26"/>
  <c r="C45" i="26"/>
  <c r="C47" i="26"/>
  <c r="C43" i="26"/>
  <c r="C42" i="26"/>
  <c r="C46" i="26"/>
  <c r="D16" i="21"/>
  <c r="C41" i="26"/>
  <c r="P41" i="26" s="1"/>
  <c r="C10" i="26"/>
  <c r="C40" i="26"/>
  <c r="C36" i="26"/>
  <c r="C32" i="26"/>
  <c r="C28" i="26"/>
  <c r="C24" i="26"/>
  <c r="C20" i="26"/>
  <c r="C16" i="26"/>
  <c r="C12" i="26"/>
  <c r="C33" i="26"/>
  <c r="C17" i="26"/>
  <c r="C39" i="26"/>
  <c r="C35" i="26"/>
  <c r="C31" i="26"/>
  <c r="C27" i="26"/>
  <c r="P27" i="26" s="1"/>
  <c r="C23" i="26"/>
  <c r="C19" i="26"/>
  <c r="C15" i="26"/>
  <c r="C11" i="26"/>
  <c r="C29" i="26"/>
  <c r="C21" i="26"/>
  <c r="C38" i="26"/>
  <c r="C34" i="26"/>
  <c r="C30" i="26"/>
  <c r="P30" i="26" s="1"/>
  <c r="C26" i="26"/>
  <c r="C22" i="26"/>
  <c r="C18" i="26"/>
  <c r="C14" i="26"/>
  <c r="C37" i="26"/>
  <c r="C25" i="26"/>
  <c r="C13" i="26"/>
  <c r="D15" i="21"/>
  <c r="AD176" i="25"/>
  <c r="AD136" i="25"/>
  <c r="AD250" i="25"/>
  <c r="AD270" i="25"/>
  <c r="D270" i="25" s="1"/>
  <c r="AD179" i="25"/>
  <c r="D179" i="25" s="1"/>
  <c r="AD196" i="25"/>
  <c r="D196" i="25" s="1"/>
  <c r="AD272" i="25"/>
  <c r="D272" i="25" s="1"/>
  <c r="AD309" i="25"/>
  <c r="AD154" i="25"/>
  <c r="D154" i="25" s="1"/>
  <c r="AD190" i="25"/>
  <c r="AD306" i="25"/>
  <c r="AD243" i="25"/>
  <c r="AD298" i="25"/>
  <c r="AD142" i="25"/>
  <c r="AD225" i="25"/>
  <c r="D225" i="25" s="1"/>
  <c r="AD134" i="25"/>
  <c r="AD263" i="25"/>
  <c r="AD281" i="25"/>
  <c r="D281" i="25" s="1"/>
  <c r="AD161" i="25"/>
  <c r="AD148" i="25"/>
  <c r="AD157" i="25"/>
  <c r="AD253" i="25"/>
  <c r="D253" i="25" s="1"/>
  <c r="AD229" i="25"/>
  <c r="D229" i="25" s="1"/>
  <c r="AD109" i="25"/>
  <c r="D109" i="25" s="1"/>
  <c r="AD202" i="25"/>
  <c r="D202" i="25" s="1"/>
  <c r="AD277" i="25"/>
  <c r="AD246" i="25"/>
  <c r="AD328" i="25"/>
  <c r="AD302" i="25"/>
  <c r="AD151" i="25"/>
  <c r="AD167" i="25"/>
  <c r="D167" i="25" s="1"/>
  <c r="AD184" i="25"/>
  <c r="AD165" i="25"/>
  <c r="D165" i="25" s="1"/>
  <c r="AD208" i="25"/>
  <c r="AD305" i="25"/>
  <c r="AD248" i="25"/>
  <c r="AD186" i="25"/>
  <c r="AD213" i="25"/>
  <c r="D213" i="25" s="1"/>
  <c r="AD218" i="25"/>
  <c r="AD216" i="25"/>
  <c r="AD275" i="25"/>
  <c r="AD279" i="25"/>
  <c r="AD236" i="25"/>
  <c r="D236" i="25" s="1"/>
  <c r="AD288" i="25"/>
  <c r="AD255" i="25"/>
  <c r="D255" i="25" s="1"/>
  <c r="AD214" i="25"/>
  <c r="AD194" i="25"/>
  <c r="D194" i="25" s="1"/>
  <c r="AD293" i="25"/>
  <c r="D293" i="25" s="1"/>
  <c r="AD170" i="25"/>
  <c r="AD264" i="25"/>
  <c r="AD265" i="25"/>
  <c r="AD240" i="25"/>
  <c r="AD203" i="25"/>
  <c r="AD290" i="25"/>
  <c r="AD238" i="25"/>
  <c r="D238" i="25" s="1"/>
  <c r="AD145" i="25"/>
  <c r="AD268" i="25"/>
  <c r="D268" i="25" s="1"/>
  <c r="AD320" i="25"/>
  <c r="AD182" i="25"/>
  <c r="AD316" i="25"/>
  <c r="AD321" i="25"/>
  <c r="AD235" i="25"/>
  <c r="AD247" i="25"/>
  <c r="D247" i="25" s="1"/>
  <c r="AD232" i="25"/>
  <c r="AD212" i="25"/>
  <c r="D212" i="25" s="1"/>
  <c r="AD223" i="25"/>
  <c r="D223" i="25" s="1"/>
  <c r="AD262" i="25"/>
  <c r="D262" i="25" s="1"/>
  <c r="AD259" i="25"/>
  <c r="AD241" i="25"/>
  <c r="AD282" i="25"/>
  <c r="D282" i="25" s="1"/>
  <c r="AD197" i="25"/>
  <c r="D197" i="25" s="1"/>
  <c r="AD312" i="25"/>
  <c r="D312" i="25" s="1"/>
  <c r="AD314" i="25"/>
  <c r="AD273" i="25"/>
  <c r="AD207" i="25"/>
  <c r="D207" i="25" s="1"/>
  <c r="AD300" i="25"/>
  <c r="AD323" i="25"/>
  <c r="AD220" i="25"/>
  <c r="AD278" i="25"/>
  <c r="AD292" i="25"/>
  <c r="AD133" i="25"/>
  <c r="D133" i="25" s="1"/>
  <c r="AD230" i="25"/>
  <c r="AD274" i="25"/>
  <c r="AD168" i="25"/>
  <c r="AD291" i="25"/>
  <c r="D291" i="25" s="1"/>
  <c r="AD254" i="25"/>
  <c r="AD192" i="25"/>
  <c r="AD141" i="25"/>
  <c r="D141" i="25" s="1"/>
  <c r="AD297" i="25"/>
  <c r="D297" i="25" s="1"/>
  <c r="AD110" i="25"/>
  <c r="D110" i="25" s="1"/>
  <c r="AD304" i="25"/>
  <c r="AD285" i="25"/>
  <c r="AD210" i="25"/>
  <c r="AD155" i="25"/>
  <c r="D155" i="25" s="1"/>
  <c r="AD189" i="25"/>
  <c r="D189" i="25" s="1"/>
  <c r="AD180" i="25"/>
  <c r="AD169" i="25"/>
  <c r="D169" i="25" s="1"/>
  <c r="AD251" i="25"/>
  <c r="D251" i="25" s="1"/>
  <c r="AD317" i="25"/>
  <c r="D317" i="25" s="1"/>
  <c r="AD301" i="25"/>
  <c r="AD249" i="25"/>
  <c r="D249" i="25" s="1"/>
  <c r="AD135" i="25"/>
  <c r="D135" i="25" s="1"/>
  <c r="AD185" i="25"/>
  <c r="D185" i="25" s="1"/>
  <c r="AD153" i="25"/>
  <c r="AD269" i="25"/>
  <c r="AD178" i="25"/>
  <c r="AD224" i="25"/>
  <c r="AD217" i="25"/>
  <c r="D217" i="25" s="1"/>
  <c r="AD195" i="25"/>
  <c r="AD271" i="25"/>
  <c r="AD308" i="25"/>
  <c r="AD187" i="25"/>
  <c r="D187" i="25" s="1"/>
  <c r="AD239" i="25"/>
  <c r="AD111" i="25"/>
  <c r="AD149" i="25"/>
  <c r="D149" i="25" s="1"/>
  <c r="AD191" i="25"/>
  <c r="D191" i="25" s="1"/>
  <c r="AD162" i="25"/>
  <c r="D162" i="25" s="1"/>
  <c r="AD146" i="25"/>
  <c r="AD159" i="25"/>
  <c r="AD215" i="25"/>
  <c r="D215" i="25" s="1"/>
  <c r="AD205" i="25"/>
  <c r="AD310" i="25"/>
  <c r="AD163" i="25"/>
  <c r="D163" i="25" s="1"/>
  <c r="AD324" i="25"/>
  <c r="AD147" i="25"/>
  <c r="D147" i="25" s="1"/>
  <c r="AD329" i="25"/>
  <c r="D329" i="25" s="1"/>
  <c r="AD138" i="25"/>
  <c r="AD257" i="25"/>
  <c r="D257" i="25" s="1"/>
  <c r="AD325" i="25"/>
  <c r="D325" i="25" s="1"/>
  <c r="AD183" i="25"/>
  <c r="D183" i="25" s="1"/>
  <c r="AD330" i="25"/>
  <c r="AD193" i="25"/>
  <c r="D193" i="25" s="1"/>
  <c r="AD139" i="25"/>
  <c r="AD260" i="25"/>
  <c r="AD299" i="25"/>
  <c r="AD201" i="25"/>
  <c r="D201" i="25" s="1"/>
  <c r="AD221" i="25"/>
  <c r="D221" i="25" s="1"/>
  <c r="AD108" i="25"/>
  <c r="D108" i="25" s="1"/>
  <c r="AD150" i="25"/>
  <c r="AD166" i="25"/>
  <c r="AD160" i="25"/>
  <c r="D160" i="25" s="1"/>
  <c r="AD164" i="25"/>
  <c r="AD171" i="25"/>
  <c r="D171" i="25" s="1"/>
  <c r="AD174" i="25"/>
  <c r="AD283" i="25"/>
  <c r="AD245" i="25"/>
  <c r="D245" i="25" s="1"/>
  <c r="AD156" i="25"/>
  <c r="D156" i="25" s="1"/>
  <c r="AD252" i="25"/>
  <c r="AD276" i="25"/>
  <c r="D276" i="25" s="1"/>
  <c r="AD280" i="25"/>
  <c r="D280" i="25" s="1"/>
  <c r="AD226" i="25"/>
  <c r="AD228" i="25"/>
  <c r="AD204" i="25"/>
  <c r="AD209" i="25"/>
  <c r="AD256" i="25"/>
  <c r="D256" i="25" s="1"/>
  <c r="AD287" i="25"/>
  <c r="AD315" i="25"/>
  <c r="D315" i="25" s="1"/>
  <c r="AD284" i="25"/>
  <c r="AD237" i="25"/>
  <c r="AD303" i="25"/>
  <c r="D303" i="25" s="1"/>
  <c r="AD143" i="25"/>
  <c r="D143" i="25" s="1"/>
  <c r="AD234" i="25"/>
  <c r="D234" i="25" s="1"/>
  <c r="AD177" i="25"/>
  <c r="D177" i="25" s="1"/>
  <c r="AD244" i="25"/>
  <c r="AD267" i="25"/>
  <c r="D267" i="25" s="1"/>
  <c r="AD198" i="25"/>
  <c r="D198" i="25" s="1"/>
  <c r="AD307" i="25"/>
  <c r="AD313" i="25"/>
  <c r="D313" i="25" s="1"/>
  <c r="AD322" i="25"/>
  <c r="D322" i="25" s="1"/>
  <c r="AD331" i="25"/>
  <c r="AD206" i="25"/>
  <c r="AD289" i="25"/>
  <c r="AD295" i="25"/>
  <c r="D295" i="25" s="1"/>
  <c r="AD231" i="25"/>
  <c r="D231" i="25" s="1"/>
  <c r="AD311" i="25"/>
  <c r="AD326" i="25"/>
  <c r="D326" i="25" s="1"/>
  <c r="AD211" i="25"/>
  <c r="AD219" i="25"/>
  <c r="D219" i="25" s="1"/>
  <c r="AD222" i="25"/>
  <c r="AD181" i="25"/>
  <c r="D181" i="25" s="1"/>
  <c r="AD319" i="25"/>
  <c r="D319" i="25" s="1"/>
  <c r="AD261" i="25"/>
  <c r="D261" i="25" s="1"/>
  <c r="AD258" i="25"/>
  <c r="D21" i="21"/>
  <c r="D20" i="21"/>
  <c r="D13" i="21"/>
  <c r="D6" i="21"/>
  <c r="D7" i="21"/>
  <c r="AC122" i="12"/>
  <c r="AC121" i="12"/>
  <c r="AC120" i="12"/>
  <c r="AC116" i="12"/>
  <c r="AC114" i="12"/>
  <c r="AC112" i="12"/>
  <c r="AC111" i="12"/>
  <c r="AC109" i="12"/>
  <c r="AC107" i="12"/>
  <c r="AC106" i="12"/>
  <c r="AC103" i="12"/>
  <c r="AC101" i="12"/>
  <c r="AC100" i="12"/>
  <c r="AC99" i="12"/>
  <c r="AC95" i="12"/>
  <c r="AC93" i="12"/>
  <c r="AC87" i="12"/>
  <c r="AC86" i="12"/>
  <c r="AC78" i="12"/>
  <c r="AC77" i="12"/>
  <c r="AC124" i="12"/>
  <c r="AC123" i="12"/>
  <c r="AC119" i="12"/>
  <c r="AC118" i="12"/>
  <c r="AC117" i="12"/>
  <c r="AC115" i="12"/>
  <c r="AC113" i="12"/>
  <c r="AC110" i="12"/>
  <c r="AC108" i="12"/>
  <c r="AC105" i="12"/>
  <c r="AC104" i="12"/>
  <c r="AC102" i="12"/>
  <c r="AC98" i="12"/>
  <c r="AC97" i="12"/>
  <c r="AC96" i="12"/>
  <c r="AC94" i="12"/>
  <c r="AC92" i="12"/>
  <c r="AC91" i="12"/>
  <c r="AC90" i="12"/>
  <c r="AC89" i="12"/>
  <c r="AC88" i="12"/>
  <c r="AC85" i="12"/>
  <c r="AC84" i="12"/>
  <c r="AC83" i="12"/>
  <c r="AC82" i="12"/>
  <c r="AC81" i="12"/>
  <c r="AC80" i="12"/>
  <c r="AC79" i="12"/>
  <c r="AC76" i="12"/>
  <c r="AC75" i="12"/>
  <c r="AC58" i="12"/>
  <c r="I114" i="26"/>
  <c r="I22" i="26"/>
  <c r="I103" i="26"/>
  <c r="I53" i="26"/>
  <c r="I113" i="26"/>
  <c r="I97" i="26"/>
  <c r="I91" i="26"/>
  <c r="I16" i="26"/>
  <c r="I12" i="26"/>
  <c r="I112" i="26"/>
  <c r="I88" i="26"/>
  <c r="I129" i="26"/>
  <c r="I80" i="26"/>
  <c r="I60" i="26"/>
  <c r="I42" i="26"/>
  <c r="I125" i="26"/>
  <c r="I25" i="26"/>
  <c r="I56" i="26"/>
  <c r="I122" i="26"/>
  <c r="I107" i="26"/>
  <c r="I15" i="26"/>
  <c r="I110" i="26"/>
  <c r="I105" i="26"/>
  <c r="I37" i="26"/>
  <c r="I74" i="26"/>
  <c r="I23" i="26"/>
  <c r="I67" i="26"/>
  <c r="I62" i="26"/>
  <c r="I17" i="26"/>
  <c r="I50" i="26"/>
  <c r="I83" i="26"/>
  <c r="I64" i="26"/>
  <c r="I57" i="26"/>
  <c r="I72" i="26"/>
  <c r="I109" i="26"/>
  <c r="I58" i="26"/>
  <c r="I59" i="26"/>
  <c r="I100" i="26"/>
  <c r="I70" i="26"/>
  <c r="I73" i="26"/>
  <c r="I61" i="26"/>
  <c r="I96" i="26"/>
  <c r="I38" i="26"/>
  <c r="I48" i="26"/>
  <c r="I90" i="26"/>
  <c r="I21" i="26"/>
  <c r="I46" i="26"/>
  <c r="I11" i="26"/>
  <c r="I66" i="26"/>
  <c r="I121" i="26"/>
  <c r="I52" i="26"/>
  <c r="I81" i="26"/>
  <c r="I43" i="26"/>
  <c r="I87" i="26"/>
  <c r="I94" i="26"/>
  <c r="I36" i="26"/>
  <c r="I77" i="26"/>
  <c r="I13" i="26"/>
  <c r="I35" i="26"/>
  <c r="I63" i="26"/>
  <c r="I65" i="26"/>
  <c r="I33" i="26"/>
  <c r="I84" i="26"/>
  <c r="I111" i="26"/>
  <c r="I28" i="26"/>
  <c r="I75" i="26"/>
  <c r="I131" i="26"/>
  <c r="I51" i="26"/>
  <c r="I106" i="26"/>
  <c r="I19" i="26"/>
  <c r="I44" i="26"/>
  <c r="I76" i="26"/>
  <c r="I101" i="26"/>
  <c r="I98" i="26"/>
  <c r="I120" i="26"/>
  <c r="I55" i="26"/>
  <c r="I104" i="26"/>
  <c r="I69" i="26"/>
  <c r="I89" i="26"/>
  <c r="I54" i="26"/>
  <c r="I123" i="26"/>
  <c r="I126" i="26"/>
  <c r="I99" i="26"/>
  <c r="I71" i="26"/>
  <c r="I127" i="26"/>
  <c r="I29" i="26"/>
  <c r="I82" i="26"/>
  <c r="I85" i="26"/>
  <c r="I118" i="26"/>
  <c r="I40" i="26"/>
  <c r="I24" i="26"/>
  <c r="I45" i="26"/>
  <c r="I32" i="26"/>
  <c r="I108" i="26"/>
  <c r="I115" i="26"/>
  <c r="I117" i="26"/>
  <c r="I10" i="26"/>
  <c r="I95" i="26"/>
  <c r="I79" i="26"/>
  <c r="I132" i="26"/>
  <c r="I20" i="26"/>
  <c r="I93" i="26"/>
  <c r="I78" i="26"/>
  <c r="I102" i="26"/>
  <c r="I39" i="26"/>
  <c r="I34" i="26"/>
  <c r="I49" i="26"/>
  <c r="I18" i="26"/>
  <c r="I86" i="26"/>
  <c r="I128" i="26"/>
  <c r="I92" i="26"/>
  <c r="I124" i="26"/>
  <c r="I116" i="26"/>
  <c r="I31" i="26"/>
  <c r="I14" i="26"/>
  <c r="I47" i="26"/>
  <c r="I26" i="26"/>
  <c r="AE8" i="25" l="1"/>
  <c r="AE9" i="25" s="1"/>
  <c r="Q27" i="26"/>
  <c r="Q68" i="26"/>
  <c r="Q130" i="26"/>
  <c r="Q30" i="26"/>
  <c r="Q41" i="26"/>
  <c r="Q119" i="26"/>
  <c r="P14" i="26"/>
  <c r="P29" i="26"/>
  <c r="P23" i="26"/>
  <c r="P39" i="26"/>
  <c r="P16" i="26"/>
  <c r="P32" i="26"/>
  <c r="P43" i="26"/>
  <c r="P92" i="26"/>
  <c r="P64" i="26"/>
  <c r="P81" i="26"/>
  <c r="P66" i="26"/>
  <c r="P51" i="26"/>
  <c r="P67" i="26"/>
  <c r="P99" i="26"/>
  <c r="P114" i="26"/>
  <c r="P117" i="26"/>
  <c r="P123" i="26"/>
  <c r="P85" i="26"/>
  <c r="P70" i="26"/>
  <c r="P90" i="26"/>
  <c r="P87" i="26"/>
  <c r="P124" i="26"/>
  <c r="P25" i="26"/>
  <c r="P22" i="26"/>
  <c r="P38" i="26"/>
  <c r="P15" i="26"/>
  <c r="P31" i="26"/>
  <c r="P33" i="26"/>
  <c r="P24" i="26"/>
  <c r="P40" i="26"/>
  <c r="P46" i="26"/>
  <c r="P45" i="26"/>
  <c r="P60" i="26"/>
  <c r="P69" i="26"/>
  <c r="P53" i="26"/>
  <c r="P80" i="26"/>
  <c r="P73" i="26"/>
  <c r="P89" i="26"/>
  <c r="P58" i="26"/>
  <c r="P78" i="26"/>
  <c r="P94" i="26"/>
  <c r="P59" i="26"/>
  <c r="P75" i="26"/>
  <c r="P91" i="26"/>
  <c r="P109" i="26"/>
  <c r="P106" i="26"/>
  <c r="P103" i="26"/>
  <c r="P116" i="26"/>
  <c r="P118" i="26"/>
  <c r="P125" i="26"/>
  <c r="P131" i="26"/>
  <c r="P128" i="26"/>
  <c r="P48" i="26"/>
  <c r="P96" i="26"/>
  <c r="P56" i="26"/>
  <c r="P57" i="26"/>
  <c r="P50" i="26"/>
  <c r="P86" i="26"/>
  <c r="P83" i="26"/>
  <c r="P101" i="26"/>
  <c r="P112" i="26"/>
  <c r="P111" i="26"/>
  <c r="P126" i="26"/>
  <c r="P120" i="26"/>
  <c r="P13" i="26"/>
  <c r="P18" i="26"/>
  <c r="P34" i="26"/>
  <c r="P11" i="26"/>
  <c r="P17" i="26"/>
  <c r="P20" i="26"/>
  <c r="P36" i="26"/>
  <c r="P47" i="26"/>
  <c r="P49" i="26"/>
  <c r="P52" i="26"/>
  <c r="P61" i="26"/>
  <c r="P84" i="26"/>
  <c r="P65" i="26"/>
  <c r="P54" i="26"/>
  <c r="P55" i="26"/>
  <c r="P71" i="26"/>
  <c r="P100" i="26"/>
  <c r="P105" i="26"/>
  <c r="P102" i="26"/>
  <c r="P108" i="26"/>
  <c r="P115" i="26"/>
  <c r="P129" i="26"/>
  <c r="P127" i="26"/>
  <c r="P37" i="26"/>
  <c r="P26" i="26"/>
  <c r="P21" i="26"/>
  <c r="P19" i="26"/>
  <c r="P35" i="26"/>
  <c r="P12" i="26"/>
  <c r="P28" i="26"/>
  <c r="P42" i="26"/>
  <c r="P44" i="26"/>
  <c r="P72" i="26"/>
  <c r="P76" i="26"/>
  <c r="P93" i="26"/>
  <c r="P74" i="26"/>
  <c r="P88" i="26"/>
  <c r="P77" i="26"/>
  <c r="P97" i="26"/>
  <c r="P62" i="26"/>
  <c r="P82" i="26"/>
  <c r="P98" i="26"/>
  <c r="P63" i="26"/>
  <c r="P79" i="26"/>
  <c r="P95" i="26"/>
  <c r="P104" i="26"/>
  <c r="P113" i="26"/>
  <c r="P110" i="26"/>
  <c r="P107" i="26"/>
  <c r="P122" i="26"/>
  <c r="P121" i="26"/>
  <c r="P132" i="26"/>
  <c r="P10" i="26"/>
  <c r="D6" i="25" s="1"/>
  <c r="AD4" i="25"/>
  <c r="AC54" i="12"/>
  <c r="AC52" i="12"/>
  <c r="Q57" i="26" l="1"/>
  <c r="Q51" i="26"/>
  <c r="Q93" i="26"/>
  <c r="Q31" i="26"/>
  <c r="Q112" i="26"/>
  <c r="Q19" i="26"/>
  <c r="Q98" i="26"/>
  <c r="Q89" i="26"/>
  <c r="Q110" i="26"/>
  <c r="Q62" i="26"/>
  <c r="Q74" i="26"/>
  <c r="Q37" i="26"/>
  <c r="Q71" i="26"/>
  <c r="Q84" i="26"/>
  <c r="Q11" i="26"/>
  <c r="Q91" i="26"/>
  <c r="Q45" i="26"/>
  <c r="Q22" i="26"/>
  <c r="Q121" i="26"/>
  <c r="Q113" i="26"/>
  <c r="Q63" i="26"/>
  <c r="Q97" i="26"/>
  <c r="Q42" i="26"/>
  <c r="Q127" i="26"/>
  <c r="Q102" i="26"/>
  <c r="Q55" i="26"/>
  <c r="Q61" i="26"/>
  <c r="Q36" i="26"/>
  <c r="Q34" i="26"/>
  <c r="Q126" i="26"/>
  <c r="Q83" i="26"/>
  <c r="Q56" i="26"/>
  <c r="Q131" i="26"/>
  <c r="Q103" i="26"/>
  <c r="Q75" i="26"/>
  <c r="Q58" i="26"/>
  <c r="Q53" i="26"/>
  <c r="Q46" i="26"/>
  <c r="Q25" i="26"/>
  <c r="Q70" i="26"/>
  <c r="Q114" i="26"/>
  <c r="Q66" i="26"/>
  <c r="Q43" i="26"/>
  <c r="Q23" i="26"/>
  <c r="Q79" i="26"/>
  <c r="Q44" i="26"/>
  <c r="Q108" i="26"/>
  <c r="Q128" i="26"/>
  <c r="Q80" i="26"/>
  <c r="Q39" i="26"/>
  <c r="Q104" i="26"/>
  <c r="Q76" i="26"/>
  <c r="Q21" i="26"/>
  <c r="Q54" i="26"/>
  <c r="Q111" i="26"/>
  <c r="Q96" i="26"/>
  <c r="Q40" i="26"/>
  <c r="Q15" i="26"/>
  <c r="Q124" i="26"/>
  <c r="Q85" i="26"/>
  <c r="Q99" i="26"/>
  <c r="Q81" i="26"/>
  <c r="Q32" i="26"/>
  <c r="Q29" i="26"/>
  <c r="Q132" i="26"/>
  <c r="Q35" i="26"/>
  <c r="Q47" i="26"/>
  <c r="Q120" i="26"/>
  <c r="Q101" i="26"/>
  <c r="Q116" i="26"/>
  <c r="Q78" i="26"/>
  <c r="Q33" i="26"/>
  <c r="Q90" i="26"/>
  <c r="Q117" i="26"/>
  <c r="Q92" i="26"/>
  <c r="Q122" i="26"/>
  <c r="Q77" i="26"/>
  <c r="Q28" i="26"/>
  <c r="Q129" i="26"/>
  <c r="Q105" i="26"/>
  <c r="Q52" i="26"/>
  <c r="Q20" i="26"/>
  <c r="Q18" i="26"/>
  <c r="Q86" i="26"/>
  <c r="Q125" i="26"/>
  <c r="Q106" i="26"/>
  <c r="Q59" i="26"/>
  <c r="Q69" i="26"/>
  <c r="Q10" i="26"/>
  <c r="Q107" i="26"/>
  <c r="Q95" i="26"/>
  <c r="Q82" i="26"/>
  <c r="Q88" i="26"/>
  <c r="Q72" i="26"/>
  <c r="Q12" i="26"/>
  <c r="Q26" i="26"/>
  <c r="Q115" i="26"/>
  <c r="Q100" i="26"/>
  <c r="Q65" i="26"/>
  <c r="Q49" i="26"/>
  <c r="Q17" i="26"/>
  <c r="Q13" i="26"/>
  <c r="Q50" i="26"/>
  <c r="Q48" i="26"/>
  <c r="Q118" i="26"/>
  <c r="Q109" i="26"/>
  <c r="Q94" i="26"/>
  <c r="Q73" i="26"/>
  <c r="Q60" i="26"/>
  <c r="Q24" i="26"/>
  <c r="Q38" i="26"/>
  <c r="Q87" i="26"/>
  <c r="Q123" i="26"/>
  <c r="Q67" i="26"/>
  <c r="Q64" i="26"/>
  <c r="Q16" i="26"/>
  <c r="Q14" i="26"/>
  <c r="AC44" i="12"/>
  <c r="AC74" i="12"/>
  <c r="AC73" i="12"/>
  <c r="AC72" i="12"/>
  <c r="AC71" i="12"/>
  <c r="AC70" i="12"/>
  <c r="AC69" i="12"/>
  <c r="AC68" i="12"/>
  <c r="AC67" i="12"/>
  <c r="AC66" i="12"/>
  <c r="AC65" i="12"/>
  <c r="AC64" i="12"/>
  <c r="AC63" i="12"/>
  <c r="AC62" i="12"/>
  <c r="AC61" i="12"/>
  <c r="AC60" i="12"/>
  <c r="AC59" i="12"/>
  <c r="AC57" i="12"/>
  <c r="AC56" i="12"/>
  <c r="AC55" i="12"/>
  <c r="AC53" i="12"/>
  <c r="AC51" i="12"/>
  <c r="AC50" i="12"/>
  <c r="AC49" i="12"/>
  <c r="AC48" i="12"/>
  <c r="AC47" i="12"/>
  <c r="AC46" i="12"/>
  <c r="AC45" i="12"/>
  <c r="AC43" i="12"/>
  <c r="AC42" i="12"/>
  <c r="AC41" i="12"/>
  <c r="AC33" i="12" l="1"/>
  <c r="G1" i="17" l="1"/>
  <c r="G1" i="16"/>
  <c r="G1" i="15"/>
  <c r="G1" i="11"/>
  <c r="G1" i="10"/>
  <c r="K1" i="9"/>
  <c r="J1" i="19"/>
  <c r="I1" i="6"/>
  <c r="I1" i="5"/>
  <c r="I1" i="4"/>
  <c r="I1" i="3"/>
  <c r="I1" i="1"/>
  <c r="I1" i="8"/>
  <c r="H1" i="13"/>
  <c r="H1" i="20"/>
  <c r="B27" i="18"/>
  <c r="B26" i="18"/>
  <c r="D3" i="1" l="1"/>
  <c r="C3" i="8"/>
  <c r="B3" i="20"/>
  <c r="B3" i="18"/>
  <c r="A5" i="18"/>
  <c r="A2" i="18"/>
  <c r="H7" i="6"/>
  <c r="G7" i="6"/>
  <c r="F7" i="6"/>
  <c r="E7" i="6"/>
  <c r="D7" i="6"/>
  <c r="H7" i="5"/>
  <c r="G7" i="5"/>
  <c r="F7" i="5"/>
  <c r="E7" i="5"/>
  <c r="D7" i="5"/>
  <c r="H7" i="4"/>
  <c r="G7" i="4"/>
  <c r="F7" i="4"/>
  <c r="E7" i="4"/>
  <c r="D7" i="4"/>
  <c r="H7" i="3"/>
  <c r="G7" i="3"/>
  <c r="F7" i="3"/>
  <c r="E7" i="3"/>
  <c r="D7" i="3"/>
  <c r="H7" i="1"/>
  <c r="G7" i="1"/>
  <c r="F7" i="1"/>
  <c r="E7" i="1"/>
  <c r="D7" i="1"/>
  <c r="A2" i="22" l="1"/>
  <c r="A2" i="25"/>
  <c r="A2" i="23"/>
  <c r="A2" i="24"/>
  <c r="A2" i="6"/>
  <c r="A2" i="20"/>
  <c r="A2" i="9"/>
  <c r="A2" i="11"/>
  <c r="A2" i="4"/>
  <c r="A2" i="13"/>
  <c r="A2" i="1"/>
  <c r="A2" i="21"/>
  <c r="A2" i="16"/>
  <c r="A2" i="17"/>
  <c r="A2" i="3"/>
  <c r="A2" i="15"/>
  <c r="A2" i="5"/>
  <c r="A2" i="19"/>
  <c r="A2" i="8"/>
  <c r="A2" i="10"/>
  <c r="U124" i="12"/>
  <c r="U123" i="12"/>
  <c r="U122" i="12"/>
  <c r="U121" i="12"/>
  <c r="U120" i="12"/>
  <c r="U119" i="12"/>
  <c r="U118" i="12"/>
  <c r="U117" i="12"/>
  <c r="T124" i="12"/>
  <c r="V124" i="12" s="1"/>
  <c r="X124" i="12" s="1"/>
  <c r="T123" i="12"/>
  <c r="V123" i="12" s="1"/>
  <c r="T122" i="12"/>
  <c r="T121" i="12"/>
  <c r="L82" i="17"/>
  <c r="L81" i="17"/>
  <c r="L80" i="17"/>
  <c r="L79" i="17"/>
  <c r="T120" i="12"/>
  <c r="L61" i="17"/>
  <c r="I31" i="17"/>
  <c r="J31" i="17" s="1"/>
  <c r="L31" i="17"/>
  <c r="T119" i="12"/>
  <c r="T118" i="12"/>
  <c r="T117" i="12"/>
  <c r="L51" i="17"/>
  <c r="L50" i="17"/>
  <c r="L49" i="17"/>
  <c r="T116" i="12"/>
  <c r="T115" i="12"/>
  <c r="U114" i="12"/>
  <c r="T114" i="12"/>
  <c r="L30" i="17"/>
  <c r="L29" i="17"/>
  <c r="U113" i="12"/>
  <c r="T113" i="12"/>
  <c r="U112" i="12"/>
  <c r="T112" i="12"/>
  <c r="U111" i="12"/>
  <c r="T111" i="12"/>
  <c r="U110" i="12"/>
  <c r="T110" i="12"/>
  <c r="U109" i="12"/>
  <c r="T109" i="12"/>
  <c r="U108" i="12"/>
  <c r="T108" i="12"/>
  <c r="L14" i="17"/>
  <c r="L13" i="17"/>
  <c r="L12" i="17"/>
  <c r="L11" i="17"/>
  <c r="L10" i="17"/>
  <c r="L9" i="17"/>
  <c r="U107" i="12"/>
  <c r="T107" i="12"/>
  <c r="U106" i="12"/>
  <c r="T106" i="12"/>
  <c r="U105" i="12"/>
  <c r="T105" i="12"/>
  <c r="L51" i="16"/>
  <c r="L50" i="16"/>
  <c r="L49" i="16"/>
  <c r="U104" i="12"/>
  <c r="T104" i="12"/>
  <c r="U103" i="12"/>
  <c r="T103" i="12"/>
  <c r="U102" i="12"/>
  <c r="T102" i="12"/>
  <c r="U101" i="12"/>
  <c r="T101" i="12"/>
  <c r="U100" i="12"/>
  <c r="T100" i="12"/>
  <c r="U99" i="12"/>
  <c r="T99" i="12"/>
  <c r="L41" i="16"/>
  <c r="L40" i="16"/>
  <c r="L39" i="16"/>
  <c r="L38" i="16"/>
  <c r="L37" i="16"/>
  <c r="L36" i="16"/>
  <c r="U98" i="12"/>
  <c r="T98" i="12"/>
  <c r="U97" i="12"/>
  <c r="T97" i="12"/>
  <c r="U96" i="12"/>
  <c r="T96" i="12"/>
  <c r="L27" i="16"/>
  <c r="L26" i="16"/>
  <c r="L25" i="16"/>
  <c r="L12" i="16"/>
  <c r="L11" i="16"/>
  <c r="L10" i="16"/>
  <c r="U95" i="12"/>
  <c r="T95" i="12"/>
  <c r="U94" i="12"/>
  <c r="T94" i="12"/>
  <c r="U93" i="12"/>
  <c r="T93" i="12"/>
  <c r="U92" i="12"/>
  <c r="T92" i="12"/>
  <c r="L9" i="16"/>
  <c r="U91" i="12"/>
  <c r="T91" i="12"/>
  <c r="L172" i="15"/>
  <c r="U90" i="12"/>
  <c r="T90" i="12"/>
  <c r="U89" i="12"/>
  <c r="T89" i="12"/>
  <c r="U88" i="12"/>
  <c r="T88" i="12"/>
  <c r="L161" i="15"/>
  <c r="L160" i="15"/>
  <c r="L159" i="15"/>
  <c r="V85" i="12"/>
  <c r="X85" i="12" s="1"/>
  <c r="U87" i="12"/>
  <c r="U86" i="12"/>
  <c r="U84" i="12"/>
  <c r="U83" i="12"/>
  <c r="T87" i="12"/>
  <c r="T86" i="12"/>
  <c r="T84" i="12"/>
  <c r="T83" i="12"/>
  <c r="L148" i="15"/>
  <c r="L147" i="15"/>
  <c r="L146" i="15"/>
  <c r="L145" i="15"/>
  <c r="L144" i="15"/>
  <c r="U82" i="12"/>
  <c r="T82" i="12"/>
  <c r="U81" i="12"/>
  <c r="T81" i="12"/>
  <c r="U80" i="12"/>
  <c r="T80" i="12"/>
  <c r="U79" i="12"/>
  <c r="T79" i="12"/>
  <c r="U78" i="12"/>
  <c r="T78" i="12"/>
  <c r="L126" i="15"/>
  <c r="L125" i="15"/>
  <c r="L124" i="15"/>
  <c r="L123" i="15"/>
  <c r="L122" i="15"/>
  <c r="L108" i="15"/>
  <c r="L107" i="15"/>
  <c r="L106" i="15"/>
  <c r="L105" i="15"/>
  <c r="U77" i="12"/>
  <c r="U76" i="12"/>
  <c r="U75" i="12"/>
  <c r="U74" i="12"/>
  <c r="T77" i="12"/>
  <c r="T76" i="12"/>
  <c r="T75" i="12"/>
  <c r="V75" i="12" s="1"/>
  <c r="T74" i="12"/>
  <c r="L95" i="15"/>
  <c r="L94" i="15"/>
  <c r="L93" i="15"/>
  <c r="L92" i="15"/>
  <c r="L78" i="15"/>
  <c r="T73" i="12"/>
  <c r="V73" i="12" s="1"/>
  <c r="X73" i="12" s="1"/>
  <c r="T72" i="12"/>
  <c r="V72" i="12" s="1"/>
  <c r="X72" i="12" s="1"/>
  <c r="T71" i="12"/>
  <c r="V71" i="12" s="1"/>
  <c r="X71" i="12" s="1"/>
  <c r="T70" i="12"/>
  <c r="V70" i="12" s="1"/>
  <c r="X70" i="12" s="1"/>
  <c r="V69" i="12"/>
  <c r="X69" i="12" s="1"/>
  <c r="L57" i="15"/>
  <c r="L56" i="15"/>
  <c r="L55" i="15"/>
  <c r="L54" i="15"/>
  <c r="L53" i="15"/>
  <c r="L52" i="15"/>
  <c r="L51" i="15"/>
  <c r="L50" i="15"/>
  <c r="L49" i="15"/>
  <c r="L48" i="15"/>
  <c r="L47" i="15"/>
  <c r="L46" i="15"/>
  <c r="L45" i="15"/>
  <c r="L44" i="15"/>
  <c r="L43" i="15"/>
  <c r="L42" i="15"/>
  <c r="L41" i="15"/>
  <c r="L40" i="15"/>
  <c r="U68" i="12"/>
  <c r="U67" i="12"/>
  <c r="U66" i="12"/>
  <c r="U65" i="12"/>
  <c r="U64" i="12"/>
  <c r="U63" i="12"/>
  <c r="U62" i="12"/>
  <c r="U61" i="12"/>
  <c r="U60" i="12"/>
  <c r="U59" i="12"/>
  <c r="U58" i="12"/>
  <c r="U57" i="12"/>
  <c r="U56" i="12"/>
  <c r="U55" i="12"/>
  <c r="U54" i="12"/>
  <c r="U53" i="12"/>
  <c r="U52" i="12"/>
  <c r="U51" i="12"/>
  <c r="T68" i="12"/>
  <c r="T67" i="12"/>
  <c r="T66" i="12"/>
  <c r="T65" i="12"/>
  <c r="T64" i="12"/>
  <c r="T63" i="12"/>
  <c r="T62" i="12"/>
  <c r="T61" i="12"/>
  <c r="T60" i="12"/>
  <c r="T59" i="12"/>
  <c r="T58" i="12"/>
  <c r="T57" i="12"/>
  <c r="T56" i="12"/>
  <c r="T55" i="12"/>
  <c r="T54" i="12"/>
  <c r="T53" i="12"/>
  <c r="T52" i="12"/>
  <c r="T51" i="12"/>
  <c r="L18" i="15"/>
  <c r="L17" i="15"/>
  <c r="L16" i="15"/>
  <c r="L15" i="15"/>
  <c r="L14" i="15"/>
  <c r="L13" i="15"/>
  <c r="L12" i="15"/>
  <c r="L11" i="15"/>
  <c r="L10" i="15"/>
  <c r="T50" i="12"/>
  <c r="V50" i="12" s="1"/>
  <c r="X50" i="12" s="1"/>
  <c r="T49" i="12"/>
  <c r="V49" i="12" s="1"/>
  <c r="X49" i="12" s="1"/>
  <c r="T48" i="12"/>
  <c r="V48" i="12" s="1"/>
  <c r="X48" i="12" s="1"/>
  <c r="T47" i="12"/>
  <c r="V47" i="12" s="1"/>
  <c r="X47" i="12" s="1"/>
  <c r="T46" i="12"/>
  <c r="V46" i="12" s="1"/>
  <c r="X46" i="12" s="1"/>
  <c r="T45" i="12"/>
  <c r="V45" i="12" s="1"/>
  <c r="X45" i="12" s="1"/>
  <c r="T44" i="12"/>
  <c r="V44" i="12" s="1"/>
  <c r="X44" i="12" s="1"/>
  <c r="T43" i="12"/>
  <c r="V43" i="12" s="1"/>
  <c r="X43" i="12" s="1"/>
  <c r="T42" i="12"/>
  <c r="V42" i="12" s="1"/>
  <c r="X42" i="12" s="1"/>
  <c r="T41" i="12"/>
  <c r="V41" i="12" s="1"/>
  <c r="X41" i="12" s="1"/>
  <c r="L9" i="15"/>
  <c r="AC40" i="12"/>
  <c r="AA40" i="12"/>
  <c r="T40" i="12"/>
  <c r="Z40" i="12" s="1"/>
  <c r="AA39" i="12"/>
  <c r="Z39" i="12"/>
  <c r="AC39" i="12"/>
  <c r="V39" i="12"/>
  <c r="X39" i="12" s="1"/>
  <c r="AC38" i="12"/>
  <c r="AA38" i="12"/>
  <c r="T38" i="12"/>
  <c r="V38" i="12" s="1"/>
  <c r="X38" i="12" s="1"/>
  <c r="L41" i="11"/>
  <c r="L40" i="11"/>
  <c r="L39" i="11"/>
  <c r="L22" i="11"/>
  <c r="AC37" i="12"/>
  <c r="AA37" i="12"/>
  <c r="T37" i="12"/>
  <c r="Z37" i="12" s="1"/>
  <c r="L21" i="11"/>
  <c r="AC36" i="12"/>
  <c r="AA36" i="12"/>
  <c r="T36" i="12"/>
  <c r="V36" i="12" s="1"/>
  <c r="X36" i="12" s="1"/>
  <c r="L11" i="11"/>
  <c r="AC35" i="12"/>
  <c r="AA35" i="12"/>
  <c r="AA34" i="12"/>
  <c r="T35" i="12"/>
  <c r="Z35" i="12" s="1"/>
  <c r="L10" i="11"/>
  <c r="AC34" i="12"/>
  <c r="L117" i="10"/>
  <c r="AC27" i="12"/>
  <c r="AA27" i="12"/>
  <c r="Z27" i="12"/>
  <c r="V27" i="12"/>
  <c r="X27" i="12" s="1"/>
  <c r="T34" i="12"/>
  <c r="Z34" i="12" s="1"/>
  <c r="V33" i="12"/>
  <c r="X33" i="12" s="1"/>
  <c r="L9" i="11"/>
  <c r="L9" i="10"/>
  <c r="R1" i="12"/>
  <c r="V118" i="12" l="1"/>
  <c r="X118" i="12" s="1"/>
  <c r="F50" i="17" s="1"/>
  <c r="V117" i="12"/>
  <c r="X117" i="12" s="1"/>
  <c r="F9" i="11"/>
  <c r="F82" i="17"/>
  <c r="V120" i="12"/>
  <c r="X120" i="12" s="1"/>
  <c r="F61" i="17" s="1"/>
  <c r="V121" i="12"/>
  <c r="X121" i="12" s="1"/>
  <c r="F79" i="17" s="1"/>
  <c r="V122" i="12"/>
  <c r="X122" i="12" s="1"/>
  <c r="F80" i="17" s="1"/>
  <c r="X123" i="12"/>
  <c r="F81" i="17" s="1"/>
  <c r="F49" i="17"/>
  <c r="V119" i="12"/>
  <c r="X119" i="12" s="1"/>
  <c r="F51" i="17" s="1"/>
  <c r="V108" i="12"/>
  <c r="X108" i="12" s="1"/>
  <c r="F9" i="17" s="1"/>
  <c r="V114" i="12"/>
  <c r="X114" i="12" s="1"/>
  <c r="F29" i="17" s="1"/>
  <c r="V115" i="12"/>
  <c r="X115" i="12" s="1"/>
  <c r="F30" i="17" s="1"/>
  <c r="V116" i="12"/>
  <c r="X116" i="12" s="1"/>
  <c r="F31" i="17" s="1"/>
  <c r="V93" i="12"/>
  <c r="X93" i="12" s="1"/>
  <c r="F10" i="16" s="1"/>
  <c r="V96" i="12"/>
  <c r="X96" i="12" s="1"/>
  <c r="V98" i="12"/>
  <c r="X98" i="12" s="1"/>
  <c r="F27" i="16" s="1"/>
  <c r="V109" i="12"/>
  <c r="X109" i="12" s="1"/>
  <c r="F10" i="17" s="1"/>
  <c r="V110" i="12"/>
  <c r="X110" i="12" s="1"/>
  <c r="F11" i="17" s="1"/>
  <c r="V111" i="12"/>
  <c r="X111" i="12" s="1"/>
  <c r="F12" i="17" s="1"/>
  <c r="V112" i="12"/>
  <c r="X112" i="12" s="1"/>
  <c r="F13" i="17" s="1"/>
  <c r="V113" i="12"/>
  <c r="X113" i="12" s="1"/>
  <c r="F14" i="17" s="1"/>
  <c r="V97" i="12"/>
  <c r="X97" i="12" s="1"/>
  <c r="F26" i="16" s="1"/>
  <c r="V105" i="12"/>
  <c r="X105" i="12" s="1"/>
  <c r="F49" i="16" s="1"/>
  <c r="V106" i="12"/>
  <c r="X106" i="12" s="1"/>
  <c r="F50" i="16" s="1"/>
  <c r="V107" i="12"/>
  <c r="X107" i="12" s="1"/>
  <c r="F51" i="16" s="1"/>
  <c r="V99" i="12"/>
  <c r="X99" i="12" s="1"/>
  <c r="F36" i="16" s="1"/>
  <c r="V100" i="12"/>
  <c r="X100" i="12" s="1"/>
  <c r="F37" i="16" s="1"/>
  <c r="V101" i="12"/>
  <c r="X101" i="12" s="1"/>
  <c r="F38" i="16" s="1"/>
  <c r="V102" i="12"/>
  <c r="X102" i="12" s="1"/>
  <c r="F39" i="16" s="1"/>
  <c r="V103" i="12"/>
  <c r="X103" i="12" s="1"/>
  <c r="F40" i="16" s="1"/>
  <c r="V104" i="12"/>
  <c r="X104" i="12" s="1"/>
  <c r="F41" i="16" s="1"/>
  <c r="V91" i="12"/>
  <c r="X91" i="12" s="1"/>
  <c r="F172" i="15" s="1"/>
  <c r="V94" i="12"/>
  <c r="X94" i="12" s="1"/>
  <c r="F11" i="16" s="1"/>
  <c r="V89" i="12"/>
  <c r="X89" i="12" s="1"/>
  <c r="F160" i="15" s="1"/>
  <c r="V95" i="12"/>
  <c r="X95" i="12" s="1"/>
  <c r="F12" i="16" s="1"/>
  <c r="F93" i="15"/>
  <c r="F146" i="15"/>
  <c r="V88" i="12"/>
  <c r="X88" i="12" s="1"/>
  <c r="F159" i="15" s="1"/>
  <c r="V90" i="12"/>
  <c r="X90" i="12" s="1"/>
  <c r="F161" i="15" s="1"/>
  <c r="V81" i="12"/>
  <c r="X81" i="12" s="1"/>
  <c r="F125" i="15" s="1"/>
  <c r="V92" i="12"/>
  <c r="X92" i="12" s="1"/>
  <c r="F9" i="16" s="1"/>
  <c r="V84" i="12"/>
  <c r="X84" i="12" s="1"/>
  <c r="F145" i="15" s="1"/>
  <c r="F13" i="15"/>
  <c r="V80" i="12"/>
  <c r="X80" i="12" s="1"/>
  <c r="F124" i="15" s="1"/>
  <c r="V86" i="12"/>
  <c r="X86" i="12" s="1"/>
  <c r="F147" i="15" s="1"/>
  <c r="F78" i="15"/>
  <c r="F95" i="15"/>
  <c r="V79" i="12"/>
  <c r="X79" i="12" s="1"/>
  <c r="F123" i="15" s="1"/>
  <c r="V87" i="12"/>
  <c r="X87" i="12" s="1"/>
  <c r="F148" i="15" s="1"/>
  <c r="F17" i="15"/>
  <c r="F94" i="15"/>
  <c r="V78" i="12"/>
  <c r="X78" i="12" s="1"/>
  <c r="F122" i="15" s="1"/>
  <c r="F9" i="15"/>
  <c r="F11" i="15"/>
  <c r="F15" i="15"/>
  <c r="F92" i="15"/>
  <c r="V83" i="12"/>
  <c r="X83" i="12" s="1"/>
  <c r="F144" i="15" s="1"/>
  <c r="F10" i="15"/>
  <c r="F14" i="15"/>
  <c r="F18" i="15"/>
  <c r="F12" i="15"/>
  <c r="F16" i="15"/>
  <c r="V82" i="12"/>
  <c r="X82" i="12" s="1"/>
  <c r="F126" i="15" s="1"/>
  <c r="V74" i="12"/>
  <c r="X74" i="12" s="1"/>
  <c r="F105" i="15" s="1"/>
  <c r="Z36" i="12"/>
  <c r="V77" i="12"/>
  <c r="X77" i="12" s="1"/>
  <c r="F108" i="15" s="1"/>
  <c r="X75" i="12"/>
  <c r="F106" i="15" s="1"/>
  <c r="V76" i="12"/>
  <c r="X76" i="12" s="1"/>
  <c r="F107" i="15" s="1"/>
  <c r="V52" i="12"/>
  <c r="X52" i="12" s="1"/>
  <c r="F41" i="15" s="1"/>
  <c r="V56" i="12"/>
  <c r="X56" i="12" s="1"/>
  <c r="F45" i="15" s="1"/>
  <c r="V60" i="12"/>
  <c r="X60" i="12" s="1"/>
  <c r="F49" i="15" s="1"/>
  <c r="V64" i="12"/>
  <c r="X64" i="12" s="1"/>
  <c r="F53" i="15" s="1"/>
  <c r="V68" i="12"/>
  <c r="X68" i="12" s="1"/>
  <c r="F57" i="15" s="1"/>
  <c r="V40" i="12"/>
  <c r="X40" i="12" s="1"/>
  <c r="F41" i="11" s="1"/>
  <c r="V51" i="12"/>
  <c r="X51" i="12" s="1"/>
  <c r="F40" i="15" s="1"/>
  <c r="V55" i="12"/>
  <c r="X55" i="12" s="1"/>
  <c r="F44" i="15" s="1"/>
  <c r="V59" i="12"/>
  <c r="X59" i="12" s="1"/>
  <c r="F48" i="15" s="1"/>
  <c r="V63" i="12"/>
  <c r="X63" i="12" s="1"/>
  <c r="F52" i="15" s="1"/>
  <c r="V67" i="12"/>
  <c r="X67" i="12" s="1"/>
  <c r="F56" i="15" s="1"/>
  <c r="F40" i="11"/>
  <c r="V54" i="12"/>
  <c r="X54" i="12" s="1"/>
  <c r="F43" i="15" s="1"/>
  <c r="V58" i="12"/>
  <c r="X58" i="12" s="1"/>
  <c r="F47" i="15" s="1"/>
  <c r="V62" i="12"/>
  <c r="X62" i="12" s="1"/>
  <c r="F51" i="15" s="1"/>
  <c r="V66" i="12"/>
  <c r="X66" i="12" s="1"/>
  <c r="F55" i="15" s="1"/>
  <c r="V37" i="12"/>
  <c r="X37" i="12" s="1"/>
  <c r="F22" i="11" s="1"/>
  <c r="V53" i="12"/>
  <c r="X53" i="12" s="1"/>
  <c r="F42" i="15" s="1"/>
  <c r="V57" i="12"/>
  <c r="X57" i="12" s="1"/>
  <c r="F46" i="15" s="1"/>
  <c r="V61" i="12"/>
  <c r="X61" i="12" s="1"/>
  <c r="F50" i="15" s="1"/>
  <c r="V65" i="12"/>
  <c r="X65" i="12" s="1"/>
  <c r="F54" i="15" s="1"/>
  <c r="V34" i="12"/>
  <c r="X34" i="12" s="1"/>
  <c r="F10" i="11" s="1"/>
  <c r="Z38" i="12"/>
  <c r="V35" i="12"/>
  <c r="X35" i="12" s="1"/>
  <c r="F11" i="11" s="1"/>
  <c r="F39" i="11"/>
  <c r="F21" i="11"/>
  <c r="AC32" i="12"/>
  <c r="AA32" i="12"/>
  <c r="T32" i="12"/>
  <c r="V32" i="12" s="1"/>
  <c r="X32" i="12" s="1"/>
  <c r="L141" i="10"/>
  <c r="AA31" i="12"/>
  <c r="Z31" i="12"/>
  <c r="V31" i="12"/>
  <c r="X31" i="12" s="1"/>
  <c r="AC31" i="12"/>
  <c r="AC30" i="12"/>
  <c r="AA30" i="12"/>
  <c r="T30" i="12"/>
  <c r="V30" i="12" s="1"/>
  <c r="X30" i="12" s="1"/>
  <c r="AC29" i="12"/>
  <c r="AA29" i="12"/>
  <c r="T29" i="12"/>
  <c r="V29" i="12" s="1"/>
  <c r="X29" i="12" s="1"/>
  <c r="AC28" i="12"/>
  <c r="AA28" i="12"/>
  <c r="T28" i="12"/>
  <c r="V28" i="12" s="1"/>
  <c r="X28" i="12" s="1"/>
  <c r="L129" i="10"/>
  <c r="L128" i="10"/>
  <c r="L127" i="10"/>
  <c r="L126" i="10"/>
  <c r="AC26" i="12"/>
  <c r="AA26" i="12"/>
  <c r="T26" i="12"/>
  <c r="Z26" i="12" s="1"/>
  <c r="F117" i="10"/>
  <c r="L116" i="10"/>
  <c r="AA25" i="12"/>
  <c r="AC25" i="12"/>
  <c r="T25" i="12"/>
  <c r="V25" i="12" s="1"/>
  <c r="AC24" i="12"/>
  <c r="AA24" i="12"/>
  <c r="T24" i="12"/>
  <c r="V24" i="12" s="1"/>
  <c r="X24" i="12" s="1"/>
  <c r="AC23" i="12"/>
  <c r="AA23" i="12"/>
  <c r="T23" i="12"/>
  <c r="V23" i="12" s="1"/>
  <c r="X23" i="12" s="1"/>
  <c r="AC22" i="12"/>
  <c r="AA22" i="12"/>
  <c r="T22" i="12"/>
  <c r="V22" i="12" s="1"/>
  <c r="X22" i="12" s="1"/>
  <c r="L101" i="10"/>
  <c r="L100" i="10"/>
  <c r="L99" i="10"/>
  <c r="L98" i="10"/>
  <c r="AC21" i="12"/>
  <c r="AC20" i="12"/>
  <c r="AC19" i="12"/>
  <c r="AC18" i="12"/>
  <c r="AC17" i="12"/>
  <c r="AC16" i="12"/>
  <c r="AC15" i="12"/>
  <c r="AC14" i="12"/>
  <c r="AC13" i="12"/>
  <c r="AC12" i="12"/>
  <c r="AC11" i="12"/>
  <c r="AC9" i="12"/>
  <c r="AC8" i="12"/>
  <c r="AC7" i="12"/>
  <c r="AC6" i="12"/>
  <c r="AC5" i="12"/>
  <c r="AC4" i="12"/>
  <c r="AA21" i="12"/>
  <c r="T21" i="12"/>
  <c r="V21" i="12" s="1"/>
  <c r="X21" i="12" s="1"/>
  <c r="AA20" i="12"/>
  <c r="T20" i="12"/>
  <c r="V20" i="12" s="1"/>
  <c r="X20" i="12" s="1"/>
  <c r="AB1" i="12"/>
  <c r="AA19" i="12"/>
  <c r="T19" i="12"/>
  <c r="Z19" i="12" s="1"/>
  <c r="L89" i="10"/>
  <c r="L88" i="10"/>
  <c r="L87" i="10"/>
  <c r="L71" i="10"/>
  <c r="L58" i="10"/>
  <c r="L57" i="10"/>
  <c r="L56" i="10"/>
  <c r="L55" i="10"/>
  <c r="L40" i="10"/>
  <c r="L39" i="10"/>
  <c r="L38" i="10"/>
  <c r="L37" i="10"/>
  <c r="L36" i="10"/>
  <c r="L35" i="10"/>
  <c r="L34" i="10"/>
  <c r="L13" i="10"/>
  <c r="L12" i="10"/>
  <c r="L11" i="10"/>
  <c r="L10" i="10"/>
  <c r="F25" i="16" l="1"/>
  <c r="Z29" i="12"/>
  <c r="Z28" i="12"/>
  <c r="Z20" i="12"/>
  <c r="Z21" i="12"/>
  <c r="Z32" i="12"/>
  <c r="Z23" i="12"/>
  <c r="Z25" i="12"/>
  <c r="Z30" i="12"/>
  <c r="Z22" i="12"/>
  <c r="V19" i="12"/>
  <c r="X19" i="12" s="1"/>
  <c r="F87" i="10" s="1"/>
  <c r="F129" i="10"/>
  <c r="F141" i="10"/>
  <c r="F88" i="10"/>
  <c r="F98" i="10"/>
  <c r="F128" i="10"/>
  <c r="F100" i="10"/>
  <c r="F99" i="10"/>
  <c r="F89" i="10"/>
  <c r="F127" i="10"/>
  <c r="F126" i="10"/>
  <c r="V26" i="12"/>
  <c r="X26" i="12" s="1"/>
  <c r="F116" i="10" s="1"/>
  <c r="X25" i="12"/>
  <c r="F101" i="10" s="1"/>
  <c r="AA18" i="12"/>
  <c r="T18" i="12"/>
  <c r="AA17" i="12"/>
  <c r="AA16" i="12"/>
  <c r="AA15" i="12"/>
  <c r="AA14" i="12"/>
  <c r="AA13" i="12"/>
  <c r="AA12" i="12"/>
  <c r="AA11" i="12"/>
  <c r="AA9" i="12"/>
  <c r="AA8" i="12"/>
  <c r="AA7" i="12"/>
  <c r="AA6" i="12"/>
  <c r="AA5" i="12"/>
  <c r="AA4" i="12"/>
  <c r="T17" i="12"/>
  <c r="T16" i="12"/>
  <c r="T15" i="12"/>
  <c r="T14" i="12"/>
  <c r="T13" i="12"/>
  <c r="T12" i="12"/>
  <c r="T11" i="12"/>
  <c r="T9" i="12"/>
  <c r="T8" i="12"/>
  <c r="T7" i="12"/>
  <c r="T6" i="12"/>
  <c r="T5" i="12"/>
  <c r="T4" i="12"/>
  <c r="I11" i="8"/>
  <c r="I10" i="8"/>
  <c r="I9" i="8"/>
  <c r="I8" i="8"/>
  <c r="I7" i="8"/>
  <c r="H11" i="8"/>
  <c r="H10" i="8"/>
  <c r="H9" i="8"/>
  <c r="H8" i="8"/>
  <c r="H7" i="8"/>
  <c r="G11" i="8"/>
  <c r="G10" i="8"/>
  <c r="G9" i="8"/>
  <c r="G8" i="8"/>
  <c r="F11" i="8"/>
  <c r="F10" i="8"/>
  <c r="F9" i="8"/>
  <c r="F8" i="8"/>
  <c r="F7" i="8"/>
  <c r="E11" i="8"/>
  <c r="E10" i="8"/>
  <c r="E9" i="8"/>
  <c r="E8" i="8"/>
  <c r="G7" i="8"/>
  <c r="E7" i="8"/>
  <c r="D10" i="8" l="1"/>
  <c r="D8" i="8"/>
  <c r="D11" i="8"/>
  <c r="D9" i="8"/>
  <c r="D7" i="8"/>
  <c r="Z9" i="12"/>
  <c r="V9" i="12"/>
  <c r="X9" i="12" s="1"/>
  <c r="Z6" i="12"/>
  <c r="V6" i="12"/>
  <c r="X6" i="12" s="1"/>
  <c r="F11" i="10" s="1"/>
  <c r="Z11" i="12"/>
  <c r="V11" i="12"/>
  <c r="X11" i="12" s="1"/>
  <c r="F36" i="10" s="1"/>
  <c r="Z16" i="12"/>
  <c r="V16" i="12"/>
  <c r="X16" i="12" s="1"/>
  <c r="F56" i="10" s="1"/>
  <c r="Z18" i="12"/>
  <c r="V18" i="12"/>
  <c r="X18" i="12" s="1"/>
  <c r="F71" i="10" s="1"/>
  <c r="Z7" i="12"/>
  <c r="V7" i="12"/>
  <c r="X7" i="12" s="1"/>
  <c r="F12" i="10" s="1"/>
  <c r="Z12" i="12"/>
  <c r="V12" i="12"/>
  <c r="X12" i="12" s="1"/>
  <c r="F38" i="10" s="1"/>
  <c r="Z15" i="12"/>
  <c r="V15" i="12"/>
  <c r="X15" i="12" s="1"/>
  <c r="Z17" i="12"/>
  <c r="V17" i="12"/>
  <c r="X17" i="12" s="1"/>
  <c r="F58" i="10" s="1"/>
  <c r="Z5" i="12"/>
  <c r="V5" i="12"/>
  <c r="X5" i="12" s="1"/>
  <c r="F10" i="10" s="1"/>
  <c r="Z14" i="12"/>
  <c r="V14" i="12"/>
  <c r="X14" i="12" s="1"/>
  <c r="F40" i="10" s="1"/>
  <c r="Z4" i="12"/>
  <c r="V4" i="12"/>
  <c r="X4" i="12" s="1"/>
  <c r="Z8" i="12"/>
  <c r="V8" i="12"/>
  <c r="X8" i="12" s="1"/>
  <c r="F13" i="10" s="1"/>
  <c r="Z13" i="12"/>
  <c r="V13" i="12"/>
  <c r="X13" i="12" s="1"/>
  <c r="F39" i="10" s="1"/>
  <c r="D15" i="8" l="1"/>
  <c r="F34" i="10"/>
  <c r="F9" i="10"/>
  <c r="F57" i="10"/>
  <c r="F55" i="10"/>
  <c r="F35" i="10"/>
  <c r="F37" i="10"/>
  <c r="I143" i="10"/>
  <c r="J143" i="10" s="1"/>
  <c r="I144" i="10"/>
  <c r="J144" i="10" s="1"/>
  <c r="A4" i="20" l="1"/>
  <c r="F4" i="20"/>
  <c r="D3" i="20"/>
  <c r="D2" i="20"/>
  <c r="D1" i="20"/>
  <c r="A1" i="20"/>
  <c r="E3" i="17" l="1"/>
  <c r="E2" i="17"/>
  <c r="E1" i="17"/>
  <c r="A1" i="17"/>
  <c r="E3" i="16"/>
  <c r="E2" i="16"/>
  <c r="E1" i="16"/>
  <c r="A1" i="16"/>
  <c r="E3" i="15"/>
  <c r="E2" i="15"/>
  <c r="E1" i="15"/>
  <c r="A1" i="15"/>
  <c r="E3" i="11"/>
  <c r="E2" i="11"/>
  <c r="E1" i="11"/>
  <c r="A1" i="11"/>
  <c r="E3" i="10"/>
  <c r="E2" i="10"/>
  <c r="E1" i="10"/>
  <c r="A1" i="10"/>
  <c r="E3" i="9"/>
  <c r="E2" i="9"/>
  <c r="E1" i="9"/>
  <c r="A1" i="9"/>
  <c r="E3" i="19"/>
  <c r="E2" i="19"/>
  <c r="E1" i="19"/>
  <c r="A1" i="19"/>
  <c r="F3" i="6"/>
  <c r="F2" i="6"/>
  <c r="F1" i="6"/>
  <c r="A1" i="6"/>
  <c r="F3" i="5"/>
  <c r="F2" i="5"/>
  <c r="F1" i="5"/>
  <c r="A1" i="5"/>
  <c r="F3" i="4"/>
  <c r="F2" i="4"/>
  <c r="F1" i="4"/>
  <c r="A1" i="4"/>
  <c r="F3" i="3"/>
  <c r="F3" i="1"/>
  <c r="F1" i="1"/>
  <c r="F1" i="3"/>
  <c r="E3" i="8"/>
  <c r="E1" i="13"/>
  <c r="E1" i="8"/>
  <c r="E3" i="13"/>
  <c r="F3" i="18"/>
  <c r="F1" i="18"/>
  <c r="F2" i="3" l="1"/>
  <c r="F2" i="18"/>
  <c r="J1" i="18"/>
  <c r="C7" i="6"/>
  <c r="B7" i="6"/>
  <c r="C7" i="5"/>
  <c r="B7" i="5"/>
  <c r="C7" i="4"/>
  <c r="B7" i="4"/>
  <c r="C7" i="3"/>
  <c r="B7" i="3"/>
  <c r="C7" i="1"/>
  <c r="F2" i="1"/>
  <c r="A1" i="1"/>
  <c r="E2" i="8"/>
  <c r="A1" i="8"/>
  <c r="E14" i="13" l="1"/>
  <c r="E2" i="13"/>
  <c r="A1" i="13" l="1"/>
  <c r="B25" i="18"/>
  <c r="I91" i="17" l="1"/>
  <c r="J91" i="17" s="1"/>
  <c r="I89" i="17"/>
  <c r="J89" i="17" s="1"/>
  <c r="I90" i="17"/>
  <c r="J90" i="17" s="1"/>
  <c r="I86" i="17"/>
  <c r="J86" i="17" s="1"/>
  <c r="I87" i="17"/>
  <c r="J87" i="17" s="1"/>
  <c r="I88" i="17"/>
  <c r="J88" i="17" s="1"/>
  <c r="I83" i="17"/>
  <c r="J83" i="17" s="1"/>
  <c r="I84" i="17"/>
  <c r="J84" i="17" s="1"/>
  <c r="I85" i="17"/>
  <c r="J85" i="17" s="1"/>
  <c r="I80" i="17"/>
  <c r="J80" i="17" s="1"/>
  <c r="I81" i="17"/>
  <c r="J81" i="17" s="1"/>
  <c r="I82" i="17"/>
  <c r="J82" i="17" s="1"/>
  <c r="I79" i="17"/>
  <c r="J79" i="17" s="1"/>
  <c r="I77" i="17"/>
  <c r="J77" i="17" s="1"/>
  <c r="I78" i="17"/>
  <c r="J78" i="17" s="1"/>
  <c r="I74" i="17"/>
  <c r="J74" i="17" s="1"/>
  <c r="I75" i="17"/>
  <c r="J75" i="17" s="1"/>
  <c r="I76" i="17"/>
  <c r="J76" i="17" s="1"/>
  <c r="I70" i="17"/>
  <c r="J70" i="17" s="1"/>
  <c r="I71" i="17"/>
  <c r="J71" i="17" s="1"/>
  <c r="I72" i="17"/>
  <c r="J72" i="17" s="1"/>
  <c r="I73" i="17"/>
  <c r="J73" i="17" s="1"/>
  <c r="I62" i="17"/>
  <c r="J62" i="17" s="1"/>
  <c r="I63" i="17"/>
  <c r="J63" i="17" s="1"/>
  <c r="I64" i="17"/>
  <c r="J64" i="17" s="1"/>
  <c r="I65" i="17"/>
  <c r="J65" i="17" s="1"/>
  <c r="I66" i="17"/>
  <c r="J66" i="17" s="1"/>
  <c r="I67" i="17"/>
  <c r="J67" i="17" s="1"/>
  <c r="I68" i="17"/>
  <c r="J68" i="17" s="1"/>
  <c r="I69" i="17"/>
  <c r="J69" i="17" s="1"/>
  <c r="I61" i="17"/>
  <c r="J61" i="17" s="1"/>
  <c r="I60" i="17"/>
  <c r="J60" i="17" s="1"/>
  <c r="I58" i="17"/>
  <c r="J58" i="17" s="1"/>
  <c r="I59" i="17"/>
  <c r="J59" i="17" s="1"/>
  <c r="I53" i="17"/>
  <c r="J53" i="17" s="1"/>
  <c r="I54" i="17"/>
  <c r="J54" i="17" s="1"/>
  <c r="I55" i="17"/>
  <c r="J55" i="17" s="1"/>
  <c r="I56" i="17"/>
  <c r="J56" i="17" s="1"/>
  <c r="I57" i="17"/>
  <c r="J57" i="17" s="1"/>
  <c r="I52" i="17"/>
  <c r="J52" i="17" s="1"/>
  <c r="I50" i="17"/>
  <c r="J50" i="17" s="1"/>
  <c r="I51" i="17"/>
  <c r="J51" i="17" s="1"/>
  <c r="I49" i="17"/>
  <c r="J49" i="17" s="1"/>
  <c r="I45" i="17"/>
  <c r="J45" i="17" s="1"/>
  <c r="I46" i="17"/>
  <c r="J46" i="17" s="1"/>
  <c r="I47" i="17"/>
  <c r="J47" i="17" s="1"/>
  <c r="I48" i="17"/>
  <c r="J48" i="17" s="1"/>
  <c r="I40" i="17"/>
  <c r="J40" i="17" s="1"/>
  <c r="I41" i="17"/>
  <c r="J41" i="17" s="1"/>
  <c r="I42" i="17"/>
  <c r="J42" i="17" s="1"/>
  <c r="I43" i="17"/>
  <c r="J43" i="17" s="1"/>
  <c r="I44" i="17"/>
  <c r="J44" i="17" s="1"/>
  <c r="I35" i="17"/>
  <c r="J35" i="17" s="1"/>
  <c r="I36" i="17"/>
  <c r="J36" i="17" s="1"/>
  <c r="I37" i="17"/>
  <c r="J37" i="17" s="1"/>
  <c r="I38" i="17"/>
  <c r="J38" i="17" s="1"/>
  <c r="I39" i="17"/>
  <c r="J39" i="17" s="1"/>
  <c r="I32" i="17"/>
  <c r="J32" i="17" s="1"/>
  <c r="I33" i="17"/>
  <c r="J33" i="17" s="1"/>
  <c r="I34" i="17"/>
  <c r="J34" i="17" s="1"/>
  <c r="I29" i="17"/>
  <c r="J29" i="17" s="1"/>
  <c r="I30" i="17"/>
  <c r="J30" i="17" s="1"/>
  <c r="I27" i="17"/>
  <c r="J27" i="17" s="1"/>
  <c r="I28" i="17"/>
  <c r="J28" i="17" s="1"/>
  <c r="I24" i="17"/>
  <c r="J24" i="17" s="1"/>
  <c r="I25" i="17"/>
  <c r="J25" i="17" s="1"/>
  <c r="I26" i="17"/>
  <c r="J26" i="17" s="1"/>
  <c r="I20" i="17"/>
  <c r="J20" i="17" s="1"/>
  <c r="I21" i="17"/>
  <c r="J21" i="17" s="1"/>
  <c r="I22" i="17"/>
  <c r="J22" i="17" s="1"/>
  <c r="I23" i="17"/>
  <c r="J23" i="17" s="1"/>
  <c r="I15" i="17"/>
  <c r="J15" i="17" s="1"/>
  <c r="I16" i="17"/>
  <c r="J16" i="17" s="1"/>
  <c r="I17" i="17"/>
  <c r="J17" i="17" s="1"/>
  <c r="I18" i="17"/>
  <c r="J18" i="17" s="1"/>
  <c r="I19" i="17"/>
  <c r="J19" i="17" s="1"/>
  <c r="I11" i="17"/>
  <c r="J11" i="17" s="1"/>
  <c r="I12" i="17"/>
  <c r="J12" i="17" s="1"/>
  <c r="I13" i="17"/>
  <c r="J13" i="17" s="1"/>
  <c r="I14" i="17"/>
  <c r="J14" i="17" s="1"/>
  <c r="I59" i="16"/>
  <c r="J59" i="16" s="1"/>
  <c r="I58" i="16"/>
  <c r="J58" i="16" s="1"/>
  <c r="I56" i="16"/>
  <c r="J56" i="16" s="1"/>
  <c r="I57" i="16"/>
  <c r="J57" i="16" s="1"/>
  <c r="I52" i="16"/>
  <c r="J52" i="16" s="1"/>
  <c r="I53" i="16"/>
  <c r="J53" i="16" s="1"/>
  <c r="I54" i="16"/>
  <c r="J54" i="16" s="1"/>
  <c r="I55" i="16"/>
  <c r="J55" i="16" s="1"/>
  <c r="I50" i="16"/>
  <c r="J50" i="16" s="1"/>
  <c r="I51" i="16"/>
  <c r="J51" i="16" s="1"/>
  <c r="I182" i="15"/>
  <c r="J182" i="15" s="1"/>
  <c r="I181" i="15"/>
  <c r="J181" i="15" s="1"/>
  <c r="I180" i="15"/>
  <c r="J180" i="15" s="1"/>
  <c r="I179" i="15"/>
  <c r="J179" i="15" s="1"/>
  <c r="I178" i="15"/>
  <c r="J178" i="15" s="1"/>
  <c r="I177" i="15"/>
  <c r="J177" i="15" s="1"/>
  <c r="I176" i="15"/>
  <c r="J176" i="15" s="1"/>
  <c r="I175" i="15"/>
  <c r="J175" i="15" s="1"/>
  <c r="I174" i="15"/>
  <c r="J174" i="15" s="1"/>
  <c r="I173" i="15"/>
  <c r="J173" i="15" s="1"/>
  <c r="I172" i="15"/>
  <c r="J172" i="15" s="1"/>
  <c r="I171" i="15"/>
  <c r="J171" i="15" s="1"/>
  <c r="I170" i="15"/>
  <c r="J170" i="15" s="1"/>
  <c r="I169" i="15"/>
  <c r="J169" i="15" s="1"/>
  <c r="I168" i="15"/>
  <c r="J168" i="15" s="1"/>
  <c r="I167" i="15"/>
  <c r="J167" i="15" s="1"/>
  <c r="I166" i="15"/>
  <c r="J166" i="15" s="1"/>
  <c r="I165" i="15"/>
  <c r="J165" i="15" s="1"/>
  <c r="I164" i="15"/>
  <c r="J164" i="15" s="1"/>
  <c r="I163" i="15"/>
  <c r="J163" i="15" s="1"/>
  <c r="I162" i="15"/>
  <c r="J162" i="15" s="1"/>
  <c r="I161" i="15"/>
  <c r="J161" i="15" s="1"/>
  <c r="I160" i="15"/>
  <c r="J160" i="15" s="1"/>
  <c r="I159" i="15"/>
  <c r="J159" i="15" s="1"/>
  <c r="I158" i="15"/>
  <c r="J158" i="15" s="1"/>
  <c r="I157" i="15"/>
  <c r="J157" i="15" s="1"/>
  <c r="I156" i="15"/>
  <c r="J156" i="15" s="1"/>
  <c r="I155" i="15"/>
  <c r="J155" i="15" s="1"/>
  <c r="I154" i="15"/>
  <c r="J154" i="15" s="1"/>
  <c r="I153" i="15"/>
  <c r="J153" i="15" s="1"/>
  <c r="I152" i="15"/>
  <c r="J152" i="15" s="1"/>
  <c r="I151" i="15"/>
  <c r="J151" i="15" s="1"/>
  <c r="I150" i="15"/>
  <c r="J150" i="15" s="1"/>
  <c r="I149" i="15"/>
  <c r="J149" i="15" s="1"/>
  <c r="I148" i="15"/>
  <c r="J148" i="15" s="1"/>
  <c r="I147" i="15"/>
  <c r="J147" i="15" s="1"/>
  <c r="I146" i="15"/>
  <c r="J146" i="15" s="1"/>
  <c r="I145" i="15"/>
  <c r="J145" i="15" s="1"/>
  <c r="I144" i="15"/>
  <c r="J144" i="15" s="1"/>
  <c r="I143" i="15"/>
  <c r="J143" i="15" s="1"/>
  <c r="I142" i="15"/>
  <c r="J142" i="15" s="1"/>
  <c r="I141" i="15"/>
  <c r="J141" i="15" s="1"/>
  <c r="I140" i="15"/>
  <c r="J140" i="15" s="1"/>
  <c r="I139" i="15"/>
  <c r="J139" i="15" s="1"/>
  <c r="I138" i="15"/>
  <c r="J138" i="15" s="1"/>
  <c r="I137" i="15"/>
  <c r="J137" i="15" s="1"/>
  <c r="I136" i="15"/>
  <c r="J136" i="15" s="1"/>
  <c r="I135" i="15"/>
  <c r="J135" i="15" s="1"/>
  <c r="I134" i="15"/>
  <c r="J134" i="15" s="1"/>
  <c r="I133" i="15"/>
  <c r="J133" i="15" s="1"/>
  <c r="I132" i="15"/>
  <c r="J132" i="15" s="1"/>
  <c r="I131" i="15"/>
  <c r="J131" i="15" s="1"/>
  <c r="I130" i="15"/>
  <c r="J130" i="15" s="1"/>
  <c r="I129" i="15"/>
  <c r="J129" i="15" s="1"/>
  <c r="I128" i="15"/>
  <c r="J128" i="15" s="1"/>
  <c r="I127" i="15"/>
  <c r="J127" i="15" s="1"/>
  <c r="I126" i="15"/>
  <c r="J126" i="15" s="1"/>
  <c r="I125" i="15"/>
  <c r="J125" i="15" s="1"/>
  <c r="I124" i="15"/>
  <c r="J124" i="15" s="1"/>
  <c r="I123" i="15"/>
  <c r="J123" i="15" s="1"/>
  <c r="I122" i="15"/>
  <c r="J122" i="15" s="1"/>
  <c r="I121" i="15"/>
  <c r="J121" i="15" s="1"/>
  <c r="I120" i="15"/>
  <c r="J120" i="15" s="1"/>
  <c r="I119" i="15"/>
  <c r="J119" i="15" s="1"/>
  <c r="I118" i="15"/>
  <c r="J118" i="15" s="1"/>
  <c r="I117" i="15"/>
  <c r="J117" i="15" s="1"/>
  <c r="I116" i="15"/>
  <c r="J116" i="15" s="1"/>
  <c r="I115" i="15"/>
  <c r="J115" i="15" s="1"/>
  <c r="I114" i="15"/>
  <c r="J114" i="15" s="1"/>
  <c r="I113" i="15"/>
  <c r="J113" i="15" s="1"/>
  <c r="I112" i="15"/>
  <c r="J112" i="15" s="1"/>
  <c r="I111" i="15"/>
  <c r="J111" i="15" s="1"/>
  <c r="I110" i="15"/>
  <c r="J110" i="15" s="1"/>
  <c r="I109" i="15"/>
  <c r="J109" i="15" s="1"/>
  <c r="I108" i="15"/>
  <c r="J108" i="15" s="1"/>
  <c r="I107" i="15"/>
  <c r="J107" i="15" s="1"/>
  <c r="I106" i="15"/>
  <c r="J106" i="15" s="1"/>
  <c r="I105" i="15"/>
  <c r="J105" i="15" s="1"/>
  <c r="I104" i="15"/>
  <c r="J104" i="15" s="1"/>
  <c r="I103" i="15"/>
  <c r="J103" i="15" s="1"/>
  <c r="I102" i="15"/>
  <c r="J102" i="15" s="1"/>
  <c r="I101" i="15"/>
  <c r="J101" i="15" s="1"/>
  <c r="I100" i="15"/>
  <c r="J100" i="15" s="1"/>
  <c r="I99" i="15"/>
  <c r="J99" i="15" s="1"/>
  <c r="I98" i="15"/>
  <c r="J98" i="15" s="1"/>
  <c r="I97" i="15"/>
  <c r="J97" i="15" s="1"/>
  <c r="I96" i="15"/>
  <c r="J96" i="15" s="1"/>
  <c r="I95" i="15"/>
  <c r="J95" i="15" s="1"/>
  <c r="I94" i="15"/>
  <c r="J94" i="15" s="1"/>
  <c r="I93" i="15"/>
  <c r="J93" i="15" s="1"/>
  <c r="I92" i="15"/>
  <c r="J92" i="15" s="1"/>
  <c r="I91" i="15"/>
  <c r="J91" i="15" s="1"/>
  <c r="I90" i="15"/>
  <c r="J90" i="15" s="1"/>
  <c r="I89" i="15"/>
  <c r="J89" i="15" s="1"/>
  <c r="I88" i="15"/>
  <c r="J88" i="15" s="1"/>
  <c r="I87" i="15"/>
  <c r="J87" i="15" s="1"/>
  <c r="I86" i="15"/>
  <c r="J86" i="15" s="1"/>
  <c r="I85" i="15"/>
  <c r="J85" i="15" s="1"/>
  <c r="I84" i="15"/>
  <c r="J84" i="15" s="1"/>
  <c r="I83" i="15"/>
  <c r="J83" i="15" s="1"/>
  <c r="I82" i="15"/>
  <c r="J82" i="15" s="1"/>
  <c r="I81" i="15"/>
  <c r="J81" i="15" s="1"/>
  <c r="I80" i="15"/>
  <c r="J80" i="15" s="1"/>
  <c r="I79" i="15"/>
  <c r="J79" i="15" s="1"/>
  <c r="I78" i="15"/>
  <c r="J78" i="15" s="1"/>
  <c r="I77" i="15"/>
  <c r="J77" i="15" s="1"/>
  <c r="I76" i="15"/>
  <c r="J76" i="15" s="1"/>
  <c r="I75" i="15"/>
  <c r="J75" i="15" s="1"/>
  <c r="I74" i="15"/>
  <c r="J74" i="15" s="1"/>
  <c r="I73" i="15"/>
  <c r="J73" i="15" s="1"/>
  <c r="I72" i="15"/>
  <c r="J72" i="15" s="1"/>
  <c r="I71" i="15"/>
  <c r="J71" i="15" s="1"/>
  <c r="I70" i="15"/>
  <c r="J70" i="15" s="1"/>
  <c r="I69" i="15"/>
  <c r="J69" i="15" s="1"/>
  <c r="I68" i="15"/>
  <c r="J68" i="15" s="1"/>
  <c r="I67" i="15"/>
  <c r="J67" i="15" s="1"/>
  <c r="I66" i="15"/>
  <c r="J66" i="15" s="1"/>
  <c r="I65" i="15"/>
  <c r="J65" i="15" s="1"/>
  <c r="I64" i="15"/>
  <c r="J64" i="15" s="1"/>
  <c r="I63" i="15"/>
  <c r="J63" i="15" s="1"/>
  <c r="I62" i="15"/>
  <c r="J62" i="15" s="1"/>
  <c r="I61" i="15"/>
  <c r="J61" i="15" s="1"/>
  <c r="I60" i="15"/>
  <c r="J60" i="15" s="1"/>
  <c r="I59" i="15"/>
  <c r="J59" i="15" s="1"/>
  <c r="I58" i="15"/>
  <c r="J58" i="15" s="1"/>
  <c r="I57" i="15"/>
  <c r="J57" i="15" s="1"/>
  <c r="I56" i="15"/>
  <c r="J56" i="15" s="1"/>
  <c r="I55" i="15"/>
  <c r="J55" i="15" s="1"/>
  <c r="I54" i="15"/>
  <c r="J54" i="15" s="1"/>
  <c r="I53" i="15"/>
  <c r="J53" i="15" s="1"/>
  <c r="I52" i="15"/>
  <c r="J52" i="15" s="1"/>
  <c r="I51" i="15"/>
  <c r="J51" i="15" s="1"/>
  <c r="I50" i="15"/>
  <c r="J50" i="15" s="1"/>
  <c r="I49" i="15"/>
  <c r="J49" i="15" s="1"/>
  <c r="I48" i="15"/>
  <c r="J48" i="15" s="1"/>
  <c r="I47" i="15"/>
  <c r="J47" i="15" s="1"/>
  <c r="I46" i="15"/>
  <c r="J46" i="15" s="1"/>
  <c r="I45" i="15"/>
  <c r="J45" i="15" s="1"/>
  <c r="I44" i="15"/>
  <c r="J44" i="15" s="1"/>
  <c r="I43" i="15"/>
  <c r="J43" i="15" s="1"/>
  <c r="I42" i="15"/>
  <c r="J42" i="15" s="1"/>
  <c r="I41" i="15"/>
  <c r="J41" i="15" s="1"/>
  <c r="I40" i="15"/>
  <c r="J40" i="15" s="1"/>
  <c r="I39" i="15"/>
  <c r="J39" i="15" s="1"/>
  <c r="I38" i="15"/>
  <c r="J38" i="15" s="1"/>
  <c r="I37" i="15"/>
  <c r="J37" i="15" s="1"/>
  <c r="I36" i="15"/>
  <c r="J36" i="15" s="1"/>
  <c r="I35" i="15"/>
  <c r="J35" i="15" s="1"/>
  <c r="I34" i="15"/>
  <c r="J34" i="15" s="1"/>
  <c r="I33" i="15"/>
  <c r="J33" i="15" s="1"/>
  <c r="I32" i="15"/>
  <c r="J32" i="15" s="1"/>
  <c r="I31" i="15"/>
  <c r="J31" i="15" s="1"/>
  <c r="I30" i="15"/>
  <c r="J30" i="15" s="1"/>
  <c r="I29" i="15"/>
  <c r="J29" i="15" s="1"/>
  <c r="I28" i="15"/>
  <c r="J28" i="15" s="1"/>
  <c r="I27" i="15"/>
  <c r="J27" i="15" s="1"/>
  <c r="I26" i="15"/>
  <c r="J26" i="15" s="1"/>
  <c r="I25" i="15"/>
  <c r="J25" i="15" s="1"/>
  <c r="I24" i="15"/>
  <c r="J24" i="15" s="1"/>
  <c r="I23" i="15"/>
  <c r="J23" i="15" s="1"/>
  <c r="I22" i="15"/>
  <c r="J22" i="15" s="1"/>
  <c r="I21" i="15"/>
  <c r="J21" i="15" s="1"/>
  <c r="I20" i="15"/>
  <c r="J20" i="15" s="1"/>
  <c r="I19" i="15"/>
  <c r="J19" i="15" s="1"/>
  <c r="I18" i="15"/>
  <c r="J18" i="15" s="1"/>
  <c r="I17" i="15"/>
  <c r="J17" i="15" s="1"/>
  <c r="I16" i="15"/>
  <c r="J16" i="15" s="1"/>
  <c r="I15" i="15"/>
  <c r="J15" i="15" s="1"/>
  <c r="I14" i="15"/>
  <c r="J14" i="15" s="1"/>
  <c r="I13" i="15"/>
  <c r="J13" i="15" s="1"/>
  <c r="I12" i="15"/>
  <c r="J12" i="15" s="1"/>
  <c r="I11" i="15"/>
  <c r="J11" i="15" s="1"/>
  <c r="I10" i="15"/>
  <c r="J10" i="15" s="1"/>
  <c r="I10" i="17"/>
  <c r="J10" i="17" s="1"/>
  <c r="I9" i="17"/>
  <c r="I49" i="16"/>
  <c r="J49" i="16" s="1"/>
  <c r="I48" i="16"/>
  <c r="J48" i="16" s="1"/>
  <c r="I47" i="16"/>
  <c r="J47" i="16" s="1"/>
  <c r="I46" i="16"/>
  <c r="J46" i="16" s="1"/>
  <c r="I45" i="16"/>
  <c r="J45" i="16" s="1"/>
  <c r="I44" i="16"/>
  <c r="J44" i="16" s="1"/>
  <c r="I43" i="16"/>
  <c r="J43" i="16" s="1"/>
  <c r="I42" i="16"/>
  <c r="J42" i="16" s="1"/>
  <c r="I41" i="16"/>
  <c r="J41" i="16" s="1"/>
  <c r="I40" i="16"/>
  <c r="J40" i="16" s="1"/>
  <c r="I39" i="16"/>
  <c r="J39" i="16" s="1"/>
  <c r="I38" i="16"/>
  <c r="J38" i="16" s="1"/>
  <c r="I37" i="16"/>
  <c r="J37" i="16" s="1"/>
  <c r="I36" i="16"/>
  <c r="J36" i="16" s="1"/>
  <c r="I35" i="16"/>
  <c r="J35" i="16" s="1"/>
  <c r="I34" i="16"/>
  <c r="J34" i="16" s="1"/>
  <c r="I33" i="16"/>
  <c r="J33" i="16" s="1"/>
  <c r="I32" i="16"/>
  <c r="J32" i="16" s="1"/>
  <c r="I31" i="16"/>
  <c r="J31" i="16" s="1"/>
  <c r="I30" i="16"/>
  <c r="J30" i="16" s="1"/>
  <c r="I29" i="16"/>
  <c r="J29" i="16" s="1"/>
  <c r="I28" i="16"/>
  <c r="J28" i="16" s="1"/>
  <c r="I27" i="16"/>
  <c r="J27" i="16" s="1"/>
  <c r="I26" i="16"/>
  <c r="J26" i="16" s="1"/>
  <c r="I25" i="16"/>
  <c r="J25" i="16" s="1"/>
  <c r="I24" i="16"/>
  <c r="J24" i="16" s="1"/>
  <c r="I23" i="16"/>
  <c r="J23" i="16" s="1"/>
  <c r="I22" i="16"/>
  <c r="J22" i="16" s="1"/>
  <c r="I21" i="16"/>
  <c r="J21" i="16" s="1"/>
  <c r="I20" i="16"/>
  <c r="J20" i="16" s="1"/>
  <c r="I19" i="16"/>
  <c r="J19" i="16" s="1"/>
  <c r="I18" i="16"/>
  <c r="J18" i="16" s="1"/>
  <c r="I17" i="16"/>
  <c r="J17" i="16" s="1"/>
  <c r="I16" i="16"/>
  <c r="J16" i="16" s="1"/>
  <c r="I15" i="16"/>
  <c r="J15" i="16" s="1"/>
  <c r="I14" i="16"/>
  <c r="J14" i="16" s="1"/>
  <c r="I13" i="16"/>
  <c r="J13" i="16" s="1"/>
  <c r="I12" i="16"/>
  <c r="J12" i="16" s="1"/>
  <c r="I11" i="16"/>
  <c r="J11" i="16" s="1"/>
  <c r="I10" i="16"/>
  <c r="J10" i="16" s="1"/>
  <c r="I9" i="16"/>
  <c r="I9" i="15"/>
  <c r="H12" i="13"/>
  <c r="D12" i="13"/>
  <c r="H11" i="13"/>
  <c r="D11" i="13"/>
  <c r="H10" i="13"/>
  <c r="D10" i="13"/>
  <c r="H9" i="13"/>
  <c r="D9" i="13"/>
  <c r="H8" i="13"/>
  <c r="D8" i="13"/>
  <c r="M21" i="13"/>
  <c r="M20" i="13"/>
  <c r="M19" i="13"/>
  <c r="M18" i="13"/>
  <c r="M17" i="13"/>
  <c r="A16" i="9"/>
  <c r="A6" i="9"/>
  <c r="A7" i="9"/>
  <c r="A8" i="9"/>
  <c r="A9" i="9"/>
  <c r="A10" i="9"/>
  <c r="A11" i="9"/>
  <c r="A12" i="9"/>
  <c r="A13" i="9"/>
  <c r="A14" i="9"/>
  <c r="I53" i="11"/>
  <c r="J53" i="11" s="1"/>
  <c r="I52" i="11"/>
  <c r="J52" i="11" s="1"/>
  <c r="I51" i="11"/>
  <c r="J51" i="11" s="1"/>
  <c r="I50" i="11"/>
  <c r="J50" i="11" s="1"/>
  <c r="I49" i="11"/>
  <c r="J49" i="11" s="1"/>
  <c r="I48" i="11"/>
  <c r="J48" i="11" s="1"/>
  <c r="I47" i="11"/>
  <c r="J47" i="11" s="1"/>
  <c r="I46" i="11"/>
  <c r="J46" i="11" s="1"/>
  <c r="I45" i="11"/>
  <c r="J45" i="11" s="1"/>
  <c r="I44" i="11"/>
  <c r="J44" i="11" s="1"/>
  <c r="I43" i="11"/>
  <c r="J43" i="11" s="1"/>
  <c r="I42" i="11"/>
  <c r="J42" i="11" s="1"/>
  <c r="I41" i="11"/>
  <c r="J41" i="11" s="1"/>
  <c r="I40" i="11"/>
  <c r="J40" i="11" s="1"/>
  <c r="I39" i="11"/>
  <c r="J39" i="11" s="1"/>
  <c r="I38" i="11"/>
  <c r="J38" i="11" s="1"/>
  <c r="I37" i="11"/>
  <c r="J37" i="11" s="1"/>
  <c r="I36" i="11"/>
  <c r="J36" i="11" s="1"/>
  <c r="I35" i="11"/>
  <c r="J35" i="11" s="1"/>
  <c r="I34" i="11"/>
  <c r="J34" i="11" s="1"/>
  <c r="I33" i="11"/>
  <c r="J33" i="11" s="1"/>
  <c r="I32" i="11"/>
  <c r="J32" i="11" s="1"/>
  <c r="I31" i="11"/>
  <c r="J31" i="11" s="1"/>
  <c r="I30" i="11"/>
  <c r="J30" i="11" s="1"/>
  <c r="I29" i="11"/>
  <c r="J29" i="11" s="1"/>
  <c r="I28" i="11"/>
  <c r="J28" i="11" s="1"/>
  <c r="I27" i="11"/>
  <c r="J27" i="11" s="1"/>
  <c r="I26" i="11"/>
  <c r="J26" i="11" s="1"/>
  <c r="I25" i="11"/>
  <c r="J25" i="11" s="1"/>
  <c r="I24" i="11"/>
  <c r="J24" i="11" s="1"/>
  <c r="I23" i="11"/>
  <c r="J23" i="11" s="1"/>
  <c r="I22" i="11"/>
  <c r="J22" i="11" s="1"/>
  <c r="I21" i="11"/>
  <c r="J21" i="11" s="1"/>
  <c r="I20" i="11"/>
  <c r="J20" i="11" s="1"/>
  <c r="I19" i="11"/>
  <c r="J19" i="11" s="1"/>
  <c r="I18" i="11"/>
  <c r="J18" i="11" s="1"/>
  <c r="I17" i="11"/>
  <c r="J17" i="11" s="1"/>
  <c r="I16" i="11"/>
  <c r="J16" i="11" s="1"/>
  <c r="I15" i="11"/>
  <c r="J15" i="11" s="1"/>
  <c r="I14" i="11"/>
  <c r="J14" i="11" s="1"/>
  <c r="I13" i="11"/>
  <c r="J13" i="11" s="1"/>
  <c r="I12" i="11"/>
  <c r="J12" i="11" s="1"/>
  <c r="I11" i="11"/>
  <c r="J11" i="11" s="1"/>
  <c r="I10" i="11"/>
  <c r="J10" i="11" s="1"/>
  <c r="I9" i="11"/>
  <c r="I149" i="10"/>
  <c r="J149" i="10" s="1"/>
  <c r="I148" i="10"/>
  <c r="J148" i="10" s="1"/>
  <c r="I147" i="10"/>
  <c r="J147" i="10" s="1"/>
  <c r="I146" i="10"/>
  <c r="J146" i="10" s="1"/>
  <c r="I145" i="10"/>
  <c r="J145" i="10" s="1"/>
  <c r="I142" i="10"/>
  <c r="J142" i="10" s="1"/>
  <c r="I141" i="10"/>
  <c r="J141" i="10" s="1"/>
  <c r="I140" i="10"/>
  <c r="J140" i="10" s="1"/>
  <c r="I139" i="10"/>
  <c r="J139" i="10" s="1"/>
  <c r="I138" i="10"/>
  <c r="J138" i="10" s="1"/>
  <c r="I137" i="10"/>
  <c r="J137" i="10" s="1"/>
  <c r="I136" i="10"/>
  <c r="J136" i="10" s="1"/>
  <c r="I135" i="10"/>
  <c r="J135" i="10" s="1"/>
  <c r="I134" i="10"/>
  <c r="J134" i="10" s="1"/>
  <c r="I133" i="10"/>
  <c r="J133" i="10" s="1"/>
  <c r="I132" i="10"/>
  <c r="J132" i="10" s="1"/>
  <c r="I131" i="10"/>
  <c r="J131" i="10" s="1"/>
  <c r="I130" i="10"/>
  <c r="J130" i="10" s="1"/>
  <c r="I129" i="10"/>
  <c r="J129" i="10" s="1"/>
  <c r="I128" i="10"/>
  <c r="J128" i="10" s="1"/>
  <c r="I127" i="10"/>
  <c r="J127" i="10" s="1"/>
  <c r="I126" i="10"/>
  <c r="J126" i="10" s="1"/>
  <c r="I125" i="10"/>
  <c r="J125" i="10" s="1"/>
  <c r="I124" i="10"/>
  <c r="J124" i="10" s="1"/>
  <c r="I123" i="10"/>
  <c r="J123" i="10" s="1"/>
  <c r="I122" i="10"/>
  <c r="J122" i="10" s="1"/>
  <c r="I121" i="10"/>
  <c r="J121" i="10" s="1"/>
  <c r="I120" i="10"/>
  <c r="J120" i="10" s="1"/>
  <c r="I119" i="10"/>
  <c r="J119" i="10" s="1"/>
  <c r="I118" i="10"/>
  <c r="J118" i="10" s="1"/>
  <c r="I117" i="10"/>
  <c r="J117" i="10" s="1"/>
  <c r="I116" i="10"/>
  <c r="J116" i="10" s="1"/>
  <c r="I115" i="10"/>
  <c r="J115" i="10" s="1"/>
  <c r="I114" i="10"/>
  <c r="J114" i="10" s="1"/>
  <c r="I113" i="10"/>
  <c r="J113" i="10" s="1"/>
  <c r="I112" i="10"/>
  <c r="J112" i="10" s="1"/>
  <c r="I111" i="10"/>
  <c r="J111" i="10" s="1"/>
  <c r="I110" i="10"/>
  <c r="J110" i="10" s="1"/>
  <c r="I109" i="10"/>
  <c r="J109" i="10" s="1"/>
  <c r="I108" i="10"/>
  <c r="J108" i="10" s="1"/>
  <c r="I107" i="10"/>
  <c r="J107" i="10" s="1"/>
  <c r="I106" i="10"/>
  <c r="J106" i="10" s="1"/>
  <c r="I105" i="10"/>
  <c r="J105" i="10" s="1"/>
  <c r="I104" i="10"/>
  <c r="J104" i="10" s="1"/>
  <c r="I103" i="10"/>
  <c r="J103" i="10" s="1"/>
  <c r="I102" i="10"/>
  <c r="J102" i="10" s="1"/>
  <c r="I101" i="10"/>
  <c r="J101" i="10" s="1"/>
  <c r="I100" i="10"/>
  <c r="J100" i="10" s="1"/>
  <c r="I99" i="10"/>
  <c r="J99" i="10" s="1"/>
  <c r="I98" i="10"/>
  <c r="J98" i="10" s="1"/>
  <c r="I97" i="10"/>
  <c r="J97" i="10" s="1"/>
  <c r="I96" i="10"/>
  <c r="J96" i="10" s="1"/>
  <c r="I95" i="10"/>
  <c r="J95" i="10" s="1"/>
  <c r="I94" i="10"/>
  <c r="J94" i="10" s="1"/>
  <c r="I93" i="10"/>
  <c r="J93" i="10" s="1"/>
  <c r="I92" i="10"/>
  <c r="J92" i="10" s="1"/>
  <c r="I91" i="10"/>
  <c r="J91" i="10" s="1"/>
  <c r="I90" i="10"/>
  <c r="J90" i="10" s="1"/>
  <c r="I89" i="10"/>
  <c r="J89" i="10" s="1"/>
  <c r="I88" i="10"/>
  <c r="J88" i="10" s="1"/>
  <c r="I87" i="10"/>
  <c r="J87" i="10" s="1"/>
  <c r="I86" i="10"/>
  <c r="J86" i="10" s="1"/>
  <c r="I85" i="10"/>
  <c r="J85" i="10" s="1"/>
  <c r="I84" i="10"/>
  <c r="J84" i="10" s="1"/>
  <c r="I83" i="10"/>
  <c r="J83" i="10" s="1"/>
  <c r="I82" i="10"/>
  <c r="J82" i="10" s="1"/>
  <c r="I81" i="10"/>
  <c r="J81" i="10" s="1"/>
  <c r="I80" i="10"/>
  <c r="J80" i="10" s="1"/>
  <c r="I79" i="10"/>
  <c r="J79" i="10" s="1"/>
  <c r="I78" i="10"/>
  <c r="J78" i="10" s="1"/>
  <c r="I77" i="10"/>
  <c r="J77" i="10" s="1"/>
  <c r="I76" i="10"/>
  <c r="J76" i="10" s="1"/>
  <c r="I75" i="10"/>
  <c r="J75" i="10" s="1"/>
  <c r="I74" i="10"/>
  <c r="J74" i="10" s="1"/>
  <c r="I73" i="10"/>
  <c r="J73" i="10" s="1"/>
  <c r="I72" i="10"/>
  <c r="J72" i="10" s="1"/>
  <c r="I71" i="10"/>
  <c r="J71" i="10" s="1"/>
  <c r="I70" i="10"/>
  <c r="J70" i="10" s="1"/>
  <c r="I69" i="10"/>
  <c r="J69" i="10" s="1"/>
  <c r="I68" i="10"/>
  <c r="J68" i="10" s="1"/>
  <c r="I67" i="10"/>
  <c r="J67" i="10" s="1"/>
  <c r="I66" i="10"/>
  <c r="J66" i="10" s="1"/>
  <c r="I65" i="10"/>
  <c r="J65" i="10" s="1"/>
  <c r="I64" i="10"/>
  <c r="J64" i="10" s="1"/>
  <c r="I63" i="10"/>
  <c r="J63" i="10" s="1"/>
  <c r="I62" i="10"/>
  <c r="J62" i="10" s="1"/>
  <c r="I61" i="10"/>
  <c r="J61" i="10" s="1"/>
  <c r="I60" i="10"/>
  <c r="J60" i="10" s="1"/>
  <c r="I59" i="10"/>
  <c r="J59" i="10" s="1"/>
  <c r="I58" i="10"/>
  <c r="J58" i="10" s="1"/>
  <c r="I57" i="10"/>
  <c r="J57" i="10" s="1"/>
  <c r="I56" i="10"/>
  <c r="J56" i="10" s="1"/>
  <c r="I55" i="10"/>
  <c r="J55" i="10" s="1"/>
  <c r="I54" i="10"/>
  <c r="J54" i="10" s="1"/>
  <c r="I53" i="10"/>
  <c r="J53" i="10" s="1"/>
  <c r="I52" i="10"/>
  <c r="J52" i="10" s="1"/>
  <c r="I51" i="10"/>
  <c r="J51" i="10" s="1"/>
  <c r="I50" i="10"/>
  <c r="J50" i="10" s="1"/>
  <c r="I49" i="10"/>
  <c r="J49" i="10" s="1"/>
  <c r="I48" i="10"/>
  <c r="J48" i="10" s="1"/>
  <c r="I47" i="10"/>
  <c r="J47" i="10" s="1"/>
  <c r="I46" i="10"/>
  <c r="J46" i="10" s="1"/>
  <c r="I45" i="10"/>
  <c r="J45" i="10" s="1"/>
  <c r="I44" i="10"/>
  <c r="J44" i="10" s="1"/>
  <c r="I43" i="10"/>
  <c r="J43" i="10" s="1"/>
  <c r="I42" i="10"/>
  <c r="J42" i="10" s="1"/>
  <c r="I41" i="10"/>
  <c r="J41" i="10" s="1"/>
  <c r="I40" i="10"/>
  <c r="J40" i="10" s="1"/>
  <c r="I39" i="10"/>
  <c r="J39" i="10" s="1"/>
  <c r="I38" i="10"/>
  <c r="J38" i="10" s="1"/>
  <c r="I37" i="10"/>
  <c r="J37" i="10" s="1"/>
  <c r="I36" i="10"/>
  <c r="J36" i="10" s="1"/>
  <c r="I35" i="10"/>
  <c r="J35" i="10" s="1"/>
  <c r="I34" i="10"/>
  <c r="J34" i="10" s="1"/>
  <c r="I33" i="10"/>
  <c r="J33" i="10" s="1"/>
  <c r="I32" i="10"/>
  <c r="J32" i="10" s="1"/>
  <c r="I31" i="10"/>
  <c r="J31" i="10" s="1"/>
  <c r="I30" i="10"/>
  <c r="J30" i="10" s="1"/>
  <c r="I29" i="10"/>
  <c r="J29" i="10" s="1"/>
  <c r="I28" i="10"/>
  <c r="J28" i="10" s="1"/>
  <c r="I27" i="10"/>
  <c r="J27" i="10" s="1"/>
  <c r="I26" i="10"/>
  <c r="J26" i="10" s="1"/>
  <c r="I25" i="10"/>
  <c r="J25" i="10" s="1"/>
  <c r="I24" i="10"/>
  <c r="J24" i="10" s="1"/>
  <c r="I23" i="10"/>
  <c r="J23" i="10" s="1"/>
  <c r="I22" i="10"/>
  <c r="J22" i="10" s="1"/>
  <c r="I21" i="10"/>
  <c r="J21" i="10" s="1"/>
  <c r="I20" i="10"/>
  <c r="J20" i="10" s="1"/>
  <c r="I19" i="10"/>
  <c r="J19" i="10" s="1"/>
  <c r="I18" i="10"/>
  <c r="J18" i="10" s="1"/>
  <c r="I17" i="10"/>
  <c r="J17" i="10" s="1"/>
  <c r="I16" i="10"/>
  <c r="J16" i="10" s="1"/>
  <c r="I15" i="10"/>
  <c r="J15" i="10" s="1"/>
  <c r="I14" i="10"/>
  <c r="J14" i="10" s="1"/>
  <c r="I13" i="10"/>
  <c r="J13" i="10" s="1"/>
  <c r="I12" i="10"/>
  <c r="J12" i="10" s="1"/>
  <c r="I11" i="10"/>
  <c r="J11" i="10" s="1"/>
  <c r="I10" i="10"/>
  <c r="J10" i="10" s="1"/>
  <c r="I9" i="10"/>
  <c r="J9" i="10" s="1"/>
  <c r="J9" i="15" l="1"/>
  <c r="N21" i="9" s="1"/>
  <c r="N25" i="9"/>
  <c r="O23" i="9"/>
  <c r="P20" i="9"/>
  <c r="P26" i="9"/>
  <c r="N23" i="9"/>
  <c r="Q28" i="9"/>
  <c r="N27" i="9"/>
  <c r="P25" i="9"/>
  <c r="Q23" i="9"/>
  <c r="R21" i="9"/>
  <c r="N20" i="9"/>
  <c r="Q27" i="9"/>
  <c r="R26" i="9"/>
  <c r="O25" i="9"/>
  <c r="P23" i="9"/>
  <c r="Q21" i="9"/>
  <c r="N28" i="9"/>
  <c r="Q25" i="9"/>
  <c r="R23" i="9"/>
  <c r="N22" i="9"/>
  <c r="O20" i="9"/>
  <c r="Q24" i="9"/>
  <c r="R27" i="9"/>
  <c r="O26" i="9"/>
  <c r="P24" i="9"/>
  <c r="R22" i="9"/>
  <c r="R20" i="9"/>
  <c r="O22" i="9"/>
  <c r="P28" i="9"/>
  <c r="N26" i="9"/>
  <c r="O24" i="9"/>
  <c r="Q22" i="9"/>
  <c r="Q20" i="9"/>
  <c r="J9" i="16"/>
  <c r="Q32" i="9" s="1"/>
  <c r="J9" i="11"/>
  <c r="Q18" i="9" s="1"/>
  <c r="J9" i="17"/>
  <c r="O39" i="9" s="1"/>
  <c r="P14" i="9"/>
  <c r="Q13" i="9"/>
  <c r="R12" i="9"/>
  <c r="N12" i="9"/>
  <c r="O11" i="9"/>
  <c r="P10" i="9"/>
  <c r="Q9" i="9"/>
  <c r="R8" i="9"/>
  <c r="N8" i="9"/>
  <c r="O7" i="9"/>
  <c r="P6" i="9"/>
  <c r="O14" i="9"/>
  <c r="P13" i="9"/>
  <c r="Q12" i="9"/>
  <c r="R11" i="9"/>
  <c r="N11" i="9"/>
  <c r="O10" i="9"/>
  <c r="P9" i="9"/>
  <c r="Q8" i="9"/>
  <c r="R7" i="9"/>
  <c r="N7" i="9"/>
  <c r="O6" i="9"/>
  <c r="Q14" i="9"/>
  <c r="O12" i="9"/>
  <c r="Q10" i="9"/>
  <c r="O8" i="9"/>
  <c r="Q6" i="9"/>
  <c r="R14" i="9"/>
  <c r="N14" i="9"/>
  <c r="O13" i="9"/>
  <c r="P12" i="9"/>
  <c r="Q11" i="9"/>
  <c r="R10" i="9"/>
  <c r="N10" i="9"/>
  <c r="O9" i="9"/>
  <c r="P8" i="9"/>
  <c r="Q7" i="9"/>
  <c r="R6" i="9"/>
  <c r="N6" i="9"/>
  <c r="R13" i="9"/>
  <c r="N13" i="9"/>
  <c r="P11" i="9"/>
  <c r="R9" i="9"/>
  <c r="N9" i="9"/>
  <c r="P7" i="9"/>
  <c r="D33" i="9"/>
  <c r="E33" i="9" s="1"/>
  <c r="F33" i="9" s="1"/>
  <c r="G33" i="9" s="1"/>
  <c r="H33" i="9" s="1"/>
  <c r="D28" i="9"/>
  <c r="E28" i="9" s="1"/>
  <c r="F28" i="9" s="1"/>
  <c r="G28" i="9" s="1"/>
  <c r="H28" i="9" s="1"/>
  <c r="D21" i="9"/>
  <c r="E21" i="9" s="1"/>
  <c r="F21" i="9" s="1"/>
  <c r="G21" i="9" s="1"/>
  <c r="H21" i="9" s="1"/>
  <c r="D24" i="9"/>
  <c r="E24" i="9" s="1"/>
  <c r="F24" i="9" s="1"/>
  <c r="G24" i="9" s="1"/>
  <c r="H24" i="9" s="1"/>
  <c r="D23" i="9"/>
  <c r="E23" i="9" s="1"/>
  <c r="F23" i="9" s="1"/>
  <c r="G23" i="9" s="1"/>
  <c r="H23" i="9" s="1"/>
  <c r="D26" i="9"/>
  <c r="E26" i="9" s="1"/>
  <c r="F26" i="9" s="1"/>
  <c r="G26" i="9" s="1"/>
  <c r="H26" i="9" s="1"/>
  <c r="D22" i="9"/>
  <c r="E22" i="9" s="1"/>
  <c r="F22" i="9" s="1"/>
  <c r="G22" i="9" s="1"/>
  <c r="H22" i="9" s="1"/>
  <c r="D25" i="9"/>
  <c r="E25" i="9" s="1"/>
  <c r="F25" i="9" s="1"/>
  <c r="G25" i="9" s="1"/>
  <c r="H25" i="9" s="1"/>
  <c r="D27" i="9"/>
  <c r="E27" i="9" s="1"/>
  <c r="F27" i="9" s="1"/>
  <c r="G27" i="9" s="1"/>
  <c r="H27" i="9" s="1"/>
  <c r="D20" i="9"/>
  <c r="E20" i="9" s="1"/>
  <c r="F20" i="9" s="1"/>
  <c r="G20" i="9" s="1"/>
  <c r="H20" i="9" s="1"/>
  <c r="D13" i="9"/>
  <c r="E13" i="9" s="1"/>
  <c r="F13" i="9" s="1"/>
  <c r="G13" i="9" s="1"/>
  <c r="H13" i="9" s="1"/>
  <c r="D9" i="9"/>
  <c r="E9" i="9" s="1"/>
  <c r="F9" i="9" s="1"/>
  <c r="G9" i="9" s="1"/>
  <c r="H9" i="9" s="1"/>
  <c r="D12" i="9"/>
  <c r="E12" i="9" s="1"/>
  <c r="F12" i="9" s="1"/>
  <c r="G12" i="9" s="1"/>
  <c r="H12" i="9" s="1"/>
  <c r="D11" i="9"/>
  <c r="E11" i="9" s="1"/>
  <c r="F11" i="9" s="1"/>
  <c r="G11" i="9" s="1"/>
  <c r="H11" i="9" s="1"/>
  <c r="D7" i="9"/>
  <c r="E7" i="9" s="1"/>
  <c r="F7" i="9" s="1"/>
  <c r="G7" i="9" s="1"/>
  <c r="H7" i="9" s="1"/>
  <c r="D6" i="9"/>
  <c r="E6" i="9" s="1"/>
  <c r="F6" i="9" s="1"/>
  <c r="G6" i="9" s="1"/>
  <c r="H6" i="9" s="1"/>
  <c r="D14" i="9"/>
  <c r="E14" i="9" s="1"/>
  <c r="F14" i="9" s="1"/>
  <c r="G14" i="9" s="1"/>
  <c r="H14" i="9" s="1"/>
  <c r="D10" i="9"/>
  <c r="E10" i="9" s="1"/>
  <c r="F10" i="9" s="1"/>
  <c r="G10" i="9" s="1"/>
  <c r="H10" i="9" s="1"/>
  <c r="D8" i="9"/>
  <c r="E8" i="9" s="1"/>
  <c r="F8" i="9" s="1"/>
  <c r="G8" i="9" s="1"/>
  <c r="H8" i="9" s="1"/>
  <c r="C11" i="8"/>
  <c r="C10" i="8"/>
  <c r="C9" i="8"/>
  <c r="C8" i="8"/>
  <c r="C7" i="8"/>
  <c r="B11" i="8"/>
  <c r="B10" i="8"/>
  <c r="B9" i="8"/>
  <c r="B8" i="8"/>
  <c r="B7" i="8"/>
  <c r="B7" i="1"/>
  <c r="O21" i="9" l="1"/>
  <c r="R28" i="9"/>
  <c r="N24" i="9"/>
  <c r="R24" i="9"/>
  <c r="P21" i="9"/>
  <c r="O28" i="9"/>
  <c r="O31" i="9"/>
  <c r="Q26" i="9"/>
  <c r="P27" i="9"/>
  <c r="R37" i="9"/>
  <c r="P33" i="9"/>
  <c r="D30" i="9"/>
  <c r="E30" i="9" s="1"/>
  <c r="F30" i="9" s="1"/>
  <c r="G30" i="9" s="1"/>
  <c r="H30" i="9" s="1"/>
  <c r="P30" i="9"/>
  <c r="D32" i="9"/>
  <c r="E32" i="9" s="1"/>
  <c r="F32" i="9" s="1"/>
  <c r="G32" i="9" s="1"/>
  <c r="H32" i="9" s="1"/>
  <c r="Q30" i="9"/>
  <c r="O27" i="9"/>
  <c r="P22" i="9"/>
  <c r="R25" i="9"/>
  <c r="N38" i="9"/>
  <c r="O18" i="9"/>
  <c r="D38" i="9"/>
  <c r="E38" i="9" s="1"/>
  <c r="F38" i="9" s="1"/>
  <c r="G38" i="9" s="1"/>
  <c r="H38" i="9" s="1"/>
  <c r="N37" i="9"/>
  <c r="O38" i="9"/>
  <c r="N18" i="9"/>
  <c r="O32" i="9"/>
  <c r="N33" i="9"/>
  <c r="R35" i="9"/>
  <c r="R36" i="9"/>
  <c r="O16" i="9"/>
  <c r="R33" i="9"/>
  <c r="N31" i="9"/>
  <c r="O33" i="9"/>
  <c r="O30" i="9"/>
  <c r="Q38" i="9"/>
  <c r="P37" i="9"/>
  <c r="P39" i="9"/>
  <c r="Q39" i="9"/>
  <c r="N39" i="9"/>
  <c r="Q37" i="9"/>
  <c r="O17" i="9"/>
  <c r="N16" i="9"/>
  <c r="P17" i="9"/>
  <c r="N17" i="9"/>
  <c r="D16" i="9"/>
  <c r="E16" i="9" s="1"/>
  <c r="F16" i="9" s="1"/>
  <c r="G16" i="9" s="1"/>
  <c r="H16" i="9" s="1"/>
  <c r="D35" i="9"/>
  <c r="E35" i="9" s="1"/>
  <c r="F35" i="9" s="1"/>
  <c r="G35" i="9" s="1"/>
  <c r="H35" i="9" s="1"/>
  <c r="D17" i="9"/>
  <c r="E17" i="9" s="1"/>
  <c r="F17" i="9" s="1"/>
  <c r="G17" i="9" s="1"/>
  <c r="H17" i="9" s="1"/>
  <c r="D36" i="9"/>
  <c r="E36" i="9" s="1"/>
  <c r="F36" i="9" s="1"/>
  <c r="G36" i="9" s="1"/>
  <c r="H36" i="9" s="1"/>
  <c r="D39" i="9"/>
  <c r="E39" i="9" s="1"/>
  <c r="F39" i="9" s="1"/>
  <c r="G39" i="9" s="1"/>
  <c r="H39" i="9" s="1"/>
  <c r="O37" i="9"/>
  <c r="R39" i="9"/>
  <c r="Q35" i="9"/>
  <c r="N35" i="9"/>
  <c r="O35" i="9"/>
  <c r="P38" i="9"/>
  <c r="R18" i="9"/>
  <c r="Q17" i="9"/>
  <c r="R16" i="9"/>
  <c r="R17" i="9"/>
  <c r="R32" i="9"/>
  <c r="N30" i="9"/>
  <c r="N32" i="9"/>
  <c r="R30" i="9"/>
  <c r="R31" i="9"/>
  <c r="D18" i="9"/>
  <c r="E18" i="9" s="1"/>
  <c r="F18" i="9" s="1"/>
  <c r="G18" i="9" s="1"/>
  <c r="H18" i="9" s="1"/>
  <c r="D37" i="9"/>
  <c r="E37" i="9" s="1"/>
  <c r="F37" i="9" s="1"/>
  <c r="G37" i="9" s="1"/>
  <c r="H37" i="9" s="1"/>
  <c r="D31" i="9"/>
  <c r="E31" i="9" s="1"/>
  <c r="F31" i="9" s="1"/>
  <c r="G31" i="9" s="1"/>
  <c r="H31" i="9" s="1"/>
  <c r="P35" i="9"/>
  <c r="R38" i="9"/>
  <c r="O36" i="9"/>
  <c r="P36" i="9"/>
  <c r="Q36" i="9"/>
  <c r="N36" i="9"/>
  <c r="Q16" i="9"/>
  <c r="P16" i="9"/>
  <c r="P18" i="9"/>
  <c r="P31" i="9"/>
  <c r="Q31" i="9"/>
  <c r="Q33" i="9"/>
  <c r="P32" i="9"/>
  <c r="S6" i="9"/>
  <c r="D29" i="19"/>
  <c r="D30" i="19"/>
  <c r="D20" i="19"/>
  <c r="D19" i="19"/>
  <c r="D23" i="19"/>
  <c r="D25" i="19"/>
  <c r="D18" i="19"/>
  <c r="D26" i="19"/>
  <c r="D21" i="19"/>
  <c r="D22" i="19"/>
  <c r="D24" i="19"/>
  <c r="D12" i="19"/>
  <c r="D14" i="19"/>
  <c r="D6" i="19"/>
  <c r="D10" i="19"/>
  <c r="D9" i="19"/>
  <c r="D13" i="19"/>
  <c r="D7" i="19"/>
  <c r="D8" i="19"/>
  <c r="D11" i="19"/>
  <c r="C15" i="8"/>
  <c r="E20" i="8" s="1"/>
  <c r="G15" i="8"/>
  <c r="E15" i="8"/>
  <c r="I15" i="8"/>
  <c r="F15" i="8"/>
  <c r="H15" i="8"/>
  <c r="D15" i="19" l="1"/>
  <c r="D35" i="19"/>
  <c r="D34" i="19"/>
  <c r="D27" i="19"/>
  <c r="S20" i="9"/>
  <c r="A4" i="15" s="1"/>
  <c r="O5" i="9"/>
  <c r="D17" i="19"/>
  <c r="D16" i="19"/>
  <c r="D31" i="19"/>
  <c r="D33" i="19"/>
  <c r="D28" i="19"/>
  <c r="Q5" i="9"/>
  <c r="P5" i="9"/>
  <c r="R5" i="9"/>
  <c r="D32" i="19"/>
  <c r="S30" i="9"/>
  <c r="A4" i="16" s="1"/>
  <c r="S35" i="9"/>
  <c r="A4" i="17" s="1"/>
  <c r="S16" i="9"/>
  <c r="A4" i="11" s="1"/>
  <c r="N5" i="9"/>
  <c r="A4" i="10"/>
  <c r="C20" i="8"/>
  <c r="D20" i="8" s="1"/>
  <c r="E31" i="19"/>
  <c r="E32" i="19"/>
  <c r="E34" i="19"/>
  <c r="E33" i="19"/>
  <c r="E35" i="19"/>
  <c r="E27" i="19"/>
  <c r="E28" i="19"/>
  <c r="E30" i="19"/>
  <c r="E29" i="19"/>
  <c r="E19" i="19"/>
  <c r="E22" i="19"/>
  <c r="E25" i="19"/>
  <c r="E26" i="19"/>
  <c r="E21" i="19"/>
  <c r="E23" i="19"/>
  <c r="E24" i="19"/>
  <c r="E18" i="19"/>
  <c r="E20" i="19"/>
  <c r="E16" i="19"/>
  <c r="E15" i="19"/>
  <c r="E17" i="19"/>
  <c r="E11" i="19"/>
  <c r="E8" i="19"/>
  <c r="E10" i="19"/>
  <c r="E6" i="19"/>
  <c r="E13" i="19"/>
  <c r="E14" i="19"/>
  <c r="E7" i="19"/>
  <c r="E9" i="19"/>
  <c r="E12" i="19"/>
  <c r="S3" i="9" l="1"/>
  <c r="N1" i="9" s="1"/>
  <c r="F35" i="19"/>
  <c r="F33" i="19"/>
  <c r="F32" i="19"/>
  <c r="F34" i="19"/>
  <c r="F31" i="19"/>
  <c r="F29" i="19"/>
  <c r="F28" i="19"/>
  <c r="F30" i="19"/>
  <c r="F27" i="19"/>
  <c r="F21" i="19"/>
  <c r="F25" i="19"/>
  <c r="F23" i="19"/>
  <c r="F20" i="19"/>
  <c r="F22" i="19"/>
  <c r="F18" i="19"/>
  <c r="F19" i="19"/>
  <c r="F26" i="19"/>
  <c r="F24" i="19"/>
  <c r="F15" i="19"/>
  <c r="F16" i="19"/>
  <c r="F17" i="19"/>
  <c r="F7" i="19"/>
  <c r="F12" i="19"/>
  <c r="F8" i="19"/>
  <c r="F10" i="19"/>
  <c r="F13" i="19"/>
  <c r="F9" i="19"/>
  <c r="F14" i="19"/>
  <c r="F11" i="19"/>
  <c r="F6" i="19"/>
  <c r="H33" i="19" l="1"/>
  <c r="G33" i="19"/>
  <c r="G35" i="19"/>
  <c r="H31" i="19"/>
  <c r="G31" i="19"/>
  <c r="H32" i="19"/>
  <c r="G32" i="19"/>
  <c r="H34" i="19"/>
  <c r="G34" i="19"/>
  <c r="H27" i="19"/>
  <c r="G27" i="19"/>
  <c r="H29" i="19"/>
  <c r="G29" i="19"/>
  <c r="H28" i="19"/>
  <c r="G28" i="19"/>
  <c r="H30" i="19"/>
  <c r="G30" i="19"/>
  <c r="H23" i="19"/>
  <c r="G23" i="19"/>
  <c r="H26" i="19"/>
  <c r="G26" i="19"/>
  <c r="G22" i="19"/>
  <c r="H25" i="19"/>
  <c r="G25" i="19"/>
  <c r="H18" i="19"/>
  <c r="G18" i="19"/>
  <c r="H24" i="19"/>
  <c r="G24" i="19"/>
  <c r="G19" i="19"/>
  <c r="G20" i="19"/>
  <c r="G21" i="19"/>
  <c r="H16" i="19"/>
  <c r="G16" i="19"/>
  <c r="H17" i="19"/>
  <c r="G17" i="19"/>
  <c r="H15" i="19"/>
  <c r="G15" i="19"/>
  <c r="H8" i="19"/>
  <c r="G8" i="19"/>
  <c r="G13" i="19"/>
  <c r="H6" i="19"/>
  <c r="G6" i="19"/>
  <c r="H12" i="19"/>
  <c r="G12" i="19"/>
  <c r="G14" i="19"/>
  <c r="H11" i="19"/>
  <c r="G11" i="19"/>
  <c r="H7" i="19"/>
  <c r="G7" i="19"/>
  <c r="H9" i="19"/>
  <c r="G9" i="19"/>
  <c r="G10" i="19"/>
  <c r="I35" i="9" l="1"/>
  <c r="I31" i="19" s="1"/>
  <c r="I38" i="9"/>
  <c r="I34" i="19" s="1"/>
  <c r="I36" i="9"/>
  <c r="I32" i="19" s="1"/>
  <c r="I37" i="9"/>
  <c r="I33" i="19" s="1"/>
  <c r="H35" i="19"/>
  <c r="I39" i="9"/>
  <c r="I35" i="19" s="1"/>
  <c r="I33" i="9"/>
  <c r="I30" i="19" s="1"/>
  <c r="I30" i="9"/>
  <c r="I32" i="9"/>
  <c r="I29" i="19" s="1"/>
  <c r="I31" i="9"/>
  <c r="I28" i="19" s="1"/>
  <c r="H20" i="19"/>
  <c r="I22" i="9"/>
  <c r="I20" i="19" s="1"/>
  <c r="H21" i="19"/>
  <c r="I23" i="9"/>
  <c r="I21" i="19" s="1"/>
  <c r="I28" i="9"/>
  <c r="I26" i="19" s="1"/>
  <c r="I25" i="9"/>
  <c r="I23" i="19" s="1"/>
  <c r="H19" i="19"/>
  <c r="I21" i="9"/>
  <c r="I19" i="19" s="1"/>
  <c r="I26" i="9"/>
  <c r="I24" i="19" s="1"/>
  <c r="H22" i="19"/>
  <c r="I24" i="9"/>
  <c r="I22" i="19" s="1"/>
  <c r="I20" i="9"/>
  <c r="I27" i="9"/>
  <c r="I25" i="19" s="1"/>
  <c r="I18" i="9"/>
  <c r="I17" i="19" s="1"/>
  <c r="I17" i="9"/>
  <c r="I16" i="19" s="1"/>
  <c r="I16" i="9"/>
  <c r="I8" i="9"/>
  <c r="I8" i="19" s="1"/>
  <c r="I9" i="9"/>
  <c r="I9" i="19" s="1"/>
  <c r="H13" i="19"/>
  <c r="I13" i="9"/>
  <c r="I13" i="19" s="1"/>
  <c r="H14" i="19"/>
  <c r="I14" i="9"/>
  <c r="I14" i="19" s="1"/>
  <c r="H10" i="19"/>
  <c r="I10" i="9"/>
  <c r="I10" i="19" s="1"/>
  <c r="I12" i="9"/>
  <c r="I12" i="19" s="1"/>
  <c r="I6" i="9"/>
  <c r="I11" i="9"/>
  <c r="I11" i="19" s="1"/>
  <c r="I7" i="9"/>
  <c r="I7" i="19" s="1"/>
  <c r="F11" i="13"/>
  <c r="F12" i="13"/>
  <c r="D39" i="19" l="1"/>
  <c r="D40" i="19"/>
  <c r="K35" i="9"/>
  <c r="I27" i="19"/>
  <c r="K30" i="9"/>
  <c r="J27" i="19" s="1"/>
  <c r="I18" i="19"/>
  <c r="K20" i="9"/>
  <c r="J18" i="19" s="1"/>
  <c r="I15" i="19"/>
  <c r="K16" i="9"/>
  <c r="J15" i="19" s="1"/>
  <c r="I6" i="19"/>
  <c r="K6" i="9"/>
  <c r="J6" i="19" s="1"/>
  <c r="F8" i="13"/>
  <c r="F9" i="13"/>
  <c r="F10" i="13"/>
  <c r="D41" i="19" l="1"/>
  <c r="E21" i="13"/>
  <c r="O8" i="13" s="1"/>
  <c r="J31" i="19"/>
  <c r="E20" i="13"/>
  <c r="E19" i="13"/>
  <c r="E18" i="13"/>
  <c r="E17" i="13"/>
  <c r="O11" i="13" l="1"/>
  <c r="K21" i="13"/>
  <c r="O10" i="13"/>
  <c r="O12" i="13"/>
  <c r="O9" i="13"/>
  <c r="F21" i="13"/>
  <c r="F20" i="13"/>
  <c r="N8" i="13"/>
  <c r="N9" i="13"/>
  <c r="N12" i="13"/>
  <c r="K20" i="13"/>
  <c r="N10" i="13"/>
  <c r="N11" i="13"/>
  <c r="M8" i="13"/>
  <c r="M9" i="13"/>
  <c r="F19" i="13"/>
  <c r="K19" i="13"/>
  <c r="M12" i="13"/>
  <c r="M10" i="13"/>
  <c r="M11" i="13"/>
  <c r="L11" i="13"/>
  <c r="L12" i="13"/>
  <c r="K18" i="13"/>
  <c r="F18" i="13"/>
  <c r="L8" i="13"/>
  <c r="L9" i="13"/>
  <c r="L10" i="13"/>
  <c r="F17" i="13"/>
  <c r="K12" i="13"/>
  <c r="P12" i="13" s="1"/>
  <c r="K8" i="13"/>
  <c r="P8" i="13" s="1"/>
  <c r="K17" i="13"/>
  <c r="K11" i="13"/>
  <c r="P11" i="13" s="1"/>
  <c r="K10" i="13"/>
  <c r="P10" i="13" s="1"/>
  <c r="K9" i="13"/>
  <c r="P9" i="13" s="1"/>
  <c r="Q9" i="13" l="1"/>
  <c r="R9" i="13" s="1"/>
  <c r="S9" i="13" s="1"/>
  <c r="T9" i="13" s="1"/>
  <c r="Q12" i="13"/>
  <c r="R12" i="13" s="1"/>
  <c r="S12" i="13" s="1"/>
  <c r="T12" i="13" s="1"/>
  <c r="Q10" i="13"/>
  <c r="R10" i="13" s="1"/>
  <c r="S10" i="13" s="1"/>
  <c r="T10" i="13" s="1"/>
  <c r="Q11" i="13"/>
  <c r="R11" i="13" s="1"/>
  <c r="S11" i="13" s="1"/>
  <c r="T11" i="13" s="1"/>
  <c r="Q8" i="13"/>
  <c r="R8" i="13" s="1"/>
  <c r="S8" i="13" s="1"/>
  <c r="T8" i="13" s="1"/>
  <c r="E10" i="13" l="1"/>
  <c r="G10" i="13"/>
  <c r="E12" i="13"/>
  <c r="G12" i="13"/>
  <c r="E11" i="13"/>
  <c r="G11" i="13"/>
  <c r="E8" i="13"/>
  <c r="G8" i="13"/>
  <c r="E9" i="13"/>
  <c r="G9" i="13"/>
  <c r="D27" i="25" l="1"/>
  <c r="D287" i="25" l="1"/>
  <c r="D72" i="25" l="1"/>
  <c r="D299" i="25" l="1"/>
  <c r="D288" i="25" l="1"/>
  <c r="D310" i="25" l="1"/>
  <c r="D81" i="25" l="1"/>
  <c r="D301" i="25" l="1"/>
  <c r="D308" i="25" l="1"/>
  <c r="D83" i="25" l="1"/>
  <c r="D305" i="25" l="1"/>
  <c r="D204" i="25" l="1"/>
  <c r="D205" i="25" l="1"/>
  <c r="D102" i="25" l="1"/>
  <c r="D209" i="25" l="1"/>
  <c r="D114" i="25" l="1"/>
  <c r="D103" i="25" l="1"/>
  <c r="D35" i="25" l="1"/>
  <c r="D106" i="25" l="1"/>
  <c r="D136" i="25" l="1"/>
  <c r="D145" i="25" l="1"/>
  <c r="D96" i="25" l="1"/>
  <c r="D18" i="25" l="1"/>
  <c r="D289" i="25" l="1"/>
  <c r="D115" i="25" l="1"/>
  <c r="D206" i="25" l="1"/>
  <c r="D19" i="25" l="1"/>
  <c r="D211" i="25" l="1"/>
  <c r="D10" i="25" l="1"/>
  <c r="D88" i="25" l="1"/>
  <c r="D11" i="25" l="1"/>
  <c r="D116" i="25" l="1"/>
  <c r="D60" i="25" l="1"/>
  <c r="D25" i="25" l="1"/>
  <c r="D31" i="25" l="1"/>
  <c r="D91" i="25" l="1"/>
  <c r="D85" i="25" l="1"/>
  <c r="D74" i="25" l="1"/>
  <c r="D64" i="25" l="1"/>
  <c r="D239" i="25" l="1"/>
  <c r="D137" i="25" l="1"/>
  <c r="D78" i="25" l="1"/>
  <c r="D331" i="25" l="1"/>
  <c r="D240" i="25" l="1"/>
  <c r="D242" i="25" l="1"/>
  <c r="D290" i="25" l="1"/>
  <c r="D138" i="25" l="1"/>
  <c r="D302" i="25" l="1"/>
  <c r="D284" i="25" l="1"/>
  <c r="D306" i="25" l="1"/>
  <c r="D263" i="25" l="1"/>
  <c r="D264" i="25" l="1"/>
  <c r="D259" i="25" l="1"/>
  <c r="D321" i="25" l="1"/>
  <c r="D274" i="25" l="1"/>
  <c r="D324" i="25" l="1"/>
  <c r="D285" i="25" l="1"/>
  <c r="AE10" i="25"/>
  <c r="AE11" i="25" l="1"/>
  <c r="AE12" i="25" s="1"/>
  <c r="AE13" i="25" s="1"/>
  <c r="H10" i="10" l="1"/>
  <c r="D12" i="25"/>
  <c r="AE14" i="25"/>
  <c r="AE15" i="25" l="1"/>
  <c r="D14" i="25"/>
  <c r="H11" i="10"/>
  <c r="AE16" i="25" l="1"/>
  <c r="AE17" i="25" l="1"/>
  <c r="AE18" i="25" l="1"/>
  <c r="AE19" i="25" l="1"/>
  <c r="AE20" i="25" l="1"/>
  <c r="H12" i="10"/>
  <c r="AE21" i="25" l="1"/>
  <c r="D20" i="25"/>
  <c r="AE22" i="25" l="1"/>
  <c r="AE23" i="25" s="1"/>
  <c r="AE24" i="25" s="1"/>
  <c r="AE25" i="25" s="1"/>
  <c r="AE26" i="25" s="1"/>
  <c r="D26" i="25" l="1"/>
  <c r="AE27" i="25"/>
  <c r="AE28" i="25" s="1"/>
  <c r="AE29" i="25" l="1"/>
  <c r="AE30" i="25" s="1"/>
  <c r="AE31" i="25" s="1"/>
  <c r="AE32" i="25" s="1"/>
  <c r="D28" i="25"/>
  <c r="AE33" i="25" l="1"/>
  <c r="AE34" i="25" s="1"/>
  <c r="AE35" i="25" s="1"/>
  <c r="AE36" i="25" s="1"/>
  <c r="D32" i="25"/>
  <c r="AE37" i="25" l="1"/>
  <c r="AE38" i="25" s="1"/>
  <c r="AE39" i="25" s="1"/>
  <c r="D36" i="25"/>
  <c r="D39" i="25" l="1"/>
  <c r="AE40" i="25"/>
  <c r="AE41" i="25" s="1"/>
  <c r="AE42" i="25" l="1"/>
  <c r="D41" i="25"/>
  <c r="D42" i="25" l="1"/>
  <c r="AE43" i="25"/>
  <c r="AE44" i="25" s="1"/>
  <c r="AE45" i="25" l="1"/>
  <c r="AE46" i="25" s="1"/>
  <c r="AE47" i="25" s="1"/>
  <c r="D44" i="25"/>
  <c r="AE48" i="25" l="1"/>
  <c r="AE49" i="25" s="1"/>
  <c r="AE50" i="25" s="1"/>
  <c r="D47" i="25"/>
  <c r="AE51" i="25" l="1"/>
  <c r="AE52" i="25" s="1"/>
  <c r="D50" i="25"/>
  <c r="AE53" i="25" l="1"/>
  <c r="AE54" i="25" s="1"/>
  <c r="AE55" i="25" s="1"/>
  <c r="D52" i="25"/>
  <c r="D55" i="25" l="1"/>
  <c r="AE56" i="25"/>
  <c r="AE57" i="25" s="1"/>
  <c r="AE58" i="25" l="1"/>
  <c r="AE59" i="25" s="1"/>
  <c r="AE60" i="25" s="1"/>
  <c r="AE61" i="25" s="1"/>
  <c r="D57" i="25"/>
  <c r="AE62" i="25" l="1"/>
  <c r="AE63" i="25" s="1"/>
  <c r="AE64" i="25" s="1"/>
  <c r="AE65" i="25" s="1"/>
  <c r="D61" i="25"/>
  <c r="AE66" i="25" l="1"/>
  <c r="AE67" i="25" s="1"/>
  <c r="AE68" i="25" s="1"/>
  <c r="D65" i="25"/>
  <c r="AE69" i="25" l="1"/>
  <c r="AE70" i="25" s="1"/>
  <c r="AE71" i="25" s="1"/>
  <c r="D68" i="25"/>
  <c r="AE72" i="25" l="1"/>
  <c r="AE73" i="25" s="1"/>
  <c r="AE74" i="25" s="1"/>
  <c r="AE75" i="25" s="1"/>
  <c r="D71" i="25"/>
  <c r="D75" i="25" l="1"/>
  <c r="AE76" i="25"/>
  <c r="AE77" i="25" l="1"/>
  <c r="AE78" i="25" s="1"/>
  <c r="AE79" i="25" s="1"/>
  <c r="D76" i="25"/>
  <c r="AE80" i="25" l="1"/>
  <c r="AE81" i="25" s="1"/>
  <c r="AE82" i="25" s="1"/>
  <c r="AE83" i="25" s="1"/>
  <c r="AE84" i="25" s="1"/>
  <c r="AE85" i="25" s="1"/>
  <c r="AE86" i="25" s="1"/>
  <c r="D79" i="25"/>
  <c r="AE87" i="25" l="1"/>
  <c r="AE88" i="25" s="1"/>
  <c r="AE89" i="25" s="1"/>
  <c r="D86" i="25"/>
  <c r="AE90" i="25" l="1"/>
  <c r="AE91" i="25" s="1"/>
  <c r="AE92" i="25" s="1"/>
  <c r="AE93" i="25" s="1"/>
  <c r="D89" i="25"/>
  <c r="AE94" i="25" l="1"/>
  <c r="AE95" i="25" s="1"/>
  <c r="AE96" i="25" s="1"/>
  <c r="AE97" i="25" s="1"/>
  <c r="D93" i="25"/>
  <c r="AE98" i="25" l="1"/>
  <c r="AE99" i="25" s="1"/>
  <c r="D97" i="25"/>
  <c r="D99" i="25" l="1"/>
  <c r="AE100" i="25"/>
  <c r="AE101" i="25" s="1"/>
  <c r="AE102" i="25" l="1"/>
  <c r="AE103" i="25" s="1"/>
  <c r="AE104" i="25" s="1"/>
  <c r="D101" i="25"/>
  <c r="AE105" i="25" l="1"/>
  <c r="AE106" i="25" s="1"/>
  <c r="AE107" i="25" s="1"/>
  <c r="D104" i="25"/>
  <c r="D107" i="25" l="1"/>
  <c r="AE108" i="25"/>
  <c r="AE109" i="25" s="1"/>
  <c r="AE110" i="25" s="1"/>
  <c r="AE111" i="25" s="1"/>
  <c r="AE112" i="25" l="1"/>
  <c r="AE113" i="25" s="1"/>
  <c r="AE114" i="25" s="1"/>
  <c r="AE115" i="25" s="1"/>
  <c r="AE116" i="25" s="1"/>
  <c r="AE117" i="25" s="1"/>
  <c r="D111" i="25"/>
  <c r="AE118" i="25" l="1"/>
  <c r="AE119" i="25" s="1"/>
  <c r="D117" i="25"/>
  <c r="AE120" i="25" l="1"/>
  <c r="AE121" i="25" s="1"/>
  <c r="D119" i="25"/>
  <c r="AE122" i="25" l="1"/>
  <c r="AE123" i="25" s="1"/>
  <c r="D121" i="25"/>
  <c r="D123" i="25" l="1"/>
  <c r="AE124" i="25"/>
  <c r="AE125" i="25" s="1"/>
  <c r="AE126" i="25" l="1"/>
  <c r="AE127" i="25" s="1"/>
  <c r="AE128" i="25" s="1"/>
  <c r="AE129" i="25" s="1"/>
  <c r="D125" i="25"/>
  <c r="AE130" i="25" l="1"/>
  <c r="AE131" i="25" s="1"/>
  <c r="AE132" i="25" s="1"/>
  <c r="D129" i="25"/>
  <c r="AE133" i="25" l="1"/>
  <c r="AE134" i="25" s="1"/>
  <c r="D132" i="25"/>
  <c r="AE135" i="25" l="1"/>
  <c r="AE136" i="25" s="1"/>
  <c r="AE137" i="25" s="1"/>
  <c r="AE138" i="25" s="1"/>
  <c r="AE139" i="25" s="1"/>
  <c r="D134" i="25"/>
  <c r="AE140" i="25" l="1"/>
  <c r="D139" i="25"/>
  <c r="AE141" i="25" l="1"/>
  <c r="AE142" i="25" s="1"/>
  <c r="D140" i="25"/>
  <c r="AE143" i="25" l="1"/>
  <c r="AE144" i="25" s="1"/>
  <c r="D142" i="25"/>
  <c r="AE145" i="25" l="1"/>
  <c r="AE146" i="25" s="1"/>
  <c r="D144" i="25"/>
  <c r="D146" i="25" l="1"/>
  <c r="AE147" i="25"/>
  <c r="AE148" i="25" s="1"/>
  <c r="AE149" i="25" l="1"/>
  <c r="AE150" i="25" s="1"/>
  <c r="D148" i="25"/>
  <c r="AE151" i="25" l="1"/>
  <c r="D150" i="25"/>
  <c r="AE152" i="25" l="1"/>
  <c r="AE153" i="25" s="1"/>
  <c r="D151" i="25"/>
  <c r="AE154" i="25" l="1"/>
  <c r="AE155" i="25" s="1"/>
  <c r="AE156" i="25" s="1"/>
  <c r="AE157" i="25" s="1"/>
  <c r="D153" i="25"/>
  <c r="AE158" i="25" l="1"/>
  <c r="AE159" i="25" s="1"/>
  <c r="D157" i="25"/>
  <c r="AE160" i="25" l="1"/>
  <c r="AE161" i="25" s="1"/>
  <c r="D159" i="25"/>
  <c r="AE162" i="25" l="1"/>
  <c r="AE163" i="25" s="1"/>
  <c r="AE164" i="25" s="1"/>
  <c r="D161" i="25"/>
  <c r="AE165" i="25" l="1"/>
  <c r="AE166" i="25" s="1"/>
  <c r="D164" i="25"/>
  <c r="AE167" i="25" l="1"/>
  <c r="AE168" i="25" s="1"/>
  <c r="D166" i="25"/>
  <c r="AE169" i="25" l="1"/>
  <c r="AE170" i="25" s="1"/>
  <c r="D168" i="25"/>
  <c r="D170" i="25" l="1"/>
  <c r="AE171" i="25"/>
  <c r="AE172" i="25" s="1"/>
  <c r="AE173" i="25" l="1"/>
  <c r="AE174" i="25" s="1"/>
  <c r="D172" i="25"/>
  <c r="AE175" i="25" l="1"/>
  <c r="AE176" i="25" s="1"/>
  <c r="D174" i="25"/>
  <c r="AE177" i="25" l="1"/>
  <c r="AE178" i="25" s="1"/>
  <c r="D176" i="25"/>
  <c r="D178" i="25" l="1"/>
  <c r="AE179" i="25"/>
  <c r="AE180" i="25" s="1"/>
  <c r="AE181" i="25" l="1"/>
  <c r="AE182" i="25" s="1"/>
  <c r="D180" i="25"/>
  <c r="AE183" i="25" l="1"/>
  <c r="AE184" i="25" s="1"/>
  <c r="D182" i="25"/>
  <c r="AE185" i="25" l="1"/>
  <c r="AE186" i="25" s="1"/>
  <c r="D184" i="25"/>
  <c r="D186" i="25" l="1"/>
  <c r="AE187" i="25"/>
  <c r="AE188" i="25" s="1"/>
  <c r="AE189" i="25" l="1"/>
  <c r="AE190" i="25" s="1"/>
  <c r="D188" i="25"/>
  <c r="AE191" i="25" l="1"/>
  <c r="AE192" i="25" s="1"/>
  <c r="D190" i="25"/>
  <c r="AE193" i="25" l="1"/>
  <c r="AE194" i="25" s="1"/>
  <c r="AE195" i="25" s="1"/>
  <c r="D192" i="25"/>
  <c r="D195" i="25" l="1"/>
  <c r="AE196" i="25"/>
  <c r="AE197" i="25" s="1"/>
  <c r="AE198" i="25" s="1"/>
  <c r="AE199" i="25" s="1"/>
  <c r="D199" i="25" l="1"/>
  <c r="AE200" i="25"/>
  <c r="AE201" i="25" s="1"/>
  <c r="AE202" i="25" s="1"/>
  <c r="AE203" i="25" s="1"/>
  <c r="D203" i="25" l="1"/>
  <c r="AE204" i="25"/>
  <c r="AE205" i="25" s="1"/>
  <c r="AE206" i="25" s="1"/>
  <c r="AE207" i="25" s="1"/>
  <c r="AE208" i="25" s="1"/>
  <c r="AE209" i="25" l="1"/>
  <c r="AE210" i="25" s="1"/>
  <c r="D208" i="25"/>
  <c r="AE211" i="25" l="1"/>
  <c r="AE212" i="25" s="1"/>
  <c r="AE213" i="25" s="1"/>
  <c r="AE214" i="25" s="1"/>
  <c r="D210" i="25"/>
  <c r="AE215" i="25" l="1"/>
  <c r="AE216" i="25" s="1"/>
  <c r="D214" i="25"/>
  <c r="AE217" i="25" l="1"/>
  <c r="AE218" i="25" s="1"/>
  <c r="D216" i="25"/>
  <c r="D218" i="25" l="1"/>
  <c r="AE219" i="25"/>
  <c r="AE220" i="25" s="1"/>
  <c r="AE221" i="25" l="1"/>
  <c r="AE222" i="25" s="1"/>
  <c r="D220" i="25"/>
  <c r="AE223" i="25" l="1"/>
  <c r="AE224" i="25" s="1"/>
  <c r="D222" i="25"/>
  <c r="AE225" i="25" l="1"/>
  <c r="AE226" i="25" s="1"/>
  <c r="D224" i="25"/>
  <c r="D226" i="25" l="1"/>
  <c r="AE227" i="25"/>
  <c r="AE228" i="25" l="1"/>
  <c r="D227" i="25"/>
  <c r="AE229" i="25" l="1"/>
  <c r="AE230" i="25" s="1"/>
  <c r="D228" i="25"/>
  <c r="AE231" i="25" l="1"/>
  <c r="AE232" i="25" s="1"/>
  <c r="D230" i="25"/>
  <c r="AE233" i="25" l="1"/>
  <c r="D232" i="25"/>
  <c r="AE234" i="25" l="1"/>
  <c r="AE235" i="25" s="1"/>
  <c r="D233" i="25"/>
  <c r="AE236" i="25" l="1"/>
  <c r="AE237" i="25" s="1"/>
  <c r="D235" i="25"/>
  <c r="AE238" i="25" l="1"/>
  <c r="AE239" i="25" s="1"/>
  <c r="AE240" i="25" s="1"/>
  <c r="AE241" i="25" s="1"/>
  <c r="D237" i="25"/>
  <c r="D241" i="25" l="1"/>
  <c r="AE242" i="25"/>
  <c r="AE243" i="25" s="1"/>
  <c r="AE244" i="25" l="1"/>
  <c r="D243" i="25"/>
  <c r="AE245" i="25" l="1"/>
  <c r="AE246" i="25" s="1"/>
  <c r="D244" i="25"/>
  <c r="AE247" i="25" l="1"/>
  <c r="AE248" i="25" s="1"/>
  <c r="D246" i="25"/>
  <c r="AE249" i="25" l="1"/>
  <c r="AE250" i="25" s="1"/>
  <c r="D248" i="25"/>
  <c r="D250" i="25" l="1"/>
  <c r="AE251" i="25"/>
  <c r="AE252" i="25" s="1"/>
  <c r="AE253" i="25" l="1"/>
  <c r="AE254" i="25" s="1"/>
  <c r="D252" i="25"/>
  <c r="AE255" i="25" l="1"/>
  <c r="AE256" i="25" s="1"/>
  <c r="AE257" i="25" s="1"/>
  <c r="AE258" i="25" s="1"/>
  <c r="D254" i="25"/>
  <c r="D258" i="25" l="1"/>
  <c r="AE259" i="25"/>
  <c r="AE260" i="25" s="1"/>
  <c r="AE261" i="25" l="1"/>
  <c r="AE262" i="25" s="1"/>
  <c r="AE263" i="25" s="1"/>
  <c r="AE264" i="25" s="1"/>
  <c r="AE265" i="25" s="1"/>
  <c r="D260" i="25"/>
  <c r="D265" i="25" l="1"/>
  <c r="AE266" i="25"/>
  <c r="AE267" i="25" s="1"/>
  <c r="AE268" i="25" s="1"/>
  <c r="AE269" i="25" s="1"/>
  <c r="D269" i="25" l="1"/>
  <c r="AE270" i="25"/>
  <c r="AE271" i="25" s="1"/>
  <c r="AE272" i="25" l="1"/>
  <c r="AE273" i="25" s="1"/>
  <c r="D271" i="25"/>
  <c r="D273" i="25" l="1"/>
  <c r="AE274" i="25"/>
  <c r="AE275" i="25" s="1"/>
  <c r="AE276" i="25" l="1"/>
  <c r="AE277" i="25" s="1"/>
  <c r="D275" i="25"/>
  <c r="D277" i="25" l="1"/>
  <c r="AE278" i="25"/>
  <c r="D278" i="25" l="1"/>
  <c r="AE279" i="25"/>
  <c r="AE280" i="25" l="1"/>
  <c r="AE281" i="25" s="1"/>
  <c r="AE282" i="25" s="1"/>
  <c r="AE283" i="25" s="1"/>
  <c r="D279" i="25"/>
  <c r="AE284" i="25" l="1"/>
  <c r="AE285" i="25" s="1"/>
  <c r="AE286" i="25" s="1"/>
  <c r="D283" i="25"/>
  <c r="D286" i="25" l="1"/>
  <c r="AE287" i="25"/>
  <c r="AE288" i="25" s="1"/>
  <c r="AE289" i="25" s="1"/>
  <c r="AE290" i="25" s="1"/>
  <c r="AE291" i="25" s="1"/>
  <c r="AE292" i="25" s="1"/>
  <c r="AE293" i="25" l="1"/>
  <c r="AE294" i="25" s="1"/>
  <c r="D292" i="25"/>
  <c r="AE295" i="25" l="1"/>
  <c r="AE296" i="25" s="1"/>
  <c r="D294" i="25"/>
  <c r="AE297" i="25" l="1"/>
  <c r="AE298" i="25" s="1"/>
  <c r="D296" i="25"/>
  <c r="D298" i="25" l="1"/>
  <c r="AE299" i="25"/>
  <c r="AE300" i="25" s="1"/>
  <c r="AE301" i="25" l="1"/>
  <c r="AE302" i="25" s="1"/>
  <c r="AE303" i="25" s="1"/>
  <c r="AE304" i="25" s="1"/>
  <c r="D300" i="25"/>
  <c r="AE305" i="25" l="1"/>
  <c r="AE306" i="25" s="1"/>
  <c r="AE307" i="25" s="1"/>
  <c r="D304" i="25"/>
  <c r="AE308" i="25" l="1"/>
  <c r="AE309" i="25" s="1"/>
  <c r="D307" i="25"/>
  <c r="AE310" i="25" l="1"/>
  <c r="AE311" i="25" s="1"/>
  <c r="D309" i="25"/>
  <c r="AE312" i="25" l="1"/>
  <c r="AE313" i="25" s="1"/>
  <c r="AE314" i="25" s="1"/>
  <c r="D311" i="25"/>
  <c r="D314" i="25" l="1"/>
  <c r="AE315" i="25"/>
  <c r="AE316" i="25" s="1"/>
  <c r="D316" i="25" l="1"/>
  <c r="AE317" i="25"/>
  <c r="AE318" i="25" s="1"/>
  <c r="AE319" i="25" l="1"/>
  <c r="AE320" i="25" s="1"/>
  <c r="D318" i="25"/>
  <c r="AE321" i="25" l="1"/>
  <c r="AE322" i="25" s="1"/>
  <c r="AE323" i="25" s="1"/>
  <c r="D320" i="25"/>
  <c r="AE324" i="25" l="1"/>
  <c r="AE325" i="25" s="1"/>
  <c r="AE326" i="25" s="1"/>
  <c r="AE327" i="25" s="1"/>
  <c r="AE328" i="25" s="1"/>
  <c r="D323" i="25"/>
  <c r="D328" i="25" l="1"/>
  <c r="AE329" i="25"/>
  <c r="AE330" i="25" s="1"/>
  <c r="AE331" i="25" l="1"/>
  <c r="D330" i="25"/>
  <c r="H15" i="17" l="1"/>
  <c r="H10" i="17"/>
  <c r="H66" i="17"/>
  <c r="H72" i="17"/>
  <c r="H77" i="17"/>
  <c r="H60" i="17"/>
  <c r="H57" i="17"/>
  <c r="H29" i="17"/>
  <c r="H22" i="17"/>
  <c r="H45" i="17"/>
  <c r="H75" i="17"/>
  <c r="H90" i="17"/>
  <c r="H25" i="17"/>
  <c r="H17" i="17"/>
  <c r="H34" i="17"/>
  <c r="H47" i="17"/>
  <c r="H38" i="17"/>
  <c r="H26" i="17"/>
  <c r="H44" i="17"/>
  <c r="H39" i="17"/>
  <c r="H65" i="17"/>
  <c r="H82" i="17"/>
  <c r="H88" i="17"/>
  <c r="H11" i="17"/>
  <c r="H85" i="17"/>
  <c r="H9" i="17"/>
  <c r="H86" i="17"/>
  <c r="H37" i="17"/>
  <c r="H13" i="17"/>
  <c r="H27" i="17"/>
  <c r="H31" i="17"/>
  <c r="H79" i="17"/>
  <c r="H64" i="17"/>
  <c r="H80" i="17"/>
  <c r="H76" i="17"/>
  <c r="H30" i="17"/>
  <c r="H87" i="17"/>
  <c r="H50" i="17"/>
  <c r="H40" i="17"/>
  <c r="H46" i="17"/>
  <c r="H67" i="17"/>
  <c r="H21" i="17"/>
  <c r="H55" i="17"/>
  <c r="H53" i="17"/>
  <c r="H19" i="17"/>
  <c r="H58" i="17"/>
  <c r="H78" i="17"/>
  <c r="H20" i="17"/>
  <c r="H89" i="17"/>
  <c r="H63" i="17"/>
  <c r="H74" i="17"/>
  <c r="H32" i="17"/>
  <c r="H36" i="17"/>
  <c r="H18" i="17"/>
  <c r="H54" i="17"/>
  <c r="H28" i="17"/>
  <c r="H48" i="17"/>
  <c r="H14" i="17"/>
  <c r="H71" i="17"/>
  <c r="H68" i="17"/>
  <c r="H83" i="17"/>
  <c r="H52" i="17"/>
  <c r="H24" i="17"/>
  <c r="H42" i="17"/>
  <c r="H51" i="17"/>
  <c r="H49" i="17"/>
  <c r="H16" i="17"/>
  <c r="H84" i="17"/>
  <c r="H70" i="17"/>
  <c r="H43" i="17"/>
  <c r="H81" i="17"/>
  <c r="H59" i="17"/>
  <c r="H69" i="17"/>
  <c r="H12" i="17"/>
  <c r="H61" i="17"/>
  <c r="H23" i="17"/>
  <c r="H91" i="17"/>
  <c r="H41" i="17"/>
  <c r="H35" i="17"/>
  <c r="H62" i="17"/>
  <c r="H56" i="17"/>
  <c r="H73" i="17"/>
  <c r="H33" i="17"/>
  <c r="H51" i="16"/>
  <c r="H52" i="16"/>
  <c r="H56" i="16"/>
  <c r="H31" i="16"/>
  <c r="H44" i="16"/>
  <c r="H19" i="16"/>
  <c r="H35" i="16"/>
  <c r="H16" i="16"/>
  <c r="H17" i="16"/>
  <c r="H54" i="16"/>
  <c r="H30" i="16"/>
  <c r="H43" i="16"/>
  <c r="H47" i="16"/>
  <c r="H28" i="16"/>
  <c r="H25" i="16"/>
  <c r="H11" i="16"/>
  <c r="H9" i="16"/>
  <c r="H20" i="16"/>
  <c r="H53" i="16"/>
  <c r="H12" i="16"/>
  <c r="H59" i="16"/>
  <c r="H34" i="16"/>
  <c r="H13" i="16"/>
  <c r="H10" i="16"/>
  <c r="H41" i="16"/>
  <c r="H46" i="16"/>
  <c r="H21" i="16"/>
  <c r="H15" i="16"/>
  <c r="H27" i="16"/>
  <c r="H55" i="16"/>
  <c r="H40" i="16"/>
  <c r="H33" i="16"/>
  <c r="H37" i="16"/>
  <c r="H32" i="16"/>
  <c r="H42" i="16"/>
  <c r="H24" i="16"/>
  <c r="H22" i="16"/>
  <c r="H57" i="16"/>
  <c r="H48" i="16"/>
  <c r="H49" i="16"/>
  <c r="H50" i="16"/>
  <c r="H14" i="16"/>
  <c r="H45" i="16"/>
  <c r="H18" i="16"/>
  <c r="H26" i="16"/>
  <c r="H38" i="16"/>
  <c r="H36" i="16"/>
  <c r="H23" i="16"/>
  <c r="H39" i="16"/>
  <c r="H29" i="16"/>
  <c r="H58" i="16"/>
  <c r="H180" i="15"/>
  <c r="H32" i="15"/>
  <c r="H25" i="11"/>
  <c r="H98" i="15"/>
  <c r="H50" i="11"/>
  <c r="H155" i="15"/>
  <c r="H70" i="15"/>
  <c r="H74" i="15"/>
  <c r="H29" i="11"/>
  <c r="H112" i="15"/>
  <c r="H115" i="15"/>
  <c r="H29" i="15"/>
  <c r="H53" i="15"/>
  <c r="H175" i="15"/>
  <c r="H132" i="15"/>
  <c r="H12" i="11"/>
  <c r="H91" i="15"/>
  <c r="H19" i="11"/>
  <c r="H79" i="15"/>
  <c r="H31" i="15"/>
  <c r="H173" i="15"/>
  <c r="H30" i="11"/>
  <c r="H50" i="15"/>
  <c r="H138" i="15"/>
  <c r="H34" i="15"/>
  <c r="H106" i="15"/>
  <c r="H96" i="15"/>
  <c r="H58" i="15"/>
  <c r="H178" i="15"/>
  <c r="H42" i="15"/>
  <c r="H27" i="15"/>
  <c r="H129" i="15"/>
  <c r="H127" i="15"/>
  <c r="H41" i="15"/>
  <c r="H72" i="15"/>
  <c r="H174" i="15"/>
  <c r="H119" i="15"/>
  <c r="H40" i="15"/>
  <c r="H33" i="11"/>
  <c r="H165" i="15"/>
  <c r="H168" i="15"/>
  <c r="H59" i="15"/>
  <c r="H88" i="15"/>
  <c r="H100" i="15"/>
  <c r="H60" i="15"/>
  <c r="H21" i="11"/>
  <c r="H36" i="15"/>
  <c r="H154" i="15"/>
  <c r="H166" i="15"/>
  <c r="H22" i="11"/>
  <c r="H37" i="11"/>
  <c r="H144" i="15"/>
  <c r="H30" i="15"/>
  <c r="H103" i="15"/>
  <c r="H24" i="11"/>
  <c r="H97" i="15"/>
  <c r="H128" i="15"/>
  <c r="H11" i="15"/>
  <c r="H135" i="15"/>
  <c r="H71" i="15"/>
  <c r="H36" i="11"/>
  <c r="H68" i="15"/>
  <c r="H124" i="15"/>
  <c r="H40" i="11"/>
  <c r="H90" i="15"/>
  <c r="H172" i="15"/>
  <c r="H28" i="11"/>
  <c r="H45" i="15"/>
  <c r="H181" i="15"/>
  <c r="H164" i="15"/>
  <c r="H12" i="15"/>
  <c r="H114" i="15"/>
  <c r="H56" i="15"/>
  <c r="H147" i="15"/>
  <c r="H142" i="15"/>
  <c r="H44" i="11"/>
  <c r="H86" i="15"/>
  <c r="H116" i="15"/>
  <c r="H45" i="11"/>
  <c r="H102" i="15"/>
  <c r="H15" i="11"/>
  <c r="H99" i="15"/>
  <c r="H44" i="15"/>
  <c r="H167" i="15"/>
  <c r="H80" i="15"/>
  <c r="H52" i="15"/>
  <c r="H10" i="11"/>
  <c r="H111" i="15"/>
  <c r="H67" i="15"/>
  <c r="H33" i="15"/>
  <c r="H78" i="15"/>
  <c r="H43" i="11"/>
  <c r="H15" i="15"/>
  <c r="H81" i="15"/>
  <c r="H18" i="15"/>
  <c r="H39" i="11"/>
  <c r="H151" i="15"/>
  <c r="H13" i="15"/>
  <c r="H141" i="15"/>
  <c r="H179" i="15"/>
  <c r="H93" i="15"/>
  <c r="H160" i="15"/>
  <c r="H51" i="11"/>
  <c r="H85" i="15"/>
  <c r="H139" i="15"/>
  <c r="H117" i="15"/>
  <c r="H14" i="15"/>
  <c r="H131" i="15"/>
  <c r="H169" i="15"/>
  <c r="H26" i="11"/>
  <c r="H83" i="15"/>
  <c r="H47" i="15"/>
  <c r="H159" i="15"/>
  <c r="H52" i="11"/>
  <c r="H38" i="11"/>
  <c r="H118" i="15"/>
  <c r="H109" i="15"/>
  <c r="H140" i="15"/>
  <c r="H23" i="15"/>
  <c r="H16" i="15"/>
  <c r="H18" i="11"/>
  <c r="H23" i="11"/>
  <c r="H105" i="15"/>
  <c r="H136" i="15"/>
  <c r="H21" i="15"/>
  <c r="H46" i="11"/>
  <c r="H182" i="15"/>
  <c r="H65" i="15"/>
  <c r="H104" i="15"/>
  <c r="H108" i="15"/>
  <c r="H32" i="11"/>
  <c r="H143" i="15"/>
  <c r="H120" i="15"/>
  <c r="H123" i="15"/>
  <c r="H61" i="15"/>
  <c r="H17" i="11"/>
  <c r="H49" i="15"/>
  <c r="H146" i="15"/>
  <c r="H133" i="15"/>
  <c r="H34" i="11"/>
  <c r="H13" i="11"/>
  <c r="H64" i="15"/>
  <c r="H10" i="15"/>
  <c r="H156" i="15"/>
  <c r="H149" i="15"/>
  <c r="H76" i="15"/>
  <c r="H31" i="11"/>
  <c r="H38" i="15"/>
  <c r="H158" i="15"/>
  <c r="H20" i="15"/>
  <c r="H54" i="15"/>
  <c r="H92" i="15"/>
  <c r="H51" i="15"/>
  <c r="H176" i="15"/>
  <c r="H43" i="15"/>
  <c r="H35" i="15"/>
  <c r="H113" i="15"/>
  <c r="H170" i="15"/>
  <c r="H55" i="15"/>
  <c r="H82" i="15"/>
  <c r="H126" i="15"/>
  <c r="H53" i="11"/>
  <c r="H94" i="15"/>
  <c r="H11" i="11"/>
  <c r="H25" i="15"/>
  <c r="H157" i="15"/>
  <c r="H153" i="15"/>
  <c r="H107" i="15"/>
  <c r="H27" i="11"/>
  <c r="H101" i="15"/>
  <c r="H84" i="15"/>
  <c r="H28" i="15"/>
  <c r="H125" i="15"/>
  <c r="H130" i="15"/>
  <c r="H134" i="15"/>
  <c r="H47" i="11"/>
  <c r="H150" i="15"/>
  <c r="H26" i="15"/>
  <c r="H48" i="11"/>
  <c r="H171" i="15"/>
  <c r="H161" i="15"/>
  <c r="H66" i="15"/>
  <c r="H110" i="15"/>
  <c r="H35" i="11"/>
  <c r="H69" i="15"/>
  <c r="H48" i="15"/>
  <c r="H73" i="15"/>
  <c r="H57" i="15"/>
  <c r="H145" i="15"/>
  <c r="H19" i="15"/>
  <c r="H42" i="11"/>
  <c r="H87" i="15"/>
  <c r="H17" i="15"/>
  <c r="H75" i="15"/>
  <c r="H37" i="15"/>
  <c r="H24" i="15"/>
  <c r="H77" i="15"/>
  <c r="H39" i="15"/>
  <c r="H152" i="15"/>
  <c r="H148" i="15"/>
  <c r="H95" i="15"/>
  <c r="H9" i="11"/>
  <c r="H14" i="11"/>
  <c r="H162" i="15"/>
  <c r="H46" i="15"/>
  <c r="H163" i="15"/>
  <c r="H16" i="11"/>
  <c r="H177" i="15"/>
  <c r="H22" i="15"/>
  <c r="H121" i="15"/>
  <c r="H89" i="15"/>
  <c r="H62" i="15"/>
  <c r="H49" i="11"/>
  <c r="H137" i="15"/>
  <c r="H9" i="15"/>
  <c r="H20" i="11"/>
  <c r="H63" i="15"/>
  <c r="H122" i="15"/>
  <c r="H41" i="11"/>
  <c r="H131" i="10"/>
  <c r="H52" i="10"/>
  <c r="H39" i="10"/>
  <c r="H135" i="10"/>
  <c r="H61" i="10"/>
  <c r="H40" i="10"/>
  <c r="H126" i="10"/>
  <c r="H139" i="10"/>
  <c r="H100" i="10"/>
  <c r="H20" i="10"/>
  <c r="H109" i="10"/>
  <c r="H90" i="10"/>
  <c r="H70" i="10"/>
  <c r="H25" i="10"/>
  <c r="H116" i="10"/>
  <c r="H49" i="10"/>
  <c r="H86" i="10"/>
  <c r="H80" i="10"/>
  <c r="H147" i="10"/>
  <c r="H122" i="10"/>
  <c r="H36" i="10"/>
  <c r="H106" i="10"/>
  <c r="H143" i="10"/>
  <c r="H21" i="10"/>
  <c r="H102" i="10"/>
  <c r="H41" i="10"/>
  <c r="H78" i="10"/>
  <c r="H110" i="10"/>
  <c r="H81" i="10"/>
  <c r="H134" i="10"/>
  <c r="H64" i="10"/>
  <c r="H45" i="10"/>
  <c r="H68" i="10"/>
  <c r="H56" i="10"/>
  <c r="H103" i="10"/>
  <c r="H60" i="10"/>
  <c r="H105" i="10"/>
  <c r="H112" i="10"/>
  <c r="H108" i="10"/>
  <c r="H117" i="10"/>
  <c r="H85" i="10"/>
  <c r="H75" i="10"/>
  <c r="H124" i="10"/>
  <c r="H59" i="10"/>
  <c r="H37" i="10"/>
  <c r="H145" i="10"/>
  <c r="H130" i="10"/>
  <c r="H84" i="10"/>
  <c r="H127" i="10"/>
  <c r="H114" i="10"/>
  <c r="H149" i="10"/>
  <c r="H129" i="10"/>
  <c r="H19" i="10"/>
  <c r="H13" i="10"/>
  <c r="H63" i="10"/>
  <c r="H132" i="10"/>
  <c r="H18" i="10"/>
  <c r="H26" i="10"/>
  <c r="H148" i="10"/>
  <c r="H51" i="10"/>
  <c r="H34" i="10"/>
  <c r="H107" i="10"/>
  <c r="H50" i="10"/>
  <c r="H121" i="10"/>
  <c r="H136" i="10"/>
  <c r="H54" i="10"/>
  <c r="H144" i="10"/>
  <c r="H43" i="10"/>
  <c r="H82" i="10"/>
  <c r="H71" i="10"/>
  <c r="H133" i="10"/>
  <c r="H96" i="10"/>
  <c r="H83" i="10"/>
  <c r="H62" i="10"/>
  <c r="H15" i="10"/>
  <c r="H55" i="10"/>
  <c r="H24" i="10"/>
  <c r="H92" i="10"/>
  <c r="H46" i="10"/>
  <c r="H104" i="10"/>
  <c r="H32" i="10"/>
  <c r="H91" i="10"/>
  <c r="H48" i="10"/>
  <c r="H72" i="10"/>
  <c r="H93" i="10"/>
  <c r="H47" i="10"/>
  <c r="H79" i="10"/>
  <c r="H118" i="10"/>
  <c r="H57" i="10"/>
  <c r="H119" i="10"/>
  <c r="H99" i="10"/>
  <c r="H65" i="10"/>
  <c r="H113" i="10"/>
  <c r="H140" i="10"/>
  <c r="H31" i="10"/>
  <c r="H142" i="10"/>
  <c r="H76" i="10"/>
  <c r="H29" i="10"/>
  <c r="H98" i="10"/>
  <c r="H125" i="10"/>
  <c r="H74" i="10"/>
  <c r="H14" i="10"/>
  <c r="H128" i="10"/>
  <c r="H138" i="10"/>
  <c r="H53" i="10"/>
  <c r="H120" i="10"/>
  <c r="H35" i="10"/>
  <c r="H22" i="10"/>
  <c r="H42" i="10"/>
  <c r="H67" i="10"/>
  <c r="H111" i="10"/>
  <c r="H89" i="10"/>
  <c r="H33" i="10"/>
  <c r="H16" i="10"/>
  <c r="H94" i="10"/>
  <c r="H27" i="10"/>
  <c r="H17" i="10"/>
  <c r="H30" i="10"/>
  <c r="H137" i="10"/>
  <c r="H23" i="10"/>
  <c r="H146" i="10"/>
  <c r="H123" i="10"/>
  <c r="H87" i="10"/>
  <c r="H101" i="10"/>
  <c r="H66" i="10"/>
  <c r="H77" i="10"/>
  <c r="H141" i="10"/>
  <c r="H95" i="10"/>
  <c r="H115" i="10"/>
  <c r="H69" i="10"/>
  <c r="H97" i="10"/>
  <c r="H73" i="10"/>
  <c r="H88" i="10"/>
  <c r="H44" i="10"/>
  <c r="H38" i="10"/>
  <c r="H28" i="10"/>
  <c r="H58" i="10"/>
</calcChain>
</file>

<file path=xl/sharedStrings.xml><?xml version="1.0" encoding="utf-8"?>
<sst xmlns="http://schemas.openxmlformats.org/spreadsheetml/2006/main" count="10800" uniqueCount="2123">
  <si>
    <t xml:space="preserve"> </t>
  </si>
  <si>
    <t xml:space="preserve">Least </t>
  </si>
  <si>
    <t xml:space="preserve">Minimal </t>
  </si>
  <si>
    <t xml:space="preserve">Moderate </t>
  </si>
  <si>
    <t xml:space="preserve">Significant </t>
  </si>
  <si>
    <t xml:space="preserve">Most </t>
  </si>
  <si>
    <t>Risk</t>
  </si>
  <si>
    <t>Direct acceptance of emerging payments technologies; moderate transaction volume and/or foreign payments</t>
  </si>
  <si>
    <t xml:space="preserve">﻿Attempted cyber attacks </t>
  </si>
  <si>
    <t>Score</t>
  </si>
  <si>
    <t>Notes</t>
  </si>
  <si>
    <t>Category</t>
  </si>
  <si>
    <t xml:space="preserve">Technologies and Connection Types  </t>
  </si>
  <si>
    <t>Delivery Channels</t>
  </si>
  <si>
    <t>Online/Mobile Products and Technology Services</t>
  </si>
  <si>
    <t>Organizational Characteristics</t>
  </si>
  <si>
    <t>External Threats</t>
  </si>
  <si>
    <t>Risks</t>
  </si>
  <si>
    <t>Total</t>
  </si>
  <si>
    <t>Inherent Risk Profile</t>
  </si>
  <si>
    <t>Date</t>
  </si>
  <si>
    <t>Average Score</t>
  </si>
  <si>
    <t>Percent Answered</t>
  </si>
  <si>
    <t>Maturity Level</t>
  </si>
  <si>
    <t>Domain</t>
  </si>
  <si>
    <t>Assesment Factor</t>
  </si>
  <si>
    <t>Component</t>
  </si>
  <si>
    <t>Baseline</t>
  </si>
  <si>
    <t>Evolving</t>
  </si>
  <si>
    <t>Intermediate</t>
  </si>
  <si>
    <t>Advanced</t>
  </si>
  <si>
    <t>Innovative</t>
  </si>
  <si>
    <t>Calculated Level</t>
  </si>
  <si>
    <t>Overall</t>
  </si>
  <si>
    <t>Governance</t>
  </si>
  <si>
    <t>Oversight</t>
  </si>
  <si>
    <t>Strategy/Policies</t>
  </si>
  <si>
    <t>Risk Management</t>
  </si>
  <si>
    <t>Risk Management Program</t>
  </si>
  <si>
    <t>Risk Assessment</t>
  </si>
  <si>
    <t>Audit</t>
  </si>
  <si>
    <t>Resouces</t>
  </si>
  <si>
    <t>Staffing</t>
  </si>
  <si>
    <t>Training and Culture</t>
  </si>
  <si>
    <t>Training</t>
  </si>
  <si>
    <t>Culture</t>
  </si>
  <si>
    <t>Domain 1: Cyber Risk Management and Oversight</t>
  </si>
  <si>
    <t>Cyber risk management and oversight addresses the board of directors’ (board’s) oversight and management’s development and implementation of an effective enterprise-wide cybersecurity program with comprehensive policies and procedures for establishing appropriate accountability and oversight.</t>
  </si>
  <si>
    <t>Declarative Statement</t>
  </si>
  <si>
    <t>Useful links</t>
  </si>
  <si>
    <t>workArea</t>
  </si>
  <si>
    <t>workArea2</t>
  </si>
  <si>
    <t>Designated members of management are held accountable by the board or an appropriate board committee for implementing and managing the information security and business continuity programs. (FFIEC Information Security Booklet, page 3)</t>
  </si>
  <si>
    <t>Information security risks are discussed in management meetings when prompted by highly visible cyber events or regulatory alerts. (FFIEC Information Security Booklet, page 6)</t>
  </si>
  <si>
    <t>Management provides a written report on the overall status of the information security and business continuity programs to the board or an appropriate board committee at least annually. (FFIEC Information Security Booklet, page 5)</t>
  </si>
  <si>
    <t>The budgeting process includes information security related expenses and tools. (FFIEC E-Banking Booklet, page 20)</t>
  </si>
  <si>
    <t>Management considers the risks posed by other critical infrastructures (e.g., telecommunications, energy) to the institution. (FFIEC Business Continuity Planning Booklet, page J-12)</t>
  </si>
  <si>
    <t>At least annually, the board or an appropriate board committee reviews and approves the institution’s cybersecurity program.</t>
  </si>
  <si>
    <t>Management is responsible for ensuring compliance with legal and regulatory requirements related to cybersecurity.</t>
  </si>
  <si>
    <t>Cybersecurity tools and staff are requested through the budget process.</t>
  </si>
  <si>
    <t>There is a process to formally discuss and estimate potential expenses associated with cybersecurity incidents as part of the budgeting process.</t>
  </si>
  <si>
    <t>The board or an appropriate board committee has cybersecurity expertise or engages experts to assist with oversight responsibilities.</t>
  </si>
  <si>
    <t>The standard board meeting package includes reports and metrics that go beyond events and incidents to address threat intelligence trends and the institution’s security posture.</t>
  </si>
  <si>
    <t>The institution has a cyber risk appetite statement approved by the board or an appropriate board committee.</t>
  </si>
  <si>
    <t>Cyber risks that exceed the risk appetite are escalated to management.</t>
  </si>
  <si>
    <t>The board or an appropriate board committee ensures management’s annual cybersecurity self-assessment evaluates the institution’s ability to meet its cyber risk management standards.</t>
  </si>
  <si>
    <t>The board or an appropriate board committee reviews and approves management’s prioritization and resource allocation decisions based on the results of the cyber assessments.</t>
  </si>
  <si>
    <t>The board or an appropriate board committee ensures management takes appropriate actions to address changing cyber risks or significant cybersecurity issues.</t>
  </si>
  <si>
    <t>The budget process for requesting additional cybersecurity staff and tools is integrated into business units’ budget processes.</t>
  </si>
  <si>
    <t>The board or board committee approved cyber risk appetite statement is part of the enterprise-wide risk appetite statement.</t>
  </si>
  <si>
    <t>Management has a formal process to continuously improve cybersecurity oversight.</t>
  </si>
  <si>
    <t>The budget process for requesting additional cybersecurity staff and tools maps current resources and tools to the cybersecurity strategy.</t>
  </si>
  <si>
    <t>Management and the board or an appropriate board committee hold business units accountable for effectively managing all cyber risks associated with their activities.</t>
  </si>
  <si>
    <t>Management identifies root cause(s) when cyber attacks result in material loss.</t>
  </si>
  <si>
    <t>The board or an appropriate board committee ensures that management’s actions consider the cyber risks that the institution poses to the financial sector.</t>
  </si>
  <si>
    <t>The board or an appropriate board committee discusses ways for management to develop cybersecurity improvements that may be adopted sector-wide.</t>
  </si>
  <si>
    <t>The board or an appropriate board committee verifies that management’s actions consider the cyber risks that the institution poses to other critical infrastructures (e.g., telecommunications, energy).</t>
  </si>
  <si>
    <t>The institution has an information security strategy that integrates technology, policies, procedures, and training to mitigate risk. (FFIEC Information Security Booklet, page 3)</t>
  </si>
  <si>
    <t>The institution has policies commensurate with its risk and complexity that address the concepts of threat information sharing. (FFIEC E-Banking Booklet, page 28)</t>
  </si>
  <si>
    <t>The institution has board-approved policies commensurate with its risk and complexity that address information security. (FFIEC Information Security Booklet, page 16)</t>
  </si>
  <si>
    <t>The institution has policies commensurate with its risk and complexity that address the concepts of external dependency or third-party management. (FFIEC Outsourcing Booklet, page 2)</t>
  </si>
  <si>
    <t>The institution has policies commensurate with its risk and complexity that address the concepts of incident response and resilience. (FFIEC Information Security Booklet, page 83)</t>
  </si>
  <si>
    <t>All elements of the information security program are coordinated enterprise-wide. (FFIEC Information Security Booklet, page 7)</t>
  </si>
  <si>
    <t>The institution augmented its information security strategy to incorporate cybersecurity and resilience.</t>
  </si>
  <si>
    <t>The institution has a formal cybersecurity program that is based on technology and security industry standards or benchmarks.</t>
  </si>
  <si>
    <t>A formal process is in place to update policies as the institution’s inherent risk profile changes.</t>
  </si>
  <si>
    <t>The institution has a comprehensive set of policies commensurate with its risk and complexity that address the concepts of threat intelligence.</t>
  </si>
  <si>
    <t>Management periodically reviews the cybersecurity strategy to address evolving cyber threats and changes to the institution’s inherent risk profile.</t>
  </si>
  <si>
    <t>The cybersecurity strategy is incorporated into, or conceptually fits within, the institution’s enterprise-wide risk management strategy.</t>
  </si>
  <si>
    <t>Management links strategic cybersecurity objectives to tactical goals.</t>
  </si>
  <si>
    <t>A formal process is in place to cross-reference and simultaneously update all policies related to cyber risks across business lines.</t>
  </si>
  <si>
    <t>The cybersecurity strategy outlines the institution’s future state of cybersecurity with short-term and long-term perspectives.</t>
  </si>
  <si>
    <t>Industry-recognized cybersecurity standards are used as sources during the analysis of cybersecurity program gaps.</t>
  </si>
  <si>
    <t>The cybersecurity strategy identifies and communicates the institution’s role as a component of critical infrastructure in the financial services industry.</t>
  </si>
  <si>
    <t>The risk appetite is informed by the institution’s role in critical infrastructure.</t>
  </si>
  <si>
    <t>Management is continuously improving the existing cybersecurity program to adapt as the desired cybersecurity target state changes.</t>
  </si>
  <si>
    <t>The cybersecurity strategy identifies and communicates the institution’s role as it relates to other critical infrastructures.</t>
  </si>
  <si>
    <t>An inventory of organizational assets (e.g., hardware, software, data, and systems hosted externally) is maintained. (FFIEC Information Security Booklet, page 9)</t>
  </si>
  <si>
    <t>Organizational assets (e.g., hardware, systems, data, and applications) are prioritized for protection based on the data classification and business value. (FFIEC Information Security Booklet, page 12)</t>
  </si>
  <si>
    <t>Management assigns accountability for maintaining an inventory of organizational assets. (FFIEC Information Security Booklet, page 9)</t>
  </si>
  <si>
    <t>A change management process is in place to request and approve changes to systems configurations, hardware, software, applications, and security tools. (FFIEC Information Security Booklet, page 56)</t>
  </si>
  <si>
    <t>The asset inventory, including identification of critical assets, is updated at least annually to address new, relocated, re-purposed, and sunset assets.</t>
  </si>
  <si>
    <t>The institution has a documented asset life-cycle process that considers whether assets to be acquired have appropriate security safeguards.</t>
  </si>
  <si>
    <t>The institution proactively manages system EOL (e.g., replacement) to limit security risks.</t>
  </si>
  <si>
    <t>Changes are formally approved by an individual or committee with appropriate authority and with separation of duties.</t>
  </si>
  <si>
    <t>Baseline configurations cannot be altered without a formal change request, documented approval, and an assessment of security implications.</t>
  </si>
  <si>
    <t>A formal IT change management process requires cybersecurity risk to be evaluated during the analysis, approval, testing, and reporting of changes.</t>
  </si>
  <si>
    <t>Supply chain risk is reviewed before the acquisition of mission-critical information systems including system components.</t>
  </si>
  <si>
    <t>Automated tools enable tracking, updating, asset prioritizing, and custom reporting of the asset inventory.</t>
  </si>
  <si>
    <t>Automated processes are in place to detect and block unauthorized changes to software and hardware.</t>
  </si>
  <si>
    <t>The change management system uses thresholds to determine when a risk assessment of the impact of the change is required.</t>
  </si>
  <si>
    <t>A formal change management function governs decentralized or highly distributed change requests and identifies and measures security risks that may cause increased exposure to cyber attack.</t>
  </si>
  <si>
    <t>Comprehensive automated enterprise tools are implemented to detect and block unauthorized changes to software and hardware.</t>
  </si>
  <si>
    <t>An information security and business continuity risk management function(s) exists within the institution. (FFIEC Information Security Booklet, page 68)</t>
  </si>
  <si>
    <t>The risk management program incorporates cyber risk identification, measurement, mitigation, monitoring, and reporting.</t>
  </si>
  <si>
    <t>Management reviews and uses the results of audits to improve existing cybersecurity policies, procedures, and controls.</t>
  </si>
  <si>
    <t>Management monitors moderate and high residual risk issues from the cybersecurity risk assessment until items are addressed.</t>
  </si>
  <si>
    <t>The cybersecurity function has a clear reporting line that does not present a conflict of interest.</t>
  </si>
  <si>
    <t>The risk management program specifically addresses cyber risks beyond the boundaries of the technological impacts (e.g., financial, strategic, regulatory, compliance).</t>
  </si>
  <si>
    <t>Benchmarks or target performance metrics have been established for showing improvements or regressions of the security posture over time.</t>
  </si>
  <si>
    <t>Management uses the results of independent audits and reviews to improve cybersecurity.</t>
  </si>
  <si>
    <t>There is a process to analyze and assign potential losses and related expenses, by cost center, associated with cybersecurity incidents</t>
  </si>
  <si>
    <t>Cybersecurity metrics are used to facilitate strategic decision-making and funding in areas of need.</t>
  </si>
  <si>
    <t>Independent risk management sets and monitors cyber-related risk limits for business units.</t>
  </si>
  <si>
    <t>Independent risk management staff escalates to management and the board or an appropriate board committee significant discrepancies from business unit’s assessments of cyber-related risk.</t>
  </si>
  <si>
    <t>A process is in place to analyze the financial impact cyber incidents haveon the institution’s capital.</t>
  </si>
  <si>
    <t>The cyber risk data aggregation and real-time reporting capabilities support the institution’s ongoing reporting needs, particularly during cyber incidents.</t>
  </si>
  <si>
    <t>The risk management function identifies and analyzes commonalities in cyber events that occur both at the institution and across other sectors to enable more predictive risk management.</t>
  </si>
  <si>
    <t>A process is in place to analyze the financial impact that a cyber incident at the institution may have across the financial sector.</t>
  </si>
  <si>
    <t>A risk assessment focused on safeguarding customer information identifies reasonable and foreseeable internal and external threats, the likelihood and potential damage of threats, and the sufficiency of policies, procedures, and customer information systems. (FFIEC Information Security Booklet, page 8)</t>
  </si>
  <si>
    <t>The risk assessment identifies internet-based systems and high-risk transactions that warrant additional authentication controls. (FFIEC Information Security Booklet, page 12)</t>
  </si>
  <si>
    <t>The risk assessment is updated to address new technologies, products, services, and connections before deployment. (FFIEC Information Security Booklet, page 13)</t>
  </si>
  <si>
    <t>Risk assessments are used to identify the cybersecurity risks stemming from new products, services, or relationships.</t>
  </si>
  <si>
    <t>The focus of the risk assessment has expanded beyond customer information to address all information assets.</t>
  </si>
  <si>
    <t>The risk assessment considers the risk of using EOL software and hardware components.</t>
  </si>
  <si>
    <t>The risk assessment is adjusted to consider widely known risks or risk management practices.</t>
  </si>
  <si>
    <t>An enterprise-wide risk management function incorporates cyber threat analysis and specific risk exposure as part of the enterprise risk assessment.</t>
  </si>
  <si>
    <t>The risk assessment is updated in real time as changes to the risk profile occur, new applicable standards are released or updated, and new exposures are anticipated.</t>
  </si>
  <si>
    <t>The institution uses information from risk assessments to predict threats and drive real-time responses.</t>
  </si>
  <si>
    <t>Advanced or automated analytics offer predictive information and real- time risk metrics.</t>
  </si>
  <si>
    <t>Independent audit or review evaluates policies, procedures, and controls across the institution for significant risks and control issues associated with the institution's operations, including risks in new products, emerging technologies, and information systems. (FFIEC Audit Booklet, page 4)</t>
  </si>
  <si>
    <t>The independent audit function validates controls related to the storage or transmission of confidential data. (FFIEC Audit Booklet, page 1)</t>
  </si>
  <si>
    <t>Logging practices are independently reviewed periodically to ensure appropriate log management (e.g., access controls, retention, and maintenance). (FFIEC Operations Booklet, page 29)</t>
  </si>
  <si>
    <t>Issues and corrective actions from internal audits and independent testing/assessments are formally tracked to ensure procedures and control lapses are resolved in a timely manner. (FFIEC Information Security Booklet, page 6)</t>
  </si>
  <si>
    <t>The independent audit function validates that the risk managementfunction is commensurate with the institution’s risk and complexity.</t>
  </si>
  <si>
    <t>The independent audit function validates that the institution’s threat information sharing is commensurate with the institution’s risk and complexity.</t>
  </si>
  <si>
    <t>The independent audit function validates that the institution’s cybersecurity controls function is commensurate with the institution’s risk and complexity.</t>
  </si>
  <si>
    <t>The independent audit function validates that the institution’s third-party relationship management is commensurate with the institution’s risk and complexity.</t>
  </si>
  <si>
    <t>The independent audit function validates that the institution’s incident response program and resilience are commensurate with the institution’s risk and complexity.</t>
  </si>
  <si>
    <t>A formal process is in place for the independent audit function to updateits procedures based on changes to the institution’s inherent risk profile.</t>
  </si>
  <si>
    <t>The independent audit function validates that the institution’s threat intelligence and collaboration are commensurate with the institution’s risk and complexity.</t>
  </si>
  <si>
    <t>The independent audit function regularly reviews management’s cyberrisk appetite statement.</t>
  </si>
  <si>
    <t>Independent audits or reviews are used to identify gaps in existing security capabilities and expertise.</t>
  </si>
  <si>
    <t>A formal process is in place for the independent audit function to update its procedures based on changes to the evolving threat landscape across the sector.</t>
  </si>
  <si>
    <t>The independent audit function regularly reviews the institution’s cyber risk appetite statement in comparison to assessment results and incorporates gaps into the audit strategy.</t>
  </si>
  <si>
    <t>Independent audits or reviews are used to identify cybersecurity weaknesses, root causes, and the potential impact to business units.</t>
  </si>
  <si>
    <t>A formal process is in place for the independent audit function to update its procedures based on changes to the evolving threat landscape across other sectors the institution depends upon.</t>
  </si>
  <si>
    <t>The independent audit function uses sophisticated data mining tools to perform continuous monitoring of cybersecurity processes or controls.</t>
  </si>
  <si>
    <t>Information security roles and responsibilities have been identified.(FFIEC Information Security Booklet, page 7)</t>
  </si>
  <si>
    <t>Processes are in place to identify additional expertise needed to improve information security defenses. (FFIEC Information Security Work Program, Objective I: 2-8)</t>
  </si>
  <si>
    <t>Information Security Work Program</t>
  </si>
  <si>
    <t>A formal process is used to identify cybersecurity tools and expertise that may be needed.</t>
  </si>
  <si>
    <t>Management with appropriate knowledge and experience leads the institution's cybersecurity efforts.</t>
  </si>
  <si>
    <t>Staff with cybersecurity responsibilities have the requisite qualifications to perform the necessary tasks of the position.</t>
  </si>
  <si>
    <t>Employment candidates, contractors, and third parties are subject to background verification proportional to the confidentiality of the data accessed, business requirements, and acceptable risk.</t>
  </si>
  <si>
    <t>The institution has a program for talent recruitment, retention, and succession planning for the cybersecurity and resilience staffs.</t>
  </si>
  <si>
    <t>The institution benchmarks its cybersecurity staffing against peers to identify whether its recruitment, retention, and succession planning are commensurate.</t>
  </si>
  <si>
    <t>Dedicated cybersecurity staff develops, or contributes to developing, integrated enterprise-level security and cyber defense strategies.</t>
  </si>
  <si>
    <t>The institution actively partners with industry associations and academia to inform curricula based on future cybersecurity staffing needs of the industry.</t>
  </si>
  <si>
    <t>Annual information security training includes incident response, current cyber threats (e.g., phishing, spear phishing, social engineering, and mobile security), and emerging issues. (FFIEC Information Security Booklet, page 66)</t>
  </si>
  <si>
    <t>Situational awareness materials are made available to employees when prompted by highly visible cyber events or by regulatory alerts. (FFIEC Information Security Booklet, page 7)</t>
  </si>
  <si>
    <t>Customer awareness materials are readily available (e.g., DHS’ Cybersecurity Awareness Month materials). (FFIEC E-Banking Work Program, Objective 6-3)</t>
  </si>
  <si>
    <t>The institution has a program for continuing cybersecurity training and skill development for cybersecurity staff.</t>
  </si>
  <si>
    <t>Management is provided cybersecurity training relevant to their job responsibilities.</t>
  </si>
  <si>
    <t>Employees with privileged account permissions receive additional cybersecurity training commensurate with their levels of responsibility.</t>
  </si>
  <si>
    <t>Business units are provided cybersecurity training relevant to their particular business risks.</t>
  </si>
  <si>
    <t>The institution validates the effectiveness of training (e.g., social engineering or phishing tests).</t>
  </si>
  <si>
    <t>Management incorporates lessons learned from social engineering and phishing exercises to improve the employee awareness programs.</t>
  </si>
  <si>
    <t>Cybersecurity awareness information is provided to retail customers and commercial clients at least annually.</t>
  </si>
  <si>
    <t>Business units are provided cybersecurity training relevant to their particular business risks, over and above what is required of the institution as a whole.</t>
  </si>
  <si>
    <t>The institution routinely updates its training to security staff to adapt to new threats.</t>
  </si>
  <si>
    <t>Independent directors are provided with cybersecurity training that addresses how complex products, services, and lines of business affect the institution's cyber risk.</t>
  </si>
  <si>
    <t>Key performance indicators are used to determine whether training and awareness programs positively influence behavior.</t>
  </si>
  <si>
    <t>Management holds employees accountable for complying with the information security program. (FFIEC Information Security Booklet, page 7)</t>
  </si>
  <si>
    <t>Management ensures performance plans are tied to compliance with cybersecurity policies and standards in order to hold employees accountable.</t>
  </si>
  <si>
    <t>The risk culture requires formal consideration of cyber risks in all business decisions.</t>
  </si>
  <si>
    <t>Cyber risk reporting is presented and discussed at the independent risk management meetings.</t>
  </si>
  <si>
    <t>Management ensures continuous improvement of cyber risk cultural awareness.</t>
  </si>
  <si>
    <t>The institution leads efforts to promote cybersecurity culture across the sector and to other sectors that they depend upon.</t>
  </si>
  <si>
    <t>Domain 2: Threat Intelligence and Collaboration</t>
  </si>
  <si>
    <t>Threat intelligence and collaboration includes processes to effectively discover, analyze, and understand cyber threats, with the capability to share information internally and with appropriate third parties.</t>
  </si>
  <si>
    <t>Threat Intelligence</t>
  </si>
  <si>
    <t>The institution belongs or subscribes to a threat and vulnerability information sharing source(s) that provides information on threats (e.g., Financial Services Information Sharing and Analysis Center [FS-ISAC], U.S. Computer Emergency Readiness Team [US-CERT]). (FFIEC E-Banking Work Program, page 28)</t>
  </si>
  <si>
    <t>Threat information is used to monitor threats and vulnerabilities. (FFIEC Information Security Booklet, page 83)</t>
  </si>
  <si>
    <t>Threat information is used to enhance internal risk management and controls. (FFIEC Information Security Booklet, page 4)</t>
  </si>
  <si>
    <t>Threat information received by the institution includes analysis of tactics, patterns, and risk mitigation recommendations.</t>
  </si>
  <si>
    <t>A formal threat intelligence program is implemented and includes subscription to threat feeds from external providers and internal sources.</t>
  </si>
  <si>
    <t>Protocols are implemented for collecting information from industry peers and government.</t>
  </si>
  <si>
    <t>A read-only, central repository of cyber threat intelligence is maintained.</t>
  </si>
  <si>
    <t>A cyber intelligence model is used for gathering threat information.</t>
  </si>
  <si>
    <t>Threat intelligence is automatically received from multiple sources in real time.</t>
  </si>
  <si>
    <t>The institution’s threat intelligence includes information related to geopolitical events that could increase cybersecurity threat levels.</t>
  </si>
  <si>
    <t>A threat analysis system automatically correlates threat data to specific risks and then takes risk-based automated actions while alerting management.</t>
  </si>
  <si>
    <t>The institution is investing in the development of new threat intelligence and collaboration mechanisms (e.g., technologies, business processes) that will transform how information is gathered and shared.</t>
  </si>
  <si>
    <t>Audit log records and other security event logs are reviewed and retained in a secure manner. (FFIEC Information Security Booklet, page 79)</t>
  </si>
  <si>
    <t>Computer event logs are used for investigations once an event has occurred. (FFIEC Information Security Booklet, page 83)</t>
  </si>
  <si>
    <t>Yes</t>
  </si>
  <si>
    <t>---</t>
  </si>
  <si>
    <t>No</t>
  </si>
  <si>
    <t>N/A</t>
  </si>
  <si>
    <t>Threat Intelligence and Collaboration</t>
  </si>
  <si>
    <t>Cybersecurity Maturity Level For Each Domain</t>
  </si>
  <si>
    <t>Inherent Risk Levels</t>
  </si>
  <si>
    <t>Inherent Risk</t>
  </si>
  <si>
    <t>Cyber Risk Management and Oversight</t>
  </si>
  <si>
    <t>Cybersecurity Controls</t>
  </si>
  <si>
    <t>External Dependency Management</t>
  </si>
  <si>
    <t>Cyber Incidence Management and Resilience</t>
  </si>
  <si>
    <t>Threat</t>
  </si>
  <si>
    <t>Controls</t>
  </si>
  <si>
    <t>Dependency</t>
  </si>
  <si>
    <t>Incidence</t>
  </si>
  <si>
    <t>Numbers</t>
  </si>
  <si>
    <t>Names</t>
  </si>
  <si>
    <t>Names or Numbers</t>
  </si>
  <si>
    <t>Baseline maturity is characterized by minimum expectations required by law and regulations or recommended in supervisory guidance. This level includes compliance-driven objectives. Management has reviewed and evaluated guidance.</t>
  </si>
  <si>
    <t>Evolving maturity is characterized by additional formality of documented procedures and policies that are not already required. Risk-driven objectives are in place. Accountability for cybersecurity is formally assigned and broadened beyond protection of customer information to incorporate information assets and systems.</t>
  </si>
  <si>
    <t>Intermediate maturity is characterized by detailed, formal processes. Controls are validated and consistent. Risk-management practices and analysis are integrated into business strategies.</t>
  </si>
  <si>
    <t>Advanced maturity is characterized by cybersecurity practices and analytics that are integrated across lines of business. Majority of risk-management processes are automated and include continuous process improvement. Accountability for risk decisions by frontline businesses is formally assigned.</t>
  </si>
  <si>
    <t>Innovative maturity is characterized by driving innovation in people, processes, and technology for the institution and the industry to manage cyber risks. This may entail developing new controls, new tools, or creating new information-sharing groups. Real-time, predictive analytics are tied to automated responses.</t>
  </si>
  <si>
    <t>Maturity Levels Defined</t>
  </si>
  <si>
    <t>A process is implemented to monitor threat information to discover emerging threats.</t>
  </si>
  <si>
    <t>The threat information and analysis process is assigned to a specific group or individual.</t>
  </si>
  <si>
    <t>Monitoring systems operate continuously with adequate support for efficient incident handling.</t>
  </si>
  <si>
    <t>A threat intelligence team is in place that evaluates threat intelligence from multiple sources for credibility, relevance, and exposure.</t>
  </si>
  <si>
    <t>A profile is created for each threat that identifies the likely intent, capability, and target of the threat.</t>
  </si>
  <si>
    <t>Threat information sources that address all components of the threat profile are prioritized and monitored.</t>
  </si>
  <si>
    <t>Threat intelligence is analyzed to develop cyber threat summaries including risks to the institution and specific actions for the institution to consider.</t>
  </si>
  <si>
    <t>A dedicated cyber threat identification and analysis committee or team exists to centralize and coordinate initiatives and communications.</t>
  </si>
  <si>
    <t>Formal processes have been defined to resolve potential conflicts in information received from sharing and analysis centers or other sources.</t>
  </si>
  <si>
    <t>Emerging internal and external threat intelligence and correlated log analysis are used to predict future attacks.</t>
  </si>
  <si>
    <t>Threat intelligence is viewed within the context of the institution's risk profile and risk appetite to prioritize mitigating actions in anticipation of threats.</t>
  </si>
  <si>
    <t>Threat intelligence is used to update architecture and configuration standards.</t>
  </si>
  <si>
    <t>The institution uses multiple sources of intelligence, correlated log analysis, alerts, internal traffic flows, and geopolitical events to predict potential future attacks and attack trends.</t>
  </si>
  <si>
    <t>Highest risk scenarios are used to predict threats against specific business targets.</t>
  </si>
  <si>
    <t>IT systems automatically detect configuration weaknesses based on threat intelligence and alert management so actions can be prioritized.</t>
  </si>
  <si>
    <t>Information Sharing</t>
  </si>
  <si>
    <t>A formal protocol is in place for sharing threat, vulnerability, and incident information to employees based on their specific job function.</t>
  </si>
  <si>
    <t>Information-sharing agreements are used as needed or required to facilitate sharing threat information with other financial sector organizations or third parties.</t>
  </si>
  <si>
    <t>Information is shared proactively with the industry, law enforcement, regulators, and information-sharing forums.</t>
  </si>
  <si>
    <t>A process is in place to communicate and collaborate with the public sector regarding cyber threats.</t>
  </si>
  <si>
    <t>Management communicates threat intelligence with business risk context and specific risk management recommendations to the business units.</t>
  </si>
  <si>
    <t>Relationships exist with employees of peer institutions for sharing cyber threat intelligence.</t>
  </si>
  <si>
    <t>A network of trust relationships (formal and/or informal) has been established to evaluate information about cyber threats.</t>
  </si>
  <si>
    <t>A mechanism is in place for sharing cyber threat intelligence with business units in real time including the potential financial and operational impact of inaction.</t>
  </si>
  <si>
    <t>A system automatically informs management of the level of business risk specific to the institution and the progress of recommended steps taken to mitigate the risks.</t>
  </si>
  <si>
    <t>The institution is leading efforts to create new sector-wide information-sharing channels to address gaps in external-facing information-sharing mechanisms.</t>
  </si>
  <si>
    <t>Domain 3: Cybersecurity Controls</t>
  </si>
  <si>
    <t>Cybersecurity controls are the practices and processes used to protect assets, infrastructure, and information by strengthening the institution’s defensive posture through continuous, automated protection and monitoring.</t>
  </si>
  <si>
    <t>External dependency management involves establishing and maintaining a comprehensive program to oversee and manage external connections and third-party relationships with access to the institution’s technology assets and information.</t>
  </si>
  <si>
    <t>Domain 4: External Dependency Management</t>
  </si>
  <si>
    <t>Domain 5: Cyber Incident Management and Resilience</t>
  </si>
  <si>
    <t>Cyber incident management includes establishing, identifying, and analyzing cyber events; prioritizing the institution’s containment or mitigation; and escalating information to appropriate stakeholders. Cyber resilience encompasses both planning and testing to maintain and recover ongoing operations during and following a cyber incident.</t>
  </si>
  <si>
    <t>Preventative Controls</t>
  </si>
  <si>
    <t>Infrastructure Management</t>
  </si>
  <si>
    <t>Network perimeter defense tools (e.g., border router and firewall) are used. (FFIEC Information Security Booklet, page 33)</t>
  </si>
  <si>
    <t>Systems that are accessed from the Internet or by external parties are protected by firewalls or other similar devices. (FFIEC Information Security Booklet, page 46)</t>
  </si>
  <si>
    <t>All ports are monitored. (FFIEC Information Security Booklet, page 50)</t>
  </si>
  <si>
    <t>Up to date antivirus and anti-malware tools are used. (FFIEC Information Security Booklet, page 78)</t>
  </si>
  <si>
    <t>Systems configurations (for servers, desktops, routers, etc.) follow industry standards and are enforced. (FFIEC Information Security Booklet, page 56)</t>
  </si>
  <si>
    <t>Ports, functions, protocols and services are prohibited if no longer needed for business purposes. (FFIEC Information Security Booklet, page 50)</t>
  </si>
  <si>
    <t>Access to make changes to systems configurations (including virtual machines and hypervisors) is controlled and monitored. (FFIEC Information Security Booklet, page 56)</t>
  </si>
  <si>
    <t>Programs that can override system, object, network, virtual machine, and application controls are restricted. (FFIEC Information Security Booklet, page 41)</t>
  </si>
  <si>
    <t>System sessions are locked after a pre-defined period of inactivity and are terminated after pre-defined conditions are met. (FFIEC Information Security Booklet, page 23)</t>
  </si>
  <si>
    <t>Wireless network environments require security settings with strong encryption for authentication and transmission. (*N/A if there are no wireless networks.) (FFIEC Information Security Booklet, page 40)</t>
  </si>
  <si>
    <t>There is a firewall at each Internet connection and between any Demilitarized Zone (DMZ) and internal network(s).</t>
  </si>
  <si>
    <t>Antivirus and intrusion detection/prevention systems (IDS/IPS) detect and block actual and attempted attacks or intrusions.</t>
  </si>
  <si>
    <t>Technical controls prevent unauthorized devices, including rogue wireless access devices and removable media, from connecting to the internal network(s).</t>
  </si>
  <si>
    <t>A risk-based solution is in place at the institution or Internet hosting provider to mitigate disruptive cyber attacks (e.g., DDoS attacks).</t>
  </si>
  <si>
    <t>Guest wireless networks are fully segregated from the internal network(s). (*N/A if there are no wireless networks.)</t>
  </si>
  <si>
    <t>Domain Name System Security Extensions (DNSSEC) is deployed across the enterprise.</t>
  </si>
  <si>
    <t>Critical systems supported by legacy technologies are regularly reviewed to identify for potential vulnerabilities, upgrade opportunities, or new defense layers.</t>
  </si>
  <si>
    <t>Controls for unsupported systems are implemented and tested.</t>
  </si>
  <si>
    <t>The enterprise network is segmented in multiple, separate trust/security zones with defense-in-depth strategies (e.g., logical network segmentation, hard backups, air-gapping) to mitigate attacks.</t>
  </si>
  <si>
    <t>Security controls are used for remote access to all administrative consoles, including restricted virtual systems.</t>
  </si>
  <si>
    <t>Wireless network environments have perimeter firewalls that are implemented and configured to restrict unauthorized traffic. (*N/A if there are no wireless networks.)</t>
  </si>
  <si>
    <t>Wireless networks use strong encryption with encryption keys that are changed frequently. (*N/A if there are no wireless networks.)</t>
  </si>
  <si>
    <t>The broadcast range of the wireless network(s) is confined to institution-controlled boundaries. (*N/A if there are no wireless networks.)</t>
  </si>
  <si>
    <t>Technical measures are in place to prevent the execution of unauthorized code on institution owned or managed devices, network infrastructure, and systems components.</t>
  </si>
  <si>
    <t>Network environments and virtual instances are designed and configured to restrict and monitor traffic between trusted and untrusted zones.</t>
  </si>
  <si>
    <t>Only one primary function is permitted per server to prevent functions that require different security levels from co-existing on the same server.</t>
  </si>
  <si>
    <t>Anti-spoofing measures are in place to detect and block forged source IP addresses from entering the network.</t>
  </si>
  <si>
    <t>The institution risk scores all of its infrastructure assets and updates in real time based on threats, vulnerabilities, or operational changes.</t>
  </si>
  <si>
    <t>Automated controls are put in place based on risk scores to infrastructure assets, including automatically disconnecting affected assets.</t>
  </si>
  <si>
    <t>The institution proactively seeks to identify control gaps that may be used as part of a zero-day attack.</t>
  </si>
  <si>
    <t>Public-facing servers are routinely rotated and restored to a known clean state to limit the window of time a system is exposed to potential threats.</t>
  </si>
  <si>
    <t>Access and Data Management</t>
  </si>
  <si>
    <t>Employee access is granted to systems and confidential data based on job responsibilities and the principles of least privilege. (FFIEC Information Security Booklet, page 19)</t>
  </si>
  <si>
    <t>Employee access to systems and confidential data provides for separation of duties. (FFIEC Information Security Booklet, page 19)</t>
  </si>
  <si>
    <t>Elevated privileges (e.g., administrator privileges) are limited and tightly controlled (e.g., assigned to individuals, not shared, and require stronger password controls). (FFIEC Information Security Booklet, page 19)</t>
  </si>
  <si>
    <t>User access reviews are performed periodically for all systems and applications based on the risk to the application or system. (FFIEC Information Security Booklet, page 18)</t>
  </si>
  <si>
    <t>Changes to physical and logical user access, including those that result from voluntary and involuntary terminations, are submitted to and approved by appropriate personnel. (FFIEC Information Security Booklet, page 18)</t>
  </si>
  <si>
    <t>Identification and authentication are required and managed for access to systems, applications, and hardware. (FFIEC Information Security Booklet, page 21)</t>
  </si>
  <si>
    <t>Access controls include password complexity and limits to password attempts and reuse. (FFIEC Information Security Booklet, page 66)</t>
  </si>
  <si>
    <t>All default passwords and unnecessary default accounts are changed before system implementation. (FFIEC Information Security Booklet, page 61)</t>
  </si>
  <si>
    <t>Customer access to Internet-based products or services requires authentication controls (e.g., layered controls, multifactor) that are commensurate with the risk. (FFIEC Information Security Booklet, page 21)</t>
  </si>
  <si>
    <t>Production and non-production environments are segregated to prevent unauthorized access or changes to information assets. (*N/A if no production environment exists at the institution or the institution’s third party.) (FFIEC Information Security Booklet, page 64)</t>
  </si>
  <si>
    <t>Physical security controls are used to prevent unauthorized access to information systems and telecommunication systems. (FFIEC Information Security Booklet, page 47)</t>
  </si>
  <si>
    <t>All passwords are encrypted in storage and in transit. (FFIEC Information Security Booklet, page 21)</t>
  </si>
  <si>
    <t>Confidential data are encrypted when transmitted across public or untrusted networks (e.g., Internet). (FFIEC Information Security Booklet, page 51)</t>
  </si>
  <si>
    <t>Mobile devices (e.g., laptops, tablets, and removable media) are encrypted if used to store confidential data. (*N/A if mobile devices are not used.) (FFIEC Information Security Booklet, page 51)</t>
  </si>
  <si>
    <t>Remote access to critical systems by employees, contractors, and third parties uses encrypted connections and multifactor authentication. (FFIEC Information Security Booklet, page 45)</t>
  </si>
  <si>
    <t>Administrative, physical, or technical controls are in place to prevent users without administrative responsibilities from installing unauthorized software. (FFIEC Information Security Booklet, page 25)</t>
  </si>
  <si>
    <t>Customer service (e.g., the call center) utilizes formal procedures to authenticate customers commensurate with the risk of the transaction or request. (FFIEC Information Security Booklet, page 19)</t>
  </si>
  <si>
    <t>Data is disposed of or destroyed according to documented requirements and within expected time frames. (FFIEC Information Security Booklet, page 66)</t>
  </si>
  <si>
    <t>Changes to user access permissions trigger automated notices to appropriate personnel.</t>
  </si>
  <si>
    <t>Administrators have two accounts: one for administrative use and one for general purpose, non-administrative tasks.</t>
  </si>
  <si>
    <t>Use of customer data in non-production environments complies with legal, regulatory, and internal policy requirements for concealing or removing of sensitive data elements.</t>
  </si>
  <si>
    <t>Physical access to high-risk or confidential systems is restricted, logged, and unauthorized access is blocked.</t>
  </si>
  <si>
    <t>Controls are in place to prevent unauthorized access to cryptographic keys.</t>
  </si>
  <si>
    <t>The institution has implemented tools to prevent unauthorized access to or exfiltration of confidential data.</t>
  </si>
  <si>
    <t>Controls are in place to prevent unauthorized escalation of user privileges.</t>
  </si>
  <si>
    <t>Access controls are in place for database administrators to prevent unauthorized downloading or transmission of confidential data.</t>
  </si>
  <si>
    <t>All physical and logical access is removed immediately upon notification of involuntary termination and within 24 hours of an employee’s voluntary departure.</t>
  </si>
  <si>
    <t>Multifactor authentication and/or layered controls have been implemented to secure all third-party access to the institution's network and/or systems and applications.</t>
  </si>
  <si>
    <t>Multifactor authentication (e.g., tokens, digital certificates) techniques are used for employee access to high-risk systems as identified in the risk assessment(s). (*N/A if no high risk systems.)</t>
  </si>
  <si>
    <t>Confidential data are encrypted in transit across private connections (e.g., frame relay and T1) and within the institution’s trusted zones.</t>
  </si>
  <si>
    <t>Controls are in place to prevent unauthorized access to collaborative computing devices and applications (e.g., networked white boards, cameras, microphones, online applications such as instant messaging and document sharing). (* N/A if collaborative computing devices are not used.)</t>
  </si>
  <si>
    <t>Encryption of select data at rest is determined by the institution’s data classification and risk assessment.</t>
  </si>
  <si>
    <t>Customer authentication for high-risk transactions includes methods to prevent malware and man-in-the-middle attacks (e.g., using visual transaction signing).</t>
  </si>
  <si>
    <t>Adaptive access controls de-provision or isolate an employee, third-party, or customer credentials to minimize potential damage if malicious behavior is suspected.</t>
  </si>
  <si>
    <t>Unstructured confidential data are tracked and secured through an identity-aware, cross-platform storage system that protects against internal threats, monitors user access, and tracks changes.</t>
  </si>
  <si>
    <t>Tokenization is used to substitute unique values for confidential information (e.g., virtual credit card).</t>
  </si>
  <si>
    <t>The institution is leading efforts to create new technologies and processes for managing customer, employee, and third-party authentication and access.</t>
  </si>
  <si>
    <t>Real-time risk mitigation is taken based on automated risk scoring of user credentials.</t>
  </si>
  <si>
    <t>Device/End-Point Security</t>
  </si>
  <si>
    <t>Controls are in place to restrict the use of removable media to authorized personnel. (FFIEC Information Security Work Program, Objective I: 4-1)</t>
  </si>
  <si>
    <t>Tools automatically block attempted access from unpatched employee and third-party devices.</t>
  </si>
  <si>
    <t>Tools automatically block attempted access by unregistered devices to internal networks.</t>
  </si>
  <si>
    <t>The institution has controls to prevent the unauthorized addition of new connections.</t>
  </si>
  <si>
    <t>Controls are in place to prevent unauthorized individuals from copying confidential data to removable media.</t>
  </si>
  <si>
    <t>Antivirus and anti-malware tools are deployed on end-point devices (e.g., workstations, laptops, and mobile devices).</t>
  </si>
  <si>
    <t>Mobile devices with access to the institution’s data are centrally managed for antivirus and patch deployment. (*N/A if mobile devices are not used.)</t>
  </si>
  <si>
    <t>The institution wipes data remotely on mobile devices when a device is missing or stolen. (*N/A if mobile devices are not used.)</t>
  </si>
  <si>
    <t>Data loss prevention controls or devices are implemented for inbound and outbound communications (e.g., e-mail, FTP, Telnet, prevention of large file transfers).</t>
  </si>
  <si>
    <t>Mobile device management includes integrity scanning (e.g., jailbreak/rooted detection). (*N/A if mobile devices are not used.)</t>
  </si>
  <si>
    <t>Mobile devices connecting to the corporate network for storing and accessing company information allow for remote software version/patch validation. (*N/A if mobile devices are not used.)</t>
  </si>
  <si>
    <t>Employees’ and third parties’ devices (including mobile) without the latest security patches are quarantined and patched before the device is granted access to the network.</t>
  </si>
  <si>
    <t>Confidential data and applications on mobile devices are only accessible via a secure, isolated sandbox or a secure container.</t>
  </si>
  <si>
    <t>A centralized end-point management tool provides fully integrated patch, configuration, and vulnerability management, while also being able to detect malware upon arrival to prevent an exploit.</t>
  </si>
  <si>
    <t>Secure Coding</t>
  </si>
  <si>
    <t>Developers working for the institution follow secure program coding practices, as part of a system development life cycle (SDLC), that meet industry standards. (FFIEC Information Security Booklet, page 56)</t>
  </si>
  <si>
    <t>The security controls of internally developed software are periodically reviewed and tested. (*N/A if there is no software development.) (FFIEC Information Security Booklet, page 59)</t>
  </si>
  <si>
    <t>The security controls in internally developed software code are independently reviewed before migrating the code to production. (*N/A if there is no software development.) (FFIEC Development and Acquisition Booklet, page 2)</t>
  </si>
  <si>
    <t>Intellectual property and production code are held in escrow. (*N/A if there is no production code to hold in escrow.) (FFIEC Development and Acquisition Booklet, page 39)</t>
  </si>
  <si>
    <t>Security testing occurs at all post-design phases of the SDLC for all applications, including mobile applications. (*N/A if there is no software development.)</t>
  </si>
  <si>
    <t>Processes are in place to mitigate vulnerabilities identified as part of the secure development of systems and applications.</t>
  </si>
  <si>
    <t>The security of applications, including Web-based applications connected to the Internet, is tested against known types of cyber attacks (e.g., SQL injection, cross-site scripting, buffer overflow) before implementation or following significant changes.</t>
  </si>
  <si>
    <t>Software code executables and scripts are digitally signed to confirm the software author and guarantee that the code has not been altered or corrupted.</t>
  </si>
  <si>
    <t>A risk-based, independent information assurance function evaluates the security of internal applications.</t>
  </si>
  <si>
    <t>Vulnerabilities identified through a static code analysis are remediated before implementing newly developed or changed applications into production.</t>
  </si>
  <si>
    <t>All interdependencies between applications and services have been identified.</t>
  </si>
  <si>
    <t>Independent code reviews are completed on internally developed or vendor-provided custom applications to ensure there are no security gaps.</t>
  </si>
  <si>
    <t>Software code is actively scanned by automated tools in the development environment so that security weaknesses can be resolved immediately during the design phase.</t>
  </si>
  <si>
    <t>Detective Controls</t>
  </si>
  <si>
    <t>Independent testing (including penetration testing and vulnerability scanning) is conducted according to the risk assessment for external-facing systems and the internal network. (FFIEC Information Security Booklet, page 61)</t>
  </si>
  <si>
    <t>Antivirus and anti-malware tools are used to detect attacks. (FFIEC Information Security Booklet, page 55)</t>
  </si>
  <si>
    <t>Firewall rules are audited or verified at least quarterly. (FFIEC Information Security Booklet, page 82)</t>
  </si>
  <si>
    <t>E-mail protection mechanisms are used to filter for common cyber threats (e.g., attached malware or malicious links). (FFIEC Information Security Booklet, page 39)</t>
  </si>
  <si>
    <t>Independent penetration testing of network boundary and critical Web-facing applications is performed routinely to identify security control gaps.</t>
  </si>
  <si>
    <t>Independent penetration testing is performed on Internet-facing applications or systems before they are launched or undergo significant change.</t>
  </si>
  <si>
    <t>Antivirus and anti-malware tools are updated automatically.</t>
  </si>
  <si>
    <t>Firewall rules are updated routinely.</t>
  </si>
  <si>
    <t>Vulnerability scanning is conducted and analyzed before deployment/redeployment of new/existing devices.</t>
  </si>
  <si>
    <t>Processes are in place to monitor potential insider activity that could lead to data theft or destruction.</t>
  </si>
  <si>
    <t>Audit or risk management resources review the penetration testing scope and results to help determine the need for rotating companies based on the quality of the work.</t>
  </si>
  <si>
    <t>E-mails and attachments are automatically scanned to detect malware and are blocked when malware is present.</t>
  </si>
  <si>
    <t>Weekly vulnerability scanning is rotated among environments to scan all environments throughout the year.</t>
  </si>
  <si>
    <t>Penetration tests include cyber attack simulations and/or real-world tactics and techniques such as red team testing to detect control gaps in employee behavior, security defenses, policies, and resources.</t>
  </si>
  <si>
    <t>Automated tool(s) proactively identifies high-risk behavior signaling an employee who may pose an insider threat.</t>
  </si>
  <si>
    <t>User tasks and content (e.g., opening an e-mail attachment) are automatically isolated in a secure container or virtual environment so that malware can be analyzed but cannot access vital data, end-point operating systems, or applications on the institution’s network.</t>
  </si>
  <si>
    <t>Vulnerability scanning is performed on a weekly basis across all environments.</t>
  </si>
  <si>
    <t>The institution is able to detect anomalous activities through monitoring across the environment. (FFIEC Information Security Booklet, page 32)</t>
  </si>
  <si>
    <t>Customer transactions generating anomalous activity alerts are monitored and reviewed. (FFIEC Wholesale Payments Booklet, page 12)</t>
  </si>
  <si>
    <t>Logs of physical and/or logical access are reviewed following events. (FFIEC Information Security Booklet, page 73)</t>
  </si>
  <si>
    <t>Access to critical systems by third parties is monitored for unauthorized or unusual activity. (FFIEC Outsourcing Booklet, page 26)</t>
  </si>
  <si>
    <t>Elevated privileges are monitored. (FFIEC Information Security Booklet, page 19)</t>
  </si>
  <si>
    <t>Anomalous Activity Detection</t>
  </si>
  <si>
    <t>Systems are in place to detect anomalous behavior automatically during customer, employee, and third-party authentication.</t>
  </si>
  <si>
    <t>Security logs are reviewed regularly.</t>
  </si>
  <si>
    <t>Logs provide traceability for all system access by individual users.</t>
  </si>
  <si>
    <t>Thresholds have been established to determine activity within logs that would warrant management response.</t>
  </si>
  <si>
    <t>Online customer transactions are actively monitored for anomalous behavior.</t>
  </si>
  <si>
    <t>Tools to detect unauthorized data mining are used.</t>
  </si>
  <si>
    <t>Tools actively monitor security logs for anomalous behavior and alert within established parameters.</t>
  </si>
  <si>
    <t>Audit logs are backed up to a centralized log server or media that is difficult to alter.</t>
  </si>
  <si>
    <t>Thresholds for security logging are evaluated periodically.</t>
  </si>
  <si>
    <t>Anomalous activity and other network and system alerts are correlated across business units to detect and prevent multifaceted attacks (e.g., simultaneous account takeover and DDoS attack).</t>
  </si>
  <si>
    <t>An automated tool triggers system and/or fraud alerts when customer logins occur within a short period of time but from physically distant IP locations.</t>
  </si>
  <si>
    <t>External transfers from customer accounts generate alerts and require review and authorization if anomalous behavior is detected.</t>
  </si>
  <si>
    <t>A system is in place to monitor and analyze employee behavior (network use patterns, work hours, and known devices) to alert on anomalous activities.</t>
  </si>
  <si>
    <t>An automated tool(s) is in place to detect and prevent data mining by insider threats.</t>
  </si>
  <si>
    <t>Tags on fictitious confidential data or files are used to provide advanced alerts of potential malicious activity when the data is accessed.</t>
  </si>
  <si>
    <t>The institution has a mechanism for real-time automated risk scoring of threats.</t>
  </si>
  <si>
    <t>The institution is developing new technologies that will detect potential insider threats and block activity in real time.</t>
  </si>
  <si>
    <t>A normal network activity baseline is established. (FFIEC Information Security Booklet, page 77)</t>
  </si>
  <si>
    <t>Mechanisms (e.g., antivirus alerts, log event alerts) are in place to alert management to potential attacks. (FFIEC Information Security Booklet, page 78)</t>
  </si>
  <si>
    <t>Processes are in place to monitor for the presence of unauthorized users, devices, connections, and software. (FFIEC Information Security Work Program, Objective II: M-9)</t>
  </si>
  <si>
    <t>Responsibilities for monitoring and reporting suspicious systems activity have been assigned. (FFIEC Information Security Booklet, page 83)</t>
  </si>
  <si>
    <t>The physical environment is monitored to detect potential unauthorized access. (FFIEC Information Security Booklet, page 47)</t>
  </si>
  <si>
    <t>Event Detection</t>
  </si>
  <si>
    <t>A process is in place to correlate event information from multiple sources (e.g., network, application, or firewall).</t>
  </si>
  <si>
    <t>Controls or tools (e.g., data loss prevention) are in place to detect potential unauthorized or unintentional transmissions of confidential data.</t>
  </si>
  <si>
    <t>Event detection processes are proven reliable.</t>
  </si>
  <si>
    <t>Specialized security monitoring is used for critical assets throughout the infrastructure.</t>
  </si>
  <si>
    <t>Automated tools detect unauthorized changes to critical system files, firewalls, IPS, IDS, or other security devices.</t>
  </si>
  <si>
    <t>Real-time network monitoring and detection is implemented and incorporates sector-wide event information.</t>
  </si>
  <si>
    <t>Real-time alerts are automatically sent when unauthorized software, hardware, or changes occur.</t>
  </si>
  <si>
    <t>Tools are in place to actively correlate event information from multiple sources and send alerts based on established parameters.</t>
  </si>
  <si>
    <t>The institution is leading efforts to develop event detection systems that will correlate in real time when events are about to occur.</t>
  </si>
  <si>
    <t>The institution is leading the development effort to design new technologies that will detect potential insider threats and block activity in real time.</t>
  </si>
  <si>
    <t>Corrective Controls</t>
  </si>
  <si>
    <t>Patch Management</t>
  </si>
  <si>
    <t>A patch management program is implemented and ensures that software and firmware patches are applied in a timely manner. (FFIEC Information Security Booklet, page 62)</t>
  </si>
  <si>
    <t>Patches are tested before being applied to systems and/or software. (FFIEC Operations Booklet, page 22)</t>
  </si>
  <si>
    <t>Patch management reports are reviewed and reflect missing security patches. (FFIEC Development and Acquisition Booklet, page 50)</t>
  </si>
  <si>
    <t>A formal process is in place to acquire, test, and deploy software patches based on criticality.</t>
  </si>
  <si>
    <t>Systems are configured to retrieve patches automatically.</t>
  </si>
  <si>
    <t>Operational impact is evaluated before deploying security patches.</t>
  </si>
  <si>
    <t>An automated tool(s) is used to identify missing security patches as well as the number of days since each patch became available.</t>
  </si>
  <si>
    <t>Missing patches across all environments are prioritized and tracked.</t>
  </si>
  <si>
    <t>Patches for high-risk vulnerabilities are tested and applied when released or the risk is accepted and accountability assigned.</t>
  </si>
  <si>
    <t>Patch monitoring software is installed on all servers to identify any missing patches for the operating system software, middleware, database, and other key software.</t>
  </si>
  <si>
    <t>The institution monitors patch management reports to ensure security patches are tested and implemented within aggressive time frames (e.g., 0-30 days).</t>
  </si>
  <si>
    <t>The institution develops security patches or bug fixes or contributes to open source code development for systems it uses.</t>
  </si>
  <si>
    <t>Segregated or separate systems are in place that mirror production systems allowing for rapid testing and implementation of patches and provide for rapid fallback when needed.</t>
  </si>
  <si>
    <t>Remediation</t>
  </si>
  <si>
    <t>Issues identified in assessments are prioritized and resolved based on criticality and within the time frames established in the response to the assessment report. (FFIEC Information Security Booklet, page 87)</t>
  </si>
  <si>
    <t>Data is destroyed or wiped on hardware and portable/mobile media when a device is missing, stolen, or no longer needed.</t>
  </si>
  <si>
    <t>Formal processes are in place to resolve weaknesses identified during penetration testing.</t>
  </si>
  <si>
    <t>Remediation efforts are confirmed by conducting a follow-up vulnerability scan.</t>
  </si>
  <si>
    <t>Penetration testing is repeated to confirm that medium- and high-risk, exploitable vulnerabilities have been resolved.</t>
  </si>
  <si>
    <t>Security investigations, forensic analysis, and remediation are performed by qualified staff or third parties.</t>
  </si>
  <si>
    <t>Generally accepted and appropriate forensic procedures, including chain of custody, are used to gather and present evidence to support potential legal action.</t>
  </si>
  <si>
    <t>The maintenance and repair of organizational assets are performed by authorized individuals with approved and controlled tools.</t>
  </si>
  <si>
    <t>The maintenance and repair of organizational assets are logged in a timely manner.</t>
  </si>
  <si>
    <t>All medium and high risk issues identified in penetration testing, vulnerability scanning, and other independent testing are escalated to the board or an appropriate board committee for risk acceptance if not resolved in a timely manner.</t>
  </si>
  <si>
    <t>The institution is developing technologies that will remediate systems damaged by zero-day attacks to maintain current recovery time objectives.</t>
  </si>
  <si>
    <t>Connections</t>
  </si>
  <si>
    <t>The critical business processes that are dependent on external connectivity have been identified. (FFIEC Information Security Booklet, page 9)</t>
  </si>
  <si>
    <t>The institution ensures that third-party connections are authorized. (FFIEC Information Security Booklet, page 17)</t>
  </si>
  <si>
    <t>A network diagram is in place and identifies all external connections. (FFIEC Information Security Booklet, page 9)</t>
  </si>
  <si>
    <t>Data flow diagrams are in place and document information flow to external parties. (FFIEC Information Security Booklet, page 10)</t>
  </si>
  <si>
    <t>Critical business processes have been mapped to the supporting external connections.</t>
  </si>
  <si>
    <t>The network diagram is updated when connections with third parties change or at least annually.</t>
  </si>
  <si>
    <t>Network and systems diagrams are stored in a secure manner with proper restrictions on access.</t>
  </si>
  <si>
    <t>Controls for primary and backup third-party connections are monitored and tested on a regular basis.</t>
  </si>
  <si>
    <t>A validated asset inventory is used to create comprehensive diagrams depicting data repositories, data flow, infrastructure, and connectivity.</t>
  </si>
  <si>
    <t>Security controls are designed and verified to detect and prevent intrusions from third-party connections.</t>
  </si>
  <si>
    <t>Monitoring controls cover all external connections (e.g., third-party service providers, business partners, customers).</t>
  </si>
  <si>
    <t>Monitoring controls cover all internal network-to-network connections.</t>
  </si>
  <si>
    <t>The security architecture is validated and documented before network connection infrastructure changes.</t>
  </si>
  <si>
    <t>The institution works closely with third-party service providers to maintain and improve the security of external connections.</t>
  </si>
  <si>
    <t>Diagram(s) of external connections is interactive, shows real-time changes to the network connection infrastructure, new connections, and volume fluctuations, and alerts when risks arise.</t>
  </si>
  <si>
    <t>The institution's connections can be segmented or severed instantaneously to prevent contagion from cyber attacks.</t>
  </si>
  <si>
    <t>Relationship Management</t>
  </si>
  <si>
    <t>Due Diligence</t>
  </si>
  <si>
    <t>Risk-based due diligence is performed on prospective third parties before contracts are signed, including reviews of their background, reputation, financial condition, stability, and security controls. (FFIEC Information Security Booklet, page 69)</t>
  </si>
  <si>
    <t>A list of third-party service providers is maintained. (FFIEC Outsourcing Booklet, page 19)</t>
  </si>
  <si>
    <t>A risk assessment is conducted to identify criticality of service providers. (FFIEC Outsourcing Booklet, page 6)</t>
  </si>
  <si>
    <t>A formal process exists to analyze assessments of third-party cybersecurity controls.</t>
  </si>
  <si>
    <t>The board or an appropriate board committee reviews a summary of due diligence results including management’s recommendations to use third parties that will affect the institution’s inherent risk profile.</t>
  </si>
  <si>
    <t>A process is in place to confirm that the institution’s third-party service providers conduct due diligence of their third parties (e.g., subcontractors).</t>
  </si>
  <si>
    <t>Pre-contract, physical site visits of high-risk vendors are conducted by the institution or by a qualified third party.</t>
  </si>
  <si>
    <t>A continuous process improvement program is in place for third-party due diligence activity.</t>
  </si>
  <si>
    <t>Audits of high-risk vendors are conducted on an annual basis.</t>
  </si>
  <si>
    <t>The institution promotes sector-wide efforts to build due diligence mechanisms that lead to in-depth and efficient security and resilience reviews.</t>
  </si>
  <si>
    <t>The institution is leading efforts to develop new auditable processes and for conducting due diligence and ongoing monitoring of cybersecurity risks posed by third parties.</t>
  </si>
  <si>
    <t>Contracts</t>
  </si>
  <si>
    <t>Formal contracts that address relevant security and privacy requirements are in place for all third parties that process, store, or transmit confidential data or provide critical services. (FFIEC Information Security Booklet, page 7)</t>
  </si>
  <si>
    <t>Contracts acknowledge that the third party is responsible for the security of the institution’s confidential data that it possesses, stores, processes, or transmits. (FFIEC Information Security Booklet, page 12)</t>
  </si>
  <si>
    <t>Contracts stipulate that the third-party security controls are regularly reviewed and validated by an independent party. (FFIEC Information Security Booklet, page 12)</t>
  </si>
  <si>
    <t>Contracts identify the recourse available to the institution should the third party fail to meet defined security requirements. (FFIEC Outsourcing Booklet, page 12)</t>
  </si>
  <si>
    <t>Contracts establish responsibilities for responding to security incidents. (FFIEC E-Banking Booklet, page 22)</t>
  </si>
  <si>
    <t>Contracts specify the security requirements for the return or destruction of data upon contract termination. (FFIEC Outsourcing Booklet, page 15)</t>
  </si>
  <si>
    <t>Responsibilities for managing devices (e.g., firewalls, routers) that secure connections with third parties are formally documented in the contract.</t>
  </si>
  <si>
    <t>Responsibility for notification of direct and indirect security incidents and vulnerabilities is documented in contracts or service-level agreements (SLAs).</t>
  </si>
  <si>
    <t>Contracts stipulate geographic limits on where data can be stored or transmitted.</t>
  </si>
  <si>
    <t>Third-party SLAs or similar means are in place that require timely notification of security events.</t>
  </si>
  <si>
    <t>Contracts require third-party service provider’s security policies meet or exceed those of the institution.</t>
  </si>
  <si>
    <t>A third-party termination/exit strategy has been established and validated with management.</t>
  </si>
  <si>
    <t>The institution promotes a sector-wide effort to influence contractual requirements for critical third parties to the industry.</t>
  </si>
  <si>
    <t>Ongoing Monitoring</t>
  </si>
  <si>
    <t>The third-party risk assessment is updated regularly. (FFIEC Outsourcing Booklet, page 3)</t>
  </si>
  <si>
    <t>Audits, assessments, and operational performance reports are obtained and reviewed regularly validating security controls for critical third parties. (FFIEC Information Security Booklet, page 86)</t>
  </si>
  <si>
    <t>Ongoing monitoring practices include reviewing critical third-parties’ resilience plans. (FFIEC Outsourcing Booklet, page 19)</t>
  </si>
  <si>
    <t>A process to identify new third-party relationships is in place, including identifying new relationships that were established without formal approval.</t>
  </si>
  <si>
    <t>A formal program assigns responsibility for ongoing oversight of third-party access.</t>
  </si>
  <si>
    <t>Monitoring of third parties is scaled, in terms of depth and frequency, according to the risk of the third parties.</t>
  </si>
  <si>
    <t>Automated reminders or ticklers are in place to identify when required third-party information needs to be obtained or analyzed.</t>
  </si>
  <si>
    <t>Third-party employee access to the institution's confidential data are tracked actively based on the principles of least privilege.</t>
  </si>
  <si>
    <t>Periodic on-site assessments of high-risk vendors are conducted to ensure appropriate security controls are in place.</t>
  </si>
  <si>
    <t>Third-party employee access to confidential data on third-party hosted systems is tracked actively via automated reports and alerts.</t>
  </si>
  <si>
    <t>The institution is leading efforts to develop new auditable processes for ongoing monitoring of cybersecurity risks posed by third parties.</t>
  </si>
  <si>
    <t>The institution has documented how it will react and respond to cyber incidents. (FFIEC Business Continuity Planning Booklet, page 4)</t>
  </si>
  <si>
    <t>Communication channels exist to provide employees a means for reporting information security events in a timely manner. (FFIEC Information Security Booklet, page 83)</t>
  </si>
  <si>
    <t>Roles and responsibilities for incident response team members are defined. (FFIEC Information Security Booklet, page 84)</t>
  </si>
  <si>
    <t>The response team includes individuals with a wide range of backgrounds and expertise, from many different areas within the institution (e.g., management, legal, public relations, as well as information technology). (FFIEC Information Security Booklet, page 84)</t>
  </si>
  <si>
    <t>A formal backup and recovery plan exists for all critical business lines. (FFIEC Business Continuity Planning Booklet, page 4)</t>
  </si>
  <si>
    <t>The institution plans to use business continuity, disaster recovery, and data backup programs to recover operations following an incident. (FFIEC Information Security Booklet, page 71)</t>
  </si>
  <si>
    <t>Incident Resilience Planning and Strategy</t>
  </si>
  <si>
    <t>Planning</t>
  </si>
  <si>
    <t>The remediation plan and process outlines the mitigating actions, resources, and time parameters.</t>
  </si>
  <si>
    <t>The corporate disaster recovery, business continuity, and crisis management plans have integrated consideration of cyber incidents.</t>
  </si>
  <si>
    <t>Alternative processes have been established to continue critical activity within a reasonable time period.</t>
  </si>
  <si>
    <t>Business impact analyses have been updated to include cybersecurity.</t>
  </si>
  <si>
    <t>Due diligence has been performed on technical sources, consultants, or forensic service firms that could be called to assist the institution during or following an incident.</t>
  </si>
  <si>
    <t>A strategy is in place to coordinate and communicate with internal and external stakeholders during or following a cyber attack.</t>
  </si>
  <si>
    <t>Plans are in place to re-route or substitute critical functions and/or services that may be affected by a successful attack on Internet-facing systems.</t>
  </si>
  <si>
    <t>A direct cooperative or contractual agreement(s) is in place with an incident response organization(s) or provider(s) to assist rapidly with mitigation efforts.</t>
  </si>
  <si>
    <t>Lessons learned from real-life cyber incidents and attacks on the institution and other organizations are used to improve the institution’s risk mitigation capabilities and response plan.</t>
  </si>
  <si>
    <t>Methods for responding to and recovering from cyber incidents are tightly woven throughout the business units’ disaster recovery, business continuity, and crisis management plans.</t>
  </si>
  <si>
    <t>Multiple systems, programs, or processes are implemented into a comprehensive cyber resilience program to sustain, minimize, and recover operations from an array of potentially disruptive and destructive cyber incidents.</t>
  </si>
  <si>
    <t>A process is in place to continuously improve the resilience plan.</t>
  </si>
  <si>
    <t>The incident response plan is designed to ensure recovery from disruption of services, assurance of data integrity, and recovery of lost or corrupted data following a cybersecurity incident.</t>
  </si>
  <si>
    <t>The incident response process includes detailed actions and rule-based triggers for automated response.</t>
  </si>
  <si>
    <t>Scenarios are used to improve incident detection and response. (FFIEC Information Security Booklet, page 71)</t>
  </si>
  <si>
    <t>Business continuity testing involves collaboration with critical third parties. (FFIEC Business Continuity Planning Booklet, page J-6)</t>
  </si>
  <si>
    <t>Systems, applications, and data recovery is tested at least annually. (FFIEC Business Continuity Planning Booklet, page J-7)</t>
  </si>
  <si>
    <t>Testing</t>
  </si>
  <si>
    <t>Recovery scenarios include plans to recover from data destruction and impacts to data integrity, data loss, and system and data availability.</t>
  </si>
  <si>
    <t>Widely reported events are used to evaluate and improve the institution's response.</t>
  </si>
  <si>
    <t>Information backups are tested periodically to verify they are accessible and readable.</t>
  </si>
  <si>
    <t>Cyber-attack scenarios are analyzed to determine potential impact to critical business processes.</t>
  </si>
  <si>
    <t>The institution participates in sector-specific cyber exercises or scenarios (e.g., FS-ISAC Cyber Attack (against) Payment Processors (CAPP)).</t>
  </si>
  <si>
    <t>Resilience testing is based on analysis and identification of realistic and highly likely threats as well as new and emerging threats facing the institution.</t>
  </si>
  <si>
    <t>The critical online systems and processes are tested to withstand stresses for extended periods (e.g., DDoS).</t>
  </si>
  <si>
    <t>The results of cyber event exercises are used to improve the incident response plan and automated triggers.</t>
  </si>
  <si>
    <t>Resilience testing is comprehensive and coordinated across all critical business functions.</t>
  </si>
  <si>
    <t>The institution validates that it is able to recover from cyber events similar to by known sophisticated attacks at other organizations.</t>
  </si>
  <si>
    <t>Incident response testing evaluates the institution from an attacker's perspective to determine how the institution or its assets at critical third parties may be targeted.</t>
  </si>
  <si>
    <t>The institution corrects root causes for problems discovered during cybersecurity resilience testing.</t>
  </si>
  <si>
    <t>Cybersecurity incident scenarios involving significant financial loss are used to stress test the institution's risk management.</t>
  </si>
  <si>
    <t>The institution tests the ability to shift business processes or functions between different processing centers or technology systems for cyber incidents without interruption to business or loss of productivity or data.</t>
  </si>
  <si>
    <t>The institution has validated that it is able to remediate systems damaged by zero-day attacks to maintain current recovery time objectives.</t>
  </si>
  <si>
    <t>The institution is leading the development of more realistic test environments.</t>
  </si>
  <si>
    <t>Cyber incident scenarios are used to stress test potential financial losses across the sector.</t>
  </si>
  <si>
    <t>Detection, Response, and Mitigation</t>
  </si>
  <si>
    <t>Detection</t>
  </si>
  <si>
    <t>Alert parameters are set for detecting information security incidents that prompt mitigating actions. (FFIEC Information Security Booklet, page 43)</t>
  </si>
  <si>
    <t>System performance reports contain information that can be used as a risk indicator to detect information security incidents. (FFIEC Information Security Booklet, page 86)</t>
  </si>
  <si>
    <t>Tools and processes are in place to detect, alert, and trigger the incident response program. (FFIEC Information Security Booklet, page 84)</t>
  </si>
  <si>
    <t>The institution has processes to detect and alert the incident response team when potential insider activity manifests that could lead to data theft or destruction.</t>
  </si>
  <si>
    <t>The incident response program is triggered when anomalous behaviors and attack patterns or signatures are detected.</t>
  </si>
  <si>
    <t>The institution has the ability to discover infiltration, before the attacker traverses across systems, establishes a foothold, steals information, or causes damage to data and systems.</t>
  </si>
  <si>
    <t>Incidents are detected in real time through automated processes that include instant alerts to appropriate personnel who can respond.</t>
  </si>
  <si>
    <t>Network and system alerts are correlated across business units to better detect and prevent multifaceted attacks (e.g., simultaneous DDoS attack and account takeover).</t>
  </si>
  <si>
    <t>Incident detection processes are capable of correlating events across the enterprise.</t>
  </si>
  <si>
    <t>Sophisticated and adaptive technologies are deployed that can detect and alert the incident response team of specific tasks when threat indicators across the enterprise indicate potential external and internal threats.</t>
  </si>
  <si>
    <t>Automated tools are implemented to provide specialized security monitoring based on the risk of the assets to detect and alert incident response teams in real time.</t>
  </si>
  <si>
    <t>The institution is able to detect and block zero-day attempts and inform management and the incident response team in real time.</t>
  </si>
  <si>
    <t>Appropriate steps are taken to contain and control an incident to prevent further unauthorized access to or use of customer information. (FFIEC Information Security Booklet, page 84)</t>
  </si>
  <si>
    <t>Response and Mitigation</t>
  </si>
  <si>
    <t>The incident response plan is designed to prioritize incidents, enabling a rapid response for significant cybersecurity incidents or vulnerabilities.</t>
  </si>
  <si>
    <t>A process is in place to help contain incidents and restore operations with minimal service disruption.</t>
  </si>
  <si>
    <t>Containment and mitigation strategies are developed for multiple incident types (e.g., DDoS, malware).</t>
  </si>
  <si>
    <t>Procedures include containment strategies and notifying potentially impacted third parties.</t>
  </si>
  <si>
    <t>Processes are in place to trigger the incident response program when an incident occurs at a third party.</t>
  </si>
  <si>
    <t>Records are generated to support incident investigation and mitigation.</t>
  </si>
  <si>
    <t>The institution calls upon third parties, as needed, to provide mitigation services.</t>
  </si>
  <si>
    <t>Analysis of events is used to improve the institution's security measures and policies.</t>
  </si>
  <si>
    <t>Analysis of security incidents is performed in the early stages of an intrusion to minimize the impact of the incident.</t>
  </si>
  <si>
    <t>Any changes to systems/applications or to access entitlements necessary for incident management are reviewed by management for formal approval before implementation.</t>
  </si>
  <si>
    <t>Processes are in place to ensure assets affected by a security incident that cannot be returned to operational status are quarantined, removed, disposed of, and/or replaced.</t>
  </si>
  <si>
    <t>Processes are in place to ensure that restored assets are appropriately reconfigured and thoroughly tested before being placed back into operation.</t>
  </si>
  <si>
    <t>The incident management function collaborates effectively with the cyber threat intelligence function during an incident.</t>
  </si>
  <si>
    <t>Links between threat intelligence, network operations, and incident response allow for proactive response to potential incidents.</t>
  </si>
  <si>
    <t>Technical measures apply defense-in-depth techniques such as deep-packet inspection and black holing for detection and timely response to network-based attacks associated with anomalous ingress or egress traffic patterns and/or DDoS attacks.</t>
  </si>
  <si>
    <t>The institution’s risk management of significant cyber incidents results in limited to no disruptions to critical services.</t>
  </si>
  <si>
    <t>The technology infrastructure has been engineered to limit the effects of a cyber attack on the production environment from migrating to the backup environment (e.g., air-gapped environment and processes).</t>
  </si>
  <si>
    <t>Escalation and Reporting</t>
  </si>
  <si>
    <t>A process exists to contact personnel who are responsible for analyzing and responding to an incident. (FFIEC Information Security Booklet, page 83)</t>
  </si>
  <si>
    <t>Procedures exist to notify customers, regulators, and law enforcement as required or necessary when the institution becomes aware of an incident involving the unauthorized access to or use of sensitive customer information. (FFIEC Information Security Booklet, page 84)</t>
  </si>
  <si>
    <t>The institution prepares an annual report of security incidents or violations for the board or an appropriate board committee. (FFIEC Information Security Booklet, page 5)</t>
  </si>
  <si>
    <t>Incidents are classified, logged, and tracked. (FFIEC Operations Booklet, page 28)</t>
  </si>
  <si>
    <t>Criteria have been established for escalating cyber incidents or vulnerabilities to the board and senior management based on the potential impact and criticality of the risk.</t>
  </si>
  <si>
    <t>Regulators, law enforcement, and service providers, as appropriate, are notified when the institution is aware of any unauthorized access to systems or a cyber incident occurs that could result in degradation of services.</t>
  </si>
  <si>
    <t>Tracked cyber incidents are correlated for trend analysis and reporting.</t>
  </si>
  <si>
    <t>Employees that are essential to mitigate the risk (e.g., fraud, business resilience) know their role in incident escalation.</t>
  </si>
  <si>
    <t>A communication plan is used to notify other organizations, including third parties, of incidents that may affect them or their customers.</t>
  </si>
  <si>
    <t>An external communication plan is used for notifying media regarding incidents when applicable.</t>
  </si>
  <si>
    <t>The institution has established quantitative and qualitative metrics for the cybersecurity incident response process.</t>
  </si>
  <si>
    <t>Detailed metrics, dashboards, and/or scorecards outlining cyber incidents and events are provided to management and are part of the board meeting package.</t>
  </si>
  <si>
    <t>A mechanism is in place to provide instantaneous notification of incidents to management and essential employees through multiple communication channels with tracking and verification of receipt.</t>
  </si>
  <si>
    <t>Watkins Consulting, Inc.</t>
  </si>
  <si>
    <t>Version</t>
  </si>
  <si>
    <t>Author</t>
  </si>
  <si>
    <t>Description</t>
  </si>
  <si>
    <t>jmj</t>
  </si>
  <si>
    <t>Annapolis, MD 21401</t>
  </si>
  <si>
    <t>240 479 7273</t>
  </si>
  <si>
    <t>completed import from PDF and scoring</t>
  </si>
  <si>
    <t>Watkins website</t>
  </si>
  <si>
    <t>Watkins Cybersecurity</t>
  </si>
  <si>
    <t>user manual</t>
  </si>
  <si>
    <t>website HTTP</t>
  </si>
  <si>
    <t>website URL</t>
  </si>
  <si>
    <t>User Guide</t>
  </si>
  <si>
    <t>Cyber Incident Management and Resilience</t>
  </si>
  <si>
    <t>Monitoring and Analyzing</t>
  </si>
  <si>
    <t>IT Asset Management</t>
  </si>
  <si>
    <t>Threat Intelligence and Information</t>
  </si>
  <si>
    <t>Threat and Vulnerability Detection</t>
  </si>
  <si>
    <t>Maturity</t>
  </si>
  <si>
    <t>domains can be shown with either their number or name</t>
  </si>
  <si>
    <t>Risk/Maturity Relationship Matrix</t>
  </si>
  <si>
    <t>Selections in Each Risk Level</t>
  </si>
  <si>
    <t>Responses by Risk Profile Category</t>
  </si>
  <si>
    <t>Total Responses</t>
  </si>
  <si>
    <t>Total Number of Questions</t>
  </si>
  <si>
    <t>Disclaimer</t>
  </si>
  <si>
    <t>FFIEC Resources</t>
  </si>
  <si>
    <t xml:space="preserve">Watkins is proud to be a trusted advisor to our clients. To that end, we are making this Tool available for use by the banking community.  Should your institution require additional support understanding or evaluating the FFIEC Cybersecurity Assessment, please contact us by email at solutions@watkinsconsulting.com or calling 240-479-7273. </t>
  </si>
  <si>
    <t>Watkins Resources</t>
  </si>
  <si>
    <t>This matrix will be populated from the risk rollup and domain maturity analysis.
No input is needed.</t>
  </si>
  <si>
    <t>All rights reserved.</t>
  </si>
  <si>
    <t>888 320 2320</t>
  </si>
  <si>
    <t>https://www.ffiec.gov/</t>
  </si>
  <si>
    <t>https://www.ffiec.gov/cybersecurity.htm</t>
  </si>
  <si>
    <t>minor formatting</t>
  </si>
  <si>
    <t>added maturity summary; unlocked data input sheets; updated version ID; minor formatting/view updates</t>
  </si>
  <si>
    <t>Customization</t>
  </si>
  <si>
    <t>Firm Name</t>
  </si>
  <si>
    <t>Responsible Person</t>
  </si>
  <si>
    <t>General Notes</t>
  </si>
  <si>
    <t>Workbook Version Information</t>
  </si>
  <si>
    <t>FFIEC Cybersecurity Assessment Tool (May 2017)</t>
  </si>
  <si>
    <t>Total number of Internet service provider (ISP) connections (including branch connections)</t>
  </si>
  <si>
    <t>Unsecured external connections, number of connections not users (e.g., file transfer protocol (FTP), Telnet, rlogin)</t>
  </si>
  <si>
    <t>Wireless network access</t>
  </si>
  <si>
    <t>Personal devices allowed to connect to the corporate network</t>
  </si>
  <si>
    <t>Third parties, including number of organizations and number of individuals from vendors and subcontractors, with access to internal systems (e.g., virtual private network, modem, intranet, direct connection)</t>
  </si>
  <si>
    <t>Wholesale customers with dedicated connections</t>
  </si>
  <si>
    <t>Internally hosted and developed or modified vendor applications supporting critical activities</t>
  </si>
  <si>
    <t>Internally hosted, vendor-developed applications supporting critical activities</t>
  </si>
  <si>
    <t>User-developed technologies and user computing that support critical activities (includes Microsoft Excel spreadsheets and Access databases or other user-developed tools)</t>
  </si>
  <si>
    <t>End-of-life (EOL) systems</t>
  </si>
  <si>
    <t>Open Source Software (OSS)</t>
  </si>
  <si>
    <t>Network devices (e.g., servers, routers, and firewalls; include physical and virtual)</t>
  </si>
  <si>
    <t>Third-party service providers storing and/or processing information that support critical activities (Do not have access to internal systems, but the institution relies on their services)</t>
  </si>
  <si>
    <t>Cloud computing services hosted externally to support critical activities</t>
  </si>
  <si>
    <t>No connections</t>
  </si>
  <si>
    <t>Minimal complexity
(1–20 connections)</t>
  </si>
  <si>
    <t>Moderate complexity
(21–100 connections)</t>
  </si>
  <si>
    <t>Significant
complexity (101–200 connections)</t>
  </si>
  <si>
    <t>Substantial complexity
(&gt;200 connections)</t>
  </si>
  <si>
    <t>None</t>
  </si>
  <si>
    <t>Few instances of unsecured connections (1–5)</t>
  </si>
  <si>
    <t>Several instances of unsecured connections (6–10)</t>
  </si>
  <si>
    <t>Significant instances of unsecured connections (11–25)</t>
  </si>
  <si>
    <t>Substantial instances of unsecured connections (&gt;25)</t>
  </si>
  <si>
    <t>No wireless access</t>
  </si>
  <si>
    <t>Separate access points for guest wireless and corporate wireless</t>
  </si>
  <si>
    <t>Guest and corporate wireless network access are logically separated; limited number of users and access points (1–250 users; 1–25 access points)</t>
  </si>
  <si>
    <t>Wireless corporate network access; significant number of users and access points (251–1,000 users; 26–100 access points)</t>
  </si>
  <si>
    <t>Wireless corporate network access; all employees have access; substantial number of access points (&gt;1,000 users; &gt;100 access points)</t>
  </si>
  <si>
    <t>Only one device type available; available
to &lt;5% of employees
(staff, executives, managers); e-mail access only</t>
  </si>
  <si>
    <t>Multiple device types used; available to
&lt;10% of employees (staff, executives, managers) and
board; e-mail access only</t>
  </si>
  <si>
    <t>Multiple device types used; available to
&lt;25% of authorized employees (staff, executives,
managers) and board; e-mail and some applications accessed</t>
  </si>
  <si>
    <t>Any device type used; available to &gt;25% of employees (staff, executives, managers) and board; all applications accessed</t>
  </si>
  <si>
    <t>No third parties and no individuals from third parties with access to systems</t>
  </si>
  <si>
    <t>Limited number of third parties (1–5) and limited number of individuals from third parties (&lt;50) with access; low complexity in how
they access systems</t>
  </si>
  <si>
    <t>Moderate number of third parties (6–10) and moderate
number of individuals from third parties
(50–500) with access; some complexity in how they access systems</t>
  </si>
  <si>
    <t>Significant number of third parties (11–25) and significant number of individuals from third parties (501–1,500) with access; high level of complexity in terms
of how they access systems</t>
  </si>
  <si>
    <t>Substantial number of third parties (&gt;25) and substantial number of individuals from third parties (&gt;1,500) with access; high complexity in how they access systems</t>
  </si>
  <si>
    <t>Few dedicated connections (between 1–5)</t>
  </si>
  <si>
    <t>Several dedicated connections (between 6–10)</t>
  </si>
  <si>
    <t>Significant number of dedicated connections
(between 11–25)</t>
  </si>
  <si>
    <t>Substantial number of dedicated connections (&gt;25)</t>
  </si>
  <si>
    <t>No applications</t>
  </si>
  <si>
    <t>Few applications
(between 1–5)</t>
  </si>
  <si>
    <t>Several applications
(between 6–10)</t>
  </si>
  <si>
    <t>Significant number of applications
(between 11–25)</t>
  </si>
  <si>
    <t>Substantial number of applications and complexity (&gt;25)</t>
  </si>
  <si>
    <t>Limited applications
(0–5)</t>
  </si>
  <si>
    <t>Significant number of applications (76–200)</t>
  </si>
  <si>
    <t>Substantial number of applications and complexity (&gt;200)</t>
  </si>
  <si>
    <t>No user-developed technologies</t>
  </si>
  <si>
    <t>1–100 technologies</t>
  </si>
  <si>
    <t>101–500 technologies</t>
  </si>
  <si>
    <t>501–2,500 technologies</t>
  </si>
  <si>
    <t>&gt;2,500 technologies</t>
  </si>
  <si>
    <t>No systems (hardware or software) that are past EOL or at risk of nearing EOL within 2 years</t>
  </si>
  <si>
    <t>Few systems that are at risk of EOL and none that support critical operations</t>
  </si>
  <si>
    <t>Several systems that will reach EOL within
2 years and some that support critical operations</t>
  </si>
  <si>
    <t>A large number of systems that support critical operations at EOL or are at risk of reaching EOL in 2 years</t>
  </si>
  <si>
    <t>Majority of critical operations dependent on systems that have reached EOL or will reach EOL within the next 2 years or an unknown number of systems that have reached EOL</t>
  </si>
  <si>
    <t>No OSS</t>
  </si>
  <si>
    <t>Limited OSS and none that support critical operations</t>
  </si>
  <si>
    <t>Several OSS that support critical operations</t>
  </si>
  <si>
    <t>Large number of OSS that support critical operations</t>
  </si>
  <si>
    <t>Majority of operations dependent on OSS</t>
  </si>
  <si>
    <t>Limited or no network devices (&lt;250)</t>
  </si>
  <si>
    <t>Several devices
(1,501–25,000)</t>
  </si>
  <si>
    <t>Substantial number of devices (&gt;50,000)</t>
  </si>
  <si>
    <t>No third parties that support critical activities</t>
  </si>
  <si>
    <t>1–25 third parties that support critical activities</t>
  </si>
  <si>
    <t>26–100 third parties that support critical activities</t>
  </si>
  <si>
    <t>101–200 third parties that support critical activities; 1 or more are foreign-based</t>
  </si>
  <si>
    <t>No cloud providers</t>
  </si>
  <si>
    <t>Several cloud providers (4–7)</t>
  </si>
  <si>
    <t>Substantial number of cloud providers (&gt;10); cloud-provider locations used include international; use of public cloud</t>
  </si>
  <si>
    <t>Enter Notes Below</t>
  </si>
  <si>
    <t>Online presence (customer)</t>
  </si>
  <si>
    <t>Mobile presence</t>
  </si>
  <si>
    <t>Automated Teller Machines (ATM) (Operation)</t>
  </si>
  <si>
    <t>No Web-facing applications or social media presence</t>
  </si>
  <si>
    <t>Serves as an informational Web site or social media page (e.g., provides branch and ATM locations and marketing materials)</t>
  </si>
  <si>
    <t>Serves as a delivery channel for retail online banking; may communicate to customers through social media</t>
  </si>
  <si>
    <t>Serves as a delivery channel for wholesale customers; may
include retail account origination</t>
  </si>
  <si>
    <t>Internet applications serve as a channel to wholesale customers to manage large value assets</t>
  </si>
  <si>
    <t>SMS text alerts or notices only; browser-based access</t>
  </si>
  <si>
    <t>Mobile banking application for retail customers (e.g., bill payment, mobile check capture, internal transfers only)</t>
  </si>
  <si>
    <t>Mobile banking application includes external transfers (e.g., for corporate clients, recurring external transactions)</t>
  </si>
  <si>
    <t>Full functionality, including originating new transactions (e.g., ACH, wire)</t>
  </si>
  <si>
    <t>No ATM services</t>
  </si>
  <si>
    <t>ATM services offered but no owned machines</t>
  </si>
  <si>
    <t>ATM services managed by a third party; ATMs at local and regional branches; cash reload services outsourced</t>
  </si>
  <si>
    <t>ATM services managed internally; ATMs at U.S. branches and retail locations; cash reload services outsourced</t>
  </si>
  <si>
    <t>ATM services managed internally; ATM services provided to other financial institutions; ATMs at domestic and international branches and retail locations;
cash reload services managed internally</t>
  </si>
  <si>
    <t>Issue debit or credit cards</t>
  </si>
  <si>
    <t>Prepaid cards</t>
  </si>
  <si>
    <t>Emerging payments technologies
(e.g., digital wallets, mobile wallets)</t>
  </si>
  <si>
    <t>Person-to-person payments (P2P)</t>
  </si>
  <si>
    <t>Originating ACH payments</t>
  </si>
  <si>
    <t>Originating wholesale payments (e.g., CHIPS)</t>
  </si>
  <si>
    <t>Wire transfers</t>
  </si>
  <si>
    <t>Global remittances</t>
  </si>
  <si>
    <t>Treasury services and clients</t>
  </si>
  <si>
    <t>Trust services</t>
  </si>
  <si>
    <t>Act as a correspondent bank
(Interbank transfers)</t>
  </si>
  <si>
    <t>Merchant acquirer (sponsor merchants or card processor activity into the payment system)</t>
  </si>
  <si>
    <t>Host IT services for other organizations (either through joint systems or administrative support)</t>
  </si>
  <si>
    <t>Do not issue debit or credit cards</t>
  </si>
  <si>
    <t>Issue debit and/or credit cards through
a third party; &lt;10,000 cards outstanding</t>
  </si>
  <si>
    <t>Issue debit or credit cards through a third party; between
10,000–50,000 cards outstanding</t>
  </si>
  <si>
    <t>Issue debit or credit cards directly; between 50,000–
100,000 cards outstanding</t>
  </si>
  <si>
    <t>Issue debit or credit cards directly; &gt;100,000 cards outstanding; issue cards on behalf of other financial institutions</t>
  </si>
  <si>
    <t>Do not issue prepaid cards</t>
  </si>
  <si>
    <t>Issue prepaid cards through a third party;
&lt;5,000 cards outstanding</t>
  </si>
  <si>
    <t>Issue prepaid cards through a third party;
5,000–10,000 cards outstanding</t>
  </si>
  <si>
    <t>Issue prepaid cards through a third party;
10,001–20,000 cards outstanding</t>
  </si>
  <si>
    <t>Issue prepaid cards internally, through a third party, or on behalf of other financial institutions; &gt;20,000 cards outstanding</t>
  </si>
  <si>
    <t>Do not accept or use emerging payments technologies</t>
  </si>
  <si>
    <t>Indirect acceptance or use of emerging payments technologies (customer use may affect deposit or credit account)</t>
  </si>
  <si>
    <t>Direct acceptance or use of emerging payments technologies; small transaction volume; no foreign payments</t>
  </si>
  <si>
    <t>Not offered</t>
  </si>
  <si>
    <t>Customers allowed to originate payments; used by
&lt;1,000 customers or monthly transaction
volume is &lt;50,000</t>
  </si>
  <si>
    <t>No ACH origination</t>
  </si>
  <si>
    <t>Originate ACH
credits; daily volume
&lt;3% of total assets</t>
  </si>
  <si>
    <t>Originate ACH debits and credits; daily volume is 3%–5% of total assets</t>
  </si>
  <si>
    <t>Sponsor third-party payment processor; originate ACH debits and credits with daily volume 6%–25% of total assets</t>
  </si>
  <si>
    <t>Do not originate wholesale payments</t>
  </si>
  <si>
    <t>Daily originated wholesale payment volume &lt;3% of total assets</t>
  </si>
  <si>
    <t>Daily originated wholesale payment volume 3%–5% of total assets</t>
  </si>
  <si>
    <t>Daily originated wholesale payment volume 6%–25% of total assets</t>
  </si>
  <si>
    <t>Daily originated wholesale payment volume &gt;25% of total assets</t>
  </si>
  <si>
    <t>In person wire requests only; domestic wires only; daily wire volume
&lt;3% of total assets</t>
  </si>
  <si>
    <t>In person, phone, and fax wire requests; domestic daily wire volume
3%–5% of total assets; international daily wire volume
&lt;3% of total assets</t>
  </si>
  <si>
    <t>Multiple request channels (e.g., online, text, e-mail,
fax, and phone); daily domestic wire
volume 6%–25% of
total assets; daily international wire
volume 3%–10% of total assets</t>
  </si>
  <si>
    <t>Multiple request channels (e.g., online, text, e-mail, fax, and phone); daily domestic wire volume &gt;25% of total assets; daily international wire volume &gt;10% of total assets</t>
  </si>
  <si>
    <t>Do not offer Merchant
RDC</t>
  </si>
  <si>
    <t>&lt;100 merchant clients; daily volume of transactions is
&lt;3% of total assets</t>
  </si>
  <si>
    <t>100–500 merchant clients; daily volume of transactions is
3%–5% of total assets</t>
  </si>
  <si>
    <t>501–1,000 merchant clients; daily volume of transactions is
6%–25% of total assets</t>
  </si>
  <si>
    <t>&gt;1,000 merchant clients; daily volume of transactions is &gt;25% of total assets</t>
  </si>
  <si>
    <t>Do not offer global remittances</t>
  </si>
  <si>
    <t>Gross daily transaction volume is
&lt;3% of total assets</t>
  </si>
  <si>
    <t>Gross daily transaction volume is
3%–5% of total assets</t>
  </si>
  <si>
    <t>Gross daily transaction volume is
6%–25% of total assets</t>
  </si>
  <si>
    <t>Gross daily transaction volume is &gt;25% of total assets</t>
  </si>
  <si>
    <t>No treasury management services are offered</t>
  </si>
  <si>
    <t>Limited services offered; number of clients is &lt;1,000</t>
  </si>
  <si>
    <t>Services offered include lockbox, ACH origination, and remote deposit capture; number of clients is between
1,000–10,000</t>
  </si>
  <si>
    <t>Multiple services offered including currency services, online investing, and investment sweep accounts; number of clients is &gt;20,000</t>
  </si>
  <si>
    <t>Trust services are not offered</t>
  </si>
  <si>
    <t>Trust services are offered through a third-party provider; assets under management total
&lt;$500 million</t>
  </si>
  <si>
    <t>Trust services provided directly; assets under management total
$1 billion–$10 billion</t>
  </si>
  <si>
    <t>Trust services provided directly; assets under management total
&gt;$10 billion</t>
  </si>
  <si>
    <t>Do not act as a correspondent bank</t>
  </si>
  <si>
    <t>Act as a correspondent bank for &lt;100 institutions</t>
  </si>
  <si>
    <t>Act as a correspondent bank for 100–250 institutions</t>
  </si>
  <si>
    <t>Act as a correspondent bank for 251–500 institutions</t>
  </si>
  <si>
    <t>Act as a correspondent bank for &gt;500 institutions</t>
  </si>
  <si>
    <t>Do not act as a merchant acquirer</t>
  </si>
  <si>
    <t>Act as a merchant acquirer; &lt;1,000 merchants</t>
  </si>
  <si>
    <t>Act as a merchant acquirer and card payment processor;
10,001–100,000 merchants</t>
  </si>
  <si>
    <t>Act as a merchant acquirer and card payment processor;
&gt;100,000 merchants</t>
  </si>
  <si>
    <t>Do not provide IT services for other organizations</t>
  </si>
  <si>
    <t>Host or provide IT services for affiliated organizations</t>
  </si>
  <si>
    <t>Host or provide IT services for up to 25 unaffiliated organizations</t>
  </si>
  <si>
    <t>Host or provide IT services for 26–50 unaffiliated organizations</t>
  </si>
  <si>
    <t>Host or provide IT services for &gt;50 unaffiliated organizations</t>
  </si>
  <si>
    <t>Mergers and acquisitions (including divestitures and joint ventures)</t>
  </si>
  <si>
    <t>Direct employees (including information technology and cybersecurity contractors)</t>
  </si>
  <si>
    <t>Changes in IT and information security staffing</t>
  </si>
  <si>
    <t>Privileged access (Administrators– network, database, applications, systems, etc.)</t>
  </si>
  <si>
    <t>Changes in IT environment (e.g., network, infrastructure, critical applications, technologies supporting new products or services)</t>
  </si>
  <si>
    <t>Locations of branches/business presence</t>
  </si>
  <si>
    <t>Locations of operations/data centers</t>
  </si>
  <si>
    <t>None planned</t>
  </si>
  <si>
    <t>Open to initiating discussions or actively seeking a merger or acquisition</t>
  </si>
  <si>
    <t>In discussions with at least 1 party</t>
  </si>
  <si>
    <t>A sale or acquisition has been publicly announced within the past year, in negotiations with 1 or more parties</t>
  </si>
  <si>
    <t>Multiple ongoing integrations of acquisitions are in process</t>
  </si>
  <si>
    <t>Number of
employees totals &lt;50</t>
  </si>
  <si>
    <t>Number of employees totals
2,001–10,000</t>
  </si>
  <si>
    <t>Number of employees totals 10,001–50,000</t>
  </si>
  <si>
    <t>Number of employees is
&gt;50,000</t>
  </si>
  <si>
    <t>Key positions filled; low or no turnover of personnel</t>
  </si>
  <si>
    <t>Staff vacancies exist for non-critical roles</t>
  </si>
  <si>
    <t>Some turnover in key or senior positions</t>
  </si>
  <si>
    <t>Frequent turnover in key staff or senior positions</t>
  </si>
  <si>
    <t>Vacancies in senior or key positions for long periods; high level of employee turnover in IT or information security</t>
  </si>
  <si>
    <t>Limited number of administrators; limited or no external administrators</t>
  </si>
  <si>
    <t>Level of turnover in administrators does not affect operations or activities; may utilize some external administrators</t>
  </si>
  <si>
    <t>Level of turnover in administrators affects operations; number of administrators for
individual systems or applications exceeds what is necessary</t>
  </si>
  <si>
    <t>High reliance on external administrators; number of administrators is not sufficient to support level or pace of change</t>
  </si>
  <si>
    <t>High employee turnover in network administrators; many or most administrators are external (contractors or vendors); experience in network administration
is limited</t>
  </si>
  <si>
    <t>Stable IT
environment</t>
  </si>
  <si>
    <t>Infrequent or minimal changes in the IT environment</t>
  </si>
  <si>
    <t>Frequent adoption of new technologies</t>
  </si>
  <si>
    <t>Volume of significant changes is high</t>
  </si>
  <si>
    <t>Substantial change in outsourced provider(s) of critical IT services; large and complex changes to the environment occur frequently</t>
  </si>
  <si>
    <t>1 state</t>
  </si>
  <si>
    <t>1 region</t>
  </si>
  <si>
    <t>1 country</t>
  </si>
  <si>
    <t>1–20 countries</t>
  </si>
  <si>
    <t>&gt;20 countries</t>
  </si>
  <si>
    <t>1–10 countries</t>
  </si>
  <si>
    <t>&gt;10 countries</t>
  </si>
  <si>
    <t>No attempted attacks or reconnaissance</t>
  </si>
  <si>
    <t>Few attempts monthly (&lt;100); may have had generic phishing campaigns received by employees and customers</t>
  </si>
  <si>
    <t>Several attempts monthly (100– 500); phishing campaigns targeting employees or customers at the institution or third parties supporting critical activities; may have experienced an attempted Distributed Denial of Service (DDoS) attack within the last year</t>
  </si>
  <si>
    <t>Significant number of attempts monthly (501–100,000); spear phishing campaigns targeting high net worth customers and employees at the institution or third parties supporting critical activities; Institution specifically is named in threat reports; may have experienced multiple attempted DDoS attacks within the last year</t>
  </si>
  <si>
    <t>Substantial number of attempts monthly (&gt;100,000); persistent attempts to attack senior management and/or network administrators; frequently targeted for DDoS attacks</t>
  </si>
  <si>
    <t>Note: Graduated shading only works when above values differ.</t>
  </si>
  <si>
    <t>Impact</t>
  </si>
  <si>
    <t>Difficulty</t>
  </si>
  <si>
    <t>Medium</t>
  </si>
  <si>
    <t>Low</t>
  </si>
  <si>
    <t>High</t>
  </si>
  <si>
    <t>Future Improvements</t>
  </si>
  <si>
    <t>E-Banking Booklet</t>
  </si>
  <si>
    <t>Website</t>
  </si>
  <si>
    <t>Cybersecurity</t>
  </si>
  <si>
    <t>Change Date</t>
  </si>
  <si>
    <t>Changed By</t>
  </si>
  <si>
    <t>Location</t>
  </si>
  <si>
    <t>Name</t>
  </si>
  <si>
    <t>Changed To</t>
  </si>
  <si>
    <t>Worksheet Log</t>
  </si>
  <si>
    <t>Change Note</t>
  </si>
  <si>
    <t>Log Count</t>
  </si>
  <si>
    <t>Last Change</t>
  </si>
  <si>
    <t>Note on Change</t>
  </si>
  <si>
    <t>Yes(C)</t>
  </si>
  <si>
    <t>Annual information security training is provided. (FFIEC Information Security Booklet, page 66)</t>
  </si>
  <si>
    <t>The institution has formal standards of conduct that hold all employees accountable for complying with cybersecurity policies and procedures.</t>
  </si>
  <si>
    <t>Cyber risks are actively discussed at business unit meetings.</t>
  </si>
  <si>
    <t>Employees have a clear understanding of how to identify and escalate potential cybersecurity issues.</t>
  </si>
  <si>
    <t>Resources</t>
  </si>
  <si>
    <t>Information security threats are gathered and shared with applicable internal employees. (FFIEC Information Security Booklet, page 83)</t>
  </si>
  <si>
    <t>Contact information for law enforcement and the regulator(s) is maintained and updated regularly. (FFIEC Business Continuity Planning Work Program, Objective I: 5-1)</t>
  </si>
  <si>
    <t>Information about threats is shared with law enforcement and regulators when required or prompted. (FFIEC Information Security Booklet, page 84)</t>
  </si>
  <si>
    <t>A formal and secure process is in place to share threat and vulnerability information with other entities.</t>
  </si>
  <si>
    <t>A representative from the institution participates in law enforcement or information-sharing organization meetings.</t>
  </si>
  <si>
    <t>Security processes and technology are centralized and coordinated in a Security Operations Center (SOC) or equivalent.</t>
  </si>
  <si>
    <t>Y, Y(C), N</t>
  </si>
  <si>
    <t>Y ,Y(C), N</t>
  </si>
  <si>
    <t>yesNo table</t>
  </si>
  <si>
    <t>lowMedHigh table</t>
  </si>
  <si>
    <t>maturityLevels table</t>
  </si>
  <si>
    <t>riskLevels table</t>
  </si>
  <si>
    <t>namesOrNumbers table</t>
  </si>
  <si>
    <t>Information named range</t>
  </si>
  <si>
    <t>Useful Named Ranges</t>
  </si>
  <si>
    <t>Minimal</t>
  </si>
  <si>
    <t>Moderate</t>
  </si>
  <si>
    <t>Significant</t>
  </si>
  <si>
    <t>Most</t>
  </si>
  <si>
    <t>Least</t>
  </si>
  <si>
    <t>hyperlink</t>
  </si>
  <si>
    <t>FFIEC handbooks URL base</t>
  </si>
  <si>
    <t>Reference</t>
  </si>
  <si>
    <t>URL</t>
  </si>
  <si>
    <t>URL fragment</t>
  </si>
  <si>
    <t>Label</t>
  </si>
  <si>
    <t>FFIEC Information Security Booklet, page 3</t>
  </si>
  <si>
    <t>information-security/ii-information-security-program-management.aspx</t>
  </si>
  <si>
    <t>FFIEC Information Security Booklet, page 6</t>
  </si>
  <si>
    <t>information-security/i-governance-of-the-information-security-program/ib-responsibility-and-accountability.aspx</t>
  </si>
  <si>
    <t>FFIEC Information Security Booklet, page 5</t>
  </si>
  <si>
    <t>e-banking/risk-management-of-e-banking-activities/board-and-management-oversight/cost-benefit-analysis-and-risk-assessment.aspx</t>
  </si>
  <si>
    <t>FFIEC E-Banking Booklet, page 20</t>
  </si>
  <si>
    <t>business-continuity-planning/appendix-j-strengthening-the-resilience-of-outsourced-technology-services.aspx</t>
  </si>
  <si>
    <t>FFIEC Business Continuity Planning Booklet, page J-12</t>
  </si>
  <si>
    <t>information-security/ii-information-security-program-management/iic-risk-mitigation/iic1-policies,-standards,-and-procedures.aspx</t>
  </si>
  <si>
    <t>FFIEC E-Banking Booklet, page 28</t>
  </si>
  <si>
    <t>The institution has policies commensurate with its risk and complexity that address the concepts of information technology risk management. (FFIEC Information Security Booklet, page 16)</t>
  </si>
  <si>
    <t>FFIEC Information Security Booklet, page 16</t>
  </si>
  <si>
    <t>FFIEC Outsourcing Booklet, page 2</t>
  </si>
  <si>
    <t>outsourcing-technology-services/board-and-management-responsibilities.aspx</t>
  </si>
  <si>
    <t>FFIEC Information Security Booklet, page 83</t>
  </si>
  <si>
    <t>FFIEC Information Security Booklet, page 7</t>
  </si>
  <si>
    <t>Booklet</t>
  </si>
  <si>
    <t>Information Security Booklet</t>
  </si>
  <si>
    <t>Business Continuity Planning Booklet</t>
  </si>
  <si>
    <t>Outsourcing Booklet</t>
  </si>
  <si>
    <t>Booklet URL</t>
  </si>
  <si>
    <t>PDFPage</t>
  </si>
  <si>
    <t>PDF URL</t>
  </si>
  <si>
    <t>information-security/i-governance-of-the-information-security-program.aspx</t>
  </si>
  <si>
    <t>I Governance of the Information Security Program</t>
  </si>
  <si>
    <t>Link</t>
  </si>
  <si>
    <t>PDF</t>
  </si>
  <si>
    <t>Web Page</t>
  </si>
  <si>
    <t>select useful link type (PDF or web page)</t>
  </si>
  <si>
    <t>FFIEC Information Security Booklet, page 9</t>
  </si>
  <si>
    <t>information-security/ii-information-security-program-management/iic-risk-mitigation/iic5-inventory-and-classification-of-assets.aspx</t>
  </si>
  <si>
    <t>FFIEC Information Security Booklet, page 12</t>
  </si>
  <si>
    <t>information-security/ii-information-security-program-management/iic-risk-mitigation/iic10-change-management-within-the-it-environment.aspx</t>
  </si>
  <si>
    <t>FFIEC Information Security Booklet, page 56</t>
  </si>
  <si>
    <t>II.C.10 Change Management Within the IT Environment, better match</t>
  </si>
  <si>
    <t>II Information Security Program Management</t>
  </si>
  <si>
    <t>Information Security Booklet, page 5</t>
  </si>
  <si>
    <t>E-Banking Booklet, page 20</t>
  </si>
  <si>
    <t>BCP Booklet, page J-12</t>
  </si>
  <si>
    <t>E-Banking Booklet, page 28</t>
  </si>
  <si>
    <t>Outsourcing Booklet, page 2</t>
  </si>
  <si>
    <t>II.C.1 Policies, Standards, and Procedures, pg 11, better match</t>
  </si>
  <si>
    <t>II.C.1 Policies, Standards, and Procedures, pg 14, closest match</t>
  </si>
  <si>
    <t>Introduction, page 5, better match</t>
  </si>
  <si>
    <t>II.C.5 Inventory and Classification of Assets, page 14, better match</t>
  </si>
  <si>
    <t>FFIEC Information Security Booklet, page 68</t>
  </si>
  <si>
    <t>Apendix A: Objective 2: Part 5 (information security)</t>
  </si>
  <si>
    <t>information-security/appendix-a-examination-procedures.aspx</t>
  </si>
  <si>
    <t>Page Offset</t>
  </si>
  <si>
    <t>Physical Page</t>
  </si>
  <si>
    <t>Page</t>
  </si>
  <si>
    <t>alt PDF Note</t>
  </si>
  <si>
    <t>alt PDF URL</t>
  </si>
  <si>
    <t>alt PDF Label</t>
  </si>
  <si>
    <t>default, if error</t>
  </si>
  <si>
    <t>Reference No.</t>
  </si>
  <si>
    <t>alt PDF</t>
  </si>
  <si>
    <t>Ref No.</t>
  </si>
  <si>
    <t>Ref LU</t>
  </si>
  <si>
    <t>FFIEC Information Security Booklet, page 8</t>
  </si>
  <si>
    <t>II.A.1 Threats</t>
  </si>
  <si>
    <t>information-security/ii-information-security-program-management/iia-risk-identification/iia1-threats.aspx</t>
  </si>
  <si>
    <t>II.C.2 Technology Design</t>
  </si>
  <si>
    <t>information-security/ii-information-security-program-management/iic-risk-mitigation/iic2-technology-design.aspx</t>
  </si>
  <si>
    <t>FFIEC Information Security Booklet, page 13</t>
  </si>
  <si>
    <t>II.C.4 Control Implementation</t>
  </si>
  <si>
    <t>information-security/ii-information-security-program-management/iic-risk-mitigation/iic4-control-implementation.aspx</t>
  </si>
  <si>
    <t>FFIEC Audit Booklet, page 4</t>
  </si>
  <si>
    <t>Audit Booklet</t>
  </si>
  <si>
    <t>audit/it-audit-roles-and-responsibilities/audit-management.aspx</t>
  </si>
  <si>
    <t>Audit Management</t>
  </si>
  <si>
    <t>FFIEC Audit Booklet, page 1</t>
  </si>
  <si>
    <t>Introduction</t>
  </si>
  <si>
    <t>audit/introduction.aspx</t>
  </si>
  <si>
    <t>FFIEC Operations Booklet, page 29</t>
  </si>
  <si>
    <t>Operations Booklet</t>
  </si>
  <si>
    <t>information-security/iv-information-security-program-effectiveness/iva-assurance-and-testing/iva2-types-of-tests-and-evaluations/iva2(d)-audits.aspx</t>
  </si>
  <si>
    <t>IV.A.2(d) Audits, page 56</t>
  </si>
  <si>
    <t>http://ithandbook.ffiec.gov/media/216407/informationsecurity2016booklet.pdf#Page=47</t>
  </si>
  <si>
    <t>information-security/ii-information-security-program-management/iic-risk-mitigation/iic22-log-management.aspx</t>
  </si>
  <si>
    <t>Information Security II.C.22 Log Management, better match</t>
  </si>
  <si>
    <t>FFIEC Information Security Work Program, Objective I: 2-8</t>
  </si>
  <si>
    <t>FFIEC Information Security Booklet, page 66</t>
  </si>
  <si>
    <t>I.B Responsibility and Accountability, page 5</t>
  </si>
  <si>
    <t>II.C.7(e) Training, better match</t>
  </si>
  <si>
    <t>information-security/ii-information-security-program-management/iic-risk-mitigation/iic7-user-security-controls/iic7(e)-training.aspx</t>
  </si>
  <si>
    <t>Appendix A: Objective 2: 5.l, closest match</t>
  </si>
  <si>
    <t>FFIEC E-Banking Work Program, Objective 6-3</t>
  </si>
  <si>
    <t>E-Banking Work Program, Objective 6-3</t>
  </si>
  <si>
    <t xml:space="preserve">I.A Security Culture, page 3 </t>
  </si>
  <si>
    <t>FFIEC E-Banking Work Program, page 28</t>
  </si>
  <si>
    <t>Objective 1</t>
  </si>
  <si>
    <t>Objective 8 part 3, closest match</t>
  </si>
  <si>
    <t>FFIEC Information Security Booklet, page 4</t>
  </si>
  <si>
    <t>III.A Threat Identification and Assessment, better match</t>
  </si>
  <si>
    <t>FFIEC Information Security Booklet, page 79</t>
  </si>
  <si>
    <t>Objective 6:35, closest match</t>
  </si>
  <si>
    <t>information-security/iii-security-operations/iiia-threat-identification-and-assessment.aspx</t>
  </si>
  <si>
    <t>information-security/introduction.aspx</t>
  </si>
  <si>
    <t>II.C.22 Log Management, closest match</t>
  </si>
  <si>
    <t>III.A Threat Identification and Assessment, pg. 48 closest match</t>
  </si>
  <si>
    <t>FFIEC Business Continuity Planning Work Program, Objective I: 5-1</t>
  </si>
  <si>
    <t>BCP Objective 4 part 5:9, closest match</t>
  </si>
  <si>
    <t>business-continuity-planning/appendix-a-examination-procedures.aspx</t>
  </si>
  <si>
    <t>FFIEC Information Security Booklet, page 84</t>
  </si>
  <si>
    <t>III.D Incident Response, pg. 52, best match</t>
  </si>
  <si>
    <t>information-security/iii-security-operations/iiid-incident-response.aspx</t>
  </si>
  <si>
    <t>FFIEC Information Security Booklet, page 33</t>
  </si>
  <si>
    <t>FFIEC Information Security Booklet, page 46</t>
  </si>
  <si>
    <t>FFIEC Information Security Booklet, page 50</t>
  </si>
  <si>
    <t>FFIEC Information Security Booklet, page 78</t>
  </si>
  <si>
    <t>FFIEC Information Security Booklet, page 41</t>
  </si>
  <si>
    <t>FFIEC Information Security Booklet, page 23</t>
  </si>
  <si>
    <t>FFIEC Information Security Booklet, page 40</t>
  </si>
  <si>
    <t>FFIEC Information Security Booklet, page 19</t>
  </si>
  <si>
    <t>FFIEC Information Security Booklet, page 18</t>
  </si>
  <si>
    <t>FFIEC Information Security Booklet, page 21</t>
  </si>
  <si>
    <t>FFIEC Information Security Booklet, page 61</t>
  </si>
  <si>
    <t>FFIEC Information Security Booklet, page 64</t>
  </si>
  <si>
    <t>FFIEC Information Security Booklet, page 47</t>
  </si>
  <si>
    <t>FFIEC Information Security Booklet, page 51</t>
  </si>
  <si>
    <t>FFIEC Information Security Booklet, page 45</t>
  </si>
  <si>
    <t>FFIEC Information Security Booklet, page 25</t>
  </si>
  <si>
    <t>FFIEC Information Security Work Program, Objective I: 4-1</t>
  </si>
  <si>
    <t>FFIEC Information Security Booklet, page 59</t>
  </si>
  <si>
    <t>FFIEC Development and Acquisition Booklet, page 2</t>
  </si>
  <si>
    <t>FFIEC Development and Acquisition Booklet, page 39</t>
  </si>
  <si>
    <t>Development and Acquisition Booklet</t>
  </si>
  <si>
    <t>FFIEC Information Security Booklet, page 55</t>
  </si>
  <si>
    <t>FFIEC Information Security Booklet, page 82</t>
  </si>
  <si>
    <t>FFIEC Information Security Booklet, page 39</t>
  </si>
  <si>
    <t>FFIEC Information Security Booklet, page 32</t>
  </si>
  <si>
    <t>FFIEC Information Security Booklet, page 73</t>
  </si>
  <si>
    <t>FFIEC Wholesale Payments Booklet, page12</t>
  </si>
  <si>
    <t>FFIEC Outsourcing Booklet, page 26</t>
  </si>
  <si>
    <t>Wholesale Payments Booklet</t>
  </si>
  <si>
    <t>FFIEC Information Security Booklet, page 77</t>
  </si>
  <si>
    <t>FFIEC Information Security Booklet, page 62</t>
  </si>
  <si>
    <t>FFIEC Operations Booklet, page 22</t>
  </si>
  <si>
    <t>FFIEC Development and Acquisition Booklet, page 50</t>
  </si>
  <si>
    <t>FFIEC Information Security Booklet, page 87</t>
  </si>
  <si>
    <t>FFIEC Information Security Booklet, page 17</t>
  </si>
  <si>
    <t>FFIEC Information Security Booklet, page 10</t>
  </si>
  <si>
    <t>FFIEC Information Security Booklet, page 69</t>
  </si>
  <si>
    <t>FFIEC Outsourcing Booklet, page 19</t>
  </si>
  <si>
    <t>FFIEC Outsourcing Booklet, page 6</t>
  </si>
  <si>
    <t>FFIEC Outsourcing Booklet, page 12</t>
  </si>
  <si>
    <t>FFIEC E-Banking Booklet, page 22</t>
  </si>
  <si>
    <t>FFIEC Outsourcing Booklet, page 15</t>
  </si>
  <si>
    <t>FFIEC Outsourcing Booklet, page 3</t>
  </si>
  <si>
    <t>FFIEC Information Security Booklet, page 86</t>
  </si>
  <si>
    <t>FFIEC Information Security Booklet, page 71</t>
  </si>
  <si>
    <t>FFEIC Business Continuity Planning Booklet, page 4</t>
  </si>
  <si>
    <t>FFIEC Business Continuity Planning Booklet, page 4</t>
  </si>
  <si>
    <t>FFIEC Business Continuity Planning Booklet, page J-6</t>
  </si>
  <si>
    <t>FFIEC Business Continuity Planning Booklet, page J-7</t>
  </si>
  <si>
    <t>FFIEC Information Security Booklet, page 43</t>
  </si>
  <si>
    <t>FFIEC Operations Booklet, page 28</t>
  </si>
  <si>
    <t>Few applications
(6–30)</t>
  </si>
  <si>
    <t>Several applications 
(31–75)</t>
  </si>
  <si>
    <t>Significant number of devices (25,001–50,000)</t>
  </si>
  <si>
    <t>&gt;200 third parties that support critical activities;
1 or more are foreign-based</t>
  </si>
  <si>
    <t>Few cloud providers;
private cloud only (1–3)</t>
  </si>
  <si>
    <t>Significant number of cloud providers (8–10);
cloud-provider locations used
include international;
use of public cloud</t>
  </si>
  <si>
    <t>Few devices
(250–1,500)</t>
  </si>
  <si>
    <t>Direct acceptance or use of emerging payments technologies; partner or co-brand with non-bank providers; limited transaction volume</t>
  </si>
  <si>
    <t>Customers allowed to originate payments; used by 1,000–5,000 customers or monthly transaction volume is between 50,000–100,000</t>
  </si>
  <si>
    <t>Customers allowed to originate payments; used by 5,001–10,000 customers or monthly transaction volume is between 100,001–1 million</t>
  </si>
  <si>
    <t>Customers allowed to request payment or to originate payment; used by &gt;10,000 customers or monthly transaction volume &gt;1 million</t>
  </si>
  <si>
    <t>Sponsor nested third-party payment processors; originate debits and credits with daily volume that is &gt;25% of total assets</t>
  </si>
  <si>
    <t>Merchant remote deposit capture (RDC)</t>
  </si>
  <si>
    <t>Services offered include accounts receivable solutions and liquidity management; number of clients is between 10,001–20,000</t>
  </si>
  <si>
    <t>Trust services provided directly; portfolio of assets under management total $500 million–$999 million</t>
  </si>
  <si>
    <t>Act as a merchant acquirer; outsource card payment processing; 1,000–10,000 merchants</t>
  </si>
  <si>
    <t>Number of employees totals 50–2,000</t>
  </si>
  <si>
    <t>Answered</t>
  </si>
  <si>
    <t>Weighting--&gt;</t>
  </si>
  <si>
    <t>Weighted Score</t>
  </si>
  <si>
    <r>
      <rPr>
        <b/>
        <sz val="11"/>
        <color theme="1"/>
        <rFont val="Calibri"/>
        <family val="2"/>
        <scheme val="minor"/>
      </rPr>
      <t xml:space="preserve">Instructions
</t>
    </r>
    <r>
      <rPr>
        <sz val="11"/>
        <color theme="1"/>
        <rFont val="Calibri"/>
        <family val="2"/>
        <scheme val="minor"/>
      </rPr>
      <t xml:space="preserve">
</t>
    </r>
    <r>
      <rPr>
        <b/>
        <sz val="11"/>
        <color theme="1"/>
        <rFont val="Calibri"/>
        <family val="2"/>
        <scheme val="minor"/>
      </rPr>
      <t xml:space="preserve">1  </t>
    </r>
    <r>
      <rPr>
        <sz val="11"/>
        <color theme="1"/>
        <rFont val="Calibri"/>
        <family val="2"/>
        <scheme val="minor"/>
      </rPr>
      <t xml:space="preserve">Rate each risk for each category (separate worksheets)   
</t>
    </r>
    <r>
      <rPr>
        <b/>
        <sz val="11"/>
        <color theme="1"/>
        <rFont val="Calibri"/>
        <family val="2"/>
        <scheme val="minor"/>
      </rPr>
      <t>2</t>
    </r>
    <r>
      <rPr>
        <sz val="11"/>
        <color theme="1"/>
        <rFont val="Calibri"/>
        <family val="2"/>
        <scheme val="minor"/>
      </rPr>
      <t xml:space="preserve">  Scoring will be calculated on this roll up worksheet   
</t>
    </r>
    <r>
      <rPr>
        <b/>
        <sz val="11"/>
        <color theme="1"/>
        <rFont val="Calibri"/>
        <family val="2"/>
        <scheme val="minor"/>
      </rPr>
      <t xml:space="preserve">3  </t>
    </r>
    <r>
      <rPr>
        <sz val="11"/>
        <color theme="1"/>
        <rFont val="Calibri"/>
        <family val="2"/>
        <scheme val="minor"/>
      </rPr>
      <t>Manually select risk level (cell C17), for guidance see page 4 of the FFIEC CAT user guide.</t>
    </r>
  </si>
  <si>
    <t>update for latest FFIEC CAT release (May 2017); better identification (date, name of firm, responsible party, general notes); make links to web references easier to fix when broken; clean up title area; clarified maturity summary explanatory note for shading; improved printing for key sheets; add future improvements table; eliminated duplicate risk table; added controlled risk indicator; added log worksheet; fixed typos; verified 2015 to 2017 changes; cleaned up risk rollup to make weighting clearer;  removed unused cells; broke up unintentionally grouped declarative statements (Risk Management/Training and Culture/Culture/Evolving)</t>
  </si>
  <si>
    <t>If the FFIEC moves the links to the PDF versions of the handbooks, you can update the links below
(shouldn't be a hyperlink, just the text for the link)</t>
  </si>
  <si>
    <t>Select an Inherent Risk Based on Individual Risk Levels</t>
  </si>
  <si>
    <t>https://ithandbook.ffiec.gov/media/274725/ffiec_itbooklet_businesscontinuityplanning.pdf</t>
  </si>
  <si>
    <t>https://ithandbook.ffiec.gov/media/274777/ffiec_itbooklet_e-banking.pdf</t>
  </si>
  <si>
    <t>https://ithandbook.ffiec.gov/media/274793/ffiec_itbooklet_informationsecurity.pdf</t>
  </si>
  <si>
    <t>https://ithandbook.ffiec.gov/media/274841/ffiec_itbooklet_outsourcingtechnologyservices.pdf</t>
  </si>
  <si>
    <t>https://ithandbook.ffiec.gov/media/274709/ffiec_itbooklet_audit.pdf</t>
  </si>
  <si>
    <t>https://ithandbook.ffiec.gov/media/274825/ffiec_itbooklet_operations.pdf</t>
  </si>
  <si>
    <t>https://ithandbook.ffiec.gov/media/274741/ffiec_itbooklet_developmentandacquisition.pdf</t>
  </si>
  <si>
    <t>https://ithandbook.ffiec.gov/media/274899/ffiec_itbooklet_wholesalepaymentsystems.pdf</t>
  </si>
  <si>
    <t>https://ithandbook.ffiec.gov</t>
  </si>
  <si>
    <t>https://</t>
  </si>
  <si>
    <t>watkinsconsulting.com</t>
  </si>
  <si>
    <t>https://www.ffiec.gov/pdf/cybersecurity/FFIEC_CAT_May_2017.pdf</t>
  </si>
  <si>
    <r>
      <rPr>
        <b/>
        <sz val="11"/>
        <color theme="1"/>
        <rFont val="Calibri"/>
        <family val="2"/>
        <scheme val="minor"/>
      </rPr>
      <t xml:space="preserve">This workbook is an Excel realization of the FFIEC Cybersecurity Assessment Tool released in May 2017. The organizational approach and text within this Excel workbook was derived from the FFIEC Cybersecurity Assessment Tool.
</t>
    </r>
    <r>
      <rPr>
        <b/>
        <sz val="11"/>
        <color rgb="FFFF0000"/>
        <rFont val="Arial"/>
        <family val="2"/>
      </rPr>
      <t>This tool is an assessment only.</t>
    </r>
    <r>
      <rPr>
        <b/>
        <sz val="11"/>
        <rFont val="Arial"/>
        <family val="2"/>
      </rPr>
      <t xml:space="preserve"> It is not a certification or a standard. It is intended to help businesses identify their risks and determine their preparedness. Repeated assessments should provide a measurable evaluation of cybersecurity readiness over time. </t>
    </r>
    <r>
      <rPr>
        <b/>
        <sz val="8"/>
        <rFont val="Arial"/>
        <family val="2"/>
      </rPr>
      <t xml:space="preserve">
</t>
    </r>
  </si>
  <si>
    <t>Workbook Information</t>
  </si>
  <si>
    <t>FFIEC IT Examination Handbook Infobase</t>
  </si>
  <si>
    <t>https://ithandbook.ffiec.gov/</t>
  </si>
  <si>
    <t>https://ithandbook.ffiec.gov/it-booklets/</t>
  </si>
  <si>
    <t>not allowing "alt PDF" choice on public version</t>
  </si>
  <si>
    <t>I.B Responsibility and Accountability</t>
  </si>
  <si>
    <t>Cost-Benefit Analysis and Risk Assessment</t>
  </si>
  <si>
    <t>Strategic Considerations - Cyber Resilience (scroll down)</t>
  </si>
  <si>
    <t>Board and Management Responsibilities</t>
  </si>
  <si>
    <t xml:space="preserve">II.A.1 Threats </t>
  </si>
  <si>
    <t xml:space="preserve">II.C.2 Technology Design </t>
  </si>
  <si>
    <t xml:space="preserve">II.C.4 Control Implementation </t>
  </si>
  <si>
    <t xml:space="preserve">Audit Management </t>
  </si>
  <si>
    <t xml:space="preserve">Introduction </t>
  </si>
  <si>
    <t>Appendix A: Objective 2: 5.l (closest match)</t>
  </si>
  <si>
    <t>verified</t>
  </si>
  <si>
    <t>x</t>
  </si>
  <si>
    <t>e-banking/risk-management-of-e-banking-activities/information-security-program/security-guidelines.aspx</t>
  </si>
  <si>
    <t>Security Guidelines</t>
  </si>
  <si>
    <t>https://www.ffiec.gov/pdf/cybersecurity/FFIEC_CAT_Appendix_A_May_2017.pdf</t>
  </si>
  <si>
    <t>Appendix A: Mapping Baseline Statements to FFIEC IT Examination Handbook</t>
  </si>
  <si>
    <t>Redistribution and use in source and binary forms, with or without modification, are permitted provided that the following conditions are met:
      • Redistributions of source code must retain the copyright notice (cells A8:A9),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Watkins Consulting,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WATKINS CONSULTING, INC.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</si>
  <si>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information-security/ii-information-security-program-management/iic-risk-mitigation/iic21-business-continuity-considerations.aspx</t>
  </si>
  <si>
    <t>II.C.21 Business Continuity Considerations</t>
  </si>
  <si>
    <t>operations/risk-mitigation-and-control-implementation/eventproblem-management.aspx</t>
  </si>
  <si>
    <t>Event/Problem Management</t>
  </si>
  <si>
    <t>information-security/i-governance-of-the-information-security-program/ic-resources.aspx</t>
  </si>
  <si>
    <t>https://ithandbook.ffiec.gov/media/274793/ffiec_itbooklet_informationsecurity.pdf#Page=19</t>
  </si>
  <si>
    <t>https://ithandbook.ffiec.gov/media/274793/ffiec_itbooklet_informationsecurity.pdf#Page=14</t>
  </si>
  <si>
    <t>II.C.1 Policies, Standards, and Procedures, pg 11, better match (PDF link)</t>
  </si>
  <si>
    <t>https://ithandbook.ffiec.gov/it-booklets/information-security/ii-information-security-program-management/iic-risk-mitigation/iic1-policies,-standards,-and-procedures.aspx</t>
  </si>
  <si>
    <t>II.C.21 Business Continuity Considerations (per CAT Appendix A)</t>
  </si>
  <si>
    <t>II.C.5 Inventory and Classification of Assets (per CAT Appendix A)</t>
  </si>
  <si>
    <t xml:space="preserve"> II.C.10 Change Management Within the IT Environment (per CAT Appendix A)</t>
  </si>
  <si>
    <t>I.B Responsibility and Accountability (per CAT Appendix A)</t>
  </si>
  <si>
    <t>II.C.7(e) Training (per CAT Appendix A)</t>
  </si>
  <si>
    <t>not used</t>
  </si>
  <si>
    <t>II.C.16 Customer Remote Access to Financial Services (per CAT Appendix A)</t>
  </si>
  <si>
    <t>information-security/ii-information-security-program-management/iic-risk-mitigation/iic16-customer-remote-access-to-financial-services.aspx</t>
  </si>
  <si>
    <t>information-security/ii-information-security-program-management/iic-risk-mitigation.aspx</t>
  </si>
  <si>
    <t>II.C Risk Mitigation (per CAT Appendix A)</t>
  </si>
  <si>
    <t>https://ithandbook.ffiec.gov/it-booklets/information-security/iii-security-operations.aspx</t>
  </si>
  <si>
    <t>III Security Operations (per CAT Appendix A)</t>
  </si>
  <si>
    <t>III.A Threat Identification and Assessment (per CAT Appendix A)</t>
  </si>
  <si>
    <t>II.C.22 Log Management (per CAT Appendix A)</t>
  </si>
  <si>
    <t>II.D Risk Monitoring and Reporting (per CAT Appendix A)</t>
  </si>
  <si>
    <t>information-security/ii-information-security-program-management/iid-risk-monitoring-and-reporting.aspx</t>
  </si>
  <si>
    <t>Appendix A: Examination Procedures (scoll down to Objective 5)</t>
  </si>
  <si>
    <t>III.D Incident Response (per CAT Appendix A)</t>
  </si>
  <si>
    <t>information-security/ii-information-security-program-management/iic-risk-mitigation/iic9-network-controls.aspx</t>
  </si>
  <si>
    <t>II.C.17 Application Security (per CAT Appendix A)</t>
  </si>
  <si>
    <t>information-security/ii-information-security-program-management/iic-risk-mitigation/iic17-application-security.aspx</t>
  </si>
  <si>
    <t>II.C.9 Network Controls (per CAT Appendix A)</t>
  </si>
  <si>
    <t>II.C.12 Malware Mitigation (per CAT Appendix A)</t>
  </si>
  <si>
    <t>information-security/ii-information-security-program-management/iic-risk-mitigation/iic12-malware-mitigation.aspx</t>
  </si>
  <si>
    <t>information-security/ii-information-security-program-management/iic-risk-mitigation/iic10-change-management-within-the-it-environment/iic10(c)-standard-builds.aspx</t>
  </si>
  <si>
    <t>II.C.10(c) Standard Builds (per CAT Appendix A)</t>
  </si>
  <si>
    <t>II.C.10(b) Hardening (per CAT Appendix A)</t>
  </si>
  <si>
    <t>information-security/ii-information-security-program-management/iic-risk-mitigation/iic10-change-management-within-the-it-environment/iic10(b)-hardening.aspx</t>
  </si>
  <si>
    <t>II.C.10 Change Management Within the IT Environment (per CAT Appendix A)</t>
  </si>
  <si>
    <t>II.C.15(a) Operating System Access (per CAT Appendix A)</t>
  </si>
  <si>
    <t>information-security/ii-information-security-program-management/iic-risk-mitigation/iic15-logical-security/iic15(a)-operating-system-access.aspx</t>
  </si>
  <si>
    <t>II.C.9(a) Wireless Network Considerations (per CAT Appendix A)</t>
  </si>
  <si>
    <t>information-security/ii-information-security-program-management/iic-risk-mitigation/iic9-network-controls/iic9(a)-wireless-network-considerations.aspx</t>
  </si>
  <si>
    <t>II.C.7 User Security Controls (per CAT Appendix A)</t>
  </si>
  <si>
    <t>information-security/ii-information-security-program-management/iic-risk-mitigation/iic7-user-security-controls.aspx</t>
  </si>
  <si>
    <t>IV.A.2(d) Audits (per CAT Appendix A)</t>
  </si>
  <si>
    <t>II.C.1 Policies, Standards, and Procedures (per CAT Appendix A)</t>
  </si>
  <si>
    <t>I.C Resources (per CAT Appendix A)</t>
  </si>
  <si>
    <t>information-security/ii-information-security-program-management/iic-risk-mitigation/iic15-logical-security.aspx</t>
  </si>
  <si>
    <t>II.C.15 Logical Security (per CAT Appendix A)</t>
  </si>
  <si>
    <t>information-security/ii-information-security-program-management/iic-risk-mitigation/iic7-user-security-controls/iic7(b)-user-access-program.aspx</t>
  </si>
  <si>
    <t>II.C.7(b) User Access Program (per CAT Appendix A)</t>
  </si>
  <si>
    <t>II.C.15(b) Application Access (per CAT Appendix A)</t>
  </si>
  <si>
    <t>information-security/ii-information-security-program-management/iic-risk-mitigation/iic15-logical-security/iic15(b)-application-access.aspx</t>
  </si>
  <si>
    <t>IS.II.C.15:pg31</t>
  </si>
  <si>
    <t>IS.II.C.8:pg18</t>
  </si>
  <si>
    <t>II.C.8 Physical Security (per CAT Appendix A)</t>
  </si>
  <si>
    <t>information-security/ii-information-security-program-management/iic-risk-mitigation/iic8-physical-security.aspx</t>
  </si>
  <si>
    <t>II.C.19 Encryption (per CAT Appendix A)</t>
  </si>
  <si>
    <t>information-security/ii-information-security-program-management/iic-risk-mitigation/iic19-encryption.aspx</t>
  </si>
  <si>
    <t>II.C.13(b) Electronic Transmission of Information (per CAT Appendix A)</t>
  </si>
  <si>
    <t>information-security/ii-information-security-program-management/iic-risk-mitigation/iic13-control-of-information/iic13(b)-electronic-transmission-of-information.aspx</t>
  </si>
  <si>
    <t>II.C.13(a) Storage (per CAT Appendix A)</t>
  </si>
  <si>
    <t>information-security/ii-information-security-program-management/iic-risk-mitigation/iic13-control-of-information/iic13(a)-storage.aspx</t>
  </si>
  <si>
    <t>II.C.15(c) Remote Access (per CAT Appendix A)</t>
  </si>
  <si>
    <t>information-security/ii-information-security-program-management/iic-risk-mitigation/iic15-logical-security/iic15(c)-remote-access.aspx</t>
  </si>
  <si>
    <t>IS.II.C.12:pg26</t>
  </si>
  <si>
    <t>II.C.13(c) Disposal of Information (per CAT Appendix A)</t>
  </si>
  <si>
    <t>information-security/ii-information-security-program-management/iic-risk-mitigation/iic13-control-of-information/iic13(c)-disposal-of-information.aspx</t>
  </si>
  <si>
    <t>development-and-acquisition/introduction/information-security.aspx</t>
  </si>
  <si>
    <t>Escrowed Documentation</t>
  </si>
  <si>
    <t>Information Security</t>
  </si>
  <si>
    <t>development-and-acquisition/acquisition/escrowed-documentation.aspx</t>
  </si>
  <si>
    <t>IS.III:pg46:</t>
  </si>
  <si>
    <t>CAT AppA</t>
  </si>
  <si>
    <t>information-security/iii-security-operations.aspx</t>
  </si>
  <si>
    <t>wholesale-payment-systems/intrabank-payment-and-messaging-systems/internally-developed-and-off-the-shelf-funds-transfer-systems.aspx</t>
  </si>
  <si>
    <t>Internally Developed and Off-The-Shelf Funds Transfer Systems</t>
  </si>
  <si>
    <t>WPS.B.12</t>
  </si>
  <si>
    <t>ISIII.C.22:pg44</t>
  </si>
  <si>
    <t>OT.B.26</t>
  </si>
  <si>
    <t>Information Security/Safeguarding</t>
  </si>
  <si>
    <t>outsourcing-technology-services/related-topics/information-securitysafeguarding.aspx</t>
  </si>
  <si>
    <t>IS.III.C:pg49</t>
  </si>
  <si>
    <t>III.C Incident Identification and Assessment (per CAT Appendix A)</t>
  </si>
  <si>
    <t>information-security/iii-security-operations/iiic-incident-identification-and-assessment.aspx</t>
  </si>
  <si>
    <t>IS.III.B:pg48</t>
  </si>
  <si>
    <t>III.B Threat Monitoring (per CAT Appendix A)</t>
  </si>
  <si>
    <t>information-security/iii-security-operations/iiib-threat-monitoring.aspx</t>
  </si>
  <si>
    <t>IS.Introduction:pg2</t>
  </si>
  <si>
    <t>Introduction (per CAT Appendix A)</t>
  </si>
  <si>
    <t>IS.II.C.10(d):pg24</t>
  </si>
  <si>
    <t>II.C.10(d) Patch Management (per CAT Appendix A)</t>
  </si>
  <si>
    <t>information-security/ii-information-security-program-management/iic-risk-mitigation/iic10-change-management-within-the-it-environment/iic10(d)-patch-management.aspx</t>
  </si>
  <si>
    <t>OPS.B.22</t>
  </si>
  <si>
    <t>Database Management</t>
  </si>
  <si>
    <t>operations/risk-mitigation-and-control-implementation/database-management.aspx</t>
  </si>
  <si>
    <t>development-and-acquisition/maintenance/patch-management.aspx</t>
  </si>
  <si>
    <t>D&amp;A.B.50</t>
  </si>
  <si>
    <t>IS.IV.A.4:pg56</t>
  </si>
  <si>
    <t>IV.A.4 Assurance Reporting (per CAT Appendix A)</t>
  </si>
  <si>
    <t>information-security/iv-information-security-program-effectiveness/iva-assurance-and-testing/iva4-assurance-reporting.aspx</t>
  </si>
  <si>
    <t>IS.II.C.6:pg14-15</t>
  </si>
  <si>
    <t>II.C.6 Mitigating Interconnectivity Risk (per CAT Appendix A)</t>
  </si>
  <si>
    <t>information-security/ii-information-security-program-management/iic-risk-mitigation/iic6-mitigating-interconnectivity-risk.aspx</t>
  </si>
  <si>
    <t>IS.II.C.9:pg20:</t>
  </si>
  <si>
    <t>IS.II.C.9:pg20</t>
  </si>
  <si>
    <t>IS.II.C.20:pg42:</t>
  </si>
  <si>
    <t>II.C.20 Oversight of Third-Party Service Providers (per CAT Appendix A)</t>
  </si>
  <si>
    <t>information-security/ii-information-security-program-management/iic-risk-mitigation/iic20-oversight-of-third-party-service-providers.aspx</t>
  </si>
  <si>
    <t>outsourcing-technology-services/risk-management/ongoing-monitoring.aspx</t>
  </si>
  <si>
    <t>OT.B.6:</t>
  </si>
  <si>
    <t>Quantity of Risk Considerations</t>
  </si>
  <si>
    <t>outsourcing-technology-services/risk-management/risk-assessment-and-requirements/quantity-of-risk-considerations.aspx</t>
  </si>
  <si>
    <t>IS.II.C.20:pg42</t>
  </si>
  <si>
    <t>outsourcing-technology-services/risk-management/contract-issues.aspx</t>
  </si>
  <si>
    <t>Contract Issues</t>
  </si>
  <si>
    <t>OT.B.12</t>
  </si>
  <si>
    <t>OT.B.15</t>
  </si>
  <si>
    <t>Service Level Agreements (SLAs)</t>
  </si>
  <si>
    <t>outsourcing-technology-services/risk-management/contract-issues/service-level-agreements-(slas).aspx</t>
  </si>
  <si>
    <t>OT.B.3</t>
  </si>
  <si>
    <t>outsourcing-technology-services/risk-management.aspx</t>
  </si>
  <si>
    <t>OT.B.19</t>
  </si>
  <si>
    <t>BCP.B.4</t>
  </si>
  <si>
    <t>Business Continuity Planning Process</t>
  </si>
  <si>
    <t>business-continuity-planning/business-continuity-planning-process.aspx</t>
  </si>
  <si>
    <t>IS.III:pg46</t>
  </si>
  <si>
    <t>IS.III.D:pg51</t>
  </si>
  <si>
    <t>IS.III.D:pg52</t>
  </si>
  <si>
    <t>IS.II.C.21:pg43</t>
  </si>
  <si>
    <t>BCP.B.J-6</t>
  </si>
  <si>
    <t>BCP.B.J-7</t>
  </si>
  <si>
    <t>Appendix J: Strengthening the Resilience of Outsourced Technology Services</t>
  </si>
  <si>
    <t>IS.II.C.15(a):pg32</t>
  </si>
  <si>
    <t>IS.II.D:pg45</t>
  </si>
  <si>
    <t>IS.III.D:pg50</t>
  </si>
  <si>
    <t>IS.III.C:pg50</t>
  </si>
  <si>
    <t>IS.I.B:pg4</t>
  </si>
  <si>
    <t>OPS.B.28</t>
  </si>
  <si>
    <t>Event/Problem Management (pg. 29)</t>
  </si>
  <si>
    <t>automated logging, but would require VBA</t>
  </si>
  <si>
    <t>Add comparison to another workbook. Add transfer answers/notes from another workbook.</t>
  </si>
  <si>
    <t>Source</t>
  </si>
  <si>
    <t>Financial Service Sector Coordinating Council</t>
  </si>
  <si>
    <t>https://www.fsscc.org/files/galleries/FSSCC_ACAT_v2_1.xlsx</t>
  </si>
  <si>
    <t xml:space="preserve">Automated Cybersecurity Assessment Tool </t>
  </si>
  <si>
    <t>Bank Policy Institute</t>
  </si>
  <si>
    <t>The Profile is a scalable and extensible assessment that financial institutions of all types can use for internal and external (i.e., third-party) cyber risk management assessment and as a mechanism to evidence compliance with various regulatory frameworks (a “common college application for regulatory compliance”) both within the United States and globally.</t>
  </si>
  <si>
    <t>https://bpi.com/financial-services-sector-cybersecurity-profile/</t>
  </si>
  <si>
    <t>Other Internet Resources
(provided for your reference; Watkins is not affiliated with any of these resources)</t>
  </si>
  <si>
    <t>Links to Worksheets</t>
  </si>
  <si>
    <t>Inherent Risks</t>
  </si>
  <si>
    <t>Summary</t>
  </si>
  <si>
    <t>Cybersecurity Maturity</t>
  </si>
  <si>
    <t>Organizational</t>
  </si>
  <si>
    <t>Row Labels</t>
  </si>
  <si>
    <t>Grand Total</t>
  </si>
  <si>
    <t>domain</t>
  </si>
  <si>
    <t>value</t>
  </si>
  <si>
    <t>orderValue</t>
  </si>
  <si>
    <t>1-Baseline</t>
  </si>
  <si>
    <t>2-Evolving</t>
  </si>
  <si>
    <t>3-Intermediate</t>
  </si>
  <si>
    <t>4-Advanced</t>
  </si>
  <si>
    <t>5-Innovative</t>
  </si>
  <si>
    <t>Yes-</t>
  </si>
  <si>
    <t>YesCC-</t>
  </si>
  <si>
    <t>No-</t>
  </si>
  <si>
    <t>N/A-</t>
  </si>
  <si>
    <t>The table below, combinedMaturityTable, will facilitate pivot table and chart reporting for domain, assessment factor, component and maturity level.</t>
  </si>
  <si>
    <t>DS Yes</t>
  </si>
  <si>
    <t>DS YesCC</t>
  </si>
  <si>
    <t>DS No</t>
  </si>
  <si>
    <t>DS N/A</t>
  </si>
  <si>
    <t>Unlocked spreedsheet for you to add your related calculations. A sample pivot table and chart is provided.</t>
  </si>
  <si>
    <t>Warning</t>
  </si>
  <si>
    <t>Warning Text</t>
  </si>
  <si>
    <t xml:space="preserve">Warning: there are </t>
  </si>
  <si>
    <t xml:space="preserve"> compnent maturity level(s)  that are entirely marked as 'N/A'. This will score that level and higher levels in the component as 'N/A.'</t>
  </si>
  <si>
    <t>Link 1</t>
  </si>
  <si>
    <t>Reference 1</t>
  </si>
  <si>
    <t>Link 2</t>
  </si>
  <si>
    <t>Reference 2</t>
  </si>
  <si>
    <t>Link 3</t>
  </si>
  <si>
    <t>Reference 3</t>
  </si>
  <si>
    <t>Link 4</t>
  </si>
  <si>
    <t>Reference 4</t>
  </si>
  <si>
    <t>Link 5</t>
  </si>
  <si>
    <t>Reference 5</t>
  </si>
  <si>
    <t>Link 6</t>
  </si>
  <si>
    <t>Reference 6</t>
  </si>
  <si>
    <t>Link 7</t>
  </si>
  <si>
    <t>Reference 7</t>
  </si>
  <si>
    <t>Designated members of management are held accountable by the board or an appropriate board committee for implementing and managing the information security and business continuity programs.</t>
  </si>
  <si>
    <t>IS.I:pg3</t>
  </si>
  <si>
    <t>IS.I:pg3: The board, or designated board committee, should be responsible for overseeing The development, implementation, and maintenance of the institution’s information security program and holding senior management accountable for its actions.</t>
  </si>
  <si>
    <t>IS.I:pg4</t>
  </si>
  <si>
    <t>IS.I:pg4: The board should provide management with its expectations and requirements and hold management accountable for central oversight and coordination, assignment of responsibility, and effectiveness of the information security program.</t>
  </si>
  <si>
    <t>IS.WP.2.3</t>
  </si>
  <si>
    <t>IS.WP.2.3: Determine whether the board holds management accountable for the following: Central oversight and coordination, Assignment of responsibility, Support of the information security program, and Effectiveness of the information security program.</t>
  </si>
  <si>
    <t>MGT.III.C.3:pg28</t>
  </si>
  <si>
    <t>MGT.III.C.3:pg28: The board of directors is responsible for overseeing the development, implementation, management, and maintenance of the institution’s information security program. This oversight includes assigning specific responsibility and accountability for the program’s implementation and reviewing reports from management.</t>
  </si>
  <si>
    <t>MGT.WP.2</t>
  </si>
  <si>
    <t>MGT.WP.2: Determine whether the board of directors oversees and senior management appropriately establishes an effective governance structure that includes oversight of IT activities.</t>
  </si>
  <si>
    <t>MGT.WP.2.2.g</t>
  </si>
  <si>
    <t>MGT.WP.2.2.g: Review whether the board or a committee of the board appropriately holds management accountable for the identification, measurement, and mitigation of IT risks.</t>
  </si>
  <si>
    <t>Information security risks are discussed in management meetings when prompted by highly visible cyber events or regulatory alerts.</t>
  </si>
  <si>
    <t>IS.I.B:pg4: Management also should do the following: Participate in assessing the effect of security threats or incidents on the institution and its lines of business and processes.</t>
  </si>
  <si>
    <t>IS.III.A:pg47</t>
  </si>
  <si>
    <t>IS.III.A:pg47: Management should develop procedures for obtaining, monitoring, assessing, and responding to evolving threat and vulnerability information.</t>
  </si>
  <si>
    <t>Management provides a written report on the overall status of the information security and business continuity programs to the board or an appropriate board committee at least annually.</t>
  </si>
  <si>
    <t>IS.I.B:pg4: The board, or designated board committee, should approve the institution’s written information security program; affirm responsibilities for the development, implementation, and maintenance of the program; and review a report on the overall status of the program at least annually. Management should provide a report to the board at least annually that describes the overall status of the program and material matters related to the program, including the following …</t>
  </si>
  <si>
    <t>IS.WP.2.4</t>
  </si>
  <si>
    <t>IS.WP.2.4: Determine whether the board approves a written information security program and receives a report on the effectiveness of the information security program at least annually.</t>
  </si>
  <si>
    <t>MGT.III.C.3(a):pg30</t>
  </si>
  <si>
    <t>MGT.III.C.3(a):pg30: The board should also annually review a written report, prepared by management, regarding the financial institution’s actions toward GLBA compliance.</t>
  </si>
  <si>
    <t>MGT.III.C.4:pg30</t>
  </si>
  <si>
    <t>MGT.III.C.4:pg30: Management should also provide to the board on an annual basis a written report on the overall status of the business continuity program and the results of testing of the plan and backup systems.</t>
  </si>
  <si>
    <t>MGT.WP.12.7.f</t>
  </si>
  <si>
    <t>MGT.WP.12.7.f: Verify that the board is responsible for annually reviewing management's report on the status of the bank's actions to achieve or maintain compliance with the Information Security Standard.</t>
  </si>
  <si>
    <t>MGT.WP.12.9.a &amp; c</t>
  </si>
  <si>
    <t>MGT.WP.12.9.a &amp; c: Determine whether the board of directors approved policies and management established and implemented policies, procedures, and responsibilities for an enterprise-wide business continuity program, including the following: Annual review and approval of the business continuity program by the board of directors and annual reports by management of the results of the business continuity and disaster recovery tests to the board of directors.</t>
  </si>
  <si>
    <t>The budgeting process includes information security related expenses and tools.</t>
  </si>
  <si>
    <t>IS.I.C:pg5</t>
  </si>
  <si>
    <t>IS.I.C:pg5: Funding, along with technical and managerial talent, also contributes to the effectiveness of the information security program. Management should provide, and the board should oversee, adequate funding to develop, implement, and maintain a successful information security program.</t>
  </si>
  <si>
    <t>IS.WP.2.9</t>
  </si>
  <si>
    <t>IS.WP.2.9: Determine whether the board provides adequate funding to develop and implement a successful information security function.</t>
  </si>
  <si>
    <t>MGT.I.B.6:pg14</t>
  </si>
  <si>
    <t>MGT.I.B.6:pg14: Management should strive to achieve a planning process that constantly adjusts for new risks or opportunities and maximizes IT’s value.</t>
  </si>
  <si>
    <t>MGT.I.B.6(c):pg17 When considering new IT projects, management should look at the entry costs of the technology and the post-implementation support costs.</t>
  </si>
  <si>
    <t>MGT.I.B.6(c):pg17</t>
  </si>
  <si>
    <t>MGT.I.B.6(c):pg17: Some institutions budget IT as a separate department. A financial analysis of an IT department should include a comparison of the cost-effectiveness of the in-house operation versus contracting with a third-party provider. The analysis may also include a peer group comparison of operating costs and ratios.</t>
  </si>
  <si>
    <t>MGT.WP.4</t>
  </si>
  <si>
    <t>MGT.WP.4: Determine the adequacy of the institution's IT operations planning and investment. Assess the adequacy of the risk assessment and the overall alignment with the institution's business strategy, including planning for IT resources and budgeting.</t>
  </si>
  <si>
    <t>Management considers the risks posed by other critical infrastructures (e.g., telecommunications, energy) to the institution.</t>
  </si>
  <si>
    <t>BCP.B.J-12</t>
  </si>
  <si>
    <t>BCP.B.J-12: Cyber attacks may also be executed in conjunction with disruptive physical events and may affect multiple critical infrastructure sectors (e.g., the telecommunications and energy sectors). Financial institutions and TSPs should consider their susceptibility to simultaneous attacks in their business resilience planning, recovery, and testing strategies.</t>
  </si>
  <si>
    <t>BCP.WP.10</t>
  </si>
  <si>
    <t>BCP.WP.10: Determine whether the financial institution's and TSP's risk management strategies are designed to achieve resilience, such as the ability to effectively respond to wide-scale disruptions, including cyber attacks and attacks on multiple critical infrastructure sectors.</t>
  </si>
  <si>
    <t>Strategy-Policies</t>
  </si>
  <si>
    <t>The institution has an information security strategy that integrates technology, policies, procedures, and training to mitigate risk.</t>
  </si>
  <si>
    <t>IS.Introduction:pg2: Information security is far more effective when management does the following: Integrates processes, people, and technology to maintain a risk profile that is in accordance with the board’s risk appetite. Aligns the information security program with the enterprise risk management program and identifies, measures, mitigates, and monitors risk.</t>
  </si>
  <si>
    <t>IS.WP.6.3</t>
  </si>
  <si>
    <t>IS.WP.6.3: Determine whether the institution continually assesses the capability of technology needed to sustain an appropriate level of information security based on the size, complexity, and risk appetite of the institution.</t>
  </si>
  <si>
    <t>MGT.III.C.1:pg27</t>
  </si>
  <si>
    <t>MGT.III.C.1:pg27: Senior management should ensure that policies, standards, and procedures are current, well documented, and integrated with the institution’s information security strategy.</t>
  </si>
  <si>
    <t>MGT.WP.4.3</t>
  </si>
  <si>
    <t>MGT.WP.4.3: Determine whether the institution has adequate tactical and operational IT plans to support the larger IT strategic plans.</t>
  </si>
  <si>
    <t>The institution has policies commensurate with its risk and complexity that address the concepts of information technology risk management.</t>
  </si>
  <si>
    <t>IS.II:pg6</t>
  </si>
  <si>
    <t>IS.II:pg6: Management should develop and implement an information security|program that does the following: Supports the institution’s IT risk management (ITRM) process by identifying threats, measuring risk, defining information security requirements, and implementing controls.</t>
  </si>
  <si>
    <t>IS.WP.3.1</t>
  </si>
  <si>
    <t>IS.WP.3.1: Determine whether the institution has an effective information security program that supports the ITRM process.</t>
  </si>
  <si>
    <t>MGT.III.C.1:pg27: Institution management should create, document, maintain, and adhere to policies, standards, and procedures to manage and control the institution’s IT risk. The level of detail depends on the complexity of the IT environment but should enable management to monitor the identified risk posture.</t>
  </si>
  <si>
    <t>MGT.WP.12.4</t>
  </si>
  <si>
    <t>MGT.WP.12.4: Determine whether IT management has developed adequate policies, standards, and procedures to manage the risk from technology and that they are current, documented, and appropriately communicated.</t>
  </si>
  <si>
    <t>The institution has policies commensurate with its risk and complexity that address the concepts of threat information sharing.</t>
  </si>
  <si>
    <t>IS.III.C:pg50: The sharing of attack data through organizations, such as FS-ISAC, also has the potential to benefit the industry at large by enabling other institutions to better assess and respond to current attacks. Management should consider whether to include such information sharing as a part of its strategy to protect the institution.</t>
  </si>
  <si>
    <t>MGT.III.A:pg22</t>
  </si>
  <si>
    <t>MGT.III.A:pg22: Participation in an information-sharing forum, such as FS–ISAC, should be a component of the risk identification process because sharing information may help the institution identify and evaluate relevant cybersecurity threats and vulnerabilities.</t>
  </si>
  <si>
    <t>MGT.WP.10.1.b</t>
  </si>
  <si>
    <t>MGT.WP.10.1.b: Determine whether management participates in an information sharing forum|(such as FS-ISAC).</t>
  </si>
  <si>
    <t/>
  </si>
  <si>
    <t>The institution has board-approved policies commensurate with its risk and complexity that address information security.</t>
  </si>
  <si>
    <t>IS.I:pg4: Management also should do the following: Implement the board-approved information security program. Establish appropriate policies, standards, and procedures to support the information security program.</t>
  </si>
  <si>
    <t>IS.Wp.6.2</t>
  </si>
  <si>
    <t>IS.Wp.6.2: Determine whether the information security policy is annually reviewed and approved by the board.</t>
  </si>
  <si>
    <t>The institution has policies commensurate with its risk and complexity that address the concepts of external dependency or third-party management.</t>
  </si>
  <si>
    <t>OT.B.2</t>
  </si>
  <si>
    <t>OT.B.2: Financial institutions should have a comprehensive outsourcing risk management process to govern their TSP relationships.</t>
  </si>
  <si>
    <t>The institution has policies commensurate with its risk and complexity that address the concepts of incident response and resilience.</t>
  </si>
  <si>
    <t>IS.II.C.21:pg43: Management should do the following: … Establish and maintain policies that address the concepts of information security incident response and resilience, and test information security incident scenarios.</t>
  </si>
  <si>
    <t>IS.Wp.6.34.c</t>
  </si>
  <si>
    <t>IS.Wp.6.34.c: Determine whether management effectively manages the following information security considerations related to business continuity planning. Review management’s ability to do the following: Develop policies that address the concepts of information security incident response and resilience and test information security incident scenarios.</t>
  </si>
  <si>
    <t>All elements of the information security program are coordinated enterprise-wide.</t>
  </si>
  <si>
    <t>IS.Introduction:pg2: Information security programs should have strong board and senior management support, promote integration of security activities and controls throughout the institution’s business processes, and establish clear accountability for carrying out security responsibilities.</t>
  </si>
  <si>
    <t>IS.WP.3.2</t>
  </si>
  <si>
    <t>IS.WP.3.2: Determine whether management appropriately integrates the information security program across the institution’s lines of business and support functions. Review whether management has the following: Security policies, standards, and procedures that are designed to support and to align with the policies in the lines of business. Incident response programs that include all affected lines of business and support units. Common awareness and enforcement mechanisms between lines of business and information security. Visibility to assess the likelihood of threats and potential damage to the institution. The ability to identify and implement controls over the root causes of an incident.</t>
  </si>
  <si>
    <t>MGT.I.B.2:pg10</t>
  </si>
  <si>
    <t>MGT.I.B.2:pg10: The institution should have a comprehensive information security program that addresses all technology and information assets and that complies with the Information Security Standards. The information security program should include appropriate administrative, technical, and physical safeguards based on the inherent risk profile and the individual activities, products, and services of the institution.|MGT.III.C.3:pg29: The information security program should be coordinated across the institution. MGT.WP.8.2: Determine whether the institution's management of operational risk incorporates an|enterprise-wide view of IT and business processes that are supported by technology.</t>
  </si>
  <si>
    <t>An inventory of organizational assets (e.g., hardware, software, data, and systems hosted externally) is maintained.</t>
  </si>
  <si>
    <t>IS.II.C.5:pg14</t>
  </si>
  <si>
    <t>IS.II.C.5:pg14: Management should inventory and classify assets, including hardware, software, information, and connections. Management should maintain and keep updated an inventory of technology assets that classifies the sensitivity and criticality of those assets, including hardware, software, information, and connections.</t>
  </si>
  <si>
    <t>IS.WP.6.6</t>
  </si>
  <si>
    <t>IS.WP.6.6: Determine whether management effectively maintains an inventory(ies) of hardware, software, information, and connections. Review whether management does the following: Identifies assets that require protection, such as those that store, transmit, or process sensitive customer information, or trade secrets. Classifies assets appropriately. Uses the classification to determine the sensitivity and criticality of assets. Uses the classification to implement controls required to safeguard the institution’s assets. Updates the inventory(ies) appropriately.</t>
  </si>
  <si>
    <t>MGT.III.A:pg22: Management should maintain inventories of assets (e.g., hardware, software, and information), event classes (e.g., natural disaster, cyber, and insider abuse or compromise), threats (e.g., theft, malware, and social engineering), and existing controls as an important part of effective risk identification.</t>
  </si>
  <si>
    <t>Organizational assets (e.g., hardware, systems, data, and applications) are prioritized for protection based on the data classification and business value.</t>
  </si>
  <si>
    <t>IS.II.C.5:pg14: Management should maintain and keep updated an inventory of technology assets that classifies the sensitivity and criticality of those assets, including hardware, software, information, and connections. Management should have policies to govern the inventory and classification of assets both at inception and throughout their life cycle, and wherever the assets are stored, transmitted, or processed. Inventories enable management|and staff to identify assets and their functions. Classification enables the institution to determine the sensitivity and criticality of assets. Management should use this classification to implement controls required to safeguard the institution’s physical and information assets.</t>
  </si>
  <si>
    <t>Management assigns accountability for maintaining an inventory of organizational assets.</t>
  </si>
  <si>
    <t>IS.II.C.5:pg14: Management should maintain and keep updated an inventory of technology assets that classifies the sensitivity and criticality of those assets, including hardware, software, information, and connections. Management should have policies to govern the|inventory and classification of assets both at inception and throughout their life cycle, and|wherever the assets are stored, transmitted, or processed. Inventories enable management and staff to identify assets and their functions. Classification enables the institution to determine the sensitivity and criticality of assets. Management should use this classification to implement controls required to safeguard the institution’s physical and information assets.</t>
  </si>
  <si>
    <t>IS.WP.6.6: Determine whether management effectively maintains an inventory(ies) of hardware, software, information, and connections.</t>
  </si>
  <si>
    <t>MGT.III.A:pg22: Management should maintain inventories of assets (e.g., hardware, software, and information), event classes (e.g., natural disaster, cyber, and insider abuse or compromise), threats (e.g., theft, malware, and social engineering), and existing controls as an|important part of effective risk identification. Inventories should include systems and information hosted or maintained externally.</t>
  </si>
  <si>
    <t>A change management process is in place to request and approve changes to systems configurations, hardware, software, applications, and security tools.</t>
  </si>
  <si>
    <t>IS.II.C.10:pg21</t>
  </si>
  <si>
    <t>IS.II.C.10:pg21: Management should have a process to introduce changes to the environment in a controlled manner. Changes to the IT environment include the following: Configuration management of IT systems and applications. Hardening of systems and applications. Use of standard builds. Patch management. The IT environment consists of operating systems, middleware, applications, file systems, and communications protocols. The institution should have an effective process to introduce application and system changes, including hardware, software, and network devices, into the IT environment.</t>
  </si>
  <si>
    <t>IS.WP.6.11</t>
  </si>
  <si>
    <t>IS.WP.6.11: Determine whether management has a process to introduce changes to the environment (e.g., configuration management of IT systems and applications, hardening of systems and applications, use of standard builds, and patch management) in a controlled manner.</t>
  </si>
  <si>
    <t>An information security and business continuity risk management function(s) exists within the institution.</t>
  </si>
  <si>
    <t>IS.II.C.21:pg43: Management should do the following: Identify personnel who will have critical information security roles during a disaster, and train personnel in those roles. Define information security needs for backup sites and alternate communication networks. Establish and maintain policies that address the concepts of information security incident response and resilience, and test information security incident scenarios.</t>
  </si>
  <si>
    <t>IS.WP.6.34</t>
  </si>
  <si>
    <t>IS.WP.6.34: Determine whether management effectively manages the following information security considerations related to business continuity planning.</t>
  </si>
  <si>
    <t>MGT.I.B.4:pg12</t>
  </si>
  <si>
    <t>MGT.I.B.4:pg12: The business continuity function often resides in the risk management organizational structure. A specific member of management should be assigned responsibility for the oversight of the business continuity function, and both business and technology departments should assign personnel to develop and maintain the individual business unit plans.</t>
  </si>
  <si>
    <t>MGT.WP.3.</t>
  </si>
  <si>
    <t>MGT.WP.3.: As part of the ITRM structure, determine whether financial institution management has defined IT responsibilities and functions. Verify the existence of well-defined responsibilities and expectations between risk management and IT functional areas, such as information security, project management, business continuity, and information systems reporting.</t>
  </si>
  <si>
    <t>A risk assessment focused on safeguarding customer information identifies reasonable and foreseeable internal and external threats, the likelihood and potential damage of threats and the sufficiency of policies, procedures, and customer inform ation systems.</t>
  </si>
  <si>
    <t>IS.I.B:pg4: Management should provide a report to the board at least annually that describes the overall status of the program and material matters related to the program, including the following: Risk assessment process, including threat identification and assessment.</t>
  </si>
  <si>
    <t>IS.WP.2.4: Determine whether the board approves a written information security program and receives a report on the effectiveness of the information security program at least annually. Determine whether the report to the board describes the overall status of the information security program and discusses material matters related to the program such as the following:|a. Risk assessment process, including threat identification and assessment.</t>
  </si>
  <si>
    <t>MGT.III.A:pg22: Comprehensive IT risk identification should include identification of cybersecurity risks as well as details gathered during information security risk assessments required under guidelines implementing the GLBA.</t>
  </si>
  <si>
    <t>MGT.WP.7.4</t>
  </si>
  <si>
    <t>MGT.WP.7.4: Determine whether the institution maintains a risk assessment process to perform the following:|a. Identify risks and threats from both internal and external sources.|b. Develop or update policies within the risk management function to guide risk measurement activities.|c. Ensure the existence of a process to promote sound understanding and analysis of threats, events, assets, and controls.|d. Maintain processes within the risk management function to help make risk mitigation decisions. e. Determine the entities that should have involvement in that decision-making process.|f. Ensure that the board and management understand the risk categories.</t>
  </si>
  <si>
    <t>The risk assessment identifies internet-based systems and high-risk transactions that warrant additional authentication controls.</t>
  </si>
  <si>
    <t>IS.I.B:pg4: Management should provide a report to the board at least annually that|describes the overall status of the program and material matters related to the program, including the following: Risk assessment process, including threat identification and assessment.</t>
  </si>
  <si>
    <t>IS.II.C.17:pg38-39</t>
  </si>
  <si>
    <t>IS.II.C.17:pg38-39: Applications should provide the ability for management to do the following:|…Protect web or Internet-facing applications through additional controls, including web application firewalls, regular scanning for new or recurring vulnerabilities, mitigation or remediation of common security weaknesses, and network segregation to limit inappropriate access or connections to the application or other areas of the network.</t>
  </si>
  <si>
    <t>IS.WP.6.27.g</t>
  </si>
  <si>
    <t>IS.WP.6.27.g: Review whether applications in use provide the following capabilities: Protect web or Internet-facing applications through additional controls, including web application firewalls, regular scanning for new or recurring vulnerabilities, mitigation or remediation of common security weaknesses, and network segregation.</t>
  </si>
  <si>
    <t>The risk assessment is updated to address new technologies, products, services, and connections before deployment.</t>
  </si>
  <si>
    <t>IS.II.A:pg7</t>
  </si>
  <si>
    <t>IS.II.A:pg7: External events affecting IT and the institution’s ability to meet its operating objectives include natural disasters, cyber attacks, changes in market conditions, new competitors, new technologies, litigation, and new laws or regulations. These events pose risks and opportunities, and the institution should factor them into the risk identification process.</t>
  </si>
  <si>
    <t>IS.II.C:pg11</t>
  </si>
  <si>
    <t>IS.II.C:pg11: Additionally, management should develop, maintain, and update a repository of cybersecurity threat and vulnerability information that may be used in conducting risk assessments and provide updates to senior management and the board on cyber risk trends.</t>
  </si>
  <si>
    <t>IS.WP.8.3.d</t>
  </si>
  <si>
    <t>IS.WP.8.3.d: Determine whether management has effective threat identification and assessment processes, including the following: Using threat knowledge to drive risk assessment and response.</t>
  </si>
  <si>
    <t>Independent audit or review evaluates policies, procedures, and controls across the institution for significant risks and control issues associated with the institution's operations, including risks in new products, emerging technologies, and information systems.</t>
  </si>
  <si>
    <t>AUD.B.4</t>
  </si>
  <si>
    <t>AUD.B.4: The internal audit manager should be responsible for internal control risk assessments, audit plans, audit programs, and audit reports associated with IT.</t>
  </si>
  <si>
    <t>IS.IV.A.2(d):pg56</t>
  </si>
  <si>
    <t>IS.IV.A.2(d):pg56: Independent internal departments or third parties typically perform audits. Audits should review every aspect of the information security program, the environment in which the program runs, and outputs of the program. Audits should assess the reasonableness and appropriateness of, and compliance with, policies, standards, and procedures; report on information security activity and control deficiencies to decision makers; identify root causes and recommendations to address deficiencies; and test the effectiveness of controls within the program.</t>
  </si>
  <si>
    <t>MGT.I.B.7(b)pg19</t>
  </si>
  <si>
    <t>MGT.I.B.7(b)pg19: IT auditors should validate that IT controls are designed appropriately to mitigate risk and are operating as management intended. IT audit should be completely independent, should have no role in designing or implementing controls, and should not have primary responsibility for enforcing policy.</t>
  </si>
  <si>
    <t>MGT.WP.6.3</t>
  </si>
  <si>
    <t>MGT.WP.6.3: Determine whether the board, or its committee, has appropriate oversight of audit through the following:|a. Audit risk assessment and audit plan. b. Audit review activities.|c. Audit reports with identified weaknesses.|d. Management’s responses and corrective actions to audit issues. e. Updates on any audit concerns and the status of issues.</t>
  </si>
  <si>
    <t>The independent audit function validates controls related to the storage or transmission of confidential data.</t>
  </si>
  <si>
    <t>AUD.B.1</t>
  </si>
  <si>
    <t>AUD.B.1: An effective IT audit program should… promote the confidentiality, integrity, and availability of information systems.</t>
  </si>
  <si>
    <t>Logging practices are independently reviewed periodically to ensure appropriate log management (e.g., access controls, retention, and maintenance).</t>
  </si>
  <si>
    <t>OPS.B.29</t>
  </si>
  <si>
    <t>OPS.B.29: Operations management should periodically review all logs for completeness and ensure they have not been deleted, modified, overwritten, or compromised.</t>
  </si>
  <si>
    <t>IS.II.C.22:pg43</t>
  </si>
  <si>
    <t>IS.II.C.22:pg43: Logging practices should be reviewed periodically by an independent party to ensure appropriate log management.</t>
  </si>
  <si>
    <t>IS.WP.6.35(c)</t>
  </si>
  <si>
    <t>IS.WP.6.35(c): Review whether management has the following: Independent review of logging practices.</t>
  </si>
  <si>
    <t>Issues and corrective actions from internal audits and independent testing/assessments are formally tracked to ensure procedures and control lapses are resolved in a timely manner.</t>
  </si>
  <si>
    <t>IS.IV.A.2(d):pg56: Internal audit should track the results and the remediation of control deficiencies reported in audits and additional technical reviews, such as penetration tests and vulnerability assessments.</t>
  </si>
  <si>
    <t>IS.WP.2.8</t>
  </si>
  <si>
    <t>IS.WP.2.8: Determine the adequacy of audit coverage and reporting of the information security program by reviewing appropriate audit reports and board or audit committee minutes.</t>
  </si>
  <si>
    <t>AUD.B.8</t>
  </si>
  <si>
    <t>AUD.B.8: A risk assessment process to describe and analyze the risks inherent in a given line of business.</t>
  </si>
  <si>
    <t>AUD.WP.I.7.1</t>
  </si>
  <si>
    <t>AUD.WP.I.7.1: Determine the adequacy of the overall audit plan in providing appropriate coverage of IT risks.</t>
  </si>
  <si>
    <t>MGT.I.B.7(b):pg19</t>
  </si>
  <si>
    <t>MGT.I.B.7(b):pg19: Management should also ensure timely and accurate response to audit concerns and exceptions and ensure appropriate and timely corrective action.</t>
  </si>
  <si>
    <t>MGT.WP.1.2</t>
  </si>
  <si>
    <t>MGT.WP.1.2: Review management's response to issues raised during, or since, the last examination. Consider the following: a. Adequacy and timing of corrective action. b. Resolution of root causes rather than just specific issues. c. Existence of any outstanding issues. d. Whether management has taken positive action toward correcting exceptions reported in audit and examining reports. e. Independent review of resolution and|reporting of resolution to the audit committee.</t>
  </si>
  <si>
    <t>MGT.WP.6.1</t>
  </si>
  <si>
    <t>MGT.WP.6.1: Consult with the examiner reviewing audit or IT audit to determine the adequacy of|IT audit coverage and management’s responsiveness to identified weaknesses.</t>
  </si>
  <si>
    <t>Information security roles and responsibilities have been identified.</t>
  </si>
  <si>
    <t>IS.II.C.1:pg11</t>
  </si>
  <si>
    <t>IS.II.C.1:pg11: Policies, standards, and procedures guide decisions and activities of users, developers, administrators, and managers and inform those individuals of their information security responsibilities. Policies, standards, and procedures should also specify the mechanisms through which responsibilities can be met. … Policies,|standards, and procedures that address the information security program should describe the roles of the information security department, lines of business, and IT organization in administering the information security program.</t>
  </si>
  <si>
    <t>MGT.I:pg4</t>
  </si>
  <si>
    <t>MGT.I:pg4: The governance structure specifies the responsibilities for the board of directors, managers, auditors, and other stakeholders and specifies the level of authority and accountability for decision making.</t>
  </si>
  <si>
    <t>MGT.WP.2.11</t>
  </si>
  <si>
    <t>MGT.WP.2.11: Review the institution’s structure to determine whether the board established the following:|a. The organizational structure provides for effective IT support throughout the institution, from IT|management up through senior management and the board.|b. Defined roles and responsibilities for key IT positions, including executive management (CEO|and COO, and often CIO or CTO), and CISO.|e. A CISO or information security officer position responsible for the management and mitigation of information security risks.</t>
  </si>
  <si>
    <t>Processes are in place to identify additional expertise needed to improve information security defenses.</t>
  </si>
  <si>
    <t>IS.I.C:pg5: Funding, along with technical and managerial talent, also contributes to the effectiveness of the information security program. Management should provide, and the board should oversee, adequate funding to develop, implement, and maintain a successful information security program. The program should be staffed by sufficient personnel who have skills that are aligned with the institution’s technical and managerial needs and commensurate with its size, complexity, and risk profile. Knowledge of technology standards, practices, and risk methodologies is particularly important to the success of the information security program.</t>
  </si>
  <si>
    <t>MGT.I.B.7(a):pg18</t>
  </si>
  <si>
    <t>MGT.I.B.7(a):pg18: An institution should have programs in place to ensure that staff members have the expertise necessary to perform their jobs and achieve company goals and objectives. The institution may need to look externally to find necessary expertise for specialized areas.</t>
  </si>
  <si>
    <t>MGT.WP.5.2.b</t>
  </si>
  <si>
    <t>MGT.WP.5.2.b: Employees have appropriate qualifications.</t>
  </si>
  <si>
    <t>MGT.WP.5.5</t>
  </si>
  <si>
    <t>MGT.WP.5.5: Determine whether the financial institution has a process to ensure that staff has the requisite expertise to fulfill its roles. Review the adequacy of the process.</t>
  </si>
  <si>
    <t>Annual information security training is provided.</t>
  </si>
  <si>
    <t>IS.B:pgs4-5</t>
  </si>
  <si>
    <t>IS.B:pgs4-5: Management also should do the following: … Provide information security and awareness training and ongoing security-related communications to employees, and ensure employees complete such training annually.</t>
  </si>
  <si>
    <t>IS.WP.2.5.l</t>
  </si>
  <si>
    <t>IS.WP.2.5.l: Determine whether management responsibilities are appropriate and include the following: Facilitation of annual information security and awareness training and ongoing security-related communications to employees.</t>
  </si>
  <si>
    <t>MGT.III.C.2:pg28</t>
  </si>
  <si>
    <t>MGT.III.C.2:pg28: The institution should use job descriptions, employment agreements (usually for higher-level or higher-sensitivity positions), training, and awareness programs to promote understanding and increase individual accountability.</t>
  </si>
  <si>
    <t>MGT.WP.12.5.f</t>
  </si>
  <si>
    <t>MGT.WP.12.5.f: Determine whether management has effective hiring and training practices that provide information security awareness and training programs.</t>
  </si>
  <si>
    <t>Annual information security training includes incident response, current cyber threats (e.g., phishing, spear phishing, social engineering, and mobile security), and emerging issues.</t>
  </si>
  <si>
    <t>IS.II.C.7(e):pg17</t>
  </si>
  <si>
    <t>IS.II.C.7(e):pg17: Training materials for most users focus on issues such as end-point security, log-in requirements, and password administration guidelines. Training programs should include scenarios capturing areas of significant and growing concern, such as phishing and social engineering attempts, loss of data through e-mail or removable media, or unintentional posting of confidential or proprietary information on social media.</t>
  </si>
  <si>
    <t>IS.WP.6.8.f</t>
  </si>
  <si>
    <t>IS.WP.6.8.f: Determine whether management effectively mitigates risks posed by users. Review whether management does the following: Provides training to support awareness and policy compliance.</t>
  </si>
  <si>
    <t>Situational awareness materials are made available to employees when prompted by highly visible cyber events or by regulatory alerts.</t>
  </si>
  <si>
    <t>IS.II.C.7(e):pg17:</t>
  </si>
  <si>
    <t>IS.II.C.7(e):pg17:: Training materials for most users focus on issues such as end-point security, log-in requirements, and password administration guidelines. Training programs should include scenarios capturing areas of significant and growing concern, such as phishing and social engineering attempts, loss of data through e-mail or removable media, or unintentional posting of confidential or proprietary information on social media. As the risk environment changes, so should the training.</t>
  </si>
  <si>
    <t>Customer awareness materials are readily available (e.g., DHS’ Cybersecurity Awareness Month materials).</t>
  </si>
  <si>
    <t>IS.II.C.16:pg36</t>
  </si>
  <si>
    <t>IS.II.C.16:pg36: Beyond authentication, remote access controls should include additional layered security controls and may include some combination of the following: Customer education to increase awareness of the fraud risk and effective techniques customers can use to mitigate the risk.</t>
  </si>
  <si>
    <t>IS.II.C.16(a)</t>
  </si>
  <si>
    <t>IS.II.C.16(a): pg37: The institution’s customer awareness and education efforts should consider both retail and commercial account holders.</t>
  </si>
  <si>
    <t>IS.WP.6.26</t>
  </si>
  <si>
    <t>IS.WP.6.26: Determine whether management develops customer awareness and education efforts that address both retail (consumer) and commercial account holders.</t>
  </si>
  <si>
    <t>Management holds employees accountable for complying with the information security program.</t>
  </si>
  <si>
    <t>IS.II.C.7(e):pg17: Management should hold all employees, officers, and contractors accountable for complying with security and acceptable use policies and should ensure that the institution’s information and other assets are protected.</t>
  </si>
  <si>
    <t>MGT.III.C.2:pg28: Management should require periodic acknowledgement of acceptable use policies for the network, software applications, Internet, e-mail, confidential data, and social media. Information security awareness and training programs help support information security and other management policies.</t>
  </si>
  <si>
    <t>MGT.WP.12.5</t>
  </si>
  <si>
    <t>MGT.WP.12.5: Determine whether management has effective hiring and training practices that include the following:|d. Requiring periodic acknowledgement of acceptable use policies. e. Obtaining signed confidentiality and nondisclosure agreements.|f. Providing information security awareness and training programs.</t>
  </si>
  <si>
    <t>The institution belongs or subscribes to a threat and vulnerability information-sharing source(s) that provides information on threats (e.g., FS- ISAC, US-CERT).</t>
  </si>
  <si>
    <t>IS.II.C:pg11: Management should also obtain, analyze, and respond to information from various sources (e.g., Financial Services Information Sharing and Analysis Center [FS-ISAC]) on cyber threats and vulnerabilities that may affect the institution.</t>
  </si>
  <si>
    <t>IS.WP.8.3.f</t>
  </si>
  <si>
    <t>IS.WP.8.3.f: Determine whether management has effective threat identification and assessment processes, including the following: Developing appropriate processes to evaluate and respond|to vulnerability information from external groups or individuals.</t>
  </si>
  <si>
    <t>MGT.WP.10.1.b: Determine whether management participates in an information sharing forum (such as FS-ISAC).</t>
  </si>
  <si>
    <t>Threat information is used to monitor threats and vulnerabilities.</t>
  </si>
  <si>
    <t>IS.III.A:pg47: Management should develop procedures for obtaining, monitoring, assessing, and responding to evolving threat and vulnerability information. The identification of threats involves the sources of threats, their capabilities, and their objectives. Information about threats generally comes from government (e.g., US-CERT), information-sharing organizations (e.g., FS-ISAC), industry sources, the institution, and third parties.</t>
  </si>
  <si>
    <t>IS.WP.8.3.f: Determine whether management has effective threat identification and assessment processes, including the following: Developing appropriate processes to evaluate and respond to vulnerability information from external groups or individuals.</t>
  </si>
  <si>
    <t>MGT.I.A.2:pg6</t>
  </si>
  <si>
    <t>MGT.I.A.2:pg6: Establish a formal process to obtain, analyze, and respond to information on|threats and vulnerabilities by developing a repeatable threat intelligence and collaboration program.</t>
  </si>
  <si>
    <t>MGT.WP.2.8.f</t>
  </si>
  <si>
    <t>MGT.WP.2.8.f: Establishes a formal process to obtain, analyze, and respond to information on threats and vulnerabilities by developing a repeatable threat intelligence and collaboration program.</t>
  </si>
  <si>
    <t>MGT.III.C.3:pg29</t>
  </si>
  <si>
    <t>MGT.III.C.3:pg29: Institution management should: Develop and implement a threat intelligence and collaboration process to identify and respond to information on threats and vulnerabilities.</t>
  </si>
  <si>
    <t>MGT.WP.12.8.c</t>
  </si>
  <si>
    <t>MGT.WP.12.8.c: Determine whether the control structure includes: Using a threat intelligence and collaboration process to identify and respond to information on threats and vulnerabilities.</t>
  </si>
  <si>
    <t>Threat information is used to enhance internal risk management and controls.</t>
  </si>
  <si>
    <t>IS.III.A:pg48</t>
  </si>
  <si>
    <t>IS.III.A:pg48: Once a threat is identified and potential vulnerabilities are assessed, the significance of the threat should trigger a response. The response should be commensurate with the risk posed by the threat and should include remediation options. Management should design policies to allow for immediate and consequential threats to be dealt with expeditiously, while less significant threats are addressed as part of a broader risk management process. When management receives vulnerability information from external individuals or groups, management should have appropriate processes and procedures to evaluate the credibility of the information to appropriately address it.</t>
  </si>
  <si>
    <t>IS.WP.8.3.a.d</t>
  </si>
  <si>
    <t>IS.WP.8.3.a.d: Determine whether management has effective threat identification and assessment processes, including the following: Maintaining procedures for obtaining, monitoring, assessing, and responding to evolving threat and vulnerability information….Using threat knowledge to drive risk assessment and response.</t>
  </si>
  <si>
    <t>Audit log records and other security event logs are reviewed and retained in a secure manner.</t>
  </si>
  <si>
    <t>IS.II.C.22:pg44</t>
  </si>
  <si>
    <t>IS.II.C.22:pg44: Management should have effective log retention policies that address the significance of maintaining logs for incident response and analysis needs. …Additionally, logging practices should be reviewed periodically by an independent party to ensure appropriate log management. … Regardless of the method of log management, management should develop processes to collect, aggregate, analyze, and correlate security information.</t>
  </si>
  <si>
    <t>IS.WP.6.35</t>
  </si>
  <si>
    <t>IS.WP.6.35: Determine whether management has an effective log management process that involves a central logging repository, timely transmission of log files, and effective log analysis.</t>
  </si>
  <si>
    <t>Computer event logs are used for investigations once an event has occurred.</t>
  </si>
  <si>
    <t>IS.II.C.22:pg44: Log files are critical to the successful investigation and prosecution of security incidents and can potentially contain sensitive information… Security information and event management (SIEM) systems can provide a method for management to collect, aggregate, analyze, and correlate information from discrete systems and applications. Management can use SIEM systems to discern trends and identify potential information security incidents.</t>
  </si>
  <si>
    <t>IS.WP.6.35: Determine whether management has an effective log management process that involves a central logging repository, timely transmission of log files, and effective log analysis. Review whether management has the following: (d) Processes to effectively collect, aggregate, analyze, and correlate security event information from discrete systems and applications.</t>
  </si>
  <si>
    <t>Information security threats are gathered and shared with applicable internal employees.</t>
  </si>
  <si>
    <t>IS.II.D:pg45: Risk reporting is a process that produces information systems reports that address threats, capabilities, vulnerabilities, and inherent risk changes. Risk reporting should describe any information security events that the institution faces and the effectiveness of management’s response and resilience to those events. The reporting process should provide a method of disseminating those reports to appropriate members of management. The contents of the reports should prompt action, if necessary, in a timely manner to maintain appropriate levels of risk.</t>
  </si>
  <si>
    <t>IS.WP.7.1</t>
  </si>
  <si>
    <t>IS.WP.7.1: Determine whether the institution has risk monitoring and reporting processes that address changing threat conditions in both the institution and the greater financial industry. Determine whether these processes address information security events faced by the institution, the effectiveness of management’s response, and the institution’s resilience to those events. Review whether the reporting process includes a method of disseminating those reports to appropriate members of management.</t>
  </si>
  <si>
    <t>Contact information for law enforcement and the regulator(s) is maintained and updated regularly.</t>
  </si>
  <si>
    <t>BCP.WP.I.5.1</t>
  </si>
  <si>
    <t>BCP.WP.I.5.1: Include(s) emergency preparedness and crisis management plans that…Include an accurate contact tree, as well as primary and emergency contact information, for communicating with employees, service providers, vendors, regulators, municipal authorities, and emergency response personnel.</t>
  </si>
  <si>
    <t>IS.III.D:pg.51</t>
  </si>
  <si>
    <t>IS.III.D:pg.51: Primary considerations for incident response include the following: Protocols to define when and under what circumstances to notify and involve regulators, customers, and law enforcement, including names and contact information for each group.</t>
  </si>
  <si>
    <t>MGT.III.C.3:pg29: Develop a policy for escalating and reporting security incidents to the board, government agencies, law enforcement, and the institution’s primary federal and state regulator based on thresholds defined by the financial institution and applicable legal requirements. Relevant thresholds could include significant financial impact, significant operational downtime, operational or system breach, or loss of critical infrastructure.</t>
  </si>
  <si>
    <t>MGT.WP.12.8.i</t>
  </si>
  <si>
    <t>MGT.WP.12.8.i: Developing a policy for escalating and reporting security incidents to the board, government agencies, law enforcement, and the institution’s primary federal and state regulators based on thresholds defined by the financial institution.</t>
  </si>
  <si>
    <t>Information about threats is shared with law enforcement and regulators when required or prompted.</t>
  </si>
  <si>
    <t>IS.III.D:pg.51: Primary considerations for incident response include the following: How, when, and what to communicate outside of the institution, whether to law enforcement, regulatory agencies, information-sharing organizations, customers, third-party service providers, potential victims, or others.</t>
  </si>
  <si>
    <t>Preventive Controls</t>
  </si>
  <si>
    <t>Network perimeter defense tools (e.g., border router and firewall) are used.</t>
  </si>
  <si>
    <t>IS.II.C.9:pg19</t>
  </si>
  <si>
    <t>IS.II.C.9:pg19: Tools used to enforce and detect perimeter protection include routers, firewalls, intrusion detection systems (IDS) and intrusion prevention systems, proxies, gateways, jump boxes, demilitarized zones, virtual private networks (VPN), virtual LANs (VLAN), log monitoring and network traffic inspecting systems, data loss prevention (DLP) systems, and access control lists.</t>
  </si>
  <si>
    <t>IS.WP.8.1.a</t>
  </si>
  <si>
    <t>IS.WP.8.1.a: Determine whether the institution’s security operations activities include the following: Security software and device management (e.g., maintaining the signatures on signature-based devices and firewall rules).</t>
  </si>
  <si>
    <t>Systems that are accessed from the Internet or by external parties are protected by firewalls or other similar devices.</t>
  </si>
  <si>
    <t>IS.II.C.17:pg39</t>
  </si>
  <si>
    <t>IS.II.C.17:pg39: Protect web or Internet-facing applications through additional controls, including web application firewalls, regular scanning for new or recurring vulnerabilities, mitigation or remediation of common security weaknesses, and network segregation to limit inappropriate access or connections to the application or other areas of the network.</t>
  </si>
  <si>
    <t>IS.WP.6.27(g)</t>
  </si>
  <si>
    <t>IS.WP.6.27(g): Review whether applications in use provide the following capabilities: Protect web or Internet-facing applications through additional controls, including web application firewalls, regular scanning for new or recurring vulnerabilities, mitigation or remediation of common security weaknesses, and network segregation.</t>
  </si>
  <si>
    <t>OPS.B.23</t>
  </si>
  <si>
    <t>OPS.B.23: Transmission controls should address both physical and logical risks. In large, complex institutions, management should consider segregating wide area networks (W AN) and local area networks (LAN) segments with firewalls that restrict access as well as the content of inbound and outbound traffic.</t>
  </si>
  <si>
    <t>OPS.WP.8.1</t>
  </si>
  <si>
    <t>OPS.WP.8.1: Determine whether management has implemented appropriate daily operational controls and processes including… alignment of telecommunication architecture and process with the strategic plan.</t>
  </si>
  <si>
    <t>MGT.III.C.3:pg29: Conduct initial due diligence and ongoing monitoring to fully understand the types of connections and mitigating controls in place between the financial institution and its third- party providers.</t>
  </si>
  <si>
    <t>All ports are monitored</t>
  </si>
  <si>
    <t>IS.II.C.12:pg26: Port monitoring to identify unauthorized network connections. IS.II.C.16:pg37: To prevent or minimize exposure to these incidents, management should do|the following: .Limit traffic (e.g., allow valid traffic and block known bad traffic by port or IP|address).</t>
  </si>
  <si>
    <t>Up-to-date anti-virus and anti-malware tools are used.</t>
  </si>
  <si>
    <t>IS.II.C.12:pg26: Management should implement defense-in-depth to protect, detect, and respond to malware. The institution can use many tools to block malware before it enters the environment and to detect it and respond if it is not blocked.</t>
  </si>
  <si>
    <t>IS.WP.6.17</t>
  </si>
  <si>
    <t>IS.WP.6.17: Determine whether management has implemented defense-in-depth to protect, detect, and respond to malware.</t>
  </si>
  <si>
    <t>Systems configurations (for servers, desktops, routers, etc.) follow industry standards and are enforced.</t>
  </si>
  <si>
    <t>IS.II.C.10(c):pg23</t>
  </si>
  <si>
    <t>IS.II.C.10(c):pg23: The institution should use standard builds, which allow one documented configuration to be applied to multiple computers in a controlled manner.</t>
  </si>
  <si>
    <t>IS.WP.6.14</t>
  </si>
  <si>
    <t>IS.WP.6.14: Determine whether management uses standard builds, allowing one documented configuration to be applied to multiple computers in a controlled manner, to create hardware and software inventories, update or patch systems, restore systems, investigate anomalies, and audit configurations.</t>
  </si>
  <si>
    <t>Ports, functions, protocols and services are prohibited if no longer needed for business purposes.</t>
  </si>
  <si>
    <t>IS.II.C.10(b):pg23</t>
  </si>
  <si>
    <t>IS.II.C.10(b):pg23: Hardening can include the following actions: …Determining the purpose of the applications and systems and documenting minimum software and hardware requirements and services to be included. Installing the minimum hardware, software, and services necessary to meet the requirements using a documented installation procedure.</t>
  </si>
  <si>
    <t>IS.B.6.13</t>
  </si>
  <si>
    <t>IS.B.6.13: Determine whether management has processes to harden applications and systems (e.g., installing minimum services, installing necessary patches, configuring appropriate security settings, enforcing principle of least privilege, changing default passwords, and enabling logging}.</t>
  </si>
  <si>
    <t>Access to make changes to systems configurations, (including virtual machines and hypervisors) is controlled and monitored.</t>
  </si>
  <si>
    <t>IS.II.C.10:pg21: The institution should have an effective process to introduce application and system changes, including hardware, software, and network devices, into the IT environment…Application and system control considerations for introducing changes to the IT environment before implementation should include the following…Restricting changes to authorized users.</t>
  </si>
  <si>
    <t>Programs that can override system, object, network, virtual machine, and application controls are restricted.</t>
  </si>
  <si>
    <t>IS.II.C.15(a):pg32: System and security administrators should restrict and monitor privileged access to operating systems and system utilities.</t>
  </si>
  <si>
    <t>IS.WP.6.21</t>
  </si>
  <si>
    <t>IS.WP.6.21: As part of management’s process to secure the operating system and all system components, determine whether management does the following: Limits the number of employees with access to operating system and system utilities and grants only the minimum level of access required to perform job responsibilities.</t>
  </si>
  <si>
    <t>System sessions are locked after a pre-defined period of inactivity and are terminated after pre-defined conditions are met.</t>
  </si>
  <si>
    <t>IS.II.C.16:pg36: Beyond authentication, remote access controls should include additional layered security controls and may include some combination of the following: Application time-outs with mandatory re-authentication.</t>
  </si>
  <si>
    <t>W ireless network environments require security settings with strong encryption for authentication and transmission. (*N/A if there are no wireless networks.)</t>
  </si>
  <si>
    <t>IS.II.C.9(a):pg20</t>
  </si>
  <si>
    <t>IS.II.C.9(a):pg20: Management should use an industry-accepted level of encryption with strength commensurate with the institution’s risk profile on the institution’s wireless networks.</t>
  </si>
  <si>
    <t>IS.II.C.9(a):pg21</t>
  </si>
  <si>
    <t>IS.II.C.9(a):pg21: Institutions often provide remote network connectivity for employees or third-party service providers who are not located within or around the institution’s facilities. This connectivity presents operational advantages, but steps should be taken to ensure that the connection is encrypted and secured. VPN connections should be used for both broadband networks and wireless air card connections to isolate and encrypt remote traffic to institution networks.</t>
  </si>
  <si>
    <t>Employee access is granted to systems and confidential data based on job responsibilities and the principles of least privilege.</t>
  </si>
  <si>
    <t>IS.II.C.7:pg15</t>
  </si>
  <si>
    <t>IS.II.C.7:pg15: Users should be granted access to systems, applications, and databases based on their job responsibilities.</t>
  </si>
  <si>
    <t>IS.II.C.10(b):pg23: Hardening can include the following actions: … Configuring privilege and access controls by first denying all, then granting back the minimum necessary to each user (i.e., enforcing the principle of least privilege).</t>
  </si>
  <si>
    <t>IS.WP.6.13</t>
  </si>
  <si>
    <t>IS.WP.6.13: Determine whether management has processes to harden applications and systems (e.g., installing minimum services, installing necessary patches, configuring appropriate security settings, enforcing principle of least privilege, changing default passwords, and enabling logging).</t>
  </si>
  <si>
    <t>MGT.III.C.2:pg28: Management should document and confirm access privileges for each staff member based on his or her job description.</t>
  </si>
  <si>
    <t>Employee access to systems and confidential data provides for separation of duties.</t>
  </si>
  <si>
    <t>IS.II.C.7:pg15: Management should mitigate the risks posed by users by doing the following: Employing segregation of duties.</t>
  </si>
  <si>
    <t>IS.WP.2.5.g</t>
  </si>
  <si>
    <t>IS.WP.2.5.g: Determine whether management responsibilities are appropriate and include the following: …Establishment of appropriate segregation of duties.</t>
  </si>
  <si>
    <t>Elevated privileges (e.g., administrator privileges) are limited and tightly controlled (e.g., assigned to individuals, not shared, and require stronger password controls).</t>
  </si>
  <si>
    <t>IS.II.C.15:pg31: Authorization for privileged access should be tightly controlled.</t>
  </si>
  <si>
    <t>IS.WP.6.20</t>
  </si>
  <si>
    <t>IS.WP.6.20: Determine whether management has an effective process to administer logical security access rights for the network, operating systems, applications, databases, and network devices. Review whether management has the following: A process to control privileged access.</t>
  </si>
  <si>
    <t>User access reviews are performed periodically for all systems and applications based on the risk to the application or system.</t>
  </si>
  <si>
    <t>IS.II.C.15:pg31: As part of the user access rights monitoring process, management should perform regular reviews to validate user access. Reviews should test whether access rights continue to be appropriate or whether they should be modified or deleted. Management should review access rights on a schedule commensurate with risk.</t>
  </si>
  <si>
    <t>IS.Wp.6.8.c</t>
  </si>
  <si>
    <t>IS.Wp.6.8.c: Determine whether management effectively mitigates risks posed by users. Review whether management does the following:…Establishes and appropriately administers a user access program for physical and logical access.</t>
  </si>
  <si>
    <t>MGT.III.C.2:pg28: Management should establish a timely process to review, update, and remove access privileges associated with any party when appropriate. The lack of such a process may result in unauthorized or inappropriate activity. Failure to remove access privileges when appropriate, particularly for those individuals with high levels of privilege, represents significant</t>
  </si>
  <si>
    <t>Changes to physical and logical user access, including those that result from voluntary and involuntary terminations, are submitted to and approved by appropriate personnel.</t>
  </si>
  <si>
    <t>IS.II.C.7(b):pg16</t>
  </si>
  <si>
    <t>IS.II.C.7(b):pg16: Management should develop a user access program to implement and administer physical and logical access controls to safeguard the institution’s information assets and technology. This program should include the following elements:…Ongoing reviews by business line and application owners to verify appropriate access based on job roles with changes reported on a timely basis to security administration personnel. Timely notification from human resources to security administrators to adjust user access based on job changes, including terminations.</t>
  </si>
  <si>
    <t>IS.WP.6.8</t>
  </si>
  <si>
    <t>IS.WP.6.8: Determine whether management effectively mitigates risks posed by users. Review whether management does the following:…Develops and maintains a culture that fosters responsible and controlled access for users. Establishes and appropriately administers a user access program for physical and logical access.</t>
  </si>
  <si>
    <t>Identification and authentication are required and managed for access to systems, applications, and hardware.</t>
  </si>
  <si>
    <t>ISIS.II.C.15(b):pg33</t>
  </si>
  <si>
    <t>ISIS.II.C.15(b):pg33: Management should implement effective application access controls by doing the following: Implementing a robust authentication method consistent with the criticality and sensitivity of the application.</t>
  </si>
  <si>
    <t>IS.WP.6.22</t>
  </si>
  <si>
    <t>IS.WP.6.22: Determine whether management controls access to applications. Review whether management does the following: Implements a robust authentication method consistent with the criticality and sensitivity of the application</t>
  </si>
  <si>
    <t>Access controls include password complexity and limits to password attempts and reuse.</t>
  </si>
  <si>
    <t>IS.II.C.7:pg15: Access rights should be granted in accordance with the institution’s physical and logical access control policies.</t>
  </si>
  <si>
    <t>IS.WP.8.1.k</t>
  </si>
  <si>
    <t>IS.WP.8.1.k: Determine whether the institution’s security operations activities include the following: Enforcement of access controls and logical access control policies.</t>
  </si>
  <si>
    <t>All default passwords and unnecessary default accounts are changed before system implementation.</t>
  </si>
  <si>
    <t>IS.II.C.15:pg31: Access rights to new software and hardware present a different problem. Typically, hardware and software are shipped with default users and at least one default user has privileged access. Lists of default accounts and passwords are readily available and can enable anyone with access to the system to obtain privileged access. These passwords should be changed, and the accounts should be disabled.</t>
  </si>
  <si>
    <t>IS.WP.6.20: Determine whether management has an effective process to administer logical security access rights for the network, operating systems, applications, databases, and network devices. Review whether management has the following: A process to change or disable default user accounts and passwords.</t>
  </si>
  <si>
    <t>Customer access to Internet-based products or services requires authentication controls (e.g., layered controls, multifactor) that are commensurate with the risk.</t>
  </si>
  <si>
    <t>IS.II.C.16:pg36: Institutions increasingly offer services to customers through remotely accessible technology, such as the Internet and mobile financial services. If the institution offers such services, management should implement appropriate authentication techniques commensurate with the risk from remote banking activities.</t>
  </si>
  <si>
    <t>IS.WP.6.22: Determine whether management controls access to applications. Review whether management does the following: Implements a robust authentication method consistent with the criticality and sensitivity of the application.</t>
  </si>
  <si>
    <t>Production and non-production environments are segregated to prevent unauthorized access or changes to information assets. (*N/A if no production environment exists at the institution or the institution’s third party.)</t>
  </si>
  <si>
    <t>IS.II.C.9:pg19: Management should secure access to computer networks through multiple layers of access controls by doing the following: Establishing zones (e.g., trusted and untrusted) according to the risk profile and criticality of assets contained within the zones and appropriate access requirements within and between each security zone.</t>
  </si>
  <si>
    <t>IS.WP.6.10.a</t>
  </si>
  <si>
    <t>IS.WP.6.10.a: Determine whether management secures access to its computer networks through multiple layers of access controls. Review whether management does the following: Establishes zones (e.g., trusted and untrusted) according to risk with appropriate access requirements within and between each zone.</t>
  </si>
  <si>
    <t>Physical security controls are used to prevent unauthorized access to information systems and telecommunication systems.</t>
  </si>
  <si>
    <t>IS.II.C.8:pg18: Management should implement appropriate preventive, detective, and corrective controls for physical security. Physical access and damage or destruction to physical components can impair the confidentiality, integrity, and availability of information. Management should implement appropriate preventive, detective, and corrective controls for mitigating the risks inherent to those physical security zones.</t>
  </si>
  <si>
    <t>IS.WP.6.9</t>
  </si>
  <si>
    <t>IS.WP.6.9: Determine whether management applies appropriate physical security controls to protect its premises and more sensitive areas, such as its data center(s).</t>
  </si>
  <si>
    <t>All passwords are encrypted in storage and in transit.</t>
  </si>
  <si>
    <t>IS.II.C.19:pg41</t>
  </si>
  <si>
    <t>IS.II.C.19:pg41: Encryption is used to secure communications and data storage, particularly authentication credentials and the transmission of sensitive information….Passwords should be hashed or encrypted in storage.</t>
  </si>
  <si>
    <t>IS.WP.6.30</t>
  </si>
  <si>
    <t>IS.WP.6.30: Determine how and where management uses encryption and if the type and strength are sufficient to protect information appropriately.</t>
  </si>
  <si>
    <t>Confidential data are encrypted when transmitted across public or untrusted networks (e.g., Internet).</t>
  </si>
  <si>
    <t>IS.II.C.13(b):pg28</t>
  </si>
  <si>
    <t>IS.II.C.13(b):pg28: When transmitting sensitive information over a public network, information should be encrypted to protect it from interception or eavesdropping.</t>
  </si>
  <si>
    <t>Mobile devices (e.g., laptops, tablets, and removable media) are encrypted if used to store confidential data. (*N/A if mobile devices are not used).</t>
  </si>
  <si>
    <t>IS.II.C.13(a):pg27</t>
  </si>
  <si>
    <t>IS.II.C.13(a):pg27: Data storage in portable devices, such as laptops, smart phones, and tablets, poses unique problems….Risk mitigation typically involves data encryption.</t>
  </si>
  <si>
    <t>Remote access to critical systems by employees, contractors, and third parties uses encrypted connections and multifactor authentication.</t>
  </si>
  <si>
    <t>IS.II.C.15(c):pg33</t>
  </si>
  <si>
    <t>IS.II.C.15(c):pg33: Management should develop policies to ensure that remote access by employees, whether using institution or personally owned devices, is provided in a safe and sound manner… Management should employ the following measures: Use robust authentication methods for access and encryption to secure communications.</t>
  </si>
  <si>
    <t>IS.WP.6.23</t>
  </si>
  <si>
    <t>IS.WP.6.23: Review whether management does the following: Provides remote access in a safe and sound manner. Implements the controls necessary to offer remote access securely (e.g., disables unnecessary remote access, obtains approvals for and performs audits of remote access, maintains robust configurations, enables logging and monitoring, secures devices, restricts remote access during specific times, controls applications, enables strong authentication, and uses encryption).</t>
  </si>
  <si>
    <t>Administrative, physical, or technical controls are in place to prevent users without administrative responsibilities from installing unauthorized software.</t>
  </si>
  <si>
    <t>IS.II.C.12:pg26: Methods or systems that management should consider include the following:...Monitoring for unauthorized software and disallowing the ability to install unauthorized software.</t>
  </si>
  <si>
    <t>Customer service (e.g., the call center) utilizes formal procedures to authenticate customers commensurate with the risk of the transaction or request.</t>
  </si>
  <si>
    <t>IS.II.C.16:pg36: Beyond authentication, remote access controls should include additional layered security controls and may include some combination of the following: Controls over changes to account maintenance activities (e.g., address or password changes) performed by customers either online or through customer service channels.</t>
  </si>
  <si>
    <t>IS.WP.6.22.a</t>
  </si>
  <si>
    <t>IS.WP.6.22.a: Determine whether management controls access to applications. Review whether management does the following: Implements a robust authentication method consistent with the criticality and sensitivity of the application.</t>
  </si>
  <si>
    <t>Data are disposed of or destroyed according to documented requirements and within expected time frames.</t>
  </si>
  <si>
    <t>IS.II.C.13(c):pg28</t>
  </si>
  <si>
    <t>IS.II.C.13(c):pg28: The institution should base its disposal policies on the sensitivity of the information. Policies, procedures, and training should inform employees about what|actions should be taken to securely dispose of computer-based media and protect the data|from the risks of reconstruction.</t>
  </si>
  <si>
    <t>IS.WP.6.18.e</t>
  </si>
  <si>
    <t>IS.WP.6.18.e: Determine whether management maintains policies and effectively controls and protects access to and transmission of information to avoid loss or damage. Review whether management does the following:…Has appropriate disposal procedures for both paper-based and electronic information.</t>
  </si>
  <si>
    <t>Device-End Point Security</t>
  </si>
  <si>
    <t>Controls are in place to restrict the use of removable media to authorized personnel.</t>
  </si>
  <si>
    <t>IS.II.C.13(a):pg27: Management should implement appropriate controls (such as the use of a DLP program) over portable devices and the sensitive information contained on them.</t>
  </si>
  <si>
    <t>IS.II.C.13(d):pg29</t>
  </si>
  <si>
    <t>IS.II.C.13(d):pg29: Management should implement policies for maintaining the security of physical media (including backup tapes) containing sensitive information while in transit, including to off-site storage, or when shared with third parties…. Use of adequate encryption of sensitive information recorded on media that is being physically transported.</t>
  </si>
  <si>
    <t>IS.WP.6.18</t>
  </si>
  <si>
    <t>IS.WP.6.18: Determine whether management maintains policies and effectively controls and protects access to and transmission of information to avoid loss or damage. Review whether management does the following: Requires secure storage of all types of sensitive information, whether on computer systems, portable devices, physical media, or hard-copy documents.</t>
  </si>
  <si>
    <t>Developers working for the institution follow secure program coding practices, as part of a system development life cycle (SDLC), that meet industry standards.</t>
  </si>
  <si>
    <t>IS.II.C.17:pg38</t>
  </si>
  <si>
    <t>IS.II.C.17:pg38: A secure software development life cycle ensures that Internet- and client-facing applications have the necessary security controls. The institution should ensure|that all applications are securely developed…. At institutions that employ third parties to develop|applications, management should ensure that the third parties meet the same controls.</t>
  </si>
  <si>
    <t>IS.WP.6.27</t>
  </si>
  <si>
    <t>IS.WP.6.27: Determine whether management uses applications that were developed by following secure development practices and that meet a prudent level of security.</t>
  </si>
  <si>
    <t>MGT.III.C.5:pg31</t>
  </si>
  <si>
    <t>MGT.III.C.5:pg31: Management should guide the development or acquisition of software by using a system development life cycle (SDLC) or similar methodology appropriate for the specific IT environment. The extent or use of the SDLC depends on the size and complexity of the institution and the type of development activities performed. If the institution primarily acquires software, management should verify the effective use of an SDLC by the third-party provider.</t>
  </si>
  <si>
    <t>MGT.WP.12.10. Determine whether management assesses and mitigates the operational risks associated with the development or acquisition of software. Appropriate management of the risks should include the following:|a. Policies documenting risk management controls for the development and acquisition of|systems.|b. System development life cycle or similar methodology based on the complexity and type of development performed.</t>
  </si>
  <si>
    <t>The security controls of internally developed software are periodically reviewed and tested. (*N/A if there is no software development.).</t>
  </si>
  <si>
    <t>IS.II.C.10:pg21: The process for introducing software should encompass securely developing, implementing, and testing changes to both internally developed and acquired software.</t>
  </si>
  <si>
    <t>IS.WP.6.15</t>
  </si>
  <si>
    <t>IS.WP.6.15: Determine whether management has a process to update and patch operating systems, network devices, and software applications, including internally developed software provided to customers, for newly discovered vulnerabilities.</t>
  </si>
  <si>
    <t>MGT.III.C.5:pg31: Testing, which should include tests of security, validates that equipment and systems function properly and produce the desired results. As part of the testing process, management should verify whether new technology systems operate effectively with other technology components, including vendor-supplied technology. Management should conduct retesting periodically to help manage risk exposure on an ongoing basis.</t>
  </si>
  <si>
    <t>MGT.WP.12.10. Determine whether management assesses and mitigates the operational risks associated with the development or acquisition of software. Appropriate management of the risks should include the following:|a. Policies documenting risk management controls for the development and acquisition of|systems.|b. System development life cycle or similar methodology based on the complexity and type of development performed.|c. Tests of new technology, systems, and products before deployment to validate functionality, controls, and interoperability.</t>
  </si>
  <si>
    <t>The security controls in internally developed software code are independently reviewed before migrating the code to production. (*N/A if there is no software development.)</t>
  </si>
  <si>
    <t>D&amp;A.B.2</t>
  </si>
  <si>
    <t>D&amp;A.B.2: Financial institutions should consider information security requirements and incorporate automated controls into internally developed programs, or ensure the controls are incorporated into acquired software, before the software is implemented.</t>
  </si>
  <si>
    <t>D&amp;A.B.9</t>
  </si>
  <si>
    <t>D&amp;A.B.9: Independence – Audit and quality assurance personnel should be independent of the project they are reviewing.</t>
  </si>
  <si>
    <t>D&amp;A.WP.13.1</t>
  </si>
  <si>
    <t>D&amp;A.WP.13.1: Evaluate the security and integrity of system and application software by reviewing: the adequacy of quality assurance and testing programs: the adequacy of security and internal- control design standards; the adequacy of involvement by audit and security personnel in software development and acquisition projects; and the adequacy of internal and external security and control audits.</t>
  </si>
  <si>
    <t>MGT.III.C.5:pg31: Audit should review the SDLC to ensure that appropriate controls are incorporated during development. Management should test new technology, systems, and products thoroughly before deployment.</t>
  </si>
  <si>
    <t>MGT.WP.12.10.c</t>
  </si>
  <si>
    <t>MGT.WP.12.10.c: Appropriate management of the risks should include tests of new technology, systems, and products before deployment to validate functionality, controls, and interoperability.</t>
  </si>
  <si>
    <t>Intellectual property and production code are held in escrow. (*N/A if there is no production code to hold in escrow.)</t>
  </si>
  <si>
    <t>D&amp;A.B.39</t>
  </si>
  <si>
    <t>D&amp;A.B.39: In addition to ensuring access to current documentation, organizations should consider protecting their escrow rights by contractually requiring software vendors to inform the organization if the software vendor pledges the software as loan collateral.</t>
  </si>
  <si>
    <t>D&amp;A.WP.6.1</t>
  </si>
  <si>
    <t>D&amp;A.WP.6.1: Assess the adequacy of acquisition activities by evaluating… The adequacy of contract and licensing provisions that address… Source-code accessibility/escrow assertions.</t>
  </si>
  <si>
    <t>Independent testing (including penetration testing and vulnerability scanning) is conducted according to the risk assessment for external-facing systems and the internal network.</t>
  </si>
  <si>
    <t>ISIS.II.C.17:pg38</t>
  </si>
  <si>
    <t>ISIS.II.C.17:pg38: To verify the controls have been developed and implemented appropriately, management should perform appropriate tests (e.g., penetration tests, vulnerability assessments, and application security tests) before launching or making significant changes to external-facing applications.</t>
  </si>
  <si>
    <t>IS.WP.4.2.d</t>
  </si>
  <si>
    <t>IS.WP.4.2.d: Review whether management has the following: A validation of the risk identification process through audits, self-assessments, penetration tests, and vulnerability assessments.</t>
  </si>
  <si>
    <t>MGT.III.C.3:pg29: Perform penetration tests before launching or making significant changes to critical systems, including Internet- and client-facing applications. Management should review all findings and develop processes to ensure the timely remediation of issues identified by the tests.</t>
  </si>
  <si>
    <t>MGT.WP.12.8.f</t>
  </si>
  <si>
    <t>MGT.WP.12.8.f: Determine whether, as part of the institution’s information security program, the board of directors oversees and management establishes a control structure that is intended to specifically address cybersecurity risks and includes the following: Performing penetration tests before launching new or making significant changes to existing Internet- and client-facing applications and remediating findings from the tests.</t>
  </si>
  <si>
    <t>Anti-virus and anti-malware tools are used to detect attacks.</t>
  </si>
  <si>
    <t>Firewall rules are audited or verified at least quarterly.</t>
  </si>
  <si>
    <t>IS.III:pg46: Security operations activities can include the following: Security software and device management (e.g., maintaining the signatures on signature-based devices and firewall rules).</t>
  </si>
  <si>
    <t>E-mail protection mechanisms are used to filter for common cyber threats (e.g., attached malware or malicious links).</t>
  </si>
  <si>
    <t>The institution is able to detect anomalous activities through monitoring across the environment.</t>
  </si>
  <si>
    <t>IS.II.C.12:pg26: Management should implement defense-in-depth to protect, detect, and respond to malware. The institution can use many tools to block malware before it enters the environment and to detect it and respond if it is not blocked. Methods or systems that management should consider include the following: …Monitoring for anomalous activity for malware and polymorphic code.</t>
  </si>
  <si>
    <t>Customer transactions generating anomalous activity alerts are monitored and reviewed.</t>
  </si>
  <si>
    <t>WPS.B.12: Monitor and log access to funds transfer systems, maintaining an audit trail of all sequential transactions.</t>
  </si>
  <si>
    <t>WPS.WP.II.1.3</t>
  </si>
  <si>
    <t>WPS.WP.II.1.3: Requires its senior management receive and review activity and quality control reports which disclose unusual or unauthorized activities and access attempts.</t>
  </si>
  <si>
    <t>Logs of physical and/or logical access are reviewed following events.</t>
  </si>
  <si>
    <t>ISIII.C.22:pg44: Institutions maintain event logs to understand an incident or cyber event after it occurs. Monitoring event logs for anomalies and relating that information with other sources of information broadens the institution’s ability to understand trends, react to threats, and improve reports to management and the board.</t>
  </si>
  <si>
    <t>IS.WP.6.21(f)</t>
  </si>
  <si>
    <t>IS.WP.6.21(f): As part of management’s process to secure the operating system and all system components, determine whether management does the following: Filters and reviews logs for potential security events and provides adequate reports and alerts.</t>
  </si>
  <si>
    <t>Access to critical systems by third parties is monitored for unauthorized or unusual activity.</t>
  </si>
  <si>
    <t>OT.B.26: Appropriate access controls and monitoring should be in place between service provider's systems and the institution.</t>
  </si>
  <si>
    <t>Elevated privileges are monitored</t>
  </si>
  <si>
    <t>IS.II.C.15:pg31: Authorization for privileged access should be tightly controlled. IS.WP.8.4.f: Determine whether management has effective threat monitoring processes, including|the following: Establishing and documenting a process to independently monitor administrators and other users with higher privileges.</t>
  </si>
  <si>
    <t>A normal network activity baseline is established.</t>
  </si>
  <si>
    <t>IS.III.C:pg49: Incident identification involves indicators and analysis. …Examples of technology-based intrusion identification systems and tools include the following:…Network behavior analysis systems.</t>
  </si>
  <si>
    <t>IS.WP.8.4.e</t>
  </si>
  <si>
    <t>IS.WP.8.4.e: Determine whether management has effective threat monitoring processes, including the following: Monitoring both incoming and outgoing network traffic to identify malicious activity and data exfiltration.</t>
  </si>
  <si>
    <t>Mechanisms (e.g., anti-virus alerts, log event alerts) are in place to alert management to potential attacks.</t>
  </si>
  <si>
    <t>IS.III.B:pg48: Threat monitoring policies should provide for continual and ad hoc monitoring of threat intelligence communications and systems, effective incident detection and response, and the use of monitoring reports in subsequent legal procedures…. Threat monitoring should address indicators of vulnerabilities, attacks, compromised systems, and suspicious users, such as those who do not comply with or seek to evade security policies.</t>
  </si>
  <si>
    <t>IS.WP.8.5</t>
  </si>
  <si>
    <t>IS.WP.8.5: Determine whether management has effective incident identification and assessment processes to do the following:|e. Escalate the event consistent with the classification. f. Report internally and externally as appropriate.</t>
  </si>
  <si>
    <t>Processes are in place to monitor for the presence of unauthorized users, devices, connections, and software.</t>
  </si>
  <si>
    <t>IS.Introduction:pg2: Aligns the information security program with the enterprise risk management program and identifies, measures, mitigates, and monitors risk….Management should be able to identify and characterize the threats, assess the risks, make decisions regarding the implementation of appropriate controls, and provide appropriate monitoring and reporting.</t>
  </si>
  <si>
    <t>Responsibilities for monitoring and reporting suspicious systems activity have been assigned.</t>
  </si>
  <si>
    <t>IS.III.B:pg48: Management should establish the responsibility and authority of security personnel and system administrators for monitoring. Threat monitoring should address indicators of vulnerabilities, attacks, compromised systems, and suspicious users, such as those who do not comply with or seek to evade security policies.</t>
  </si>
  <si>
    <t>IS.WP.8.4.b</t>
  </si>
  <si>
    <t>IS.WP.8.4.b: Determine whether management has effective threat monitoring processes, including the following: Establishing responsibility and accountability for security personnel and system administrators for monitoring.</t>
  </si>
  <si>
    <t>The physical environment is monitored to detect potential unauthorized access.</t>
  </si>
  <si>
    <t>IS.II.C.8:pg18: Management should implement appropriate preventive, detective, and corrective controls for physical security.</t>
  </si>
  <si>
    <t>A patch management program is implemented and ensures that software and firmware patches are applied in a timely manner.</t>
  </si>
  <si>
    <t>IS.II.C.10(d):pg24: Management should implement automated patch management systems and software to ensure all network components (virtual machines, routers, switches, mobile devices, firewalls, etc.) are appropriately updated.</t>
  </si>
  <si>
    <t>OPS.B.22: Management should establish procedures to stay abreast of patches, to test them in a segregated environment, and to install them when appropriate.</t>
  </si>
  <si>
    <t>OPS.WP.5.1</t>
  </si>
  <si>
    <t>OPS.WP.5.1: Determine whether management has implemented and effectively utilizes operational control programs, processes, and tools such as… Project, change, and patch management.</t>
  </si>
  <si>
    <t>Patches are tested before being applied to systems and/or software.</t>
  </si>
  <si>
    <t>Patch management reports are reviewed and reflect missing security patches.</t>
  </si>
  <si>
    <t>D&amp;A.B.50: Patch management standards should include procedures for identifying, evaluating, approving, testing, installing, and documenting patches…Organizations should have procedures in place to identify available patches and to acquire them from trusted sources.</t>
  </si>
  <si>
    <t>Issues identified in assessments are prioritized and resolved based on criticality and within the time frames established in the response to the assessment report.</t>
  </si>
  <si>
    <t>IS.IV.A.4:pg56: The reports should prioritize risk and findings in the order of importance, suggest options for remediation, and highlight repeat issues. Additionally, reports should|address root causes. … Reporting should trigger appropriate, timely, and reliable escalation and|response procedures.</t>
  </si>
  <si>
    <t>IS.WP.1.2.a</t>
  </si>
  <si>
    <t>IS.WP.1.2.a: Review management’s response to issues raised at, or since, the last examination. Consider the following: Adequacy and timing of corrective action.</t>
  </si>
  <si>
    <t>The critical business processes that are dependent on external connectivity have been identified.</t>
  </si>
  <si>
    <t>IS.II.C.6:pg14-15: To mitigate interconnectivity risk, management should do the following: Identify connections with third parties, including other financial institutions, financial institution.</t>
  </si>
  <si>
    <t>IS.WP.6.7</t>
  </si>
  <si>
    <t>IS.WP.6.7: Determine whether management comprehensively and effectively identifies, measures, mitigates, monitors, and reports interconnectivity risk.</t>
  </si>
  <si>
    <t>The institution ensures that third-party connections are authorized.</t>
  </si>
  <si>
    <t>IS.II.C.6:pg14-15: To mitigate interconnectivity risk, management should do the following: Identify connections with third parties, including other financial institutions, financial institution intermediaries, and third-party service providers….Assess all connections with third parties that provide remote access capability or control over internal systems.</t>
  </si>
  <si>
    <t>IS.WP.6.7: Determine whether management comprehensively and effectively identifies, measures, mitigates, monitors, and reports interconnectivity risk. Review whether management does the following: Identifies connections with third parties. …Measures the risk associated with connections with third parties with remote access. Implements and assesses the adequacy of appropriate controls to ensure the security of connections.</t>
  </si>
  <si>
    <t>A network diagram is in place and identifies all external connections.</t>
  </si>
  <si>
    <t>IS.II.C.9:pg20: To ensure appropriate network security, management should maintain accurate network and data flow diagrams, and store them securely, providing access only to essential personnel. These diagrams should identify hardware, software, and network components, internal and external connections, and types of information passed between systems to facilitate the development of a defense-in-depth security architecture.</t>
  </si>
  <si>
    <t>IS.WP.6.10.b</t>
  </si>
  <si>
    <t>IS.WP.6.10.b: Determine whether management secures access to its computer networks through multiple layers of access controls. Review whether management does the following: Maintains accurate network diagrams and data flow charts.</t>
  </si>
  <si>
    <t>Data flow diagrams are in place and document information flow to external parties.</t>
  </si>
  <si>
    <t>Risk-based due diligence is performed on prospective third parties before contracts are signed, including reviews of their background, reputation, financial condition, stability, and security controls.</t>
  </si>
  <si>
    <t>IS.II.C.20:pg42: Management should oversee outsourced operations through the following: Appropriate due diligence in third-party research, selection, and relationship management.</t>
  </si>
  <si>
    <t>IS.WP.6.31</t>
  </si>
  <si>
    <t>IS.WP.6.31: Determine whether management appropriately oversees the effectiveness of information security controls over outsourced operations and is accountable for the mitigation of risks involved with the use of third-party service providers. Review the due diligence involved, security controls to mitigate risk, and monitoring capabilities over the institution’s third parties.</t>
  </si>
  <si>
    <t>MGT.III.C.8:pg34</t>
  </si>
  <si>
    <t>MGT.III.C.8:pg34: An effective third-party management program should provide the framework for management to identify, measure, mitigate, monitor, and report risks associated with the use of third-party providers. Management should develop and implement enterprise-wide policies and procedures to govern the third-party management program, including establishing|objectives and strategies, selecting a provider, negotiating the contract, and monitoring the outsourced relationship.</t>
  </si>
  <si>
    <t>MGT.WP.12.14.d</t>
  </si>
  <si>
    <t>MGT.WP.12.14.d: An effective third-party management program should incorporate: Evaluation of prospective third-party providers based on the scope and criticality of services provided.</t>
  </si>
  <si>
    <t>A list of third-party service providers is maintained.</t>
  </si>
  <si>
    <t>OT.B.19: To increase monitoring effectiveness, management should periodically rank service provider relationships according to risk to determine which service providers require closer monitoring.</t>
  </si>
  <si>
    <t>OT.WP.I.1.3</t>
  </si>
  <si>
    <t>OT.WP.I.1.3: Interview management and review institution information to identify…current outsourcing relationships, including cloud computing relationships, and changes to those relationships since the last examination. Identify any material service provider subcontractors; affiliated service providers; foreign-based third-party providers; current transaction volume in each function outsourced; any material problems experienced with the service provided; and service providers with significant financial- or control-related weaknesses.</t>
  </si>
  <si>
    <t>A risk assessment is conducted to identify criticality of service providers.</t>
  </si>
  <si>
    <t>OT.B.6</t>
  </si>
  <si>
    <t>OT.B.6: Management should consider the following factors in evaluating the quantity of risk at the inception of an outsourcing decision, [including]…Risks pertaining to the function outsourced include… [and] Risks pertaining to the technology used.</t>
  </si>
  <si>
    <t>OT.B.23</t>
  </si>
  <si>
    <t>OT.B.23: Financial institutions must also consider which of their critical financial services rely on|TSP services, including key telecommunication and network service providers.</t>
  </si>
  <si>
    <t>MGT.III.C.8:pg34: Management should evaluate the quality of service, control environment, and financial condition of the third parties providing the institution with critical IT services.</t>
  </si>
  <si>
    <t>MGT.III.C.8:pg35</t>
  </si>
  <si>
    <t>MGT.III.C.8:pg35: Some factors that management should consider or address regarding an effective third-party management program include the following: Tailoring the institution’s third- party management program based on an initial and ongoing risk assessment of the institution’s third parties and the services they provide.</t>
  </si>
  <si>
    <t>MGT.WP.12.14</t>
  </si>
  <si>
    <t>MGT.WP.12.14: An effective third-party management program should incorporate the following: d. Evaluation of prospective third-party providers based on the scope and criticality of services provided.|e. Tailoring of the monitoring program based on the initial and ongoing risk assessment of the third party and the services provided..</t>
  </si>
  <si>
    <t>Formal contracts that address relevant security and privacy requirements are in place for all third parties that process, store, or transmit confidential data or provide critical services.</t>
  </si>
  <si>
    <t>IS.II.C.20:pg42: If the third-party service provider stores, transmits, processes, or disposes of customer information, management should require third- party service providers by contract to implement appropriate measures designed to meet the Information Security Standards.</t>
  </si>
  <si>
    <t>IS.WP.6.31(c)</t>
  </si>
  <si>
    <t>IS.WP.6.31(c): Determine whether management appropriately oversees the effectiveness of information security controls over outsourced operations and is accountable for the mitigation of risks involved with the use of third-party service providers. Review the due diligence involved, security controls to mitigate risk, and monitoring capabilities over the institution’s third parties. Review the institution’s policies, standards, and procedures related to the use of the following:|…Contractual assurances from third-party service providers for security responsibilities, controls,|and reporting.</t>
  </si>
  <si>
    <t>MGT.III.C.8:pg35: Third parties should support the responsibilities of their financial institution clients to adhere to all applicable laws, regulations, and supervisory guidance .</t>
  </si>
  <si>
    <t>MGT.III.C.8:pg35: When financial institution management contracts with third-party providers for some or all IT services, it should ensure that controls over outsourced activities provide the institution with the same level of assurance as controls over those activities performed in-house.</t>
  </si>
  <si>
    <t>Contracts acknowledge that the third party is responsible for the security of the institution’s confidential data that it possesses, stores, processes, or transmits.</t>
  </si>
  <si>
    <t>IS.II.C.20:pg42: Management should oversee outsourced operations through the following: Contractual assurances for security responsibilities, controls, and reporting.</t>
  </si>
  <si>
    <t>IS.WP.6.31(c): Determine whether management appropriately oversees the effectiveness of information security controls over outsourced operations and is accountable for the mitigation of risks involved with the use of third-party service providers. … Review the institution’s policies, standards, and procedures related to the use of the following: Contractual assurances from third- party service providers for security responsibilities, controls, and reporting.</t>
  </si>
  <si>
    <t>Contracts stipulate that the third-party security controls are regularly reviewed and validated by an independent party.</t>
  </si>
  <si>
    <t>IS.II.C.20:pg42: Management should verify that third-party service providers implement and maintain controls sufficient to appropriately mitigate risks. The institution’s contracts should|do the following: …Specify that the institution or an independent auditor has access to the service|provider to perform evaluations of the service provider’s performance against the Information|Security Standards.</t>
  </si>
  <si>
    <t>IS.WP.6.31.e</t>
  </si>
  <si>
    <t>IS.WP.6.31.e: Determine whether management appropriately oversees the effectiveness of information security controls over outsourced operations and is accountable for the mitigation of risks involved with the use of third-party service providers. …Review the institution’s policies, standards, and procedures related to the use of the following: Independent review of the third- party service provider’s security through appropriate reports from audits and tests.</t>
  </si>
  <si>
    <t>Contracts identify the recourse available to the institution should the third party fail to meet defined security requirements.</t>
  </si>
  <si>
    <t>OT.B.12: Institutions should include performance standards that define minimum service level requirements and remedies for failure to meet standards in the contract.</t>
  </si>
  <si>
    <t>OT.WP.I.3.4</t>
  </si>
  <si>
    <t>OT.WP.I.3.4: Evaluate the process for entering into a contract with a service provider. Consider whether the contract contains adequate and measurable service level agreements.</t>
  </si>
  <si>
    <t>Contracts establish responsibilities for responding to security incidents.</t>
  </si>
  <si>
    <t>IS.II.C.20:pg42: Management should oversee outsourced operations through the following:|• Contractual assurances for security responsibilities, controls, and reporting.|• Coordination of incident response policies and contractual notification requirements.|• Verification that information and cybersecurity risks are appropriately identified, measured, mitigated, monitored, and reported.</t>
  </si>
  <si>
    <t>IS.WP.6.31(f) &amp; (g)</t>
  </si>
  <si>
    <t>IS.WP.6.31(f) &amp; (g): Review the institution’s policies, standards, and procedures related to the use of the following:|f. Coordination of incident response policies and contractual notification requirements.|g. Verification that information and cybersecurity risks are appropriately identified, measured, mitigated, monitored, and reported.</t>
  </si>
  <si>
    <t>Contracts specify the security requirements for the return or destruction of data upon contract termination.</t>
  </si>
  <si>
    <t>OT.B.15: The contract should establish notification and time frame requirements and provide for the timely return of the institution's data and resources in a machine-readable format upon termination. Any costs associated with conversion assistance should also be clearly stated.</t>
  </si>
  <si>
    <t>The third-party risk assessment is updated regularly.</t>
  </si>
  <si>
    <t>OT.B.3: Factors institutions should consider include…tailoring the enterprise-wide, service provider monitoring program based on initial and ongoing risk assessments of outsourced services.</t>
  </si>
  <si>
    <t>Audits, assessments, and operational performance reports are obtained and reviewed regularly validating security controls for critical third parties.</t>
  </si>
  <si>
    <t>IS.II.C.20:pg42: Management should oversee outsourced operations through the following: …Independent review of the third party’s security through appropriate reports from audits and tests.</t>
  </si>
  <si>
    <t>IS.WP.6.31.e: Determine whether management appropriately oversees the effectiveness of information security controls over outsourced operations and is accountable for the mitigation of risks involved with the use of third-party service providers…. Review the institution’s policies, standards, and procedures related to the use of the following:…Independent review of the third- party service provider’s security through appropriate reports from audits and tests.</t>
  </si>
  <si>
    <t>MGT.III.C.8:pg34 As part of a financial institution’s third-party management program, management should ensure that third-party providers effectively provide support by doing the following</t>
  </si>
  <si>
    <t>MGT.III.C.8:pg34 As part of a financial institution’s third-party management program, management should ensure that third-party providers effectively provide support by doing the following: Reviewing results of independent audits of IT controls at third-party providers.</t>
  </si>
  <si>
    <t>MGT.WP.12.18</t>
  </si>
  <si>
    <t>MGT.WP.12.18: When reviewing information provided by the institution's third party providers, determine the quality of management's follow-up and resolution of customer concerns and problems with its third-party providers.</t>
  </si>
  <si>
    <t>Ongoing monitoring practices include reviewing critical third-parties’ resilience plans.</t>
  </si>
  <si>
    <t>OT.B.19: The program should monitor the service provider environment including its security controls, financial strength, and the impact of any external events.</t>
  </si>
  <si>
    <t>OT.WP.I.3.6</t>
  </si>
  <si>
    <t>OT.WP.I.3.6: Evaluate the institution's process for monitoring the risk presented by the service provider relationship. Ascertain that monitoring addresses general control environment of the service provider through the receipt and review of appropriate audit and regulatory reports; service provider's disaster recovery program and testing; information security.</t>
  </si>
  <si>
    <t>MGT.WP.4.7.c</t>
  </si>
  <si>
    <t>MGT.WP.4.7.c: Determine whether management has an effective ongoing monitoring process of its third-party providers.</t>
  </si>
  <si>
    <t>The institution has documented how it will react and respond to cyber incidents.</t>
  </si>
  <si>
    <t>BCP.B.4: Business continuity planning involves the development of an enterprise-wide business continuity plan (BCP) and the prioritization of business objectives and critical operations that are essential for recovery…focused on the impact of various threats that could potentially disrupt operations rather than on specific events.</t>
  </si>
  <si>
    <t>BCP.WP.7.5</t>
  </si>
  <si>
    <t>BCP.WP.7.5: Determine the existence of an appropriate enterprise-wide BCP.</t>
  </si>
  <si>
    <t>MGT.III.C.3:pg29: Institution management should develop, implement, and periodically test incident response procedures, which should address escalation, remediation, and reporting of events and incidents.</t>
  </si>
  <si>
    <t>MGT.III.C.3(b):pg30</t>
  </si>
  <si>
    <t>MGT.III.C.3(b):pg30: To address cybersecurity risk, the information security program should consider the following: Cyber incident management and resilience.</t>
  </si>
  <si>
    <t>MGT.WP.12.8.a</t>
  </si>
  <si>
    <t>MGT.WP.12.8.a: Determine whether a control structure includes: Developing and implementing processes to identify, protect against, detect, respond to, and recover from security events and incidents.</t>
  </si>
  <si>
    <t>Communication channels exist to provide employees a means for reporting information security events in a timely manner.</t>
  </si>
  <si>
    <t>IS.III:pg46: Management should establish defined processes and appropriate governance to facilitate the performance of security operations. Policies should address the timing and extent of the security operations activities, reporting, escalation triggers, and response actions.</t>
  </si>
  <si>
    <t>IS.WP.2.7</t>
  </si>
  <si>
    <t>IS.WP.2.7: Determine whether security officers and employees know, understand, and are accountable for fulfilling their security responsibilities.</t>
  </si>
  <si>
    <t>Roles and responsibilities for incident response team members are defined.</t>
  </si>
  <si>
    <t>IS.III.D:pg51: Preparation determines the success of any intrusion response. Such preparation involves defining the policies and procedures that guide the response; assigning responsibilities to individuals….</t>
  </si>
  <si>
    <t>IS.WP.8.6.e</t>
  </si>
  <si>
    <t>IS.WP.8.6.e: Determine whether management has effective incident response processes, including the following:…Policies and procedures to guide the response, assigning responsibilities to individuals;…</t>
  </si>
  <si>
    <t>The response team includes individuals with a wide range of backgrounds and expertise, from many different areas within the institution. (e.g., management, legal, public relations, as well as information technology).</t>
  </si>
  <si>
    <t>IS.III.D:pg52: Because of the wide range of technical and nontechnical issues posed by an intrusion, typical SIRT membership includes individuals with a wide range of backgrounds and expertise from different areas within the institution. Those areas include management, legal, and public relations, as well as IT staff.</t>
  </si>
  <si>
    <t>IS.WP.8.6.c</t>
  </si>
  <si>
    <t>IS.WP.8.6.c: Determine whether management has effective incident response processes, including the following:…Appropriate balance of adequate people and technologies in the response.</t>
  </si>
  <si>
    <t>A formal backup and recovery plan exists for all critical business lines.</t>
  </si>
  <si>
    <t>BCP.B.4: The business continuity planning process should include the recovery, resumption, and maintenance of all aspects of the business, not just recovery of the technology components.</t>
  </si>
  <si>
    <t>BCP.WP.3.1</t>
  </si>
  <si>
    <t>BCP.WP.3.1: Determine whether the work flow analysis was performed to ensure that all departments and business processes are covered.</t>
  </si>
  <si>
    <t>The institution plans to use business continuity, disaster recovery, and data back-up programs to recover operations following an incident.</t>
  </si>
  <si>
    <t>IS.II.C.21:pg43: Business continuity plans should be reviewed as an integral part of the security process. Strategies should consider the different risk environments and the degree of risk mitigation necessary to protect the institution if continuity plans must be implemented. Management should train personnel regarding their security roles during a disaster. Additionally, management should update technologies and plans for backup sites and communications networks. These security considerations should be integrated with the testing of the business continuity plan.</t>
  </si>
  <si>
    <t>BCP.B.8</t>
  </si>
  <si>
    <t>BCP.B.8: The risk assessment is the second step in the business continuity planning process. It should include: evaluating the business impact analysis (BIA) assumptions using various threat scenarios.</t>
  </si>
  <si>
    <t>BCP.WP.I.4</t>
  </si>
  <si>
    <t>BCP.WP.I.4: Determine whether appropriate risk management over the business continuity process is in place and if the financial institution's and TSP's risk management strategies consider wide-scale recovery scenarios designed to achieve industry-wide resilience.</t>
  </si>
  <si>
    <t>Scenarios are used to improve incident detection and response.</t>
  </si>
  <si>
    <t>IS.II.C.21:pg43: Management should do the following:… Establish and maintain policies that address the concepts of information security incident response and resilience, and test information security incident scenarios.</t>
  </si>
  <si>
    <t>BCP.B.J-13</t>
  </si>
  <si>
    <t>BCP.B.J-13: Cyber threats will continue to challenge business continuity preparedness. Financial institutions should remain aware of emerging cyber threats and scenarios and consider their potential impact to operational resilience.</t>
  </si>
  <si>
    <t>BCP.WP.II.1.1</t>
  </si>
  <si>
    <t>BCP.WP.II.1.1: Determine whether the testing strategy addresses various event scenarios, including potential issues encountered during a wide-scale disruption.</t>
  </si>
  <si>
    <t>Business continuity testing involves collaboration with critical third parties.</t>
  </si>
  <si>
    <t>BCP.B.J-6: Testing with third parties should disclose the adequacy of both organizations' ability to recover, restore, resume, and maintain operations after disruptions, consistent with business and contractual requirements.</t>
  </si>
  <si>
    <t>BCP.WP.I.9.3</t>
  </si>
  <si>
    <t>BCP.WP.I.9.3: Assess whether the third-party TSP's contract provides for the following elements to ensure business resiliency…Testing requirements with the TSP.</t>
  </si>
  <si>
    <t>Systems, applications, and data recovery is tested at least annually.</t>
  </si>
  <si>
    <t>BCP.B.J-7: For critical services, annual or more frequent tests of the contingency plan are required. As with all BCP testing, the frequency should be driven by the financial institution's risk assessment, risk rating, and any significant changes to the operating environment.</t>
  </si>
  <si>
    <t>BCP.WP.I.11.4</t>
  </si>
  <si>
    <t>BCP.WP.I.11.4: Determine whether the testing strategy includes guidelines for the frequency of testing that are consistent with the criticality of business functions, recovery time objectives (RTOs), recovery point objectives (RPOs), and recovery of the critical path, as defined in the business impact analysis (BIA) and risk assessment, corporate policy, and regulatory guidelines.</t>
  </si>
  <si>
    <t>Detection, Response &amp; Mitigation</t>
  </si>
  <si>
    <t>Alert parameters are set for detecting information security incidents that prompt mitigating actions.</t>
  </si>
  <si>
    <t>IS.II.C.15(a):pg32: To prevent unauthorized access to or inappropriate activity on the operating system and system utilities, management should do the following:…Filter and review logs for potential security events and provide adequate reports and alerts.</t>
  </si>
  <si>
    <t>IS.II.C.15(b):pg33</t>
  </si>
  <si>
    <t>IS.II.C.15(b):pg33: Management should implement effective application access controls by doing the following:…Logging access and events, defining alerts for significant events, and developing processes to monitor and respond to anomalies and alerts. IS.WP.6.21.f: As part of management’s process to secure the operating system and all system components, determine whether management does the following:…Filters and reviews logs for potential security events and provides adequate reports and alerts.</t>
  </si>
  <si>
    <t>IS.WP.6.22.f</t>
  </si>
  <si>
    <t>IS.WP.6.22.f: Determine whether management controls access to applications. Review whether management does the following:…Logs access and events, defines alerts for significant events, and develops processes to monitor and respond to anomalies and alerts.</t>
  </si>
  <si>
    <t>System performance reports contain information that can be used as a risk indicator to detect information security incidents.</t>
  </si>
  <si>
    <t>IS.II.D:pg45: Risk reporting is a process that produces information systems reports that address threats, capabilities, vulnerabilities, and inherent risk changes. Risk reporting should describe any information security events that the institution faces and the effectiveness of management’s response and resilience to those events.</t>
  </si>
  <si>
    <t>IS.WP.7.1: Determine whether the institution has risk monitoring and reporting processes that address changing threat conditions in both the institution and the greater financial industry. Determine whether these processes address information security events faced by the institution, the effectiveness of management’s response, and the institution’s resilience to those events.</t>
  </si>
  <si>
    <t>Tools and processes are in place to detect, alert, and trigger the incident response program.</t>
  </si>
  <si>
    <t>IS.III.D:pg50: The institution’s program should have defined protocols to declare and respond to an identified incident.</t>
  </si>
  <si>
    <t>IS.WP.8.6.a</t>
  </si>
  <si>
    <t>IS.WP.8.6.a: Determine whether management has effective incident response processes, including the following: Protocols defined in the incident response policy to declare and respond to an incident once identified.</t>
  </si>
  <si>
    <t>Appropriate steps are taken to contain and control an incident to prevent further unauthorized access to or use of customer information.</t>
  </si>
  <si>
    <t>IS.III.D:pg52: While containment strategies between institutions can vary, they typically include the following broad elements: Isolation of compromised systems or enhanced monitoring of intruder activities. Search for additional compromised systems. Collection and preservation of evidence. Communication with affected parties and often the primary regulator, information- sharing organizations (e.g., FS-ISAC), or law enforcement.</t>
  </si>
  <si>
    <t>IS.WP.8.6.b</t>
  </si>
  <si>
    <t>IS.WP.8.6.b: Determine whether management has effective incident response processes, including the following: Procedures to minimize damage through the containment of the incident, restoration of systems, preservation of data and evidence, and notification, as appropriate, to customers and others as needed.</t>
  </si>
  <si>
    <t>A process exists to contact personnel who are responsible for analyzing and responding to an incident.</t>
  </si>
  <si>
    <t>IS.III.C:pg50: Escalation policies should address when different personnel within the organization will be contacted and the responsibility those personnel have in incident analysis and response.</t>
  </si>
  <si>
    <t>IS.WP.8.5.h</t>
  </si>
  <si>
    <t>IS.WP.8.5.h: Determine whether management has effective incident identification and assessment processes to do the following: Develop procedures to test the incident escalation, response, and reporting processes.</t>
  </si>
  <si>
    <t>MGT.WP.2.8.f: Determine whether management establishes a formal process to obtain, analyze, and respond to information on threats and vulnerabilities by developing a repeatable threat intelligence and collaboration program.</t>
  </si>
  <si>
    <t>Procedures exist to notify customers, regulators, and law enforcement as required or necessary when the institution becomes aware of an incident involving the unauthorized access to or use of sensitive customer information.</t>
  </si>
  <si>
    <t>IS.III.D:pg51: Additionally, management should define thresholds for reporting significant security incidents, and consider developing processes for when the institution should notify its regulators of incidents that may affect the institution’s operations, reputation, or sensitive customer information.</t>
  </si>
  <si>
    <t>IS.III.D:pg51: Protocols to define when and under what circumstances to notify and involve regulators, customers, and law enforcement, including names and contact information for each group.</t>
  </si>
  <si>
    <t>IS.WP.8.6.f</t>
  </si>
  <si>
    <t>IS.WP.8.6.f: Determine whether management has effective incident response processes, including the following: Thresholds for reporting significant security incidents and processes to notify, as appropriate, the institution’s regulators of those incidents that may affect the institution or the financial system.</t>
  </si>
  <si>
    <t>MGT.WP.2.2.f</t>
  </si>
  <si>
    <t>MGT.WP.2.2.f: Review whether the board approves a policy to escalate and report significant security incidents to the board, steering committee, government agencies, and law enforcement, as appropriate.</t>
  </si>
  <si>
    <t>The institution prepares an annual report of security incidents or violations for the board or an appropriate board committee.</t>
  </si>
  <si>
    <t>IS.I.B:pg4: Management should provide a report to the board at least annually that describes the overall status of the program and material matters related to the program, including the following:…Security breaches or violations of law or regulation and management’s responses to such incidents.</t>
  </si>
  <si>
    <t>IS.WP.2.4.e:...Determine whether the report to the board describes the overall status of the information security program and discusses material matters related to the program such as the following:… Security breaches or violations and management’s responses.</t>
  </si>
  <si>
    <t>Incidents are classified, logged, and tracked.</t>
  </si>
  <si>
    <t>OPS.B.28: Event/problem management plans should cover hardware, operating systems, applications, and security devices and should address at a minimum: event/problem identification and rating of severity based on risk; event/problem impact and root cause analysis; documentation and tracking of the status of identified problems; the process for escalation; event/problem resolution; management reporting.</t>
  </si>
  <si>
    <t>OPS.WP.10.1</t>
  </si>
  <si>
    <t>OPS.WP.10.1: Describe and assess the event/problem management program’s ability to identify, analyze, and resolve issues and events.</t>
  </si>
  <si>
    <t>Reference Count</t>
  </si>
  <si>
    <t>Audit (AUD)</t>
  </si>
  <si>
    <t>Business Continuity Planning (BCP)</t>
  </si>
  <si>
    <t>Development and Acquisition (D&amp;A)</t>
  </si>
  <si>
    <t>Information Security (IS)</t>
  </si>
  <si>
    <t>Management (MGT)</t>
  </si>
  <si>
    <t>Operations (OPS)</t>
  </si>
  <si>
    <t>Outsourcing Technology Services</t>
  </si>
  <si>
    <t>Retail Payment Systems (RPS)</t>
  </si>
  <si>
    <t>Wholesale Payment Systems (WPS)</t>
  </si>
  <si>
    <t>Document</t>
  </si>
  <si>
    <t>Section</t>
  </si>
  <si>
    <t>Work Program (W P)
or
Booklet (B) for older references
or
Chapter.section.sub- section for Information Security and Management Booklets</t>
  </si>
  <si>
    <t>Initial</t>
  </si>
  <si>
    <t>Full Name</t>
  </si>
  <si>
    <t>E-Banking (EB)</t>
  </si>
  <si>
    <t>Management Booklet</t>
  </si>
  <si>
    <t>https://ithandbook.ffiec.gov/media/274809/ffiec_itbooklet_management.pdf</t>
  </si>
  <si>
    <t>Outsourcing Technology Services (OT)</t>
  </si>
  <si>
    <t>Retail Payment Systems Booklet</t>
  </si>
  <si>
    <t>https://ithandbook.ffiec.gov/media/274860/ffiec_itbooklet_retailpaymentsystems.pdf</t>
  </si>
  <si>
    <t>Supervision of Technology Service Providers (STP)</t>
  </si>
  <si>
    <t>Supervision of Technology Service Providers Booklet</t>
  </si>
  <si>
    <t>https://ithandbook.ffiec.gov/media/274876/ffiec_itbooklet_supervisionoftechnologyserviceproviders.pdf</t>
  </si>
  <si>
    <t>AUD</t>
  </si>
  <si>
    <t>BCP</t>
  </si>
  <si>
    <t>Business Continuity Planning</t>
  </si>
  <si>
    <t>D&amp;A</t>
  </si>
  <si>
    <t>Development and Acquisition</t>
  </si>
  <si>
    <t>EB</t>
  </si>
  <si>
    <t>E-Banking</t>
  </si>
  <si>
    <t>IS</t>
  </si>
  <si>
    <t>MGT</t>
  </si>
  <si>
    <t>Management</t>
  </si>
  <si>
    <t>OPS</t>
  </si>
  <si>
    <t>Operations</t>
  </si>
  <si>
    <t>OT</t>
  </si>
  <si>
    <t>RPS</t>
  </si>
  <si>
    <t>Retail Payment Systems</t>
  </si>
  <si>
    <t>STP</t>
  </si>
  <si>
    <t>Supervision of Technology Service Providers</t>
  </si>
  <si>
    <t>WPS</t>
  </si>
  <si>
    <t>Wholesale Payment Systems</t>
  </si>
  <si>
    <t>booklet offset</t>
  </si>
  <si>
    <t>https://watkinsconsulting.com/wp-content/uploads/2019/02/Audit-IT-WorkProgram.pdf</t>
  </si>
  <si>
    <t>https://watkinsconsulting.com/wp-content/uploads/2019/02/Business-Continuity-Planning-IT-WorkProgram.pdf</t>
  </si>
  <si>
    <t>https://watkinsconsulting.com/wp-content/uploads/2019/02/Retail-Payment-Systems-IT-WorkProgram.pdf</t>
  </si>
  <si>
    <t>https://watkinsconsulting.com/wp-content/uploads/2019/02/Outsourcing-Technology-Services-MSSP-WorkProgram.pdf</t>
  </si>
  <si>
    <t>https://watkinsconsulting.com/wp-content/uploads/2019/02/Outsourcing-Technology-Services-IT-WorkProgram.pdf</t>
  </si>
  <si>
    <t>Work Paper</t>
  </si>
  <si>
    <t>IT</t>
  </si>
  <si>
    <t>MSSP</t>
  </si>
  <si>
    <t>Type</t>
  </si>
  <si>
    <t>https://watkinsconsulting.com/wp-content/uploads/2019/02/Operations-IT-WorkProgram.pdf</t>
  </si>
  <si>
    <t>https://watkinsconsulting.com/wp-content/uploads/2019/02/Management-IT-WorkProgram.pdf</t>
  </si>
  <si>
    <t>https://watkinsconsulting.com/wp-content/uploads/2019/02/Information-Security-IT-WorkProgram.pdf</t>
  </si>
  <si>
    <t>https://watkinsconsulting.com/wp-content/uploads/2019/02/E-Banking-IT-WorkProgram.pdf</t>
  </si>
  <si>
    <t>https://watkinsconsulting.com/wp-content/uploads/2019/02/Development-and-Acquisition-IT-WorkProgram.pdf</t>
  </si>
  <si>
    <t>Word URL</t>
  </si>
  <si>
    <t>https://ithandbook.ffiec.gov/media/274712/ffiec_itworkprogram_audit.docx</t>
  </si>
  <si>
    <t>https://ithandbook.ffiec.gov/media/274728/ffiec_itworkprogram_businesscontinuityplanning.docx</t>
  </si>
  <si>
    <t>https://ithandbook.ffiec.gov/media/274744/ffiec_itworkprogram_developmentandacquisition.docx</t>
  </si>
  <si>
    <t>https://ithandbook.ffiec.gov/media/274780/ffiec_itworkprogram_e-banking.docx</t>
  </si>
  <si>
    <t>https://ithandbook.ffiec.gov/media/274796/ffiec_itworkprogram_informationsecurity.docx</t>
  </si>
  <si>
    <t>https://ithandbook.ffiec.gov/media/274812/ffiec_itworkprogram_management.docx</t>
  </si>
  <si>
    <t>https://ithandbook.ffiec.gov/media/274828/ffiec_itworkprogram_operations.docx</t>
  </si>
  <si>
    <t>https://ithandbook.ffiec.gov/media/274844/ffiec_itworkprogram_outsourcingtechnologyservices.docx</t>
  </si>
  <si>
    <t>https://ithandbook.ffiec.gov/media/274847/ffiec_msspworkprogram_outsourcingtechnologyservices.docx</t>
  </si>
  <si>
    <t>https://ithandbook.ffiec.gov/media/274863/ffiec_itworkprogram_retailpaymentsystems.docx</t>
  </si>
  <si>
    <t>https://ithandbook.ffiec.gov/media/274902/ffiec_itworkprogram_wholesalepaymentsystems.docx</t>
  </si>
  <si>
    <t>https://watkinsconsulting.com/wp-content/uploads/2019/02/Wholesale-Payment-Systems.pdf</t>
  </si>
  <si>
    <t>Assesment</t>
  </si>
  <si>
    <t>Ref. #</t>
  </si>
  <si>
    <t>order</t>
  </si>
  <si>
    <t>3</t>
  </si>
  <si>
    <t>4</t>
  </si>
  <si>
    <t>28</t>
  </si>
  <si>
    <t>47</t>
  </si>
  <si>
    <t>30</t>
  </si>
  <si>
    <t>5</t>
  </si>
  <si>
    <t>14</t>
  </si>
  <si>
    <t>17</t>
  </si>
  <si>
    <t>2</t>
  </si>
  <si>
    <t>27</t>
  </si>
  <si>
    <t>6</t>
  </si>
  <si>
    <t>50</t>
  </si>
  <si>
    <t>22</t>
  </si>
  <si>
    <t>43</t>
  </si>
  <si>
    <t>10</t>
  </si>
  <si>
    <t>21</t>
  </si>
  <si>
    <t>12</t>
  </si>
  <si>
    <t>38</t>
  </si>
  <si>
    <t>7</t>
  </si>
  <si>
    <t>11</t>
  </si>
  <si>
    <t>56</t>
  </si>
  <si>
    <t>19</t>
  </si>
  <si>
    <t>18</t>
  </si>
  <si>
    <t>IS.B:pg4</t>
  </si>
  <si>
    <t>36</t>
  </si>
  <si>
    <t>29</t>
  </si>
  <si>
    <t>48</t>
  </si>
  <si>
    <t>39</t>
  </si>
  <si>
    <t>26</t>
  </si>
  <si>
    <t>23</t>
  </si>
  <si>
    <t>32</t>
  </si>
  <si>
    <t>20</t>
  </si>
  <si>
    <t>15</t>
  </si>
  <si>
    <t>31</t>
  </si>
  <si>
    <t>16</t>
  </si>
  <si>
    <t>IS.IS.II.C.15(b):pg33</t>
  </si>
  <si>
    <t>IS.IS.II.C.15(b):pg33: Management should implement effective application access controls by doing the following: Implementing a robust authentication method consistent with the criticality and sensitivity of the application.</t>
  </si>
  <si>
    <t>33</t>
  </si>
  <si>
    <t>41</t>
  </si>
  <si>
    <t>MGT.WP.12.10</t>
  </si>
  <si>
    <t>IS.IS.II.C.17:pg38</t>
  </si>
  <si>
    <t>IS.IS.II.C.17:pg38: To verify the controls have been developed and implemented appropriately, management should perform appropriate tests (e.g., penetration tests, vulnerability assessments, and application security tests) before launching or making significant changes to external-facing applications.</t>
  </si>
  <si>
    <t>46</t>
  </si>
  <si>
    <t>IS.III.C.22:pg44</t>
  </si>
  <si>
    <t>IS.III.C.22:pg44: Institutions maintain event logs to understand an incident or cyber event after it occurs. Monitoring event logs for anomalies and relating that information with other sources of information broadens the institution’s ability to understand trends, react to threats, and improve reports to management and the board.</t>
  </si>
  <si>
    <t>44</t>
  </si>
  <si>
    <t>49</t>
  </si>
  <si>
    <t>24</t>
  </si>
  <si>
    <t>IS.II.C.6:pg14</t>
  </si>
  <si>
    <t>42</t>
  </si>
  <si>
    <t>34</t>
  </si>
  <si>
    <t>35</t>
  </si>
  <si>
    <t>51</t>
  </si>
  <si>
    <t>52</t>
  </si>
  <si>
    <t>45</t>
  </si>
  <si>
    <t>IS.WP.2.4.e</t>
  </si>
  <si>
    <t>DS Match</t>
  </si>
  <si>
    <t>DS</t>
  </si>
  <si>
    <t>DSm</t>
  </si>
  <si>
    <t>A risk assessment focused on safeguarding customer information identifies reasonable and foreseeable internal and external threats, the likelihood and potential damage of threats, and the sufficiency of policies, procedures, and customer information systems.</t>
  </si>
  <si>
    <t>clean DS</t>
  </si>
  <si>
    <t>All ports are monitored.</t>
  </si>
  <si>
    <t>Up to date antivirus and anti-malware tools are used.</t>
  </si>
  <si>
    <t>Access to make changes to systems configurations (including virtual machines and hypervisors) is controlled and monitored.</t>
  </si>
  <si>
    <t>Wireless network environments require security settings with strong encryption for authentication and transmission. (*N/A if there are no wireless networks.)</t>
  </si>
  <si>
    <t>Mobile devices (e.g., laptops, tablets, and removable media) are encrypted if used to store confidential data. (*N/A if mobile devices are not used.)</t>
  </si>
  <si>
    <t>Data is disposed of or destroyed according to documented requirements and within expected time frames.</t>
  </si>
  <si>
    <t>The security controls of internally developed software are periodically reviewed and tested. (*N/A if there is no software development.)</t>
  </si>
  <si>
    <t>Antivirus and anti-malware tools are used to detect attacks.</t>
  </si>
  <si>
    <t>Elevated privileges are monitored.</t>
  </si>
  <si>
    <t>Mechanisms (e.g., antivirus alerts, log event alerts) are in place to alert management to potential attacks.</t>
  </si>
  <si>
    <t>The response team includes individuals with a wide range of backgrounds and expertise, from many different areas within the institution (e.g., management, legal, public relations, as well as information technology).</t>
  </si>
  <si>
    <t>The institution plans to use business continuity, disaster recovery, and data backup programs to recover operations following an incident.</t>
  </si>
  <si>
    <t>Dsm clean</t>
  </si>
  <si>
    <t>The institution belongs or subscribes to a threat and vulnerability information sharing source(s) that provides information on threats (e.g., Financial Services Information Sharing and Analysis Center [FS-ISAC], U.S. Computer Emergency Readiness Team [US-CERT])</t>
  </si>
  <si>
    <t>hideText</t>
  </si>
  <si>
    <t>Link to Declarative Statement</t>
  </si>
  <si>
    <t>Link to Reference</t>
  </si>
  <si>
    <t>Appendix A</t>
  </si>
  <si>
    <t>AppAref</t>
  </si>
  <si>
    <t>DSorder</t>
  </si>
  <si>
    <t>Assessment</t>
  </si>
  <si>
    <t>Count</t>
  </si>
  <si>
    <t>offest</t>
  </si>
  <si>
    <t>counter</t>
  </si>
  <si>
    <t>Baseline copied from Appendix A</t>
  </si>
  <si>
    <t>Verify that the existing structure matches up with the Appendix A structure created in this version</t>
  </si>
  <si>
    <t>Link Text From Appendix A to DS</t>
  </si>
  <si>
    <t>row</t>
  </si>
  <si>
    <t>Initials</t>
  </si>
  <si>
    <t>reference match</t>
  </si>
  <si>
    <t>Refernce Link</t>
  </si>
  <si>
    <t>User Work Area</t>
  </si>
  <si>
    <t>the overall comparison of inherent risk and cybersecurity maturity</t>
  </si>
  <si>
    <t>Inherent risk summary</t>
  </si>
  <si>
    <t>Cybersecurity maturity heat map</t>
  </si>
  <si>
    <t>Detailed cybersecurity summary</t>
  </si>
  <si>
    <t>Information about this workbook</t>
  </si>
  <si>
    <t>Users can keep a log of their workbook updates</t>
  </si>
  <si>
    <t>Table of contents (this worksheet)</t>
  </si>
  <si>
    <t>Users can create their own calculations, reports, and charts</t>
  </si>
  <si>
    <t>A combined table summarizing all the cybersecurity declarative statements to facilitate pivot reporting in the user work area</t>
  </si>
  <si>
    <t>Appendix A: Mapping Baseline Statements to FFIEC IT Examination Handbook (version 1.1)</t>
  </si>
  <si>
    <t>added Appendix A; references to Work Programs are now available through Watkins' website</t>
  </si>
  <si>
    <t>Add the capability to refer to user Excel workbooks that capture Work Program information</t>
  </si>
  <si>
    <t>Merge Appendix A URL references with maturity references. Verify that if the user has changed the reference to be a local file that the reference still works.</t>
  </si>
  <si>
    <t>Add NIST CSF mapping</t>
  </si>
  <si>
    <t>Worksheet</t>
  </si>
  <si>
    <t>add external references (this sheet, lower left); added Table of Contents (TOC worksheet); added user defined worksheet (Pivot Reports); added Data rollup (Table Roll Up) for cybersecurity maturity; added warning message if an entire component is marked as N/A</t>
  </si>
  <si>
    <t>Hide the Registration Notice</t>
  </si>
  <si>
    <t>unprotected pdf/web selector</t>
  </si>
  <si>
    <t>registration notice added to each page with ability to hide on each page; cleaned up pivot reports</t>
  </si>
  <si>
    <t>839 Bestgate Rd., Suite 400</t>
  </si>
  <si>
    <t>3.3.1</t>
  </si>
  <si>
    <t>updated address</t>
  </si>
  <si>
    <t>Copyright (c) 2019, Watkins Consulting, Inc.</t>
  </si>
  <si>
    <t>Cybersecurity Assessment Tool</t>
  </si>
  <si>
    <t>Remove bug when pasting into declarative statement responses; allow weighting changes; use names instead of references for weighting calculation</t>
  </si>
  <si>
    <t>Update handbook links for latest web location. Update all web links (incomplete before). Disable alt PDF links. Update information page FFIEC links. Corrected license language to refer to current copyright location.</t>
  </si>
  <si>
    <t>allowed cell formatting on protected sheets, corrected typos</t>
  </si>
  <si>
    <t>/wp-content/uploads/2019/10/Watkins-FFIEC-CAT-Excel-User-Guide-v3.3.1.pdf</t>
  </si>
  <si>
    <t>3.4.1</t>
  </si>
  <si>
    <t>allowed row and column formatting, corrected user manual reference</t>
  </si>
  <si>
    <t>3.4.2</t>
  </si>
  <si>
    <t>fixed impromperly locked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</si>
</sst>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1" formatCode="_(* #,##0_);_(* \(#,##0\);_(* &quot;-&quot;_);_(@_)"/>
    <numFmt numFmtId="164" formatCode="[$-409]d\-mmm\-yyyy;@"/>
  </numFmts>
  <fonts count="56" x14ac:knownFonts="1">
    <font>
      <sz val="11"/>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
      <color theme="3"/>
      <name val="Calibri"/>
      <family val="2"/>
      <scheme val="minor"/>
    </font>
    <font>
      <sz val="11"/>
      <color theme="9" tint="-0.499984740745262"/>
      <name val="Calibri"/>
      <family val="2"/>
      <scheme val="minor"/>
    </font>
    <font>
      <u/>
      <sz val="11"/>
      <color theme="10"/>
      <name val="Calibri"/>
      <family val="2"/>
      <scheme val="minor"/>
    </font>
    <font>
      <sz val="10"/>
      <color rgb="FF000000"/>
      <name val="Arial"/>
      <family val="2"/>
    </font>
    <font>
      <b/>
      <sz val="18"/>
      <color theme="3"/>
      <name val="Cambria"/>
      <family val="2"/>
      <scheme val="major"/>
    </font>
    <font>
      <b/>
      <sz val="14"/>
      <color rgb="FF17365D"/>
      <name val="Calisto MT"/>
      <family val="1"/>
    </font>
    <font>
      <b/>
      <sz val="20"/>
      <color theme="3"/>
      <name val="Calisto MT"/>
      <family val="1"/>
    </font>
    <font>
      <b/>
      <sz val="24"/>
      <color theme="3"/>
      <name val="Cambria"/>
      <family val="2"/>
      <scheme val="major"/>
    </font>
    <font>
      <sz val="11"/>
      <name val="Calibri"/>
      <family val="2"/>
      <scheme val="minor"/>
    </font>
    <font>
      <b/>
      <sz val="10"/>
      <color theme="1"/>
      <name val="Calibri"/>
      <family val="2"/>
      <scheme val="minor"/>
    </font>
    <font>
      <b/>
      <sz val="8"/>
      <name val="Arial"/>
      <family val="2"/>
    </font>
    <font>
      <b/>
      <sz val="11"/>
      <color theme="0"/>
      <name val="Calibri"/>
      <family val="2"/>
      <scheme val="minor"/>
    </font>
    <font>
      <b/>
      <sz val="12"/>
      <color rgb="FF17365D"/>
      <name val="Calisto MT"/>
      <family val="1"/>
    </font>
    <font>
      <b/>
      <sz val="12"/>
      <name val="Calibri"/>
      <family val="2"/>
      <scheme val="minor"/>
    </font>
    <font>
      <b/>
      <sz val="12"/>
      <color theme="1"/>
      <name val="Calibri"/>
      <family val="2"/>
      <scheme val="minor"/>
    </font>
    <font>
      <b/>
      <i/>
      <sz val="11"/>
      <color theme="1"/>
      <name val="Calibri"/>
      <family val="2"/>
      <scheme val="minor"/>
    </font>
    <font>
      <b/>
      <sz val="11"/>
      <color rgb="FF17365D"/>
      <name val="Calibri"/>
      <family val="2"/>
      <scheme val="minor"/>
    </font>
    <font>
      <sz val="10"/>
      <color theme="1"/>
      <name val="Calibri"/>
      <family val="2"/>
      <scheme val="minor"/>
    </font>
    <font>
      <b/>
      <sz val="11"/>
      <color rgb="FFFF0000"/>
      <name val="Arial"/>
      <family val="2"/>
    </font>
    <font>
      <b/>
      <sz val="11"/>
      <name val="Arial"/>
      <family val="2"/>
    </font>
    <font>
      <sz val="11"/>
      <color rgb="FF17365D"/>
      <name val="Calibri"/>
      <family val="2"/>
      <scheme val="minor"/>
    </font>
    <font>
      <b/>
      <sz val="9"/>
      <color rgb="FF17365D"/>
      <name val="Calibri"/>
      <family val="2"/>
      <scheme val="minor"/>
    </font>
    <font>
      <b/>
      <sz val="14"/>
      <color rgb="FF17365D"/>
      <name val="Cambria"/>
      <family val="2"/>
      <scheme val="major"/>
    </font>
    <font>
      <b/>
      <sz val="14"/>
      <color rgb="FF17365D"/>
      <name val="Cambria"/>
      <family val="1"/>
      <scheme val="major"/>
    </font>
    <font>
      <b/>
      <sz val="18"/>
      <color rgb="FF17365D"/>
      <name val="Cambria"/>
      <family val="2"/>
      <scheme val="major"/>
    </font>
    <font>
      <sz val="14"/>
      <color rgb="FF17365D"/>
      <name val="Cambria"/>
      <family val="1"/>
      <scheme val="major"/>
    </font>
    <font>
      <sz val="6"/>
      <color theme="1"/>
      <name val="Terminal"/>
      <family val="3"/>
      <charset val="255"/>
    </font>
    <font>
      <sz val="11"/>
      <color theme="1"/>
      <name val="Terminal"/>
      <family val="3"/>
      <charset val="255"/>
    </font>
    <font>
      <sz val="11"/>
      <color theme="1"/>
      <name val="Consolas"/>
      <family val="3"/>
    </font>
    <font>
      <sz val="12"/>
      <color theme="1"/>
      <name val="Calibri"/>
      <family val="2"/>
      <scheme val="minor"/>
    </font>
    <font>
      <b/>
      <sz val="12"/>
      <color rgb="FFFA7D00"/>
      <name val="Calibri"/>
      <family val="2"/>
      <scheme val="minor"/>
    </font>
    <font>
      <b/>
      <sz val="16"/>
      <color rgb="FF17365D"/>
      <name val="Cambria"/>
      <family val="2"/>
      <scheme val="major"/>
    </font>
    <font>
      <b/>
      <sz val="16"/>
      <color rgb="FF17365D"/>
      <name val="Calibri"/>
      <family val="2"/>
      <scheme val="minor"/>
    </font>
    <font>
      <u/>
      <sz val="12"/>
      <color theme="10"/>
      <name val="Calibri"/>
      <family val="2"/>
      <scheme val="minor"/>
    </font>
    <font>
      <sz val="12"/>
      <color rgb="FF17365D"/>
      <name val="Calibri"/>
      <family val="2"/>
      <scheme val="minor"/>
    </font>
    <font>
      <sz val="11"/>
      <name val="Calibri"/>
      <family val="2"/>
      <scheme val="minor"/>
    </font>
    <font>
      <b/>
      <sz val="16"/>
      <color theme="1"/>
      <name val="Calibri"/>
      <family val="2"/>
      <scheme val="minor"/>
    </font>
    <font>
      <b/>
      <sz val="18"/>
      <color theme="3"/>
      <name val="Calibri"/>
      <family val="2"/>
      <scheme val="minor"/>
    </font>
    <font>
      <u/>
      <sz val="14"/>
      <name val="Calibri"/>
      <family val="2"/>
      <scheme val="minor"/>
    </font>
    <font>
      <u/>
      <sz val="14"/>
      <color theme="0"/>
      <name val="Calibri"/>
      <family val="2"/>
      <scheme val="minor"/>
    </font>
    <font>
      <i/>
      <sz val="14"/>
      <color rgb="FF7F7F7F"/>
      <name val="Calibri"/>
      <family val="2"/>
      <scheme val="minor"/>
    </font>
    <font>
      <sz val="11"/>
      <color rgb="FFFF0000"/>
      <name val="Calibri"/>
      <family val="2"/>
      <scheme val="minor"/>
    </font>
    <font>
      <i/>
      <sz val="12"/>
      <color rgb="FF7F7F7F"/>
      <name val="Calibri"/>
      <family val="2"/>
      <scheme val="minor"/>
    </font>
    <font>
      <b/>
      <sz val="12"/>
      <color rgb="FFFF0000"/>
      <name val="Calibri"/>
      <family val="2"/>
      <scheme val="minor"/>
    </font>
    <font>
      <b/>
      <sz val="10"/>
      <color rgb="FF000000"/>
      <name val="Arial"/>
      <family val="2"/>
    </font>
    <font>
      <u/>
      <sz val="11"/>
      <color rgb="FF0070C0"/>
      <name val="Calibri"/>
      <family val="2"/>
      <scheme val="minor"/>
    </font>
  </fonts>
  <fills count="31">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5"/>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E0EACC"/>
        <bgColor indexed="64"/>
      </patternFill>
    </fill>
    <fill>
      <patternFill patternType="solid">
        <fgColor rgb="FF17365D"/>
        <bgColor indexed="64"/>
      </patternFill>
    </fill>
    <fill>
      <patternFill patternType="solid">
        <fgColor rgb="FF99FF99"/>
        <bgColor indexed="64"/>
      </patternFill>
    </fill>
    <fill>
      <patternFill patternType="solid">
        <fgColor rgb="FFFF6565"/>
        <bgColor indexed="64"/>
      </patternFill>
    </fill>
    <fill>
      <patternFill patternType="solid">
        <fgColor rgb="FFFFFFCC"/>
        <bgColor indexed="64"/>
      </patternFill>
    </fill>
    <fill>
      <patternFill patternType="solid">
        <fgColor rgb="FF75A4DD"/>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A5A5A5"/>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C5D9EF"/>
      </patternFill>
    </fill>
    <fill>
      <patternFill patternType="solid">
        <fgColor rgb="FFC5D9EF"/>
        <bgColor indexed="64"/>
      </patternFill>
    </fill>
    <fill>
      <patternFill patternType="solid">
        <fgColor theme="0" tint="-0.14999847407452621"/>
        <bgColor theme="0" tint="-0.14999847407452621"/>
      </patternFill>
    </fill>
    <fill>
      <patternFill patternType="solid">
        <fgColor theme="0" tint="-0.34998626667073579"/>
        <bgColor indexed="64"/>
      </patternFill>
    </fill>
    <fill>
      <patternFill patternType="solid">
        <fgColor theme="8" tint="0.79998168889431442"/>
        <bgColor indexed="64"/>
      </patternFill>
    </fill>
  </fills>
  <borders count="67">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rgb="FF7F7F7F"/>
      </right>
      <top/>
      <bottom/>
      <diagonal/>
    </border>
    <border>
      <left style="medium">
        <color indexed="64"/>
      </left>
      <right/>
      <top style="thin">
        <color rgb="FF7F7F7F"/>
      </top>
      <bottom/>
      <diagonal/>
    </border>
    <border>
      <left style="medium">
        <color indexed="64"/>
      </left>
      <right/>
      <top/>
      <bottom/>
      <diagonal/>
    </border>
    <border>
      <left style="medium">
        <color indexed="64"/>
      </left>
      <right style="medium">
        <color indexed="64"/>
      </right>
      <top style="thin">
        <color rgb="FF7F7F7F"/>
      </top>
      <bottom/>
      <diagonal/>
    </border>
    <border>
      <left style="medium">
        <color indexed="64"/>
      </left>
      <right style="medium">
        <color indexed="64"/>
      </right>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rgb="FF7F7F7F"/>
      </right>
      <top style="thin">
        <color rgb="FF7F7F7F"/>
      </top>
      <bottom style="thin">
        <color rgb="FF7F7F7F"/>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diagonal/>
    </border>
    <border>
      <left/>
      <right style="medium">
        <color indexed="64"/>
      </right>
      <top style="thin">
        <color rgb="FF7F7F7F"/>
      </top>
      <bottom/>
      <diagonal/>
    </border>
    <border>
      <left style="thin">
        <color rgb="FF7F7F7F"/>
      </left>
      <right style="thin">
        <color rgb="FF7F7F7F"/>
      </right>
      <top/>
      <bottom/>
      <diagonal/>
    </border>
    <border>
      <left style="thin">
        <color indexed="64"/>
      </left>
      <right/>
      <top style="thick">
        <color theme="4"/>
      </top>
      <bottom/>
      <diagonal/>
    </border>
    <border>
      <left/>
      <right style="thin">
        <color indexed="64"/>
      </right>
      <top style="thick">
        <color theme="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theme="4" tint="0.39997558519241921"/>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ck">
        <color theme="0"/>
      </bottom>
      <diagonal/>
    </border>
    <border>
      <left/>
      <right/>
      <top style="thick">
        <color theme="0"/>
      </top>
      <bottom/>
      <diagonal/>
    </border>
    <border>
      <left/>
      <right/>
      <top/>
      <bottom style="thin">
        <color theme="3"/>
      </bottom>
      <diagonal/>
    </border>
    <border>
      <left/>
      <right/>
      <top style="thin">
        <color theme="3"/>
      </top>
      <bottom style="thin">
        <color theme="3"/>
      </bottom>
      <diagonal/>
    </border>
    <border>
      <left/>
      <right/>
      <top style="thick">
        <color theme="0"/>
      </top>
      <bottom style="thin">
        <color theme="3"/>
      </bottom>
      <diagonal/>
    </border>
    <border>
      <left style="thin">
        <color rgb="FF7F7F7F"/>
      </left>
      <right/>
      <top/>
      <bottom/>
      <diagonal/>
    </border>
    <border>
      <left/>
      <right/>
      <top style="thick">
        <color theme="4" tint="0.499984740745262"/>
      </top>
      <bottom/>
      <diagonal/>
    </border>
    <border>
      <left/>
      <right/>
      <top/>
      <bottom style="thick">
        <color rgb="FF17365D"/>
      </bottom>
      <diagonal/>
    </border>
    <border>
      <left style="thin">
        <color rgb="FFB2B2B2"/>
      </left>
      <right/>
      <top style="thin">
        <color rgb="FFB2B2B2"/>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style="thin">
        <color rgb="FFB2B2B2"/>
      </right>
      <top/>
      <bottom style="thin">
        <color rgb="FFB2B2B2"/>
      </bottom>
      <diagonal/>
    </border>
    <border>
      <left/>
      <right style="thick">
        <color theme="0" tint="-0.14996795556505021"/>
      </right>
      <top style="thick">
        <color theme="0"/>
      </top>
      <bottom/>
      <diagonal/>
    </border>
    <border>
      <left/>
      <right style="thick">
        <color theme="0" tint="-0.14996795556505021"/>
      </right>
      <top/>
      <bottom/>
      <diagonal/>
    </border>
    <border>
      <left/>
      <right style="thick">
        <color theme="0" tint="-0.14996795556505021"/>
      </right>
      <top/>
      <bottom style="thin">
        <color theme="3"/>
      </bottom>
      <diagonal/>
    </border>
    <border>
      <left/>
      <right style="thick">
        <color theme="0" tint="-0.14996795556505021"/>
      </right>
      <top style="thin">
        <color theme="3"/>
      </top>
      <bottom style="thin">
        <color theme="3"/>
      </bottom>
      <diagonal/>
    </border>
    <border>
      <left/>
      <right style="thick">
        <color theme="0" tint="-0.14996795556505021"/>
      </right>
      <top/>
      <bottom style="thick">
        <color theme="0"/>
      </bottom>
      <diagonal/>
    </border>
    <border>
      <left/>
      <right style="thick">
        <color theme="0" tint="-0.14996795556505021"/>
      </right>
      <top style="thick">
        <color theme="0"/>
      </top>
      <bottom style="thin">
        <color theme="3"/>
      </bottom>
      <diagonal/>
    </border>
    <border>
      <left style="medium">
        <color rgb="FF17365D"/>
      </left>
      <right/>
      <top style="medium">
        <color rgb="FF17365D"/>
      </top>
      <bottom/>
      <diagonal/>
    </border>
    <border>
      <left/>
      <right style="medium">
        <color rgb="FF17365D"/>
      </right>
      <top style="medium">
        <color rgb="FF17365D"/>
      </top>
      <bottom/>
      <diagonal/>
    </border>
    <border>
      <left style="medium">
        <color rgb="FF17365D"/>
      </left>
      <right/>
      <top/>
      <bottom style="medium">
        <color rgb="FF17365D"/>
      </bottom>
      <diagonal/>
    </border>
    <border>
      <left/>
      <right style="medium">
        <color rgb="FF17365D"/>
      </right>
      <top/>
      <bottom style="medium">
        <color rgb="FF17365D"/>
      </bottom>
      <diagonal/>
    </border>
    <border>
      <left/>
      <right/>
      <top/>
      <bottom style="thin">
        <color indexed="64"/>
      </bottom>
      <diagonal/>
    </border>
    <border>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rgb="FF7F7F7F"/>
      </right>
      <top style="medium">
        <color theme="4" tint="0.39997558519241921"/>
      </top>
      <bottom style="thin">
        <color indexed="64"/>
      </bottom>
      <diagonal/>
    </border>
    <border>
      <left style="thin">
        <color rgb="FFBDBDBD"/>
      </left>
      <right style="thin">
        <color rgb="FFBDBDBD"/>
      </right>
      <top style="thin">
        <color rgb="FFBDBDBD"/>
      </top>
      <bottom style="thin">
        <color rgb="FFBDBDBD"/>
      </bottom>
      <diagonal/>
    </border>
    <border>
      <left/>
      <right/>
      <top style="thin">
        <color rgb="FFBDBDBD"/>
      </top>
      <bottom/>
      <diagonal/>
    </border>
  </borders>
  <cellStyleXfs count="18">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6" fillId="4" borderId="3" applyNumberFormat="0" applyAlignment="0" applyProtection="0"/>
    <xf numFmtId="0" fontId="1" fillId="5" borderId="4" applyNumberFormat="0" applyFont="0" applyAlignment="0" applyProtection="0"/>
    <xf numFmtId="0" fontId="7" fillId="0" borderId="0" applyNumberFormat="0" applyFill="0" applyBorder="0" applyAlignment="0" applyProtection="0"/>
    <xf numFmtId="0" fontId="9" fillId="6" borderId="0" applyNumberFormat="0" applyBorder="0" applyAlignment="0" applyProtection="0"/>
    <xf numFmtId="0" fontId="10" fillId="0" borderId="6" applyNumberFormat="0" applyFill="0" applyAlignment="0" applyProtection="0"/>
    <xf numFmtId="0" fontId="12"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21" fillId="19" borderId="63" applyNumberFormat="0" applyAlignment="0" applyProtection="0"/>
    <xf numFmtId="0" fontId="51" fillId="0" borderId="0" applyNumberFormat="0" applyFill="0" applyBorder="0" applyAlignment="0" applyProtection="0"/>
  </cellStyleXfs>
  <cellXfs count="426">
    <xf numFmtId="0" fontId="0" fillId="0" borderId="0" xfId="0"/>
    <xf numFmtId="0" fontId="0" fillId="0" borderId="0" xfId="0" applyFont="1" applyBorder="1" applyAlignment="1">
      <alignment horizontal="left" vertical="top" wrapText="1"/>
    </xf>
    <xf numFmtId="0" fontId="0" fillId="0" borderId="0" xfId="0" quotePrefix="1"/>
    <xf numFmtId="0" fontId="0" fillId="0" borderId="0" xfId="0" applyFont="1" applyBorder="1" applyAlignment="1">
      <alignment vertical="top" wrapText="1"/>
    </xf>
    <xf numFmtId="0" fontId="7" fillId="0" borderId="0" xfId="8"/>
    <xf numFmtId="0" fontId="5" fillId="3" borderId="3" xfId="5"/>
    <xf numFmtId="0" fontId="22" fillId="10" borderId="0" xfId="11" applyFont="1" applyFill="1" applyProtection="1"/>
    <xf numFmtId="0" fontId="0" fillId="10" borderId="0" xfId="0" applyFill="1" applyProtection="1"/>
    <xf numFmtId="0" fontId="12" fillId="10" borderId="0" xfId="11" applyFill="1" applyAlignment="1" applyProtection="1">
      <alignment horizontal="center"/>
    </xf>
    <xf numFmtId="0" fontId="16" fillId="0" borderId="0" xfId="2" applyFont="1" applyBorder="1" applyAlignment="1" applyProtection="1">
      <alignment horizontal="center" vertical="center"/>
    </xf>
    <xf numFmtId="0" fontId="0" fillId="0" borderId="0" xfId="0" applyProtection="1"/>
    <xf numFmtId="0" fontId="12" fillId="0" borderId="0" xfId="11" applyProtection="1"/>
    <xf numFmtId="0" fontId="10" fillId="0" borderId="0" xfId="10" applyBorder="1" applyAlignment="1" applyProtection="1">
      <alignment horizontal="center" vertical="center"/>
    </xf>
    <xf numFmtId="0" fontId="0" fillId="0" borderId="0" xfId="0" applyBorder="1" applyProtection="1"/>
    <xf numFmtId="0" fontId="12" fillId="0" borderId="0" xfId="11" applyBorder="1" applyProtection="1"/>
    <xf numFmtId="0" fontId="17" fillId="0" borderId="0" xfId="12" applyFont="1" applyBorder="1" applyAlignment="1" applyProtection="1">
      <alignment horizontal="center" vertical="center"/>
    </xf>
    <xf numFmtId="0" fontId="0" fillId="0" borderId="0" xfId="0" applyFill="1" applyBorder="1" applyProtection="1"/>
    <xf numFmtId="0" fontId="21" fillId="0" borderId="0" xfId="0" applyFont="1" applyFill="1" applyBorder="1" applyAlignment="1" applyProtection="1">
      <alignment vertical="center" wrapText="1"/>
    </xf>
    <xf numFmtId="14" fontId="0" fillId="0" borderId="0" xfId="0" applyNumberFormat="1" applyProtection="1"/>
    <xf numFmtId="0" fontId="3" fillId="0" borderId="0" xfId="13" applyProtection="1"/>
    <xf numFmtId="0" fontId="25" fillId="0" borderId="0" xfId="0" applyFont="1" applyAlignment="1" applyProtection="1"/>
    <xf numFmtId="0" fontId="19" fillId="0" borderId="0" xfId="0" applyFont="1" applyBorder="1" applyAlignment="1" applyProtection="1">
      <alignment vertical="top" wrapText="1"/>
    </xf>
    <xf numFmtId="0" fontId="19" fillId="0" borderId="0" xfId="0" applyFont="1" applyAlignment="1" applyProtection="1">
      <alignment vertical="top" wrapText="1"/>
    </xf>
    <xf numFmtId="0" fontId="7" fillId="0" borderId="0" xfId="8" applyAlignment="1" applyProtection="1">
      <alignment horizontal="left"/>
    </xf>
    <xf numFmtId="0" fontId="12" fillId="0" borderId="0" xfId="11" applyAlignment="1" applyProtection="1">
      <alignment horizontal="left" vertical="top" wrapText="1"/>
    </xf>
    <xf numFmtId="0" fontId="27" fillId="0" borderId="0" xfId="0" applyFont="1" applyAlignment="1" applyProtection="1">
      <alignment horizontal="left"/>
    </xf>
    <xf numFmtId="0" fontId="12" fillId="0" borderId="0" xfId="11" applyAlignment="1" applyProtection="1">
      <alignment horizontal="center" wrapText="1"/>
    </xf>
    <xf numFmtId="0" fontId="12" fillId="0" borderId="0" xfId="11" applyAlignment="1" applyProtection="1">
      <alignment horizontal="center" vertical="top" wrapText="1"/>
    </xf>
    <xf numFmtId="0" fontId="7" fillId="0" borderId="0" xfId="8" applyAlignment="1" applyProtection="1">
      <alignment horizontal="left" vertical="top"/>
    </xf>
    <xf numFmtId="0" fontId="12" fillId="0" borderId="0" xfId="11" applyAlignment="1" applyProtection="1">
      <alignment vertical="top" wrapText="1"/>
    </xf>
    <xf numFmtId="0" fontId="0" fillId="0" borderId="0" xfId="0" applyAlignment="1" applyProtection="1">
      <alignment vertical="top" wrapText="1"/>
    </xf>
    <xf numFmtId="0" fontId="5" fillId="3" borderId="3" xfId="5" applyProtection="1">
      <protection locked="0"/>
    </xf>
    <xf numFmtId="0" fontId="15" fillId="0" borderId="0" xfId="11" applyFont="1" applyProtection="1"/>
    <xf numFmtId="0" fontId="14" fillId="0" borderId="0" xfId="12" applyProtection="1"/>
    <xf numFmtId="0" fontId="8" fillId="7" borderId="7" xfId="0" applyFont="1" applyFill="1" applyBorder="1" applyAlignment="1" applyProtection="1">
      <alignment horizontal="center" vertical="top"/>
    </xf>
    <xf numFmtId="0" fontId="0" fillId="12" borderId="7" xfId="0" applyFill="1" applyBorder="1" applyAlignment="1" applyProtection="1">
      <alignment wrapText="1"/>
    </xf>
    <xf numFmtId="0" fontId="0" fillId="9" borderId="7" xfId="0" applyFill="1" applyBorder="1" applyAlignment="1" applyProtection="1">
      <alignment wrapText="1"/>
    </xf>
    <xf numFmtId="0" fontId="0" fillId="13" borderId="7" xfId="0" applyFill="1" applyBorder="1" applyAlignment="1" applyProtection="1">
      <alignment wrapText="1"/>
    </xf>
    <xf numFmtId="0" fontId="6" fillId="4" borderId="3" xfId="6" applyProtection="1"/>
    <xf numFmtId="0" fontId="9" fillId="0" borderId="0" xfId="0" applyFont="1" applyProtection="1"/>
    <xf numFmtId="0" fontId="7" fillId="0" borderId="0" xfId="8" applyProtection="1"/>
    <xf numFmtId="0" fontId="0" fillId="0" borderId="0" xfId="0" applyAlignment="1" applyProtection="1">
      <alignment horizontal="right"/>
    </xf>
    <xf numFmtId="0" fontId="0" fillId="0" borderId="0" xfId="0" applyBorder="1" applyAlignment="1" applyProtection="1">
      <alignment horizontal="right"/>
    </xf>
    <xf numFmtId="0" fontId="3" fillId="0" borderId="2" xfId="3" applyProtection="1"/>
    <xf numFmtId="0" fontId="3" fillId="0" borderId="0" xfId="0" applyFont="1" applyAlignment="1" applyProtection="1">
      <alignment horizontal="center" vertical="center"/>
    </xf>
    <xf numFmtId="0" fontId="0" fillId="0" borderId="0" xfId="0" applyFill="1" applyProtection="1"/>
    <xf numFmtId="0" fontId="0" fillId="0" borderId="0" xfId="0" applyAlignment="1" applyProtection="1">
      <alignment wrapText="1"/>
    </xf>
    <xf numFmtId="0" fontId="3" fillId="0" borderId="2" xfId="3" applyAlignment="1" applyProtection="1">
      <alignment wrapText="1"/>
    </xf>
    <xf numFmtId="0" fontId="0" fillId="0" borderId="0" xfId="0" applyAlignment="1" applyProtection="1">
      <alignment horizontal="center" vertical="center"/>
    </xf>
    <xf numFmtId="0" fontId="8" fillId="0" borderId="11" xfId="0" applyFont="1" applyBorder="1" applyAlignment="1" applyProtection="1">
      <alignment horizontal="center" vertical="center" wrapText="1"/>
      <protection locked="0"/>
    </xf>
    <xf numFmtId="0" fontId="0" fillId="0" borderId="9"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10" xfId="0" applyFont="1" applyBorder="1" applyAlignment="1" applyProtection="1">
      <alignment horizontal="left" vertical="top" wrapText="1"/>
      <protection locked="0"/>
    </xf>
    <xf numFmtId="0" fontId="23" fillId="0" borderId="14" xfId="0" applyFont="1" applyBorder="1" applyAlignment="1" applyProtection="1">
      <alignment horizontal="center"/>
    </xf>
    <xf numFmtId="0" fontId="23" fillId="0" borderId="20" xfId="0" applyFont="1" applyBorder="1" applyAlignment="1" applyProtection="1">
      <alignment horizontal="center"/>
    </xf>
    <xf numFmtId="0" fontId="3" fillId="0" borderId="17" xfId="2" applyFont="1" applyBorder="1" applyAlignment="1" applyProtection="1">
      <alignment horizontal="center" wrapText="1"/>
    </xf>
    <xf numFmtId="0" fontId="3" fillId="0" borderId="18" xfId="2" applyFont="1" applyBorder="1" applyAlignment="1" applyProtection="1">
      <alignment horizontal="center" wrapText="1"/>
    </xf>
    <xf numFmtId="0" fontId="5" fillId="3" borderId="13" xfId="5" applyBorder="1" applyAlignment="1" applyProtection="1">
      <alignment wrapText="1"/>
    </xf>
    <xf numFmtId="0" fontId="0" fillId="0" borderId="0" xfId="0" applyAlignment="1" applyProtection="1">
      <alignment horizontal="left" vertical="top" wrapText="1"/>
    </xf>
    <xf numFmtId="0" fontId="8" fillId="0" borderId="12" xfId="0" applyFont="1" applyBorder="1" applyAlignment="1" applyProtection="1">
      <alignment horizontal="center" vertical="center" wrapText="1"/>
      <protection locked="0"/>
    </xf>
    <xf numFmtId="0" fontId="3" fillId="0" borderId="21" xfId="2" applyFont="1" applyBorder="1" applyAlignment="1" applyProtection="1">
      <alignment horizontal="center" wrapText="1"/>
    </xf>
    <xf numFmtId="0" fontId="3" fillId="0" borderId="19" xfId="2" applyFont="1" applyBorder="1" applyAlignment="1" applyProtection="1">
      <alignment horizontal="center" wrapText="1"/>
    </xf>
    <xf numFmtId="0" fontId="5" fillId="3" borderId="3" xfId="5" applyAlignment="1" applyProtection="1">
      <alignment wrapText="1"/>
    </xf>
    <xf numFmtId="0" fontId="0" fillId="0" borderId="25" xfId="0" applyBorder="1" applyAlignment="1" applyProtection="1">
      <alignment vertical="top" wrapText="1"/>
      <protection locked="0"/>
    </xf>
    <xf numFmtId="0" fontId="8" fillId="0" borderId="23" xfId="0" applyFont="1" applyBorder="1" applyAlignment="1" applyProtection="1">
      <alignment horizontal="center" vertical="center" wrapText="1"/>
      <protection locked="0"/>
    </xf>
    <xf numFmtId="0" fontId="0" fillId="0" borderId="24" xfId="0" applyBorder="1" applyAlignment="1" applyProtection="1">
      <alignment vertical="top" wrapText="1"/>
      <protection locked="0"/>
    </xf>
    <xf numFmtId="0" fontId="0" fillId="0" borderId="26" xfId="0" applyBorder="1" applyAlignment="1" applyProtection="1">
      <alignment vertical="top" wrapText="1"/>
      <protection locked="0"/>
    </xf>
    <xf numFmtId="0" fontId="3" fillId="0" borderId="12" xfId="2" applyFont="1" applyBorder="1" applyAlignment="1" applyProtection="1">
      <alignment horizontal="center" wrapText="1"/>
    </xf>
    <xf numFmtId="0" fontId="0" fillId="0" borderId="24" xfId="0" applyBorder="1" applyAlignment="1" applyProtection="1">
      <alignment wrapText="1"/>
    </xf>
    <xf numFmtId="0" fontId="5" fillId="3" borderId="22" xfId="5" applyBorder="1" applyAlignment="1" applyProtection="1">
      <alignment wrapText="1"/>
    </xf>
    <xf numFmtId="0" fontId="5" fillId="3" borderId="27" xfId="5" applyBorder="1" applyAlignment="1" applyProtection="1">
      <alignment wrapText="1"/>
    </xf>
    <xf numFmtId="0" fontId="0" fillId="0" borderId="25" xfId="0" applyBorder="1" applyAlignment="1" applyProtection="1">
      <alignment vertical="top" wrapText="1"/>
    </xf>
    <xf numFmtId="0" fontId="0" fillId="0" borderId="26" xfId="0" applyBorder="1" applyAlignment="1" applyProtection="1">
      <alignment vertical="top" wrapText="1"/>
    </xf>
    <xf numFmtId="0" fontId="8" fillId="0" borderId="28" xfId="0" applyFont="1" applyBorder="1" applyAlignment="1" applyProtection="1">
      <alignment horizontal="center" vertical="center" wrapText="1"/>
      <protection locked="0"/>
    </xf>
    <xf numFmtId="0" fontId="0" fillId="0" borderId="0" xfId="0" applyAlignment="1" applyProtection="1">
      <alignment horizontal="left" wrapText="1"/>
    </xf>
    <xf numFmtId="0" fontId="0" fillId="0" borderId="0" xfId="0" applyBorder="1" applyAlignment="1" applyProtection="1">
      <alignment horizontal="left" wrapText="1"/>
    </xf>
    <xf numFmtId="0" fontId="0" fillId="0" borderId="0" xfId="0" applyBorder="1" applyAlignment="1" applyProtection="1">
      <alignment horizontal="left" vertical="top" wrapText="1"/>
    </xf>
    <xf numFmtId="0" fontId="0" fillId="0" borderId="0" xfId="0" applyBorder="1" applyAlignment="1" applyProtection="1">
      <alignment vertical="top" wrapText="1"/>
    </xf>
    <xf numFmtId="0" fontId="0" fillId="0" borderId="0" xfId="0" applyFill="1" applyBorder="1" applyAlignment="1" applyProtection="1">
      <alignment horizontal="left" vertical="top" wrapText="1"/>
    </xf>
    <xf numFmtId="0" fontId="10" fillId="0" borderId="6" xfId="10" applyAlignment="1" applyProtection="1">
      <alignment horizontal="center" wrapText="1"/>
    </xf>
    <xf numFmtId="9" fontId="0" fillId="0" borderId="0" xfId="1" applyNumberFormat="1" applyFont="1" applyAlignment="1" applyProtection="1">
      <alignment horizontal="left" vertical="top" wrapText="1"/>
    </xf>
    <xf numFmtId="9" fontId="11" fillId="0" borderId="0" xfId="1" applyNumberFormat="1"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9" fillId="6" borderId="0" xfId="9" applyAlignment="1" applyProtection="1">
      <alignment horizontal="center" vertical="center"/>
    </xf>
    <xf numFmtId="9" fontId="11" fillId="0" borderId="0" xfId="1" applyNumberFormat="1" applyFont="1" applyAlignment="1" applyProtection="1">
      <alignment horizontal="left" vertical="top" wrapText="1"/>
    </xf>
    <xf numFmtId="0" fontId="11" fillId="0" borderId="0" xfId="0" applyNumberFormat="1" applyFont="1" applyAlignment="1" applyProtection="1">
      <alignment horizontal="left" vertical="top" wrapText="1"/>
    </xf>
    <xf numFmtId="0" fontId="0" fillId="0" borderId="0" xfId="0" applyAlignment="1" applyProtection="1">
      <alignment horizontal="left" vertical="top"/>
    </xf>
    <xf numFmtId="0" fontId="0" fillId="0" borderId="11" xfId="0" applyBorder="1" applyAlignment="1" applyProtection="1">
      <alignment horizontal="left" vertical="top"/>
      <protection locked="0"/>
    </xf>
    <xf numFmtId="0" fontId="0" fillId="0" borderId="0" xfId="0" applyAlignment="1" applyProtection="1"/>
    <xf numFmtId="0" fontId="0" fillId="0" borderId="12" xfId="0" applyBorder="1" applyAlignment="1" applyProtection="1">
      <alignment horizontal="left" vertical="top"/>
      <protection locked="0"/>
    </xf>
    <xf numFmtId="0" fontId="2" fillId="0" borderId="0" xfId="2" applyBorder="1" applyAlignment="1" applyProtection="1"/>
    <xf numFmtId="0" fontId="5" fillId="3" borderId="29" xfId="5" applyBorder="1" applyAlignment="1" applyProtection="1">
      <alignment wrapText="1"/>
    </xf>
    <xf numFmtId="0" fontId="0" fillId="0" borderId="0" xfId="0" applyNumberFormat="1" applyAlignment="1" applyProtection="1">
      <alignment horizontal="left" vertical="top"/>
    </xf>
    <xf numFmtId="0" fontId="12" fillId="0" borderId="0" xfId="11" applyFont="1" applyAlignment="1" applyProtection="1">
      <alignment horizontal="left" wrapText="1"/>
    </xf>
    <xf numFmtId="0" fontId="0" fillId="0" borderId="0" xfId="0" applyProtection="1"/>
    <xf numFmtId="9" fontId="0" fillId="15" borderId="34" xfId="1" applyFont="1" applyFill="1" applyBorder="1" applyAlignment="1">
      <alignment horizontal="center"/>
    </xf>
    <xf numFmtId="9" fontId="0" fillId="15" borderId="0" xfId="1" applyFont="1" applyFill="1" applyBorder="1" applyAlignment="1">
      <alignment horizontal="center"/>
    </xf>
    <xf numFmtId="0" fontId="10" fillId="0" borderId="6" xfId="10" applyAlignment="1">
      <alignment horizontal="center" vertical="center" wrapText="1"/>
    </xf>
    <xf numFmtId="0" fontId="0" fillId="15" borderId="34" xfId="0" applyFill="1" applyBorder="1" applyAlignment="1">
      <alignment horizontal="center" vertical="center"/>
    </xf>
    <xf numFmtId="0" fontId="0" fillId="0" borderId="0" xfId="0" applyAlignment="1">
      <alignment horizontal="center" vertical="center"/>
    </xf>
    <xf numFmtId="0" fontId="10" fillId="0" borderId="6" xfId="10" applyAlignment="1">
      <alignment horizontal="center" vertical="center"/>
    </xf>
    <xf numFmtId="9" fontId="0" fillId="16" borderId="0" xfId="1" applyFont="1" applyFill="1" applyBorder="1" applyAlignment="1">
      <alignment horizontal="center"/>
    </xf>
    <xf numFmtId="9" fontId="0" fillId="15" borderId="38" xfId="1" applyFont="1" applyFill="1" applyBorder="1" applyAlignment="1">
      <alignment horizontal="center"/>
    </xf>
    <xf numFmtId="9" fontId="0" fillId="16" borderId="38" xfId="1" applyFont="1" applyFill="1" applyBorder="1" applyAlignment="1">
      <alignment horizontal="center"/>
    </xf>
    <xf numFmtId="9" fontId="0" fillId="15" borderId="40" xfId="1" applyFont="1" applyFill="1" applyBorder="1" applyAlignment="1">
      <alignment horizontal="center"/>
    </xf>
    <xf numFmtId="9" fontId="0" fillId="15" borderId="41" xfId="1" applyFont="1" applyFill="1" applyBorder="1" applyAlignment="1">
      <alignment horizontal="center"/>
    </xf>
    <xf numFmtId="9" fontId="0" fillId="16" borderId="42" xfId="1" applyFont="1" applyFill="1" applyBorder="1" applyAlignment="1">
      <alignment horizontal="center"/>
    </xf>
    <xf numFmtId="9" fontId="0" fillId="16" borderId="41" xfId="1" applyFont="1" applyFill="1" applyBorder="1" applyAlignment="1">
      <alignment horizontal="center"/>
    </xf>
    <xf numFmtId="0" fontId="0" fillId="0" borderId="0" xfId="0" applyProtection="1"/>
    <xf numFmtId="0" fontId="0" fillId="0" borderId="0" xfId="0" applyAlignment="1" applyProtection="1">
      <alignment horizontal="left" vertical="top" wrapText="1"/>
    </xf>
    <xf numFmtId="0" fontId="0" fillId="0" borderId="0" xfId="0" applyAlignment="1" applyProtection="1">
      <alignment horizontal="left" vertical="top" wrapText="1"/>
    </xf>
    <xf numFmtId="0" fontId="7" fillId="0" borderId="0" xfId="8" applyAlignment="1" applyProtection="1">
      <alignment vertical="top"/>
    </xf>
    <xf numFmtId="0" fontId="0" fillId="0" borderId="0" xfId="0"/>
    <xf numFmtId="0" fontId="0" fillId="15" borderId="34" xfId="0" applyFill="1" applyBorder="1" applyAlignment="1">
      <alignment horizontal="left" vertical="center" wrapText="1"/>
    </xf>
    <xf numFmtId="0" fontId="0" fillId="15" borderId="0" xfId="0" applyFill="1" applyBorder="1" applyAlignment="1">
      <alignment horizontal="left" vertical="center" wrapText="1"/>
    </xf>
    <xf numFmtId="0" fontId="0" fillId="15" borderId="40" xfId="0" applyFill="1" applyBorder="1" applyAlignment="1">
      <alignment horizontal="left" vertical="center" wrapText="1"/>
    </xf>
    <xf numFmtId="0" fontId="0" fillId="15" borderId="41" xfId="0" applyFill="1" applyBorder="1" applyAlignment="1">
      <alignment horizontal="left" vertical="center" wrapText="1"/>
    </xf>
    <xf numFmtId="0" fontId="0" fillId="15" borderId="38" xfId="0" applyFill="1" applyBorder="1" applyAlignment="1">
      <alignment horizontal="left" vertical="center" wrapText="1"/>
    </xf>
    <xf numFmtId="0" fontId="0" fillId="16" borderId="42" xfId="0" applyFill="1" applyBorder="1" applyAlignment="1">
      <alignment horizontal="left" vertical="center" wrapText="1"/>
    </xf>
    <xf numFmtId="0" fontId="0" fillId="16" borderId="41" xfId="0" applyFill="1" applyBorder="1" applyAlignment="1">
      <alignment horizontal="left" vertical="center" wrapText="1"/>
    </xf>
    <xf numFmtId="0" fontId="0" fillId="16" borderId="38" xfId="0" applyFill="1" applyBorder="1" applyAlignment="1">
      <alignment horizontal="left" vertical="center" wrapText="1"/>
    </xf>
    <xf numFmtId="0" fontId="0" fillId="16" borderId="0" xfId="0" applyFill="1" applyBorder="1" applyAlignment="1">
      <alignment horizontal="left" vertical="center" wrapText="1"/>
    </xf>
    <xf numFmtId="0" fontId="0" fillId="17" borderId="0" xfId="0" applyFill="1" applyBorder="1" applyAlignment="1">
      <alignment horizontal="left" vertical="center" wrapText="1"/>
    </xf>
    <xf numFmtId="0" fontId="0" fillId="17" borderId="40" xfId="0" applyFill="1" applyBorder="1" applyAlignment="1">
      <alignment horizontal="left" vertical="center" wrapText="1"/>
    </xf>
    <xf numFmtId="0" fontId="0" fillId="18" borderId="41" xfId="0" applyFill="1" applyBorder="1" applyAlignment="1">
      <alignment horizontal="left" vertical="center" wrapText="1"/>
    </xf>
    <xf numFmtId="0" fontId="0" fillId="17" borderId="38" xfId="0" applyFill="1" applyBorder="1" applyAlignment="1">
      <alignment horizontal="left" vertical="center" wrapText="1"/>
    </xf>
    <xf numFmtId="0" fontId="0" fillId="18" borderId="0" xfId="0" applyFill="1" applyBorder="1" applyAlignment="1">
      <alignment horizontal="left" vertical="center" wrapText="1"/>
    </xf>
    <xf numFmtId="0" fontId="0" fillId="18" borderId="38" xfId="0" applyFill="1" applyBorder="1" applyAlignment="1">
      <alignment horizontal="left" vertical="center" wrapText="1"/>
    </xf>
    <xf numFmtId="0" fontId="7" fillId="0" borderId="0" xfId="8" applyAlignment="1" applyProtection="1">
      <alignment horizontal="right" wrapText="1"/>
    </xf>
    <xf numFmtId="14" fontId="0" fillId="0" borderId="0" xfId="0" applyNumberFormat="1" applyAlignment="1">
      <alignment horizontal="left"/>
    </xf>
    <xf numFmtId="0" fontId="0" fillId="0" borderId="0" xfId="0" applyAlignment="1"/>
    <xf numFmtId="0" fontId="3" fillId="0" borderId="0" xfId="3" applyFill="1" applyBorder="1" applyAlignment="1" applyProtection="1">
      <alignment wrapText="1"/>
    </xf>
    <xf numFmtId="0" fontId="30" fillId="10" borderId="0" xfId="0" applyFont="1" applyFill="1" applyProtection="1"/>
    <xf numFmtId="0" fontId="32" fillId="10" borderId="0" xfId="12" applyFont="1" applyFill="1" applyAlignment="1" applyProtection="1">
      <alignment horizontal="center" vertical="center"/>
    </xf>
    <xf numFmtId="0" fontId="33" fillId="10" borderId="0" xfId="0" applyFont="1" applyFill="1" applyAlignment="1">
      <alignment horizontal="center" vertical="center"/>
    </xf>
    <xf numFmtId="0" fontId="34" fillId="10" borderId="0" xfId="12" applyFont="1" applyFill="1" applyAlignment="1" applyProtection="1">
      <alignment horizontal="center" vertical="center"/>
    </xf>
    <xf numFmtId="0" fontId="33" fillId="10" borderId="0" xfId="0" applyFont="1" applyFill="1" applyAlignment="1" applyProtection="1">
      <alignment horizontal="center" vertical="center"/>
    </xf>
    <xf numFmtId="0" fontId="34" fillId="10" borderId="0" xfId="12" applyFont="1" applyFill="1" applyAlignment="1" applyProtection="1">
      <alignment vertical="center"/>
    </xf>
    <xf numFmtId="0" fontId="35" fillId="10" borderId="0" xfId="12" applyFont="1" applyFill="1" applyAlignment="1" applyProtection="1">
      <alignment vertical="center"/>
    </xf>
    <xf numFmtId="0" fontId="31" fillId="10" borderId="45" xfId="0" applyFont="1" applyFill="1" applyBorder="1" applyAlignment="1" applyProtection="1">
      <alignment horizontal="left" vertical="center"/>
    </xf>
    <xf numFmtId="0" fontId="30" fillId="10" borderId="45" xfId="0" applyFont="1" applyFill="1" applyBorder="1" applyProtection="1"/>
    <xf numFmtId="0" fontId="34" fillId="10" borderId="45" xfId="12" applyFont="1" applyFill="1" applyBorder="1" applyAlignment="1" applyProtection="1">
      <alignment vertical="center"/>
    </xf>
    <xf numFmtId="164" fontId="26" fillId="10" borderId="45" xfId="0" applyNumberFormat="1" applyFont="1" applyFill="1" applyBorder="1" applyAlignment="1" applyProtection="1">
      <alignment horizontal="center" vertical="center"/>
    </xf>
    <xf numFmtId="0" fontId="31" fillId="10" borderId="45" xfId="0" applyFont="1" applyFill="1" applyBorder="1" applyAlignment="1" applyProtection="1">
      <alignment vertical="center"/>
    </xf>
    <xf numFmtId="0" fontId="0" fillId="10" borderId="45" xfId="0" applyFill="1" applyBorder="1" applyProtection="1"/>
    <xf numFmtId="0" fontId="34" fillId="10" borderId="45" xfId="12" applyFont="1" applyFill="1" applyBorder="1" applyAlignment="1" applyProtection="1">
      <alignment horizontal="center" vertical="center"/>
    </xf>
    <xf numFmtId="0" fontId="0" fillId="15" borderId="51" xfId="0" applyFill="1" applyBorder="1" applyAlignment="1">
      <alignment horizontal="center" vertical="center"/>
    </xf>
    <xf numFmtId="0" fontId="0" fillId="15" borderId="52" xfId="0" applyFill="1" applyBorder="1" applyAlignment="1">
      <alignment horizontal="center" vertical="center"/>
    </xf>
    <xf numFmtId="0" fontId="0" fillId="15" borderId="53" xfId="0" applyFill="1" applyBorder="1" applyAlignment="1">
      <alignment horizontal="center" vertical="center"/>
    </xf>
    <xf numFmtId="0" fontId="0" fillId="15" borderId="54" xfId="0" applyFill="1" applyBorder="1" applyAlignment="1">
      <alignment horizontal="center" vertical="center"/>
    </xf>
    <xf numFmtId="0" fontId="0" fillId="15" borderId="55" xfId="0" applyFill="1" applyBorder="1" applyAlignment="1">
      <alignment horizontal="center" vertical="center"/>
    </xf>
    <xf numFmtId="0" fontId="0" fillId="16" borderId="56" xfId="0" applyFill="1" applyBorder="1" applyAlignment="1">
      <alignment horizontal="center" vertical="center"/>
    </xf>
    <xf numFmtId="0" fontId="0" fillId="16" borderId="54" xfId="0" applyFill="1" applyBorder="1" applyAlignment="1">
      <alignment horizontal="center" vertical="center"/>
    </xf>
    <xf numFmtId="0" fontId="0" fillId="16" borderId="52" xfId="0" applyFill="1" applyBorder="1" applyAlignment="1">
      <alignment horizontal="center" vertical="center"/>
    </xf>
    <xf numFmtId="0" fontId="0" fillId="16" borderId="55" xfId="0" applyFill="1" applyBorder="1" applyAlignment="1">
      <alignment horizontal="center" vertical="center"/>
    </xf>
    <xf numFmtId="0" fontId="12" fillId="10" borderId="45" xfId="11" applyFill="1" applyBorder="1" applyAlignment="1" applyProtection="1">
      <alignment horizontal="center" vertical="center"/>
    </xf>
    <xf numFmtId="0" fontId="0" fillId="0" borderId="0" xfId="0" applyBorder="1"/>
    <xf numFmtId="0" fontId="0" fillId="0" borderId="0" xfId="0" applyAlignment="1" applyProtection="1">
      <alignment horizontal="left" vertical="top" wrapText="1"/>
    </xf>
    <xf numFmtId="0" fontId="12" fillId="0" borderId="0" xfId="11" applyFont="1" applyAlignment="1" applyProtection="1">
      <alignment horizontal="left" vertical="top" wrapText="1"/>
    </xf>
    <xf numFmtId="0" fontId="7" fillId="0" borderId="0" xfId="8" applyAlignment="1" applyProtection="1">
      <alignment vertical="top" wrapText="1"/>
    </xf>
    <xf numFmtId="0" fontId="12" fillId="0" borderId="0" xfId="11" applyFont="1" applyAlignment="1" applyProtection="1">
      <alignment vertical="top" wrapText="1"/>
    </xf>
    <xf numFmtId="0" fontId="3" fillId="0" borderId="61" xfId="0" applyFont="1" applyBorder="1" applyAlignment="1" applyProtection="1">
      <alignment horizontal="center" vertical="center"/>
    </xf>
    <xf numFmtId="0" fontId="3" fillId="0" borderId="62" xfId="0" applyFont="1" applyBorder="1" applyAlignment="1" applyProtection="1">
      <alignment horizontal="center" vertical="center"/>
    </xf>
    <xf numFmtId="0" fontId="0" fillId="0" borderId="0" xfId="0" applyProtection="1"/>
    <xf numFmtId="0" fontId="0" fillId="0" borderId="0" xfId="0"/>
    <xf numFmtId="0" fontId="0" fillId="0" borderId="0" xfId="0" applyProtection="1"/>
    <xf numFmtId="0" fontId="0" fillId="0" borderId="0" xfId="0"/>
    <xf numFmtId="14" fontId="0" fillId="0" borderId="0" xfId="0" applyNumberFormat="1"/>
    <xf numFmtId="0" fontId="0" fillId="0" borderId="0" xfId="0" applyAlignment="1">
      <alignment wrapText="1"/>
    </xf>
    <xf numFmtId="0" fontId="0" fillId="0" borderId="0" xfId="0" applyProtection="1"/>
    <xf numFmtId="0" fontId="0" fillId="0" borderId="0" xfId="0"/>
    <xf numFmtId="0" fontId="0" fillId="0" borderId="10" xfId="0" applyBorder="1" applyAlignment="1" applyProtection="1">
      <alignment horizontal="left" vertical="top" wrapText="1"/>
    </xf>
    <xf numFmtId="0" fontId="0" fillId="0" borderId="0" xfId="0" applyProtection="1"/>
    <xf numFmtId="0" fontId="0" fillId="0" borderId="0" xfId="0" applyFont="1" applyAlignment="1">
      <alignment horizontal="left" vertical="top"/>
    </xf>
    <xf numFmtId="0" fontId="3" fillId="0" borderId="2" xfId="3"/>
    <xf numFmtId="0" fontId="0" fillId="0" borderId="0" xfId="0" applyAlignment="1" applyProtection="1"/>
    <xf numFmtId="0" fontId="0" fillId="0" borderId="0" xfId="0"/>
    <xf numFmtId="0" fontId="5" fillId="3" borderId="3" xfId="5"/>
    <xf numFmtId="0" fontId="0" fillId="0" borderId="0" xfId="0" applyProtection="1"/>
    <xf numFmtId="0" fontId="7" fillId="0" borderId="0" xfId="8" applyProtection="1"/>
    <xf numFmtId="0" fontId="0" fillId="0" borderId="0" xfId="0" applyAlignment="1" applyProtection="1">
      <alignment wrapText="1"/>
    </xf>
    <xf numFmtId="0" fontId="8" fillId="0" borderId="11" xfId="0" applyFont="1" applyBorder="1" applyAlignment="1" applyProtection="1">
      <alignment horizontal="center" vertical="center" wrapText="1"/>
      <protection locked="0"/>
    </xf>
    <xf numFmtId="0" fontId="0" fillId="0" borderId="10" xfId="0" applyBorder="1" applyAlignment="1" applyProtection="1">
      <alignment horizontal="left" vertical="top" wrapText="1"/>
      <protection locked="0"/>
    </xf>
    <xf numFmtId="0" fontId="0" fillId="0" borderId="0" xfId="0" applyAlignment="1" applyProtection="1">
      <alignment horizontal="left" vertical="top" wrapText="1"/>
    </xf>
    <xf numFmtId="0" fontId="0" fillId="0" borderId="0" xfId="0" applyAlignment="1" applyProtection="1">
      <alignment horizontal="left" vertical="top"/>
    </xf>
    <xf numFmtId="0" fontId="0" fillId="0" borderId="0" xfId="0" applyAlignment="1" applyProtection="1"/>
    <xf numFmtId="0" fontId="12" fillId="0" borderId="0" xfId="11" applyAlignment="1" applyProtection="1">
      <alignment vertical="center" wrapText="1"/>
    </xf>
    <xf numFmtId="0" fontId="7" fillId="0" borderId="0" xfId="8" applyFill="1" applyBorder="1"/>
    <xf numFmtId="0" fontId="12" fillId="0" borderId="0" xfId="11" applyAlignment="1">
      <alignment vertical="top" wrapText="1"/>
    </xf>
    <xf numFmtId="0" fontId="7" fillId="0" borderId="0" xfId="8" applyAlignment="1">
      <alignment wrapText="1"/>
    </xf>
    <xf numFmtId="0" fontId="18" fillId="0" borderId="0" xfId="0" applyFont="1" applyBorder="1" applyAlignment="1" applyProtection="1">
      <alignment wrapText="1"/>
    </xf>
    <xf numFmtId="0" fontId="5" fillId="3" borderId="3" xfId="5" applyAlignment="1">
      <alignment wrapText="1"/>
    </xf>
    <xf numFmtId="0" fontId="0" fillId="0" borderId="0" xfId="0" applyAlignment="1" applyProtection="1">
      <alignment horizontal="left" vertical="top" wrapText="1"/>
    </xf>
    <xf numFmtId="0" fontId="0" fillId="0" borderId="0" xfId="0" applyProtection="1"/>
    <xf numFmtId="0" fontId="0" fillId="0" borderId="0" xfId="0"/>
    <xf numFmtId="0" fontId="3" fillId="0" borderId="2" xfId="3" applyAlignment="1">
      <alignment wrapText="1"/>
    </xf>
    <xf numFmtId="0" fontId="3" fillId="0" borderId="2" xfId="3" applyFill="1" applyAlignment="1">
      <alignment wrapText="1"/>
    </xf>
    <xf numFmtId="0" fontId="6" fillId="4" borderId="3" xfId="6"/>
    <xf numFmtId="0" fontId="7" fillId="0" borderId="0" xfId="8" applyBorder="1" applyAlignment="1" applyProtection="1">
      <alignment wrapText="1"/>
    </xf>
    <xf numFmtId="0" fontId="3" fillId="0" borderId="2" xfId="3" applyAlignment="1" applyProtection="1">
      <alignment horizontal="center"/>
    </xf>
    <xf numFmtId="0" fontId="0" fillId="0" borderId="0" xfId="0" applyAlignment="1" applyProtection="1">
      <alignment horizontal="right"/>
    </xf>
    <xf numFmtId="0" fontId="0" fillId="0" borderId="0" xfId="0" applyAlignment="1">
      <alignment horizontal="center" vertical="top"/>
    </xf>
    <xf numFmtId="0" fontId="0" fillId="0" borderId="0" xfId="0" applyAlignment="1" applyProtection="1">
      <alignment horizontal="center" vertical="top"/>
    </xf>
    <xf numFmtId="0" fontId="0" fillId="0" borderId="0" xfId="0" applyAlignment="1" applyProtection="1">
      <alignment vertical="top"/>
    </xf>
    <xf numFmtId="0" fontId="36" fillId="0" borderId="0" xfId="0" applyFont="1" applyAlignment="1" applyProtection="1"/>
    <xf numFmtId="0" fontId="0" fillId="0" borderId="0" xfId="0"/>
    <xf numFmtId="0" fontId="0" fillId="0" borderId="0" xfId="0" applyAlignment="1">
      <alignment horizontal="left" vertical="top" wrapText="1"/>
    </xf>
    <xf numFmtId="0" fontId="37" fillId="0" borderId="0" xfId="0" applyFont="1"/>
    <xf numFmtId="0" fontId="36" fillId="0" borderId="0" xfId="0" applyFont="1" applyAlignment="1">
      <alignment horizontal="left" vertical="top" wrapText="1"/>
    </xf>
    <xf numFmtId="0" fontId="0" fillId="0" borderId="0" xfId="0"/>
    <xf numFmtId="0" fontId="38" fillId="0" borderId="0" xfId="0" applyFont="1"/>
    <xf numFmtId="0" fontId="0" fillId="0" borderId="0" xfId="0" applyAlignment="1" applyProtection="1">
      <alignment horizontal="left" vertical="top" wrapText="1"/>
    </xf>
    <xf numFmtId="0" fontId="39" fillId="0" borderId="0" xfId="0" applyFont="1" applyAlignment="1" applyProtection="1">
      <alignment horizontal="center" vertical="center"/>
    </xf>
    <xf numFmtId="0" fontId="40" fillId="4" borderId="3" xfId="6" applyFont="1" applyAlignment="1" applyProtection="1">
      <alignment horizontal="center" vertical="center"/>
    </xf>
    <xf numFmtId="2" fontId="40" fillId="4" borderId="3" xfId="6" applyNumberFormat="1" applyFont="1" applyAlignment="1" applyProtection="1">
      <alignment horizontal="center" vertical="center"/>
    </xf>
    <xf numFmtId="9" fontId="40" fillId="4" borderId="3" xfId="1" applyFont="1" applyFill="1" applyBorder="1" applyAlignment="1" applyProtection="1">
      <alignment horizontal="center" vertical="center"/>
    </xf>
    <xf numFmtId="0" fontId="4" fillId="2" borderId="0" xfId="4" applyAlignment="1" applyProtection="1">
      <alignment horizontal="center"/>
    </xf>
    <xf numFmtId="0" fontId="7" fillId="0" borderId="64" xfId="8" applyBorder="1" applyAlignment="1" applyProtection="1">
      <alignment vertical="center" wrapText="1"/>
    </xf>
    <xf numFmtId="2" fontId="0" fillId="0" borderId="0" xfId="0" applyNumberFormat="1"/>
    <xf numFmtId="14" fontId="21" fillId="19" borderId="63" xfId="16" applyNumberFormat="1" applyProtection="1"/>
    <xf numFmtId="0" fontId="21" fillId="19" borderId="63" xfId="16"/>
    <xf numFmtId="14" fontId="0" fillId="0" borderId="0" xfId="0" applyNumberFormat="1" applyAlignment="1" applyProtection="1">
      <alignment horizontal="left" vertical="top" wrapText="1"/>
    </xf>
    <xf numFmtId="0" fontId="18" fillId="0" borderId="0" xfId="0" applyFont="1" applyBorder="1" applyAlignment="1" applyProtection="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0" xfId="0" applyProtection="1"/>
    <xf numFmtId="0" fontId="0" fillId="0" borderId="0" xfId="0" applyFill="1" applyAlignment="1">
      <alignment horizontal="left" vertical="top"/>
    </xf>
    <xf numFmtId="14" fontId="0" fillId="0" borderId="0" xfId="0" applyNumberFormat="1" applyFill="1" applyAlignment="1">
      <alignment horizontal="left" vertical="top"/>
    </xf>
    <xf numFmtId="0" fontId="0" fillId="0" borderId="0" xfId="0" applyFill="1" applyAlignment="1">
      <alignment horizontal="left" vertical="top" wrapText="1"/>
    </xf>
    <xf numFmtId="0" fontId="2" fillId="0" borderId="0" xfId="2" applyBorder="1" applyAlignment="1" applyProtection="1">
      <alignment horizontal="right" wrapText="1"/>
    </xf>
    <xf numFmtId="0" fontId="5" fillId="3" borderId="3" xfId="5" applyAlignment="1" applyProtection="1">
      <alignment horizontal="center" vertical="center"/>
      <protection locked="0"/>
    </xf>
    <xf numFmtId="0" fontId="12" fillId="3" borderId="3" xfId="11" applyFill="1" applyBorder="1"/>
    <xf numFmtId="0" fontId="12" fillId="0" borderId="0" xfId="11" applyFill="1"/>
    <xf numFmtId="0" fontId="12" fillId="0" borderId="0" xfId="11" applyFill="1" applyAlignment="1">
      <alignment vertical="top" wrapText="1"/>
    </xf>
    <xf numFmtId="0" fontId="12" fillId="0" borderId="0" xfId="11" applyFill="1" applyAlignment="1">
      <alignment vertical="top"/>
    </xf>
    <xf numFmtId="0" fontId="0" fillId="0" borderId="0" xfId="0" applyAlignment="1" applyProtection="1">
      <alignment horizontal="left" vertical="top" wrapText="1"/>
    </xf>
    <xf numFmtId="0" fontId="0" fillId="0" borderId="0" xfId="0"/>
    <xf numFmtId="0" fontId="0" fillId="0" borderId="0" xfId="0" applyAlignment="1" applyProtection="1">
      <alignment vertical="top"/>
      <protection locked="0"/>
    </xf>
    <xf numFmtId="0" fontId="0" fillId="0" borderId="0" xfId="0"/>
    <xf numFmtId="0" fontId="0" fillId="0" borderId="0" xfId="0" applyFill="1"/>
    <xf numFmtId="0" fontId="0" fillId="0" borderId="0" xfId="0" applyAlignment="1" applyProtection="1">
      <alignment vertical="top" wrapText="1"/>
      <protection locked="0"/>
    </xf>
    <xf numFmtId="0" fontId="0" fillId="0" borderId="11" xfId="0" applyBorder="1" applyAlignment="1" applyProtection="1">
      <alignment horizontal="left" vertical="top" wrapText="1"/>
      <protection locked="0"/>
    </xf>
    <xf numFmtId="0" fontId="0" fillId="0" borderId="0" xfId="0" applyNumberFormat="1" applyAlignment="1" applyProtection="1">
      <alignment horizontal="left" vertical="top" wrapText="1"/>
    </xf>
    <xf numFmtId="0" fontId="0" fillId="0" borderId="0" xfId="0"/>
    <xf numFmtId="0" fontId="0" fillId="0" borderId="0" xfId="0"/>
    <xf numFmtId="0" fontId="0" fillId="0" borderId="0" xfId="0" applyAlignment="1" applyProtection="1">
      <alignment horizontal="left" vertical="top" wrapText="1"/>
    </xf>
    <xf numFmtId="0" fontId="45" fillId="0" borderId="0"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wrapText="1"/>
    </xf>
    <xf numFmtId="0" fontId="0" fillId="0" borderId="0" xfId="0"/>
    <xf numFmtId="0" fontId="0" fillId="0" borderId="0" xfId="0" applyAlignment="1" applyProtection="1">
      <alignment horizontal="left" vertical="top" wrapText="1"/>
    </xf>
    <xf numFmtId="0" fontId="0" fillId="0" borderId="0" xfId="0" applyProtection="1"/>
    <xf numFmtId="0" fontId="0" fillId="0" borderId="0" xfId="0"/>
    <xf numFmtId="0" fontId="12" fillId="0" borderId="0" xfId="11" applyAlignment="1" applyProtection="1">
      <alignment horizontal="left" vertical="top"/>
    </xf>
    <xf numFmtId="0" fontId="12" fillId="0" borderId="0" xfId="11" applyAlignment="1" applyProtection="1">
      <alignment horizontal="left" vertical="center" wrapText="1"/>
    </xf>
    <xf numFmtId="0" fontId="12" fillId="0" borderId="0" xfId="11" applyAlignment="1" applyProtection="1">
      <alignment horizontal="left" vertical="center"/>
    </xf>
    <xf numFmtId="0" fontId="31" fillId="10" borderId="0" xfId="0" applyFont="1" applyFill="1" applyBorder="1" applyAlignment="1" applyProtection="1">
      <alignment horizontal="left" vertical="center"/>
    </xf>
    <xf numFmtId="0" fontId="31" fillId="10" borderId="0" xfId="0" applyFont="1" applyFill="1" applyBorder="1" applyAlignment="1" applyProtection="1">
      <alignment vertical="center"/>
    </xf>
    <xf numFmtId="0" fontId="12" fillId="0" borderId="0" xfId="11"/>
    <xf numFmtId="0" fontId="46" fillId="0" borderId="0" xfId="0" applyFont="1" applyProtection="1"/>
    <xf numFmtId="0" fontId="48" fillId="20" borderId="0" xfId="11" applyFont="1" applyFill="1" applyProtection="1"/>
    <xf numFmtId="0" fontId="48" fillId="21" borderId="0" xfId="11" applyFont="1" applyFill="1" applyProtection="1"/>
    <xf numFmtId="0" fontId="49" fillId="22" borderId="0" xfId="11" applyFont="1" applyFill="1" applyProtection="1"/>
    <xf numFmtId="0" fontId="48" fillId="18" borderId="0" xfId="11" applyFont="1" applyFill="1"/>
    <xf numFmtId="0" fontId="48" fillId="23" borderId="0" xfId="11" applyFont="1" applyFill="1" applyBorder="1" applyAlignment="1" applyProtection="1">
      <alignment horizontal="left"/>
    </xf>
    <xf numFmtId="0" fontId="48" fillId="24" borderId="0" xfId="11"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3" fillId="0" borderId="0" xfId="0" applyFont="1" applyAlignment="1" applyProtection="1">
      <alignment horizontal="left" vertical="top"/>
    </xf>
    <xf numFmtId="0" fontId="0" fillId="0" borderId="0" xfId="0"/>
    <xf numFmtId="0" fontId="12" fillId="10" borderId="0" xfId="11" applyFill="1" applyAlignment="1" applyProtection="1">
      <alignment horizontal="right"/>
    </xf>
    <xf numFmtId="0" fontId="12" fillId="10" borderId="45" xfId="11" applyFill="1" applyBorder="1" applyAlignment="1" applyProtection="1">
      <alignment horizontal="right" vertical="center"/>
    </xf>
    <xf numFmtId="0" fontId="0" fillId="0" borderId="0" xfId="0"/>
    <xf numFmtId="0" fontId="0" fillId="0" borderId="0" xfId="0"/>
    <xf numFmtId="0" fontId="8" fillId="0" borderId="0" xfId="0" applyFont="1"/>
    <xf numFmtId="9" fontId="0" fillId="25" borderId="0" xfId="1" applyNumberFormat="1" applyFont="1" applyFill="1" applyAlignment="1" applyProtection="1">
      <alignment horizontal="left" vertical="top" wrapText="1"/>
    </xf>
    <xf numFmtId="0" fontId="0" fillId="25" borderId="0" xfId="0" applyFill="1" applyAlignment="1" applyProtection="1">
      <alignment horizontal="left" vertical="top" wrapText="1"/>
    </xf>
    <xf numFmtId="9" fontId="11" fillId="25" borderId="0" xfId="1" applyNumberFormat="1" applyFont="1" applyFill="1" applyAlignment="1" applyProtection="1">
      <alignment horizontal="left" vertical="top" wrapText="1"/>
    </xf>
    <xf numFmtId="0" fontId="11" fillId="25" borderId="0" xfId="0" applyNumberFormat="1" applyFont="1" applyFill="1" applyAlignment="1" applyProtection="1">
      <alignment horizontal="left" vertical="top" wrapText="1"/>
    </xf>
    <xf numFmtId="0" fontId="51" fillId="0" borderId="0" xfId="0" applyFont="1"/>
    <xf numFmtId="0" fontId="51" fillId="0" borderId="0" xfId="0" applyFont="1" applyProtection="1"/>
    <xf numFmtId="0" fontId="51" fillId="0" borderId="0" xfId="17" applyProtection="1"/>
    <xf numFmtId="0" fontId="18" fillId="0" borderId="0" xfId="0" applyFont="1"/>
    <xf numFmtId="0" fontId="18" fillId="0" borderId="0" xfId="0" applyFont="1" applyProtection="1"/>
    <xf numFmtId="0" fontId="0" fillId="0" borderId="0" xfId="0"/>
    <xf numFmtId="0" fontId="54" fillId="26" borderId="65" xfId="0" applyFont="1" applyFill="1" applyBorder="1" applyAlignment="1">
      <alignment horizontal="left" vertical="top"/>
    </xf>
    <xf numFmtId="0" fontId="54" fillId="27" borderId="65" xfId="0" applyFont="1" applyFill="1" applyBorder="1" applyAlignment="1">
      <alignment vertical="top"/>
    </xf>
    <xf numFmtId="0" fontId="33" fillId="10" borderId="0" xfId="0" applyFont="1" applyFill="1" applyAlignment="1" applyProtection="1">
      <alignment horizontal="center" vertical="center" wrapText="1"/>
    </xf>
    <xf numFmtId="164" fontId="26" fillId="10" borderId="45" xfId="0" applyNumberFormat="1" applyFont="1" applyFill="1" applyBorder="1" applyAlignment="1" applyProtection="1">
      <alignment horizontal="center" vertical="center" wrapText="1"/>
    </xf>
    <xf numFmtId="0" fontId="0" fillId="27" borderId="0" xfId="0" applyFill="1" applyAlignment="1">
      <alignment horizontal="left" vertical="top"/>
    </xf>
    <xf numFmtId="0" fontId="0" fillId="27" borderId="0" xfId="0" applyFill="1" applyAlignment="1">
      <alignment horizontal="left" vertical="top" wrapText="1"/>
    </xf>
    <xf numFmtId="0" fontId="0" fillId="0" borderId="0" xfId="0"/>
    <xf numFmtId="0" fontId="3" fillId="0" borderId="2" xfId="3" applyFill="1" applyBorder="1"/>
    <xf numFmtId="0" fontId="0" fillId="0" borderId="0" xfId="0" applyProtection="1"/>
    <xf numFmtId="0" fontId="0" fillId="0" borderId="0" xfId="0"/>
    <xf numFmtId="0" fontId="0" fillId="0" borderId="0" xfId="0"/>
    <xf numFmtId="0" fontId="0" fillId="28" borderId="0" xfId="0" applyFont="1" applyFill="1"/>
    <xf numFmtId="0" fontId="0" fillId="0" borderId="0" xfId="0"/>
    <xf numFmtId="0" fontId="3" fillId="0" borderId="2" xfId="3" applyAlignment="1"/>
    <xf numFmtId="0" fontId="3" fillId="0" borderId="0" xfId="3" applyFill="1" applyBorder="1"/>
    <xf numFmtId="0" fontId="0" fillId="0" borderId="0" xfId="0"/>
    <xf numFmtId="0" fontId="0" fillId="0" borderId="0" xfId="0" applyProtection="1"/>
    <xf numFmtId="0" fontId="0" fillId="0" borderId="0" xfId="0" applyAlignment="1" applyProtection="1">
      <alignment horizontal="left" vertical="top" wrapText="1"/>
    </xf>
    <xf numFmtId="0" fontId="0" fillId="0" borderId="0" xfId="0"/>
    <xf numFmtId="0" fontId="55" fillId="0" borderId="0" xfId="0" applyFont="1" applyAlignment="1">
      <alignment horizontal="center" vertical="center" wrapText="1"/>
    </xf>
    <xf numFmtId="0" fontId="0" fillId="0" borderId="0" xfId="0" applyAlignment="1" applyProtection="1">
      <alignment horizontal="left" vertical="top" wrapText="1"/>
    </xf>
    <xf numFmtId="0" fontId="12" fillId="0" borderId="0" xfId="11" applyAlignment="1">
      <alignment horizontal="left" vertical="top"/>
    </xf>
    <xf numFmtId="0" fontId="48" fillId="29" borderId="0" xfId="11" applyFont="1" applyFill="1"/>
    <xf numFmtId="0" fontId="48" fillId="30" borderId="0" xfId="11" applyFont="1" applyFill="1"/>
    <xf numFmtId="0" fontId="46" fillId="0" borderId="0" xfId="0" applyFont="1" applyAlignment="1">
      <alignment horizontal="center" vertical="center"/>
    </xf>
    <xf numFmtId="0" fontId="18" fillId="0" borderId="0" xfId="0" applyFont="1" applyAlignment="1" applyProtection="1">
      <alignment horizontal="left" vertical="top" wrapText="1"/>
    </xf>
    <xf numFmtId="0" fontId="12" fillId="0" borderId="0" xfId="11" applyAlignment="1" applyProtection="1">
      <alignment vertical="top"/>
    </xf>
    <xf numFmtId="0" fontId="12" fillId="0" borderId="0" xfId="11" applyFill="1" applyAlignment="1" applyProtection="1">
      <alignment vertical="top"/>
    </xf>
    <xf numFmtId="0" fontId="12" fillId="10" borderId="45" xfId="11" applyFill="1" applyBorder="1" applyProtection="1"/>
    <xf numFmtId="0" fontId="12" fillId="10" borderId="0" xfId="11" applyFill="1" applyProtection="1"/>
    <xf numFmtId="0" fontId="5" fillId="3" borderId="3" xfId="5" applyAlignment="1" applyProtection="1">
      <alignment wrapText="1"/>
      <protection locked="0"/>
    </xf>
    <xf numFmtId="0" fontId="0" fillId="0" borderId="0" xfId="0" applyProtection="1"/>
    <xf numFmtId="0" fontId="0" fillId="0" borderId="0" xfId="0" applyAlignment="1" applyProtection="1">
      <alignment horizontal="left" vertical="top" wrapText="1"/>
    </xf>
    <xf numFmtId="0" fontId="0" fillId="0" borderId="0" xfId="0" applyNumberFormat="1" applyAlignment="1">
      <alignment horizontal="left" vertical="top"/>
    </xf>
    <xf numFmtId="0" fontId="0" fillId="0" borderId="0" xfId="0"/>
    <xf numFmtId="0" fontId="9" fillId="0" borderId="0" xfId="0" applyFont="1"/>
    <xf numFmtId="0" fontId="10" fillId="0" borderId="6" xfId="10" applyAlignment="1" applyProtection="1">
      <alignment horizontal="left" wrapText="1"/>
    </xf>
    <xf numFmtId="0" fontId="7" fillId="5" borderId="35" xfId="7" applyFont="1" applyBorder="1" applyAlignment="1" applyProtection="1">
      <alignment horizontal="center" vertical="top" wrapText="1"/>
    </xf>
    <xf numFmtId="0" fontId="7" fillId="5" borderId="36" xfId="7" applyFont="1" applyBorder="1" applyAlignment="1" applyProtection="1">
      <alignment horizontal="center" vertical="top" wrapText="1"/>
    </xf>
    <xf numFmtId="0" fontId="7" fillId="5" borderId="37" xfId="7" applyFont="1" applyBorder="1" applyAlignment="1" applyProtection="1">
      <alignment horizontal="center" vertical="top" wrapText="1"/>
    </xf>
    <xf numFmtId="0" fontId="42" fillId="10" borderId="0" xfId="0" applyFont="1" applyFill="1" applyAlignment="1" applyProtection="1">
      <alignment horizontal="center" vertical="center"/>
    </xf>
    <xf numFmtId="164" fontId="26" fillId="10" borderId="45" xfId="0" applyNumberFormat="1" applyFont="1" applyFill="1" applyBorder="1" applyAlignment="1" applyProtection="1">
      <alignment horizontal="center"/>
    </xf>
    <xf numFmtId="0" fontId="3" fillId="0" borderId="2" xfId="3" applyAlignment="1" applyProtection="1">
      <alignment horizontal="center"/>
    </xf>
    <xf numFmtId="0" fontId="43" fillId="10" borderId="57" xfId="11" applyFont="1" applyFill="1" applyBorder="1" applyAlignment="1">
      <alignment horizontal="center" vertical="top" wrapText="1"/>
    </xf>
    <xf numFmtId="0" fontId="44" fillId="10" borderId="58" xfId="0" applyFont="1" applyFill="1" applyBorder="1" applyAlignment="1">
      <alignment horizontal="center" vertical="top" wrapText="1"/>
    </xf>
    <xf numFmtId="0" fontId="44" fillId="10" borderId="59" xfId="0" applyFont="1" applyFill="1" applyBorder="1" applyAlignment="1">
      <alignment horizontal="center" vertical="top" wrapText="1"/>
    </xf>
    <xf numFmtId="0" fontId="44" fillId="10" borderId="60" xfId="0" applyFont="1" applyFill="1" applyBorder="1" applyAlignment="1">
      <alignment horizontal="center" vertical="top" wrapText="1"/>
    </xf>
    <xf numFmtId="0" fontId="10" fillId="0" borderId="6" xfId="10" applyFill="1" applyAlignment="1" applyProtection="1">
      <alignment horizontal="left"/>
    </xf>
    <xf numFmtId="0" fontId="21" fillId="11" borderId="0" xfId="0" applyFont="1" applyFill="1" applyBorder="1" applyAlignment="1" applyProtection="1">
      <alignment horizontal="justify" vertical="center" wrapText="1"/>
    </xf>
    <xf numFmtId="0" fontId="19" fillId="0" borderId="14" xfId="0" applyFont="1" applyBorder="1" applyAlignment="1" applyProtection="1">
      <alignment horizontal="justify" vertical="top" wrapText="1"/>
    </xf>
    <xf numFmtId="0" fontId="19" fillId="0" borderId="15" xfId="0" applyFont="1" applyBorder="1" applyAlignment="1" applyProtection="1">
      <alignment horizontal="justify" vertical="top" wrapText="1"/>
    </xf>
    <xf numFmtId="0" fontId="19" fillId="0" borderId="16" xfId="0" applyFont="1" applyBorder="1" applyAlignment="1" applyProtection="1">
      <alignment horizontal="justify" vertical="top" wrapText="1"/>
    </xf>
    <xf numFmtId="0" fontId="19" fillId="0" borderId="10" xfId="0" applyFont="1" applyBorder="1" applyAlignment="1" applyProtection="1">
      <alignment horizontal="justify" vertical="top" wrapText="1"/>
    </xf>
    <xf numFmtId="0" fontId="19" fillId="0" borderId="0" xfId="0" applyFont="1" applyBorder="1" applyAlignment="1" applyProtection="1">
      <alignment horizontal="justify" vertical="top" wrapText="1"/>
    </xf>
    <xf numFmtId="0" fontId="19" fillId="0" borderId="23" xfId="0" applyFont="1" applyBorder="1" applyAlignment="1" applyProtection="1">
      <alignment horizontal="justify" vertical="top" wrapText="1"/>
    </xf>
    <xf numFmtId="0" fontId="19" fillId="0" borderId="17" xfId="0" applyFont="1" applyBorder="1" applyAlignment="1" applyProtection="1">
      <alignment horizontal="justify" vertical="top" wrapText="1"/>
    </xf>
    <xf numFmtId="0" fontId="19" fillId="0" borderId="18" xfId="0" applyFont="1" applyBorder="1" applyAlignment="1" applyProtection="1">
      <alignment horizontal="justify" vertical="top" wrapText="1"/>
    </xf>
    <xf numFmtId="0" fontId="19" fillId="0" borderId="19" xfId="0" applyFont="1" applyBorder="1" applyAlignment="1" applyProtection="1">
      <alignment horizontal="justify" vertical="top" wrapText="1"/>
    </xf>
    <xf numFmtId="0" fontId="8" fillId="0" borderId="14" xfId="0" applyFont="1" applyBorder="1" applyAlignment="1" applyProtection="1">
      <alignment horizontal="justify" vertical="top" wrapText="1"/>
    </xf>
    <xf numFmtId="0" fontId="10" fillId="0" borderId="6" xfId="10" applyAlignment="1" applyProtection="1">
      <alignment horizontal="left"/>
    </xf>
    <xf numFmtId="0" fontId="41" fillId="10" borderId="0" xfId="12" applyFont="1" applyFill="1" applyAlignment="1" applyProtection="1">
      <alignment horizontal="center" vertical="center"/>
    </xf>
    <xf numFmtId="0" fontId="3" fillId="0" borderId="2" xfId="3" applyAlignment="1">
      <alignment horizontal="center"/>
    </xf>
    <xf numFmtId="0" fontId="0" fillId="0" borderId="0" xfId="0" applyProtection="1"/>
    <xf numFmtId="0" fontId="3" fillId="0" borderId="2" xfId="3" applyAlignment="1" applyProtection="1">
      <alignment horizontal="left"/>
    </xf>
    <xf numFmtId="0" fontId="2" fillId="0" borderId="1" xfId="2" applyAlignment="1" applyProtection="1">
      <alignment horizontal="center"/>
    </xf>
    <xf numFmtId="0" fontId="8" fillId="0" borderId="7" xfId="0" applyFont="1" applyBorder="1" applyAlignment="1" applyProtection="1">
      <alignment horizontal="left" vertical="center" textRotation="90"/>
    </xf>
    <xf numFmtId="0" fontId="7" fillId="14" borderId="30" xfId="8" applyFill="1" applyBorder="1" applyAlignment="1" applyProtection="1">
      <alignment horizontal="center" wrapText="1"/>
    </xf>
    <xf numFmtId="0" fontId="7" fillId="14" borderId="31" xfId="8" applyFill="1" applyBorder="1" applyAlignment="1" applyProtection="1">
      <alignment horizontal="center" wrapText="1"/>
    </xf>
    <xf numFmtId="0" fontId="7" fillId="14" borderId="32" xfId="8" applyFill="1" applyBorder="1" applyAlignment="1" applyProtection="1">
      <alignment horizontal="center" wrapText="1"/>
    </xf>
    <xf numFmtId="0" fontId="7" fillId="14" borderId="33" xfId="8" applyFill="1" applyBorder="1" applyAlignment="1" applyProtection="1">
      <alignment horizontal="center" wrapText="1"/>
    </xf>
    <xf numFmtId="0" fontId="8" fillId="0" borderId="7" xfId="0" applyFont="1" applyBorder="1" applyAlignment="1" applyProtection="1">
      <alignment horizontal="center" vertical="top"/>
    </xf>
    <xf numFmtId="0" fontId="0" fillId="0" borderId="0" xfId="0" applyAlignment="1" applyProtection="1">
      <alignment horizontal="right"/>
    </xf>
    <xf numFmtId="0" fontId="0" fillId="0" borderId="8" xfId="0" applyBorder="1" applyAlignment="1" applyProtection="1">
      <alignment horizontal="right"/>
    </xf>
    <xf numFmtId="0" fontId="0" fillId="0" borderId="62" xfId="0" applyBorder="1" applyAlignment="1" applyProtection="1">
      <alignment horizontal="left" vertical="top" wrapText="1"/>
    </xf>
    <xf numFmtId="0" fontId="0" fillId="0" borderId="0" xfId="0" applyAlignment="1" applyProtection="1">
      <alignment horizontal="left" vertical="top" wrapText="1"/>
    </xf>
    <xf numFmtId="0" fontId="0" fillId="8" borderId="0" xfId="0" applyFill="1" applyAlignment="1" applyProtection="1">
      <alignment horizontal="center" vertical="center"/>
    </xf>
    <xf numFmtId="0" fontId="0" fillId="0" borderId="61" xfId="0" applyBorder="1" applyAlignment="1" applyProtection="1">
      <alignment horizontal="left" vertical="top" wrapText="1"/>
    </xf>
    <xf numFmtId="0" fontId="0" fillId="5" borderId="46" xfId="7" applyFont="1" applyBorder="1" applyAlignment="1" applyProtection="1">
      <alignment horizontal="left" vertical="top" wrapText="1"/>
    </xf>
    <xf numFmtId="0" fontId="0" fillId="5" borderId="47" xfId="7" applyFont="1" applyBorder="1" applyAlignment="1" applyProtection="1">
      <alignment horizontal="left" vertical="top"/>
    </xf>
    <xf numFmtId="0" fontId="0" fillId="5" borderId="5" xfId="7" applyFont="1" applyBorder="1" applyAlignment="1" applyProtection="1">
      <alignment horizontal="left" vertical="top"/>
    </xf>
    <xf numFmtId="0" fontId="0" fillId="5" borderId="48" xfId="7" applyFont="1" applyBorder="1" applyAlignment="1" applyProtection="1">
      <alignment horizontal="left" vertical="top"/>
    </xf>
    <xf numFmtId="0" fontId="0" fillId="5" borderId="49" xfId="7" applyFont="1" applyBorder="1" applyAlignment="1" applyProtection="1">
      <alignment horizontal="left" vertical="top"/>
    </xf>
    <xf numFmtId="0" fontId="0" fillId="5" borderId="50" xfId="7" applyFont="1" applyBorder="1" applyAlignment="1" applyProtection="1">
      <alignment horizontal="left" vertical="top"/>
    </xf>
    <xf numFmtId="0" fontId="2" fillId="0" borderId="1" xfId="2" applyAlignment="1" applyProtection="1">
      <alignment horizontal="center" wrapText="1"/>
    </xf>
    <xf numFmtId="0" fontId="7" fillId="5" borderId="43" xfId="7" applyFont="1" applyBorder="1" applyAlignment="1" applyProtection="1">
      <alignment horizontal="center" vertical="center" wrapText="1"/>
    </xf>
    <xf numFmtId="0" fontId="7" fillId="5" borderId="0" xfId="7" applyFont="1" applyBorder="1" applyAlignment="1" applyProtection="1">
      <alignment horizontal="center" vertical="center" wrapText="1"/>
    </xf>
    <xf numFmtId="0" fontId="23" fillId="0" borderId="14" xfId="0" applyFont="1" applyBorder="1" applyAlignment="1" applyProtection="1">
      <alignment horizontal="center"/>
    </xf>
    <xf numFmtId="0" fontId="23" fillId="0" borderId="15" xfId="0" applyFont="1" applyBorder="1" applyAlignment="1" applyProtection="1">
      <alignment horizontal="center"/>
    </xf>
    <xf numFmtId="0" fontId="24" fillId="0" borderId="20" xfId="0" applyFont="1" applyBorder="1" applyAlignment="1" applyProtection="1">
      <alignment horizontal="center" vertical="center"/>
    </xf>
    <xf numFmtId="0" fontId="24" fillId="0" borderId="21" xfId="0" applyFont="1" applyBorder="1" applyAlignment="1" applyProtection="1">
      <alignment horizontal="center" vertical="center"/>
    </xf>
    <xf numFmtId="0" fontId="2" fillId="0" borderId="18" xfId="2" applyBorder="1" applyAlignment="1" applyProtection="1">
      <alignment horizontal="center" wrapText="1"/>
    </xf>
    <xf numFmtId="0" fontId="23" fillId="0" borderId="16" xfId="0" applyFont="1" applyBorder="1" applyAlignment="1" applyProtection="1">
      <alignment horizontal="center"/>
    </xf>
    <xf numFmtId="0" fontId="0" fillId="0" borderId="0" xfId="0"/>
    <xf numFmtId="0" fontId="24" fillId="0" borderId="12" xfId="0" applyFont="1" applyBorder="1" applyAlignment="1" applyProtection="1">
      <alignment horizontal="center" vertical="center"/>
    </xf>
    <xf numFmtId="0" fontId="47" fillId="0" borderId="1" xfId="2" applyFont="1" applyAlignment="1" applyProtection="1">
      <alignment horizontal="center"/>
    </xf>
    <xf numFmtId="0" fontId="46" fillId="0" borderId="0" xfId="0" applyFont="1" applyAlignment="1" applyProtection="1">
      <alignment horizontal="center" vertical="center" wrapText="1"/>
    </xf>
    <xf numFmtId="0" fontId="46" fillId="0" borderId="0" xfId="0" applyFont="1" applyAlignment="1">
      <alignment horizontal="center" vertical="center" wrapText="1"/>
    </xf>
    <xf numFmtId="0" fontId="7" fillId="5" borderId="35" xfId="8" applyFill="1" applyBorder="1" applyAlignment="1" applyProtection="1">
      <alignment horizontal="center"/>
    </xf>
    <xf numFmtId="0" fontId="7" fillId="5" borderId="36" xfId="8" applyFill="1" applyBorder="1" applyAlignment="1" applyProtection="1">
      <alignment horizontal="center"/>
    </xf>
    <xf numFmtId="0" fontId="7" fillId="5" borderId="37" xfId="8" applyFill="1" applyBorder="1" applyAlignment="1" applyProtection="1">
      <alignment horizontal="center"/>
    </xf>
    <xf numFmtId="0" fontId="0" fillId="15" borderId="44" xfId="0" applyFill="1" applyBorder="1" applyAlignment="1">
      <alignment horizontal="center" vertical="center" textRotation="90" wrapText="1"/>
    </xf>
    <xf numFmtId="0" fontId="0" fillId="15" borderId="0" xfId="0" applyFill="1" applyBorder="1" applyAlignment="1">
      <alignment horizontal="center" vertical="center" textRotation="90" wrapText="1"/>
    </xf>
    <xf numFmtId="0" fontId="0" fillId="15" borderId="38" xfId="0" applyFill="1" applyBorder="1" applyAlignment="1">
      <alignment horizontal="center" vertical="center" textRotation="90" wrapText="1"/>
    </xf>
    <xf numFmtId="0" fontId="0" fillId="16" borderId="39" xfId="0" applyFill="1" applyBorder="1" applyAlignment="1">
      <alignment horizontal="center" vertical="center" textRotation="90" wrapText="1"/>
    </xf>
    <xf numFmtId="0" fontId="0" fillId="16" borderId="0" xfId="0" applyFill="1" applyBorder="1" applyAlignment="1">
      <alignment horizontal="center" vertical="center" textRotation="90" wrapText="1"/>
    </xf>
    <xf numFmtId="0" fontId="0" fillId="16" borderId="38" xfId="0" applyFill="1" applyBorder="1" applyAlignment="1">
      <alignment horizontal="center" vertical="center" textRotation="90" wrapText="1"/>
    </xf>
    <xf numFmtId="0" fontId="0" fillId="15" borderId="39" xfId="0" applyFill="1" applyBorder="1" applyAlignment="1">
      <alignment horizontal="center" vertical="center" textRotation="90" wrapText="1"/>
    </xf>
    <xf numFmtId="0" fontId="0" fillId="15" borderId="0" xfId="0" applyFill="1" applyBorder="1" applyAlignment="1">
      <alignment horizontal="left" vertical="center" wrapText="1"/>
    </xf>
    <xf numFmtId="0" fontId="0" fillId="15" borderId="40" xfId="0" applyFill="1" applyBorder="1" applyAlignment="1">
      <alignment horizontal="left" vertical="center" wrapText="1"/>
    </xf>
    <xf numFmtId="0" fontId="0" fillId="15" borderId="38" xfId="0" applyFill="1" applyBorder="1" applyAlignment="1">
      <alignment horizontal="left" vertical="center" wrapText="1"/>
    </xf>
    <xf numFmtId="0" fontId="0" fillId="15" borderId="34" xfId="0" applyFill="1" applyBorder="1" applyAlignment="1">
      <alignment horizontal="left" vertical="center" wrapText="1"/>
    </xf>
    <xf numFmtId="0" fontId="0" fillId="16" borderId="0" xfId="0" applyFill="1" applyBorder="1" applyAlignment="1">
      <alignment horizontal="left" vertical="center" wrapText="1"/>
    </xf>
    <xf numFmtId="0" fontId="0" fillId="16" borderId="38" xfId="0" applyFill="1" applyBorder="1" applyAlignment="1">
      <alignment horizontal="left" vertical="center" wrapText="1"/>
    </xf>
    <xf numFmtId="0" fontId="53" fillId="0" borderId="0" xfId="17" applyFont="1" applyAlignment="1">
      <alignment horizontal="left" vertical="center" wrapText="1"/>
    </xf>
    <xf numFmtId="0" fontId="0" fillId="0" borderId="14" xfId="0" applyBorder="1" applyAlignment="1" applyProtection="1">
      <alignment horizontal="center" vertical="top" wrapText="1"/>
    </xf>
    <xf numFmtId="0" fontId="0" fillId="0" borderId="15" xfId="0" applyBorder="1" applyAlignment="1" applyProtection="1">
      <alignment horizontal="center" vertical="top" wrapText="1"/>
    </xf>
    <xf numFmtId="0" fontId="0" fillId="0" borderId="16" xfId="0" applyBorder="1" applyAlignment="1" applyProtection="1">
      <alignment horizontal="center" vertical="top" wrapText="1"/>
    </xf>
    <xf numFmtId="0" fontId="0" fillId="0" borderId="17" xfId="0" applyBorder="1" applyAlignment="1" applyProtection="1">
      <alignment horizontal="center" vertical="top" wrapText="1"/>
    </xf>
    <xf numFmtId="0" fontId="0" fillId="0" borderId="18" xfId="0" applyBorder="1" applyAlignment="1" applyProtection="1">
      <alignment horizontal="center" vertical="top" wrapText="1"/>
    </xf>
    <xf numFmtId="0" fontId="0" fillId="0" borderId="19" xfId="0" applyBorder="1" applyAlignment="1" applyProtection="1">
      <alignment horizontal="center" vertical="top" wrapText="1"/>
    </xf>
    <xf numFmtId="0" fontId="2" fillId="0" borderId="18" xfId="2" applyBorder="1" applyAlignment="1" applyProtection="1">
      <alignment horizontal="center"/>
    </xf>
    <xf numFmtId="0" fontId="2" fillId="0" borderId="18" xfId="2" applyBorder="1" applyAlignment="1" applyProtection="1">
      <alignment horizontal="center" vertical="top"/>
    </xf>
    <xf numFmtId="0" fontId="0" fillId="0" borderId="14" xfId="0" applyBorder="1" applyAlignment="1" applyProtection="1">
      <alignment horizontal="center" vertical="center" wrapText="1"/>
    </xf>
    <xf numFmtId="0" fontId="0" fillId="0" borderId="15" xfId="0" applyBorder="1" applyAlignment="1" applyProtection="1">
      <alignment horizontal="center" vertical="center" wrapText="1"/>
    </xf>
    <xf numFmtId="0" fontId="0" fillId="0" borderId="16" xfId="0" applyBorder="1" applyAlignment="1" applyProtection="1">
      <alignment horizontal="center" vertical="center" wrapText="1"/>
    </xf>
    <xf numFmtId="0" fontId="0" fillId="0" borderId="17"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center" vertical="center" wrapText="1"/>
    </xf>
    <xf numFmtId="0" fontId="2" fillId="0" borderId="0" xfId="2" applyBorder="1" applyAlignment="1" applyProtection="1">
      <alignment horizontal="center" vertical="top"/>
    </xf>
    <xf numFmtId="0" fontId="0" fillId="0" borderId="66" xfId="0" applyBorder="1" applyAlignment="1">
      <alignment horizontal="left" vertical="center" wrapText="1"/>
    </xf>
    <xf numFmtId="0" fontId="0" fillId="0" borderId="0" xfId="0" applyAlignment="1">
      <alignment horizontal="left" vertical="center" wrapText="1"/>
    </xf>
    <xf numFmtId="0" fontId="52" fillId="0" borderId="0" xfId="8" applyFont="1" applyAlignment="1">
      <alignment horizontal="center"/>
    </xf>
    <xf numFmtId="0" fontId="7" fillId="0" borderId="0" xfId="8" applyAlignment="1">
      <alignment horizontal="center"/>
    </xf>
    <xf numFmtId="0" fontId="50" fillId="0" borderId="0" xfId="8" applyFont="1" applyAlignment="1">
      <alignment horizontal="center"/>
    </xf>
    <xf numFmtId="14" fontId="5" fillId="3" borderId="3" xfId="5" applyNumberFormat="1" applyAlignment="1" applyProtection="1">
      <alignment horizontal="left"/>
      <protection locked="0"/>
    </xf>
    <xf numFmtId="0" fontId="5" fillId="3" borderId="3" xfId="5" applyAlignment="1" applyProtection="1">
      <alignment vertical="top"/>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Fill="1" applyAlignment="1" applyProtection="1">
      <alignment horizontal="left" vertical="top"/>
      <protection locked="0"/>
    </xf>
  </cellXfs>
  <cellStyles count="18">
    <cellStyle name="Accent2" xfId="9" builtinId="33"/>
    <cellStyle name="Calculation" xfId="6" builtinId="22"/>
    <cellStyle name="Check Cell" xfId="16" builtinId="23"/>
    <cellStyle name="Comma [0]" xfId="14" builtinId="6" hidden="1"/>
    <cellStyle name="Currency [0]" xfId="15" builtinId="7" hidden="1"/>
    <cellStyle name="Explanatory Text" xfId="8" builtinId="53"/>
    <cellStyle name="Heading 1" xfId="2" builtinId="16"/>
    <cellStyle name="Heading 2" xfId="10" builtinId="17"/>
    <cellStyle name="Heading 3" xfId="3" builtinId="18"/>
    <cellStyle name="Heading 4" xfId="13" builtinId="19"/>
    <cellStyle name="Hyperlink" xfId="11" builtinId="8"/>
    <cellStyle name="Input" xfId="5" builtinId="20"/>
    <cellStyle name="Neutral" xfId="4" builtinId="28"/>
    <cellStyle name="Normal" xfId="0" builtinId="0"/>
    <cellStyle name="Note" xfId="7" builtinId="10"/>
    <cellStyle name="Percent" xfId="1" builtinId="5"/>
    <cellStyle name="Title" xfId="12" builtinId="15"/>
    <cellStyle name="Warning Text" xfId="17" builtinId="11"/>
  </cellStyles>
  <dxfs count="307">
    <dxf>
      <alignment horizontal="general" vertical="top" textRotation="0" indent="0" justifyLastLine="0" shrinkToFit="0" readingOrder="0"/>
      <protection locked="0" hidden="0"/>
    </dxf>
    <dxf>
      <font>
        <b/>
      </font>
      <alignment horizontal="center" vertical="center" textRotation="0" wrapText="1" indent="0" justifyLastLine="0" shrinkToFit="0" readingOrder="0"/>
      <border diagonalUp="0" diagonalDown="0">
        <left style="medium">
          <color indexed="64"/>
        </left>
        <right style="medium">
          <color indexed="64"/>
        </right>
        <top style="thin">
          <color rgb="FF7F7F7F"/>
        </top>
        <bottom/>
        <vertical/>
        <horizontal/>
      </border>
      <protection locked="0" hidden="0"/>
    </dxf>
    <dxf>
      <font>
        <color theme="0"/>
      </font>
    </dxf>
    <dxf>
      <font>
        <color theme="0" tint="-0.14996795556505021"/>
      </font>
    </dxf>
    <dxf>
      <font>
        <color theme="0"/>
      </font>
    </dxf>
    <dxf>
      <font>
        <color theme="0" tint="-0.14996795556505021"/>
      </font>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0"/>
      </font>
      <fill>
        <patternFill>
          <bgColor theme="0"/>
        </patternFill>
      </fill>
    </dxf>
    <dxf>
      <fill>
        <patternFill>
          <bgColor rgb="FFF8696B"/>
        </patternFill>
      </fill>
    </dxf>
    <dxf>
      <fill>
        <patternFill>
          <bgColor rgb="FFFA9D75"/>
        </patternFill>
      </fill>
    </dxf>
    <dxf>
      <fill>
        <patternFill>
          <bgColor rgb="FFFDD17F"/>
        </patternFill>
      </fill>
    </dxf>
    <dxf>
      <fill>
        <patternFill>
          <bgColor rgb="FFE0E383"/>
        </patternFill>
      </fill>
    </dxf>
    <dxf>
      <fill>
        <patternFill>
          <bgColor rgb="FFA2D07F"/>
        </patternFill>
      </fill>
    </dxf>
    <dxf>
      <fill>
        <patternFill>
          <bgColor rgb="FF63BE7B"/>
        </patternFill>
      </fill>
    </dxf>
    <dxf>
      <fill>
        <patternFill>
          <bgColor rgb="FFF8696B"/>
        </patternFill>
      </fill>
    </dxf>
    <dxf>
      <fill>
        <patternFill>
          <bgColor rgb="FFFA9D75"/>
        </patternFill>
      </fill>
    </dxf>
    <dxf>
      <fill>
        <patternFill>
          <bgColor rgb="FFFDD17F"/>
        </patternFill>
      </fill>
    </dxf>
    <dxf>
      <fill>
        <patternFill>
          <bgColor rgb="FFE0E383"/>
        </patternFill>
      </fill>
    </dxf>
    <dxf>
      <fill>
        <patternFill>
          <bgColor rgb="FFA2D07F"/>
        </patternFill>
      </fill>
    </dxf>
    <dxf>
      <fill>
        <patternFill>
          <bgColor rgb="FF63BE7B"/>
        </patternFill>
      </fill>
    </dxf>
    <dxf>
      <fill>
        <patternFill>
          <bgColor rgb="FFF8696B"/>
        </patternFill>
      </fill>
    </dxf>
    <dxf>
      <fill>
        <patternFill>
          <bgColor rgb="FFFA9D75"/>
        </patternFill>
      </fill>
    </dxf>
    <dxf>
      <fill>
        <patternFill>
          <bgColor rgb="FFFDD17F"/>
        </patternFill>
      </fill>
    </dxf>
    <dxf>
      <fill>
        <patternFill>
          <bgColor rgb="FFE0E383"/>
        </patternFill>
      </fill>
    </dxf>
    <dxf>
      <fill>
        <patternFill>
          <bgColor rgb="FFA2D07F"/>
        </patternFill>
      </fill>
    </dxf>
    <dxf>
      <fill>
        <patternFill>
          <bgColor rgb="FF63BE7B"/>
        </patternFill>
      </fill>
    </dxf>
    <dxf>
      <font>
        <color rgb="FF002060"/>
      </font>
      <border>
        <left style="thin">
          <color rgb="FF002060"/>
        </left>
        <right style="thin">
          <color rgb="FF002060"/>
        </right>
        <top style="thin">
          <color rgb="FF002060"/>
        </top>
        <bottom style="thin">
          <color rgb="FF00206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font>
        <color rgb="FF002060"/>
      </font>
      <border>
        <left style="thin">
          <color rgb="FF002060"/>
        </left>
        <right style="thin">
          <color rgb="FF002060"/>
        </right>
        <top style="thin">
          <color rgb="FF002060"/>
        </top>
        <bottom style="thin">
          <color rgb="FF00206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font>
        <color rgb="FF002060"/>
      </font>
      <border>
        <left style="thin">
          <color rgb="FF002060"/>
        </left>
        <right style="thin">
          <color rgb="FF002060"/>
        </right>
        <top style="thin">
          <color rgb="FF002060"/>
        </top>
        <bottom style="thin">
          <color rgb="FF00206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font>
        <color rgb="FF002060"/>
      </font>
      <border>
        <left style="thin">
          <color rgb="FF002060"/>
        </left>
        <right style="thin">
          <color rgb="FF002060"/>
        </right>
        <top style="thin">
          <color rgb="FF002060"/>
        </top>
        <bottom style="thin">
          <color rgb="FF00206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2060"/>
      </font>
      <border>
        <left style="thin">
          <color rgb="FF002060"/>
        </left>
        <right style="thin">
          <color rgb="FF002060"/>
        </right>
        <top style="thin">
          <color rgb="FF002060"/>
        </top>
        <bottom style="thin">
          <color rgb="FF00206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font>
        <b val="0"/>
        <i val="0"/>
        <color rgb="FFFF0000"/>
      </font>
      <fill>
        <patternFill>
          <bgColor rgb="FFE0EACC"/>
        </patternFill>
      </fill>
    </dxf>
    <dxf>
      <font>
        <b/>
        <i val="0"/>
        <color rgb="FFFF0000"/>
      </font>
    </dxf>
    <dxf>
      <font>
        <b/>
        <i val="0"/>
        <color rgb="FFFF0000"/>
      </font>
    </dxf>
    <dxf>
      <font>
        <color rgb="FF00B050"/>
      </font>
    </dxf>
    <dxf>
      <font>
        <color rgb="FF00B0F0"/>
      </font>
    </dxf>
    <dxf>
      <font>
        <color rgb="FFFF0000"/>
      </font>
    </dxf>
    <dxf>
      <protection locked="1" hidden="0"/>
    </dxf>
    <dxf>
      <protection locked="1" hidden="0"/>
    </dxf>
    <dxf>
      <protection locked="1" hidden="0"/>
    </dxf>
    <dxf>
      <border outline="0">
        <bottom style="medium">
          <color theme="4" tint="0.39997558519241921"/>
        </bottom>
      </border>
    </dxf>
    <dxf>
      <numFmt numFmtId="0" formatCode="General"/>
    </dxf>
    <dxf>
      <numFmt numFmtId="0" formatCode="General"/>
    </dxf>
    <dxf>
      <border outline="0">
        <bottom style="medium">
          <color theme="4" tint="0.39997558519241921"/>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rgb="FFC5D9EF"/>
        </patternFill>
      </fill>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1"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center" textRotation="0" wrapText="0" indent="0" justifyLastLine="0" shrinkToFit="0" readingOrder="0"/>
      <protection locked="1" hidden="0"/>
    </dxf>
    <dxf>
      <alignment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righ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wrapText="0"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center" textRotation="0" wrapText="0" indent="0" justifyLastLine="0" shrinkToFit="0" readingOrder="0"/>
      <protection locked="1" hidden="0"/>
    </dxf>
    <dxf>
      <alignment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righ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general" vertical="top" textRotation="0" wrapText="0" indent="0" justifyLastLine="0" shrinkToFit="0" readingOrder="0"/>
      <protection locked="0" hidden="0"/>
    </dxf>
    <dxf>
      <alignment horizontal="general"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center" textRotation="0" wrapText="0"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general" vertical="top" textRotation="0" wrapText="0" indent="0" justifyLastLine="0" shrinkToFit="0" readingOrder="0"/>
      <protection locked="1" hidden="0"/>
    </dxf>
    <dxf>
      <alignment horizontal="general"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font>
        <strike val="0"/>
        <outline val="0"/>
        <shadow val="0"/>
        <u val="none"/>
        <vertAlign val="baseline"/>
        <sz val="11"/>
        <color theme="9" tint="-0.499984740745262"/>
        <name val="Calibri"/>
        <scheme val="minor"/>
      </font>
      <numFmt numFmtId="0" formatCode="General"/>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general" vertical="top" textRotation="0" wrapText="1" indent="0" justifyLastLine="0" shrinkToFit="0" readingOrder="0"/>
      <border diagonalUp="0" diagonalDown="0" outline="0">
        <left style="thin">
          <color indexed="64"/>
        </left>
        <right style="thin">
          <color indexed="64"/>
        </right>
        <top/>
        <bottom/>
      </border>
      <protection locked="0" hidden="0"/>
    </dxf>
    <dxf>
      <alignment horizontal="left" vertical="top" textRotation="0" wrapText="1" indent="0" justifyLastLine="0" shrinkToFit="0" readingOrder="0"/>
      <border outline="0">
        <right style="thin">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font>
        <b/>
      </font>
      <alignment horizontal="center" vertical="center" textRotation="0" wrapText="1" indent="0" justifyLastLine="0" shrinkToFit="0" readingOrder="0"/>
      <border diagonalUp="0" diagonalDown="0" outline="0">
        <left style="medium">
          <color indexed="64"/>
        </left>
        <right style="medium">
          <color indexed="64"/>
        </right>
        <top/>
        <bottom/>
      </border>
      <protection locked="0" hidden="0"/>
    </dxf>
    <dxf>
      <alignment horizontal="general" vertical="top" textRotation="0" wrapText="1" indent="0" justifyLastLine="0" shrinkToFit="0" readingOrder="0"/>
      <border diagonalUp="0" diagonalDown="0" outline="0">
        <left style="thin">
          <color indexed="64"/>
        </left>
        <right/>
        <top/>
        <bottom/>
      </border>
      <protection locked="1" hidden="0"/>
    </dxf>
    <dxf>
      <alignment horizontal="general" vertical="top" textRotation="0" wrapText="1" indent="0" justifyLastLine="0" shrinkToFit="0" readingOrder="0"/>
      <protection locked="1" hidden="0"/>
    </dxf>
    <dxf>
      <alignment horizontal="general" vertical="bottom" textRotation="0" wrapText="1" indent="0" justifyLastLine="0" shrinkToFit="0" readingOrder="0"/>
      <protection locked="1" hidden="0"/>
    </dxf>
    <dxf>
      <alignment horizontal="general" vertical="top" textRotation="0" wrapText="1" indent="0" justifyLastLine="0" shrinkToFit="0" readingOrder="0"/>
      <border diagonalUp="0" diagonalDown="0" outline="0">
        <left style="thin">
          <color indexed="64"/>
        </left>
        <right style="thin">
          <color indexed="64"/>
        </right>
        <top/>
        <bottom/>
      </border>
      <protection locked="0" hidden="0"/>
    </dxf>
    <dxf>
      <alignment horizontal="general" vertical="top" textRotation="0" wrapText="1" indent="0" justifyLastLine="0" shrinkToFit="0" readingOrder="0"/>
      <border outline="0">
        <right style="thin">
          <color indexed="64"/>
        </right>
      </border>
      <protection locked="1" hidden="0"/>
    </dxf>
    <dxf>
      <alignment horizontal="general" vertical="top" textRotation="0" wrapText="1" indent="0" justifyLastLine="0" shrinkToFit="0" readingOrder="0"/>
      <protection locked="1" hidden="0"/>
    </dxf>
    <dxf>
      <alignment horizontal="general" vertical="top" textRotation="0" wrapText="1" indent="0" justifyLastLine="0" shrinkToFit="0" readingOrder="0"/>
      <protection locked="1" hidden="0"/>
    </dxf>
    <dxf>
      <alignment horizontal="general" vertical="top" textRotation="0" wrapText="1" indent="0" justifyLastLine="0" shrinkToFit="0" readingOrder="0"/>
      <protection locked="1" hidden="0"/>
    </dxf>
    <dxf>
      <alignment horizontal="general" vertical="top" textRotation="0" wrapText="1" indent="0" justifyLastLine="0" shrinkToFit="0" readingOrder="0"/>
      <border outline="0">
        <left style="medium">
          <color indexed="64"/>
        </left>
      </border>
      <protection locked="1" hidden="0"/>
    </dxf>
    <dxf>
      <alignment horizontal="general" vertical="top" textRotation="0" wrapText="1" indent="0" justifyLastLine="0" shrinkToFit="0" readingOrder="0"/>
      <border diagonalUp="0" diagonalDown="0" outline="0">
        <left style="medium">
          <color indexed="64"/>
        </left>
        <right style="medium">
          <color indexed="64"/>
        </right>
        <top/>
        <bottom/>
      </border>
      <protection locked="0" hidden="0"/>
    </dxf>
    <dxf>
      <alignment horizontal="general" vertical="top" textRotation="0" wrapText="1" indent="0" justifyLastLine="0" shrinkToFit="0" readingOrder="0"/>
      <border diagonalUp="0" diagonalDown="0" outline="0">
        <left style="thin">
          <color indexed="64"/>
        </left>
        <right/>
        <top/>
        <bottom/>
      </border>
      <protection locked="1" hidden="0"/>
    </dxf>
    <dxf>
      <alignment horizontal="general" vertical="top" textRotation="0" wrapText="1" indent="0" justifyLastLine="0" shrinkToFit="0" readingOrder="0"/>
      <protection locked="1" hidden="0"/>
    </dxf>
    <dxf>
      <alignment horizontal="general" vertical="bottom" textRotation="0" wrapText="1" indent="0" justifyLastLine="0" shrinkToFit="0" readingOrder="0"/>
      <protection locked="1" hidden="0"/>
    </dxf>
    <dxf>
      <alignment horizontal="left" vertical="top" textRotation="0" wrapText="1" indent="0" justifyLastLine="0" shrinkToFit="0" readingOrder="0"/>
      <border diagonalUp="0" diagonalDown="0" outline="0">
        <left style="medium">
          <color indexed="64"/>
        </left>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wrapText="1" indent="0" justifyLastLine="0" shrinkToFit="0" readingOrder="0"/>
      <border diagonalUp="0" diagonalDown="0" outline="0">
        <left style="medium">
          <color indexed="64"/>
        </left>
        <right style="medium">
          <color indexed="64"/>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general" vertical="bottom" textRotation="0" wrapText="1" indent="0" justifyLastLine="0" shrinkToFit="0" readingOrder="0"/>
      <protection locked="1" hidden="0"/>
    </dxf>
    <dxf>
      <alignment horizontal="left" vertical="top" textRotation="0" wrapText="1" indent="0" justifyLastLine="0" shrinkToFit="0" readingOrder="0"/>
      <border diagonalUp="0" diagonalDown="0" outline="0">
        <left style="medium">
          <color indexed="64"/>
        </left>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wrapText="1" indent="0" justifyLastLine="0" shrinkToFit="0" readingOrder="0"/>
      <border diagonalUp="0" diagonalDown="0" outline="0">
        <left style="medium">
          <color indexed="64"/>
        </left>
        <right style="medium">
          <color indexed="64"/>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general" vertical="bottom" textRotation="0" wrapText="1" indent="0" justifyLastLine="0" shrinkToFit="0" readingOrder="0"/>
      <protection locked="1" hidden="0"/>
    </dxf>
    <dxf>
      <alignment horizontal="left" vertical="top" textRotation="0" wrapText="1" indent="0" justifyLastLine="0" shrinkToFit="0" readingOrder="0"/>
      <border diagonalUp="0" diagonalDown="0" outline="0">
        <left style="medium">
          <color indexed="64"/>
        </left>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general" vertical="bottom" textRotation="0" wrapText="1"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alignment horizontal="general" vertical="center" textRotation="0" wrapText="1" indent="0" justifyLastLine="0" shrinkToFit="0" readingOrder="0"/>
      <protection locked="1" hidden="0"/>
    </dxf>
    <dxf>
      <protection locked="1" hidden="0"/>
    </dxf>
    <dxf>
      <protection locked="1" hidden="0"/>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protection locked="1" hidden="0"/>
    </dxf>
    <dxf>
      <font>
        <b val="0"/>
        <i val="0"/>
        <strike val="0"/>
        <condense val="0"/>
        <extend val="0"/>
        <outline val="0"/>
        <shadow val="0"/>
        <u val="none"/>
        <vertAlign val="baseline"/>
        <sz val="11"/>
        <color auto="1"/>
        <name val="Calibri"/>
        <scheme val="minor"/>
      </font>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numFmt numFmtId="19" formatCode="m/d/yyyy"/>
      <alignment horizontal="left" vertical="top" textRotation="0" wrapText="1" indent="0" justifyLastLine="0" shrinkToFit="0" readingOrder="0"/>
      <protection locked="1" hidden="0"/>
    </dxf>
    <dxf>
      <alignment horizontal="left" vertical="top" textRotation="0" wrapText="1" indent="0" justifyLastLine="0" shrinkToFit="0" readingOrder="0"/>
    </dxf>
    <dxf>
      <alignment horizontal="general" vertical="bottom" textRotation="0" wrapText="1" indent="0" justifyLastLine="0" shrinkToFit="0" readingOrder="0"/>
      <protection locked="1" hidden="0"/>
    </dxf>
    <dxf>
      <alignment horizontal="left" vertical="top" textRotation="0" indent="0" justifyLastLine="0" shrinkToFit="0" readingOrder="0"/>
    </dxf>
    <dxf>
      <alignment horizontal="left" vertical="top" textRotation="0" indent="0" justifyLastLine="0" shrinkToFit="0" readingOrder="0"/>
    </dxf>
    <dxf>
      <numFmt numFmtId="19" formatCode="m/d/yyyy"/>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colors>
    <mruColors>
      <color rgb="FFC5D9EF"/>
      <color rgb="FFF1750F"/>
      <color rgb="FF04ACA4"/>
      <color rgb="FF17365D"/>
      <color rgb="FFE0EACC"/>
      <color rgb="FF112946"/>
      <color rgb="FF122946"/>
      <color rgb="FFD8E4BC"/>
      <color rgb="FF75A4DD"/>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[FFIEC Cyber Assessment Tool v3.4.2 free web distrubution.xlsx]Pivot Reports!PivotTable10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Cybersecurity Maturity Answers by Domain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rgbClr val="04ACA4"/>
          </a:solidFill>
          <a:ln>
            <a:noFill/>
          </a:ln>
          <a:effectLst/>
        </c:spPr>
        <c:marker>
          <c:symbol val="none"/>
        </c:marker>
      </c:pivotFmt>
      <c:pivotFmt>
        <c:idx val="21"/>
        <c:spPr>
          <a:solidFill>
            <a:srgbClr val="F1750F"/>
          </a:solidFill>
          <a:ln>
            <a:noFill/>
          </a:ln>
          <a:effectLst/>
        </c:spPr>
        <c:marker>
          <c:symbol val="none"/>
        </c:marker>
      </c:pivotFmt>
      <c:pivotFmt>
        <c:idx val="22"/>
        <c:spPr>
          <a:solidFill>
            <a:schemeClr val="tx1"/>
          </a:solidFill>
          <a:ln>
            <a:noFill/>
          </a:ln>
          <a:effectLst/>
        </c:spPr>
        <c:marker>
          <c:symbol val="none"/>
        </c:marker>
      </c:pivotFmt>
      <c:pivotFmt>
        <c:idx val="23"/>
        <c:spPr>
          <a:solidFill>
            <a:schemeClr val="accent1"/>
          </a:solidFill>
          <a:ln>
            <a:noFill/>
          </a:ln>
          <a:effectLst/>
        </c:spPr>
        <c:marker>
          <c:symbol val="none"/>
        </c:marker>
      </c:pivotFmt>
      <c:pivotFmt>
        <c:idx val="24"/>
        <c:spPr>
          <a:solidFill>
            <a:srgbClr val="FFC000"/>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s>
    <c:plotArea>
      <c:layout/>
      <c:barChart>
        <c:barDir val="col"/>
        <c:grouping val="percentStacked"/>
        <c:varyColors val="0"/>
        <c:dLbls>
          <c:showLegendKey val="0"/>
          <c:showVal val="0"/>
          <c:showCatName val="0"/>
          <c:showSerName val="0"/>
          <c:showPercent val="0"/>
          <c:showBubbleSize val="0"/>
        </c:dLbls>
        <c:gapWidth val="95"/>
        <c:overlap val="100"/>
        <c:axId val="788211496"/>
        <c:axId val="788209928"/>
      </c:barChart>
      <c:catAx>
        <c:axId val="78821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88209928"/>
        <c:crosses val="autoZero"/>
        <c:auto val="1"/>
        <c:lblAlgn val="ctr"/>
        <c:lblOffset val="100"/>
        <c:noMultiLvlLbl val="0"/>
      </c:catAx>
      <c:valAx>
        <c:axId val="788209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11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438150</xdr:colOff>
      <xdr:row>7</xdr:row>
      <xdr:rowOff>104775</xdr:rowOff>
    </xdr:from>
    <xdr:to>
      <xdr:col>1</xdr:col>
      <xdr:colOff>438150</xdr:colOff>
      <xdr:row>11</xdr:row>
      <xdr:rowOff>495300</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1047750" y="866775"/>
          <a:ext cx="0" cy="2676525"/>
        </a:xfrm>
        <a:prstGeom prst="straightConnector1">
          <a:avLst/>
        </a:prstGeom>
        <a:ln>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247650</xdr:colOff>
      <xdr:row>5</xdr:row>
      <xdr:rowOff>419100</xdr:rowOff>
    </xdr:from>
    <xdr:to>
      <xdr:col>7</xdr:col>
      <xdr:colOff>1104900</xdr:colOff>
      <xdr:row>5</xdr:row>
      <xdr:rowOff>419100</xdr:rowOff>
    </xdr:to>
    <xdr:cxnSp macro="">
      <xdr:nvCxnSpPr>
        <xdr:cNvPr id="7" name="Straight Arrow Connector 6">
          <a:extLst>
            <a:ext uri="{FF2B5EF4-FFF2-40B4-BE49-F238E27FC236}">
              <a16:creationId xmlns:a16="http://schemas.microsoft.com/office/drawing/2014/main" id="{00000000-0008-0000-0200-000007000000}"/>
            </a:ext>
          </a:extLst>
        </xdr:cNvPr>
        <xdr:cNvCxnSpPr/>
      </xdr:nvCxnSpPr>
      <xdr:spPr>
        <a:xfrm>
          <a:off x="2847975" y="800100"/>
          <a:ext cx="6381750" cy="0"/>
        </a:xfrm>
        <a:prstGeom prst="straightConnector1">
          <a:avLst/>
        </a:prstGeom>
        <a:ln>
          <a:tailEnd type="arrow"/>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5</xdr:row>
      <xdr:rowOff>180975</xdr:rowOff>
    </xdr:from>
    <xdr:to>
      <xdr:col>28</xdr:col>
      <xdr:colOff>514351</xdr:colOff>
      <xdr:row>47</xdr:row>
      <xdr:rowOff>57150</xdr:rowOff>
    </xdr:to>
    <xdr:graphicFrame macro="">
      <xdr:nvGraphicFramePr>
        <xdr:cNvPr id="4" name="Chart 3">
          <a:extLst>
            <a:ext uri="{FF2B5EF4-FFF2-40B4-BE49-F238E27FC236}">
              <a16:creationId xmlns:a16="http://schemas.microsoft.com/office/drawing/2014/main" id="{88D968FE-648A-4872-B999-78BE48D9B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Johnston" refreshedDate="43506.352132638887" missingItemsLimit="0" createdVersion="6" refreshedVersion="6" minRefreshableVersion="3" recordCount="494" xr:uid="{00000000-000A-0000-FFFF-FFFF00000000}">
  <cacheSource type="worksheet">
    <worksheetSource name="combinedMaturityTable"/>
  </cacheSource>
  <cacheFields count="9">
    <cacheField name="domain" numFmtId="0">
      <sharedItems count="5">
        <s v="Cyber Risk Management and Oversight"/>
        <s v="Threat Intelligence and Collaboration"/>
        <s v="Cybersecurity Controls"/>
        <s v="External Dependency Management"/>
        <s v="Cyber Incident Management and Resilience"/>
      </sharedItems>
    </cacheField>
    <cacheField name="Assesment Factor" numFmtId="0">
      <sharedItems/>
    </cacheField>
    <cacheField name="Component" numFmtId="0">
      <sharedItems/>
    </cacheField>
    <cacheField name="Maturity Level" numFmtId="0">
      <sharedItems count="5">
        <s v="Baseline"/>
        <s v="Evolving"/>
        <s v="Intermediate"/>
        <s v="Advanced"/>
        <s v="Innovative"/>
      </sharedItems>
    </cacheField>
    <cacheField name="Y, Y(C), N" numFmtId="0">
      <sharedItems containsMixedTypes="1" containsNumber="1" containsInteger="1" minValue="0" maxValue="0"/>
    </cacheField>
    <cacheField name="DS Yes" numFmtId="0">
      <sharedItems containsSemiMixedTypes="0" containsString="0" containsNumber="1" containsInteger="1" minValue="0" maxValue="1"/>
    </cacheField>
    <cacheField name="DS YesCC" numFmtId="0">
      <sharedItems containsSemiMixedTypes="0" containsString="0" containsNumber="1" containsInteger="1" minValue="0" maxValue="1"/>
    </cacheField>
    <cacheField name="DS No" numFmtId="0">
      <sharedItems containsSemiMixedTypes="0" containsString="0" containsNumber="1" containsInteger="1" minValue="0" maxValue="1"/>
    </cacheField>
    <cacheField name="DS N/A"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4">
  <r>
    <x v="0"/>
    <s v="Governance"/>
    <s v="Oversight"/>
    <x v="0"/>
    <s v="Yes"/>
    <n v="1"/>
    <n v="0"/>
    <n v="0"/>
    <n v="0"/>
  </r>
  <r>
    <x v="0"/>
    <s v="Governance"/>
    <s v="Oversight"/>
    <x v="0"/>
    <s v="Yes"/>
    <n v="1"/>
    <n v="0"/>
    <n v="0"/>
    <n v="0"/>
  </r>
  <r>
    <x v="0"/>
    <s v="Governance"/>
    <s v="Oversight"/>
    <x v="0"/>
    <s v="Yes"/>
    <n v="1"/>
    <n v="0"/>
    <n v="0"/>
    <n v="0"/>
  </r>
  <r>
    <x v="0"/>
    <s v="Governance"/>
    <s v="Oversight"/>
    <x v="0"/>
    <s v="No"/>
    <n v="0"/>
    <n v="0"/>
    <n v="1"/>
    <n v="0"/>
  </r>
  <r>
    <x v="0"/>
    <s v="Governance"/>
    <s v="Oversight"/>
    <x v="0"/>
    <s v="No"/>
    <n v="0"/>
    <n v="0"/>
    <n v="1"/>
    <n v="0"/>
  </r>
  <r>
    <x v="0"/>
    <s v="Governance"/>
    <s v="Oversight"/>
    <x v="1"/>
    <s v="Yes"/>
    <n v="1"/>
    <n v="0"/>
    <n v="0"/>
    <n v="0"/>
  </r>
  <r>
    <x v="0"/>
    <s v="Governance"/>
    <s v="Oversight"/>
    <x v="1"/>
    <s v="Yes"/>
    <n v="1"/>
    <n v="0"/>
    <n v="0"/>
    <n v="0"/>
  </r>
  <r>
    <x v="0"/>
    <s v="Governance"/>
    <s v="Oversight"/>
    <x v="1"/>
    <s v="No"/>
    <n v="0"/>
    <n v="0"/>
    <n v="1"/>
    <n v="0"/>
  </r>
  <r>
    <x v="0"/>
    <s v="Governance"/>
    <s v="Oversight"/>
    <x v="1"/>
    <s v="No"/>
    <n v="0"/>
    <n v="0"/>
    <n v="1"/>
    <n v="0"/>
  </r>
  <r>
    <x v="0"/>
    <s v="Governance"/>
    <s v="Oversight"/>
    <x v="2"/>
    <s v="Yes"/>
    <n v="1"/>
    <n v="0"/>
    <n v="0"/>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3"/>
    <s v="Yes"/>
    <n v="1"/>
    <n v="0"/>
    <n v="0"/>
    <n v="0"/>
  </r>
  <r>
    <x v="0"/>
    <s v="Governance"/>
    <s v="Oversight"/>
    <x v="3"/>
    <s v="No"/>
    <n v="0"/>
    <n v="0"/>
    <n v="1"/>
    <n v="0"/>
  </r>
  <r>
    <x v="0"/>
    <s v="Governance"/>
    <s v="Oversight"/>
    <x v="3"/>
    <s v="No"/>
    <n v="0"/>
    <n v="0"/>
    <n v="1"/>
    <n v="0"/>
  </r>
  <r>
    <x v="0"/>
    <s v="Governance"/>
    <s v="Oversight"/>
    <x v="3"/>
    <s v="No"/>
    <n v="0"/>
    <n v="0"/>
    <n v="1"/>
    <n v="0"/>
  </r>
  <r>
    <x v="0"/>
    <s v="Governance"/>
    <s v="Oversight"/>
    <x v="3"/>
    <s v="No"/>
    <n v="0"/>
    <n v="0"/>
    <n v="1"/>
    <n v="0"/>
  </r>
  <r>
    <x v="0"/>
    <s v="Governance"/>
    <s v="Oversight"/>
    <x v="3"/>
    <s v="No"/>
    <n v="0"/>
    <n v="0"/>
    <n v="1"/>
    <n v="0"/>
  </r>
  <r>
    <x v="0"/>
    <s v="Governance"/>
    <s v="Oversight"/>
    <x v="4"/>
    <s v="No"/>
    <n v="0"/>
    <n v="0"/>
    <n v="1"/>
    <n v="0"/>
  </r>
  <r>
    <x v="0"/>
    <s v="Governance"/>
    <s v="Oversight"/>
    <x v="4"/>
    <s v="No"/>
    <n v="0"/>
    <n v="0"/>
    <n v="1"/>
    <n v="0"/>
  </r>
  <r>
    <x v="0"/>
    <s v="Governance"/>
    <s v="Strategy/Policies"/>
    <x v="0"/>
    <s v="Yes"/>
    <n v="1"/>
    <n v="0"/>
    <n v="0"/>
    <n v="0"/>
  </r>
  <r>
    <x v="0"/>
    <s v="Governance"/>
    <s v="Strategy/Policies"/>
    <x v="0"/>
    <s v="Yes"/>
    <n v="1"/>
    <n v="0"/>
    <n v="0"/>
    <n v="0"/>
  </r>
  <r>
    <x v="0"/>
    <s v="Governance"/>
    <s v="Strategy/Policies"/>
    <x v="0"/>
    <s v="Yes"/>
    <n v="1"/>
    <n v="0"/>
    <n v="0"/>
    <n v="0"/>
  </r>
  <r>
    <x v="0"/>
    <s v="Governance"/>
    <s v="Strategy/Policies"/>
    <x v="0"/>
    <s v="Yes"/>
    <n v="1"/>
    <n v="0"/>
    <n v="0"/>
    <n v="0"/>
  </r>
  <r>
    <x v="0"/>
    <s v="Governance"/>
    <s v="Strategy/Policies"/>
    <x v="0"/>
    <s v="Yes(C)"/>
    <n v="0"/>
    <n v="1"/>
    <n v="0"/>
    <n v="0"/>
  </r>
  <r>
    <x v="0"/>
    <s v="Governance"/>
    <s v="Strategy/Policies"/>
    <x v="0"/>
    <s v="Yes(C)"/>
    <n v="0"/>
    <n v="1"/>
    <n v="0"/>
    <n v="0"/>
  </r>
  <r>
    <x v="0"/>
    <s v="Governance"/>
    <s v="Strategy/Policies"/>
    <x v="0"/>
    <s v="No"/>
    <n v="0"/>
    <n v="0"/>
    <n v="1"/>
    <n v="0"/>
  </r>
  <r>
    <x v="0"/>
    <s v="Governance"/>
    <s v="Strategy/Policies"/>
    <x v="1"/>
    <s v="Yes"/>
    <n v="1"/>
    <n v="0"/>
    <n v="0"/>
    <n v="0"/>
  </r>
  <r>
    <x v="0"/>
    <s v="Governance"/>
    <s v="Strategy/Policies"/>
    <x v="1"/>
    <s v="No"/>
    <n v="0"/>
    <n v="0"/>
    <n v="1"/>
    <n v="0"/>
  </r>
  <r>
    <x v="0"/>
    <s v="Governance"/>
    <s v="Strategy/Policies"/>
    <x v="1"/>
    <s v="No"/>
    <n v="0"/>
    <n v="0"/>
    <n v="1"/>
    <n v="0"/>
  </r>
  <r>
    <x v="0"/>
    <s v="Governance"/>
    <s v="Strategy/Policies"/>
    <x v="2"/>
    <s v="Yes"/>
    <n v="1"/>
    <n v="0"/>
    <n v="0"/>
    <n v="0"/>
  </r>
  <r>
    <x v="0"/>
    <s v="Governance"/>
    <s v="Strategy/Policies"/>
    <x v="2"/>
    <s v="No"/>
    <n v="0"/>
    <n v="0"/>
    <n v="1"/>
    <n v="0"/>
  </r>
  <r>
    <x v="0"/>
    <s v="Governance"/>
    <s v="Strategy/Policies"/>
    <x v="2"/>
    <s v="No"/>
    <n v="0"/>
    <n v="0"/>
    <n v="1"/>
    <n v="0"/>
  </r>
  <r>
    <x v="0"/>
    <s v="Governance"/>
    <s v="Strategy/Policies"/>
    <x v="2"/>
    <s v="No"/>
    <n v="0"/>
    <n v="0"/>
    <n v="1"/>
    <n v="0"/>
  </r>
  <r>
    <x v="0"/>
    <s v="Governance"/>
    <s v="Strategy/Policies"/>
    <x v="2"/>
    <s v="No"/>
    <n v="0"/>
    <n v="0"/>
    <n v="1"/>
    <n v="0"/>
  </r>
  <r>
    <x v="0"/>
    <s v="Governance"/>
    <s v="Strategy/Policies"/>
    <x v="3"/>
    <s v="Yes"/>
    <n v="1"/>
    <n v="0"/>
    <n v="0"/>
    <n v="0"/>
  </r>
  <r>
    <x v="0"/>
    <s v="Governance"/>
    <s v="Strategy/Policies"/>
    <x v="3"/>
    <s v="No"/>
    <n v="0"/>
    <n v="0"/>
    <n v="1"/>
    <n v="0"/>
  </r>
  <r>
    <x v="0"/>
    <s v="Governance"/>
    <s v="Strategy/Policies"/>
    <x v="3"/>
    <s v="No"/>
    <n v="0"/>
    <n v="0"/>
    <n v="1"/>
    <n v="0"/>
  </r>
  <r>
    <x v="0"/>
    <s v="Governance"/>
    <s v="Strategy/Policies"/>
    <x v="3"/>
    <s v="No"/>
    <n v="0"/>
    <n v="0"/>
    <n v="1"/>
    <n v="0"/>
  </r>
  <r>
    <x v="0"/>
    <s v="Governance"/>
    <s v="Strategy/Policies"/>
    <x v="3"/>
    <s v="No"/>
    <n v="0"/>
    <n v="0"/>
    <n v="1"/>
    <n v="0"/>
  </r>
  <r>
    <x v="0"/>
    <s v="Governance"/>
    <s v="Strategy/Policies"/>
    <x v="4"/>
    <s v="No"/>
    <n v="0"/>
    <n v="0"/>
    <n v="1"/>
    <n v="0"/>
  </r>
  <r>
    <x v="0"/>
    <s v="Governance"/>
    <s v="IT Asset Management"/>
    <x v="0"/>
    <s v="Yes"/>
    <n v="1"/>
    <n v="0"/>
    <n v="0"/>
    <n v="0"/>
  </r>
  <r>
    <x v="0"/>
    <s v="Governance"/>
    <s v="IT Asset Management"/>
    <x v="0"/>
    <s v="Yes"/>
    <n v="1"/>
    <n v="0"/>
    <n v="0"/>
    <n v="0"/>
  </r>
  <r>
    <x v="0"/>
    <s v="Governance"/>
    <s v="IT Asset Management"/>
    <x v="0"/>
    <s v="Yes"/>
    <n v="1"/>
    <n v="0"/>
    <n v="0"/>
    <n v="0"/>
  </r>
  <r>
    <x v="0"/>
    <s v="Governance"/>
    <s v="IT Asset Management"/>
    <x v="0"/>
    <s v="No"/>
    <n v="0"/>
    <n v="0"/>
    <n v="1"/>
    <n v="0"/>
  </r>
  <r>
    <x v="0"/>
    <s v="Governance"/>
    <s v="IT Asset Management"/>
    <x v="1"/>
    <s v="Yes"/>
    <n v="1"/>
    <n v="0"/>
    <n v="0"/>
    <n v="0"/>
  </r>
  <r>
    <x v="0"/>
    <s v="Governance"/>
    <s v="IT Asset Management"/>
    <x v="1"/>
    <s v="No"/>
    <n v="0"/>
    <n v="0"/>
    <n v="1"/>
    <n v="0"/>
  </r>
  <r>
    <x v="0"/>
    <s v="Governance"/>
    <s v="IT Asset Management"/>
    <x v="1"/>
    <s v="No"/>
    <n v="0"/>
    <n v="0"/>
    <n v="1"/>
    <n v="0"/>
  </r>
  <r>
    <x v="0"/>
    <s v="Governance"/>
    <s v="IT Asset Management"/>
    <x v="1"/>
    <s v="No"/>
    <n v="0"/>
    <n v="0"/>
    <n v="1"/>
    <n v="0"/>
  </r>
  <r>
    <x v="0"/>
    <s v="Governance"/>
    <s v="IT Asset Management"/>
    <x v="2"/>
    <s v="Yes"/>
    <n v="1"/>
    <n v="0"/>
    <n v="0"/>
    <n v="0"/>
  </r>
  <r>
    <x v="0"/>
    <s v="Governance"/>
    <s v="IT Asset Management"/>
    <x v="2"/>
    <s v="No"/>
    <n v="0"/>
    <n v="0"/>
    <n v="1"/>
    <n v="0"/>
  </r>
  <r>
    <x v="0"/>
    <s v="Governance"/>
    <s v="IT Asset Management"/>
    <x v="3"/>
    <s v="Yes"/>
    <n v="1"/>
    <n v="0"/>
    <n v="0"/>
    <n v="0"/>
  </r>
  <r>
    <x v="0"/>
    <s v="Governance"/>
    <s v="IT Asset Management"/>
    <x v="3"/>
    <s v="No"/>
    <n v="0"/>
    <n v="0"/>
    <n v="1"/>
    <n v="0"/>
  </r>
  <r>
    <x v="0"/>
    <s v="Governance"/>
    <s v="IT Asset Management"/>
    <x v="3"/>
    <s v="No"/>
    <n v="0"/>
    <n v="0"/>
    <n v="1"/>
    <n v="0"/>
  </r>
  <r>
    <x v="0"/>
    <s v="Governance"/>
    <s v="IT Asset Management"/>
    <x v="3"/>
    <s v="No"/>
    <n v="0"/>
    <n v="0"/>
    <n v="1"/>
    <n v="0"/>
  </r>
  <r>
    <x v="0"/>
    <s v="Governance"/>
    <s v="IT Asset Management"/>
    <x v="4"/>
    <s v="No"/>
    <n v="0"/>
    <n v="0"/>
    <n v="1"/>
    <n v="0"/>
  </r>
  <r>
    <x v="0"/>
    <s v="Governance"/>
    <s v="IT Asset Management"/>
    <x v="4"/>
    <s v="No"/>
    <n v="0"/>
    <n v="0"/>
    <n v="1"/>
    <n v="0"/>
  </r>
  <r>
    <x v="0"/>
    <s v="Risk Management"/>
    <s v="Risk Management Program"/>
    <x v="0"/>
    <s v="Yes"/>
    <n v="1"/>
    <n v="0"/>
    <n v="0"/>
    <n v="0"/>
  </r>
  <r>
    <x v="0"/>
    <s v="Risk Management"/>
    <s v="Risk Management Program"/>
    <x v="1"/>
    <s v="Yes"/>
    <n v="1"/>
    <n v="0"/>
    <n v="0"/>
    <n v="0"/>
  </r>
  <r>
    <x v="0"/>
    <s v="Risk Management"/>
    <s v="Risk Management Program"/>
    <x v="1"/>
    <s v="No"/>
    <n v="0"/>
    <n v="0"/>
    <n v="1"/>
    <n v="0"/>
  </r>
  <r>
    <x v="0"/>
    <s v="Risk Management"/>
    <s v="Risk Management Program"/>
    <x v="1"/>
    <s v="No"/>
    <n v="0"/>
    <n v="0"/>
    <n v="1"/>
    <n v="0"/>
  </r>
  <r>
    <x v="0"/>
    <s v="Risk Management"/>
    <s v="Risk Management Program"/>
    <x v="2"/>
    <s v="Yes"/>
    <n v="1"/>
    <n v="0"/>
    <n v="0"/>
    <n v="0"/>
  </r>
  <r>
    <x v="0"/>
    <s v="Risk Management"/>
    <s v="Risk Management Program"/>
    <x v="2"/>
    <s v="No"/>
    <n v="0"/>
    <n v="0"/>
    <n v="1"/>
    <n v="0"/>
  </r>
  <r>
    <x v="0"/>
    <s v="Risk Management"/>
    <s v="Risk Management Program"/>
    <x v="2"/>
    <s v="No"/>
    <n v="0"/>
    <n v="0"/>
    <n v="1"/>
    <n v="0"/>
  </r>
  <r>
    <x v="0"/>
    <s v="Risk Management"/>
    <s v="Risk Management Program"/>
    <x v="2"/>
    <s v="No"/>
    <n v="0"/>
    <n v="0"/>
    <n v="1"/>
    <n v="0"/>
  </r>
  <r>
    <x v="0"/>
    <s v="Risk Management"/>
    <s v="Risk Management Program"/>
    <x v="2"/>
    <s v="No"/>
    <n v="0"/>
    <n v="0"/>
    <n v="1"/>
    <n v="0"/>
  </r>
  <r>
    <x v="0"/>
    <s v="Risk Management"/>
    <s v="Risk Management Program"/>
    <x v="3"/>
    <s v="Yes"/>
    <n v="1"/>
    <n v="0"/>
    <n v="0"/>
    <n v="0"/>
  </r>
  <r>
    <x v="0"/>
    <s v="Risk Management"/>
    <s v="Risk Management Program"/>
    <x v="3"/>
    <s v="No"/>
    <n v="0"/>
    <n v="0"/>
    <n v="1"/>
    <n v="0"/>
  </r>
  <r>
    <x v="0"/>
    <s v="Risk Management"/>
    <s v="Risk Management Program"/>
    <x v="3"/>
    <s v="No"/>
    <n v="0"/>
    <n v="0"/>
    <n v="1"/>
    <n v="0"/>
  </r>
  <r>
    <x v="0"/>
    <s v="Risk Management"/>
    <s v="Risk Management Program"/>
    <x v="3"/>
    <s v="No"/>
    <n v="0"/>
    <n v="0"/>
    <n v="1"/>
    <n v="0"/>
  </r>
  <r>
    <x v="0"/>
    <s v="Risk Management"/>
    <s v="Risk Management Program"/>
    <x v="3"/>
    <s v="No"/>
    <n v="0"/>
    <n v="0"/>
    <n v="1"/>
    <n v="0"/>
  </r>
  <r>
    <x v="0"/>
    <s v="Risk Management"/>
    <s v="Risk Management Program"/>
    <x v="4"/>
    <s v="No"/>
    <n v="0"/>
    <n v="0"/>
    <n v="1"/>
    <n v="0"/>
  </r>
  <r>
    <x v="0"/>
    <s v="Risk Management"/>
    <s v="Risk Management Program"/>
    <x v="4"/>
    <s v="No"/>
    <n v="0"/>
    <n v="0"/>
    <n v="1"/>
    <n v="0"/>
  </r>
  <r>
    <x v="0"/>
    <s v="Risk Management"/>
    <s v="Risk Assessment"/>
    <x v="0"/>
    <s v="Yes"/>
    <n v="1"/>
    <n v="0"/>
    <n v="0"/>
    <n v="0"/>
  </r>
  <r>
    <x v="0"/>
    <s v="Risk Management"/>
    <s v="Risk Assessment"/>
    <x v="0"/>
    <s v="Yes"/>
    <n v="1"/>
    <n v="0"/>
    <n v="0"/>
    <n v="0"/>
  </r>
  <r>
    <x v="0"/>
    <s v="Risk Management"/>
    <s v="Risk Assessment"/>
    <x v="0"/>
    <s v="No"/>
    <n v="0"/>
    <n v="0"/>
    <n v="1"/>
    <n v="0"/>
  </r>
  <r>
    <x v="0"/>
    <s v="Risk Management"/>
    <s v="Risk Assessment"/>
    <x v="1"/>
    <s v="Yes"/>
    <n v="1"/>
    <n v="0"/>
    <n v="0"/>
    <n v="0"/>
  </r>
  <r>
    <x v="0"/>
    <s v="Risk Management"/>
    <s v="Risk Assessment"/>
    <x v="1"/>
    <s v="Yes"/>
    <n v="1"/>
    <n v="0"/>
    <n v="0"/>
    <n v="0"/>
  </r>
  <r>
    <x v="0"/>
    <s v="Risk Management"/>
    <s v="Risk Assessment"/>
    <x v="1"/>
    <s v="No"/>
    <n v="0"/>
    <n v="0"/>
    <n v="1"/>
    <n v="0"/>
  </r>
  <r>
    <x v="0"/>
    <s v="Risk Management"/>
    <s v="Risk Assessment"/>
    <x v="2"/>
    <s v="No"/>
    <n v="0"/>
    <n v="0"/>
    <n v="1"/>
    <n v="0"/>
  </r>
  <r>
    <x v="0"/>
    <s v="Risk Management"/>
    <s v="Risk Assessment"/>
    <x v="3"/>
    <s v="No"/>
    <n v="0"/>
    <n v="0"/>
    <n v="1"/>
    <n v="0"/>
  </r>
  <r>
    <x v="0"/>
    <s v="Risk Management"/>
    <s v="Risk Assessment"/>
    <x v="4"/>
    <s v="Yes"/>
    <n v="1"/>
    <n v="0"/>
    <n v="0"/>
    <n v="0"/>
  </r>
  <r>
    <x v="0"/>
    <s v="Risk Management"/>
    <s v="Risk Assessment"/>
    <x v="4"/>
    <s v="No"/>
    <n v="0"/>
    <n v="0"/>
    <n v="1"/>
    <n v="0"/>
  </r>
  <r>
    <x v="0"/>
    <s v="Risk Management"/>
    <s v="Risk Assessment"/>
    <x v="4"/>
    <s v="No"/>
    <n v="0"/>
    <n v="0"/>
    <n v="1"/>
    <n v="0"/>
  </r>
  <r>
    <x v="0"/>
    <s v="Risk Management"/>
    <s v="Audit"/>
    <x v="0"/>
    <s v="Yes"/>
    <n v="1"/>
    <n v="0"/>
    <n v="0"/>
    <n v="0"/>
  </r>
  <r>
    <x v="0"/>
    <s v="Risk Management"/>
    <s v="Audit"/>
    <x v="0"/>
    <s v="Yes"/>
    <n v="1"/>
    <n v="0"/>
    <n v="0"/>
    <n v="0"/>
  </r>
  <r>
    <x v="0"/>
    <s v="Risk Management"/>
    <s v="Audit"/>
    <x v="0"/>
    <s v="No"/>
    <n v="0"/>
    <n v="0"/>
    <n v="1"/>
    <n v="0"/>
  </r>
  <r>
    <x v="0"/>
    <s v="Risk Management"/>
    <s v="Audit"/>
    <x v="0"/>
    <s v="No"/>
    <n v="0"/>
    <n v="0"/>
    <n v="1"/>
    <n v="0"/>
  </r>
  <r>
    <x v="0"/>
    <s v="Risk Management"/>
    <s v="Audit"/>
    <x v="1"/>
    <s v="Yes"/>
    <n v="1"/>
    <n v="0"/>
    <n v="0"/>
    <n v="0"/>
  </r>
  <r>
    <x v="0"/>
    <s v="Risk Management"/>
    <s v="Audit"/>
    <x v="1"/>
    <s v="Yes"/>
    <n v="1"/>
    <n v="0"/>
    <n v="0"/>
    <n v="0"/>
  </r>
  <r>
    <x v="0"/>
    <s v="Risk Management"/>
    <s v="Audit"/>
    <x v="1"/>
    <s v="No"/>
    <n v="0"/>
    <n v="0"/>
    <n v="1"/>
    <n v="0"/>
  </r>
  <r>
    <x v="0"/>
    <s v="Risk Management"/>
    <s v="Audit"/>
    <x v="1"/>
    <s v="No"/>
    <n v="0"/>
    <n v="0"/>
    <n v="1"/>
    <n v="0"/>
  </r>
  <r>
    <x v="0"/>
    <s v="Risk Management"/>
    <s v="Audit"/>
    <x v="1"/>
    <s v="N/A"/>
    <n v="0"/>
    <n v="0"/>
    <n v="0"/>
    <n v="1"/>
  </r>
  <r>
    <x v="0"/>
    <s v="Risk Management"/>
    <s v="Audit"/>
    <x v="2"/>
    <s v="Yes"/>
    <n v="1"/>
    <n v="0"/>
    <n v="0"/>
    <n v="0"/>
  </r>
  <r>
    <x v="0"/>
    <s v="Risk Management"/>
    <s v="Audit"/>
    <x v="2"/>
    <s v="No"/>
    <n v="0"/>
    <n v="0"/>
    <n v="1"/>
    <n v="0"/>
  </r>
  <r>
    <x v="0"/>
    <s v="Risk Management"/>
    <s v="Audit"/>
    <x v="2"/>
    <s v="No"/>
    <n v="0"/>
    <n v="0"/>
    <n v="1"/>
    <n v="0"/>
  </r>
  <r>
    <x v="0"/>
    <s v="Risk Management"/>
    <s v="Audit"/>
    <x v="2"/>
    <s v="No"/>
    <n v="0"/>
    <n v="0"/>
    <n v="1"/>
    <n v="0"/>
  </r>
  <r>
    <x v="0"/>
    <s v="Risk Management"/>
    <s v="Audit"/>
    <x v="3"/>
    <s v="Yes"/>
    <n v="1"/>
    <n v="0"/>
    <n v="0"/>
    <n v="0"/>
  </r>
  <r>
    <x v="0"/>
    <s v="Risk Management"/>
    <s v="Audit"/>
    <x v="3"/>
    <s v="No"/>
    <n v="0"/>
    <n v="0"/>
    <n v="1"/>
    <n v="0"/>
  </r>
  <r>
    <x v="0"/>
    <s v="Risk Management"/>
    <s v="Audit"/>
    <x v="3"/>
    <s v="No"/>
    <n v="0"/>
    <n v="0"/>
    <n v="1"/>
    <n v="0"/>
  </r>
  <r>
    <x v="0"/>
    <s v="Risk Management"/>
    <s v="Audit"/>
    <x v="4"/>
    <s v="No"/>
    <n v="0"/>
    <n v="0"/>
    <n v="1"/>
    <n v="0"/>
  </r>
  <r>
    <x v="0"/>
    <s v="Risk Management"/>
    <s v="Audit"/>
    <x v="4"/>
    <s v="No"/>
    <n v="0"/>
    <n v="0"/>
    <n v="1"/>
    <n v="0"/>
  </r>
  <r>
    <x v="0"/>
    <s v="Resources"/>
    <s v="Staffing"/>
    <x v="0"/>
    <s v="Yes"/>
    <n v="1"/>
    <n v="0"/>
    <n v="0"/>
    <n v="0"/>
  </r>
  <r>
    <x v="0"/>
    <s v="Resources"/>
    <s v="Staffing"/>
    <x v="0"/>
    <s v="No"/>
    <n v="0"/>
    <n v="0"/>
    <n v="1"/>
    <n v="0"/>
  </r>
  <r>
    <x v="0"/>
    <s v="Resources"/>
    <s v="Staffing"/>
    <x v="1"/>
    <s v="Yes"/>
    <n v="1"/>
    <n v="0"/>
    <n v="0"/>
    <n v="0"/>
  </r>
  <r>
    <x v="0"/>
    <s v="Resources"/>
    <s v="Staffing"/>
    <x v="1"/>
    <s v="No"/>
    <n v="0"/>
    <n v="0"/>
    <n v="1"/>
    <n v="0"/>
  </r>
  <r>
    <x v="0"/>
    <s v="Resources"/>
    <s v="Staffing"/>
    <x v="1"/>
    <s v="No"/>
    <n v="0"/>
    <n v="0"/>
    <n v="1"/>
    <n v="0"/>
  </r>
  <r>
    <x v="0"/>
    <s v="Resources"/>
    <s v="Staffing"/>
    <x v="1"/>
    <s v="Yes(C)"/>
    <n v="0"/>
    <n v="1"/>
    <n v="0"/>
    <n v="0"/>
  </r>
  <r>
    <x v="0"/>
    <s v="Resources"/>
    <s v="Staffing"/>
    <x v="2"/>
    <s v="Yes"/>
    <n v="1"/>
    <n v="0"/>
    <n v="0"/>
    <n v="0"/>
  </r>
  <r>
    <x v="0"/>
    <s v="Resources"/>
    <s v="Staffing"/>
    <x v="3"/>
    <s v="Yes"/>
    <n v="1"/>
    <n v="0"/>
    <n v="0"/>
    <n v="0"/>
  </r>
  <r>
    <x v="0"/>
    <s v="Resources"/>
    <s v="Staffing"/>
    <x v="3"/>
    <s v="No"/>
    <n v="0"/>
    <n v="0"/>
    <n v="1"/>
    <n v="0"/>
  </r>
  <r>
    <x v="0"/>
    <s v="Resources"/>
    <s v="Staffing"/>
    <x v="4"/>
    <s v="No"/>
    <n v="0"/>
    <n v="0"/>
    <n v="1"/>
    <n v="0"/>
  </r>
  <r>
    <x v="0"/>
    <s v="Training and Culture"/>
    <s v="Training"/>
    <x v="0"/>
    <s v="Yes"/>
    <n v="1"/>
    <n v="0"/>
    <n v="0"/>
    <n v="0"/>
  </r>
  <r>
    <x v="0"/>
    <s v="Training and Culture"/>
    <s v="Training"/>
    <x v="0"/>
    <s v="No"/>
    <n v="0"/>
    <n v="0"/>
    <n v="1"/>
    <n v="0"/>
  </r>
  <r>
    <x v="0"/>
    <s v="Training and Culture"/>
    <s v="Training"/>
    <x v="0"/>
    <s v="No"/>
    <n v="0"/>
    <n v="0"/>
    <n v="1"/>
    <n v="0"/>
  </r>
  <r>
    <x v="0"/>
    <s v="Training and Culture"/>
    <s v="Training"/>
    <x v="0"/>
    <s v="Yes(C)"/>
    <n v="0"/>
    <n v="1"/>
    <n v="0"/>
    <n v="0"/>
  </r>
  <r>
    <x v="0"/>
    <s v="Training and Culture"/>
    <s v="Training"/>
    <x v="1"/>
    <s v="Yes"/>
    <n v="1"/>
    <n v="0"/>
    <n v="0"/>
    <n v="0"/>
  </r>
  <r>
    <x v="0"/>
    <s v="Training and Culture"/>
    <s v="Training"/>
    <x v="1"/>
    <s v="Yes"/>
    <n v="1"/>
    <n v="0"/>
    <n v="0"/>
    <n v="0"/>
  </r>
  <r>
    <x v="0"/>
    <s v="Training and Culture"/>
    <s v="Training"/>
    <x v="1"/>
    <s v="No"/>
    <n v="0"/>
    <n v="0"/>
    <n v="1"/>
    <n v="0"/>
  </r>
  <r>
    <x v="0"/>
    <s v="Training and Culture"/>
    <s v="Training"/>
    <x v="1"/>
    <s v="Yes(C)"/>
    <n v="0"/>
    <n v="1"/>
    <n v="0"/>
    <n v="0"/>
  </r>
  <r>
    <x v="0"/>
    <s v="Training and Culture"/>
    <s v="Training"/>
    <x v="1"/>
    <s v="Yes(C)"/>
    <n v="0"/>
    <n v="1"/>
    <n v="0"/>
    <n v="0"/>
  </r>
  <r>
    <x v="0"/>
    <s v="Training and Culture"/>
    <s v="Training"/>
    <x v="2"/>
    <s v="Yes"/>
    <n v="1"/>
    <n v="0"/>
    <n v="0"/>
    <n v="0"/>
  </r>
  <r>
    <x v="0"/>
    <s v="Training and Culture"/>
    <s v="Training"/>
    <x v="2"/>
    <s v="No"/>
    <n v="0"/>
    <n v="0"/>
    <n v="1"/>
    <n v="0"/>
  </r>
  <r>
    <x v="0"/>
    <s v="Training and Culture"/>
    <s v="Training"/>
    <x v="2"/>
    <s v="No"/>
    <n v="0"/>
    <n v="0"/>
    <n v="1"/>
    <n v="0"/>
  </r>
  <r>
    <x v="0"/>
    <s v="Training and Culture"/>
    <s v="Training"/>
    <x v="2"/>
    <s v="No"/>
    <n v="0"/>
    <n v="0"/>
    <n v="1"/>
    <n v="0"/>
  </r>
  <r>
    <x v="0"/>
    <s v="Training and Culture"/>
    <s v="Training"/>
    <x v="3"/>
    <s v="No"/>
    <n v="0"/>
    <n v="0"/>
    <n v="1"/>
    <n v="0"/>
  </r>
  <r>
    <x v="0"/>
    <s v="Training and Culture"/>
    <s v="Training"/>
    <x v="4"/>
    <s v="No"/>
    <n v="0"/>
    <n v="0"/>
    <n v="1"/>
    <n v="0"/>
  </r>
  <r>
    <x v="0"/>
    <s v="Training and Culture"/>
    <s v="Culture"/>
    <x v="0"/>
    <s v="Yes"/>
    <n v="1"/>
    <n v="0"/>
    <n v="0"/>
    <n v="0"/>
  </r>
  <r>
    <x v="0"/>
    <s v="Training and Culture"/>
    <s v="Culture"/>
    <x v="1"/>
    <s v="Yes"/>
    <n v="1"/>
    <n v="0"/>
    <n v="0"/>
    <n v="0"/>
  </r>
  <r>
    <x v="0"/>
    <s v="Training and Culture"/>
    <s v="Culture"/>
    <x v="1"/>
    <s v="No"/>
    <n v="0"/>
    <n v="0"/>
    <n v="1"/>
    <n v="0"/>
  </r>
  <r>
    <x v="0"/>
    <s v="Training and Culture"/>
    <s v="Culture"/>
    <x v="1"/>
    <s v="Yes(C)"/>
    <n v="0"/>
    <n v="1"/>
    <n v="0"/>
    <n v="0"/>
  </r>
  <r>
    <x v="0"/>
    <s v="Training and Culture"/>
    <s v="Culture"/>
    <x v="2"/>
    <s v="Yes"/>
    <n v="1"/>
    <n v="0"/>
    <n v="0"/>
    <n v="0"/>
  </r>
  <r>
    <x v="0"/>
    <s v="Training and Culture"/>
    <s v="Culture"/>
    <x v="2"/>
    <s v="No"/>
    <n v="0"/>
    <n v="0"/>
    <n v="1"/>
    <n v="0"/>
  </r>
  <r>
    <x v="0"/>
    <s v="Training and Culture"/>
    <s v="Culture"/>
    <x v="2"/>
    <s v="No"/>
    <n v="0"/>
    <n v="0"/>
    <n v="1"/>
    <n v="0"/>
  </r>
  <r>
    <x v="0"/>
    <s v="Training and Culture"/>
    <s v="Culture"/>
    <x v="3"/>
    <s v="No"/>
    <n v="0"/>
    <n v="0"/>
    <n v="1"/>
    <n v="0"/>
  </r>
  <r>
    <x v="0"/>
    <s v="Training and Culture"/>
    <s v="Culture"/>
    <x v="4"/>
    <s v="No"/>
    <n v="0"/>
    <n v="0"/>
    <n v="1"/>
    <n v="0"/>
  </r>
  <r>
    <x v="1"/>
    <s v="Threat Intelligence"/>
    <s v="Threat Intelligence and Information"/>
    <x v="0"/>
    <s v="Yes"/>
    <n v="1"/>
    <n v="0"/>
    <n v="0"/>
    <n v="0"/>
  </r>
  <r>
    <x v="1"/>
    <s v="Threat Intelligence"/>
    <s v="Threat Intelligence and Information"/>
    <x v="0"/>
    <s v="No"/>
    <n v="0"/>
    <n v="0"/>
    <n v="1"/>
    <n v="0"/>
  </r>
  <r>
    <x v="1"/>
    <s v="Threat Intelligence"/>
    <s v="Threat Intelligence and Information"/>
    <x v="0"/>
    <s v="No"/>
    <n v="0"/>
    <n v="0"/>
    <n v="1"/>
    <n v="0"/>
  </r>
  <r>
    <x v="1"/>
    <s v="Threat Intelligence"/>
    <s v="Threat Intelligence and Information"/>
    <x v="1"/>
    <s v="No"/>
    <n v="0"/>
    <n v="0"/>
    <n v="1"/>
    <n v="0"/>
  </r>
  <r>
    <x v="1"/>
    <s v="Threat Intelligence"/>
    <s v="Threat Intelligence and Information"/>
    <x v="2"/>
    <s v="Yes"/>
    <n v="1"/>
    <n v="0"/>
    <n v="0"/>
    <n v="0"/>
  </r>
  <r>
    <x v="1"/>
    <s v="Threat Intelligence"/>
    <s v="Threat Intelligence and Information"/>
    <x v="2"/>
    <s v="No"/>
    <n v="0"/>
    <n v="0"/>
    <n v="1"/>
    <n v="0"/>
  </r>
  <r>
    <x v="1"/>
    <s v="Threat Intelligence"/>
    <s v="Threat Intelligence and Information"/>
    <x v="2"/>
    <s v="No"/>
    <n v="0"/>
    <n v="0"/>
    <n v="1"/>
    <n v="0"/>
  </r>
  <r>
    <x v="1"/>
    <s v="Threat Intelligence"/>
    <s v="Threat Intelligence and Information"/>
    <x v="3"/>
    <s v="Yes"/>
    <n v="1"/>
    <n v="0"/>
    <n v="0"/>
    <n v="0"/>
  </r>
  <r>
    <x v="1"/>
    <s v="Threat Intelligence"/>
    <s v="Threat Intelligence and Information"/>
    <x v="3"/>
    <s v="No"/>
    <n v="0"/>
    <n v="0"/>
    <n v="1"/>
    <n v="0"/>
  </r>
  <r>
    <x v="1"/>
    <s v="Threat Intelligence"/>
    <s v="Threat Intelligence and Information"/>
    <x v="3"/>
    <s v="No"/>
    <n v="0"/>
    <n v="0"/>
    <n v="1"/>
    <n v="0"/>
  </r>
  <r>
    <x v="1"/>
    <s v="Threat Intelligence"/>
    <s v="Threat Intelligence and Information"/>
    <x v="4"/>
    <s v="Yes"/>
    <n v="1"/>
    <n v="0"/>
    <n v="0"/>
    <n v="0"/>
  </r>
  <r>
    <x v="1"/>
    <s v="Threat Intelligence"/>
    <s v="Threat Intelligence and Information"/>
    <x v="4"/>
    <s v="No"/>
    <n v="0"/>
    <n v="0"/>
    <n v="1"/>
    <n v="0"/>
  </r>
  <r>
    <x v="1"/>
    <s v="Monitoring and Analyzing"/>
    <s v="Monitoring and Analyzing"/>
    <x v="0"/>
    <s v="No"/>
    <n v="0"/>
    <n v="0"/>
    <n v="1"/>
    <n v="0"/>
  </r>
  <r>
    <x v="1"/>
    <s v="Monitoring and Analyzing"/>
    <s v="Monitoring and Analyzing"/>
    <x v="0"/>
    <s v="No"/>
    <n v="0"/>
    <n v="0"/>
    <n v="1"/>
    <n v="0"/>
  </r>
  <r>
    <x v="1"/>
    <s v="Monitoring and Analyzing"/>
    <s v="Monitoring and Analyzing"/>
    <x v="1"/>
    <s v="Yes"/>
    <n v="1"/>
    <n v="0"/>
    <n v="0"/>
    <n v="0"/>
  </r>
  <r>
    <x v="1"/>
    <s v="Monitoring and Analyzing"/>
    <s v="Monitoring and Analyzing"/>
    <x v="1"/>
    <s v="No"/>
    <n v="0"/>
    <n v="0"/>
    <n v="1"/>
    <n v="0"/>
  </r>
  <r>
    <x v="1"/>
    <s v="Monitoring and Analyzing"/>
    <s v="Monitoring and Analyzing"/>
    <x v="1"/>
    <s v="No"/>
    <n v="0"/>
    <n v="0"/>
    <n v="1"/>
    <n v="0"/>
  </r>
  <r>
    <x v="1"/>
    <s v="Monitoring and Analyzing"/>
    <s v="Monitoring and Analyzing"/>
    <x v="1"/>
    <s v="No"/>
    <n v="0"/>
    <n v="0"/>
    <n v="1"/>
    <n v="0"/>
  </r>
  <r>
    <x v="1"/>
    <s v="Monitoring and Analyzing"/>
    <s v="Monitoring and Analyzing"/>
    <x v="2"/>
    <s v="No"/>
    <n v="0"/>
    <n v="0"/>
    <n v="1"/>
    <n v="0"/>
  </r>
  <r>
    <x v="1"/>
    <s v="Monitoring and Analyzing"/>
    <s v="Monitoring and Analyzing"/>
    <x v="2"/>
    <s v="No"/>
    <n v="0"/>
    <n v="0"/>
    <n v="1"/>
    <n v="0"/>
  </r>
  <r>
    <x v="1"/>
    <s v="Monitoring and Analyzing"/>
    <s v="Monitoring and Analyzing"/>
    <x v="2"/>
    <s v="No"/>
    <n v="0"/>
    <n v="0"/>
    <n v="1"/>
    <n v="0"/>
  </r>
  <r>
    <x v="1"/>
    <s v="Monitoring and Analyzing"/>
    <s v="Monitoring and Analyzing"/>
    <x v="2"/>
    <s v="No"/>
    <n v="0"/>
    <n v="0"/>
    <n v="1"/>
    <n v="0"/>
  </r>
  <r>
    <x v="1"/>
    <s v="Monitoring and Analyzing"/>
    <s v="Monitoring and Analyzing"/>
    <x v="3"/>
    <s v="Yes"/>
    <n v="1"/>
    <n v="0"/>
    <n v="0"/>
    <n v="0"/>
  </r>
  <r>
    <x v="1"/>
    <s v="Monitoring and Analyzing"/>
    <s v="Monitoring and Analyzing"/>
    <x v="3"/>
    <s v="No"/>
    <n v="0"/>
    <n v="0"/>
    <n v="1"/>
    <n v="0"/>
  </r>
  <r>
    <x v="1"/>
    <s v="Monitoring and Analyzing"/>
    <s v="Monitoring and Analyzing"/>
    <x v="3"/>
    <s v="No"/>
    <n v="0"/>
    <n v="0"/>
    <n v="1"/>
    <n v="0"/>
  </r>
  <r>
    <x v="1"/>
    <s v="Monitoring and Analyzing"/>
    <s v="Monitoring and Analyzing"/>
    <x v="3"/>
    <s v="No"/>
    <n v="0"/>
    <n v="0"/>
    <n v="1"/>
    <n v="0"/>
  </r>
  <r>
    <x v="1"/>
    <s v="Monitoring and Analyzing"/>
    <s v="Monitoring and Analyzing"/>
    <x v="3"/>
    <s v="No"/>
    <n v="0"/>
    <n v="0"/>
    <n v="1"/>
    <n v="0"/>
  </r>
  <r>
    <x v="1"/>
    <s v="Monitoring and Analyzing"/>
    <s v="Monitoring and Analyzing"/>
    <x v="4"/>
    <s v="Yes"/>
    <n v="1"/>
    <n v="0"/>
    <n v="0"/>
    <n v="0"/>
  </r>
  <r>
    <x v="1"/>
    <s v="Monitoring and Analyzing"/>
    <s v="Monitoring and Analyzing"/>
    <x v="4"/>
    <s v="No"/>
    <n v="0"/>
    <n v="0"/>
    <n v="1"/>
    <n v="0"/>
  </r>
  <r>
    <x v="1"/>
    <s v="Monitoring and Analyzing"/>
    <s v="Monitoring and Analyzing"/>
    <x v="4"/>
    <s v="No"/>
    <n v="0"/>
    <n v="0"/>
    <n v="1"/>
    <n v="0"/>
  </r>
  <r>
    <x v="1"/>
    <s v="Information Sharing"/>
    <s v="Information Sharing"/>
    <x v="0"/>
    <s v="N/A"/>
    <n v="0"/>
    <n v="0"/>
    <n v="0"/>
    <n v="1"/>
  </r>
  <r>
    <x v="1"/>
    <s v="Information Sharing"/>
    <s v="Information Sharing"/>
    <x v="0"/>
    <s v="N/A"/>
    <n v="0"/>
    <n v="0"/>
    <n v="0"/>
    <n v="1"/>
  </r>
  <r>
    <x v="1"/>
    <s v="Information Sharing"/>
    <s v="Information Sharing"/>
    <x v="0"/>
    <s v="Yes(C)"/>
    <n v="0"/>
    <n v="1"/>
    <n v="0"/>
    <n v="0"/>
  </r>
  <r>
    <x v="1"/>
    <s v="Information Sharing"/>
    <s v="Information Sharing"/>
    <x v="1"/>
    <s v="Yes"/>
    <n v="1"/>
    <n v="0"/>
    <n v="0"/>
    <n v="0"/>
  </r>
  <r>
    <x v="1"/>
    <s v="Information Sharing"/>
    <s v="Information Sharing"/>
    <x v="1"/>
    <s v="No"/>
    <n v="0"/>
    <n v="0"/>
    <n v="1"/>
    <n v="0"/>
  </r>
  <r>
    <x v="1"/>
    <s v="Information Sharing"/>
    <s v="Information Sharing"/>
    <x v="2"/>
    <s v="Yes"/>
    <n v="1"/>
    <n v="0"/>
    <n v="0"/>
    <n v="0"/>
  </r>
  <r>
    <x v="1"/>
    <s v="Information Sharing"/>
    <s v="Information Sharing"/>
    <x v="2"/>
    <s v="No"/>
    <n v="0"/>
    <n v="0"/>
    <n v="1"/>
    <n v="0"/>
  </r>
  <r>
    <x v="1"/>
    <s v="Information Sharing"/>
    <s v="Information Sharing"/>
    <x v="2"/>
    <s v="No"/>
    <n v="0"/>
    <n v="0"/>
    <n v="1"/>
    <n v="0"/>
  </r>
  <r>
    <x v="1"/>
    <s v="Information Sharing"/>
    <s v="Information Sharing"/>
    <x v="2"/>
    <s v="No"/>
    <n v="0"/>
    <n v="0"/>
    <n v="1"/>
    <n v="0"/>
  </r>
  <r>
    <x v="1"/>
    <s v="Information Sharing"/>
    <s v="Information Sharing"/>
    <x v="3"/>
    <s v="Yes"/>
    <n v="1"/>
    <n v="0"/>
    <n v="0"/>
    <n v="0"/>
  </r>
  <r>
    <x v="1"/>
    <s v="Information Sharing"/>
    <s v="Information Sharing"/>
    <x v="3"/>
    <s v="No"/>
    <n v="0"/>
    <n v="0"/>
    <n v="1"/>
    <n v="0"/>
  </r>
  <r>
    <x v="1"/>
    <s v="Information Sharing"/>
    <s v="Information Sharing"/>
    <x v="3"/>
    <s v="No"/>
    <n v="0"/>
    <n v="0"/>
    <n v="1"/>
    <n v="0"/>
  </r>
  <r>
    <x v="1"/>
    <s v="Information Sharing"/>
    <s v="Information Sharing"/>
    <x v="4"/>
    <s v="Yes"/>
    <n v="1"/>
    <n v="0"/>
    <n v="0"/>
    <n v="0"/>
  </r>
  <r>
    <x v="1"/>
    <s v="Information Sharing"/>
    <s v="Information Sharing"/>
    <x v="4"/>
    <s v="No"/>
    <n v="0"/>
    <n v="0"/>
    <n v="1"/>
    <n v="0"/>
  </r>
  <r>
    <x v="1"/>
    <s v="Information Sharing"/>
    <s v="Information Sharing"/>
    <x v="4"/>
    <s v="No"/>
    <n v="0"/>
    <n v="0"/>
    <n v="1"/>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3"/>
    <n v="0"/>
    <n v="0"/>
    <n v="0"/>
    <n v="0"/>
    <n v="0"/>
  </r>
  <r>
    <x v="2"/>
    <s v="Preventative Controls"/>
    <s v="Infrastructure Management"/>
    <x v="3"/>
    <n v="0"/>
    <n v="0"/>
    <n v="0"/>
    <n v="0"/>
    <n v="0"/>
  </r>
  <r>
    <x v="2"/>
    <s v="Preventative Controls"/>
    <s v="Infrastructure Management"/>
    <x v="3"/>
    <n v="0"/>
    <n v="0"/>
    <n v="0"/>
    <n v="0"/>
    <n v="0"/>
  </r>
  <r>
    <x v="2"/>
    <s v="Preventative Controls"/>
    <s v="Infrastructure Management"/>
    <x v="4"/>
    <n v="0"/>
    <n v="0"/>
    <n v="0"/>
    <n v="0"/>
    <n v="0"/>
  </r>
  <r>
    <x v="2"/>
    <s v="Preventative Controls"/>
    <s v="Infrastructure Management"/>
    <x v="4"/>
    <n v="0"/>
    <n v="0"/>
    <n v="0"/>
    <n v="0"/>
    <n v="0"/>
  </r>
  <r>
    <x v="2"/>
    <s v="Preventative Controls"/>
    <s v="Infrastructure Management"/>
    <x v="4"/>
    <n v="0"/>
    <n v="0"/>
    <n v="0"/>
    <n v="0"/>
    <n v="0"/>
  </r>
  <r>
    <x v="2"/>
    <s v="Preventative Controls"/>
    <s v="Infrastructure Management"/>
    <x v="4"/>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3"/>
    <n v="0"/>
    <n v="0"/>
    <n v="0"/>
    <n v="0"/>
    <n v="0"/>
  </r>
  <r>
    <x v="2"/>
    <s v="Preventative Controls"/>
    <s v="Access and Data Management"/>
    <x v="3"/>
    <n v="0"/>
    <n v="0"/>
    <n v="0"/>
    <n v="0"/>
    <n v="0"/>
  </r>
  <r>
    <x v="2"/>
    <s v="Preventative Controls"/>
    <s v="Access and Data Management"/>
    <x v="4"/>
    <n v="0"/>
    <n v="0"/>
    <n v="0"/>
    <n v="0"/>
    <n v="0"/>
  </r>
  <r>
    <x v="2"/>
    <s v="Preventative Controls"/>
    <s v="Access and Data Management"/>
    <x v="4"/>
    <n v="0"/>
    <n v="0"/>
    <n v="0"/>
    <n v="0"/>
    <n v="0"/>
  </r>
  <r>
    <x v="2"/>
    <s v="Preventative Controls"/>
    <s v="Access and Data Management"/>
    <x v="4"/>
    <n v="0"/>
    <n v="0"/>
    <n v="0"/>
    <n v="0"/>
    <n v="0"/>
  </r>
  <r>
    <x v="2"/>
    <s v="Preventative Controls"/>
    <s v="Access and Data Management"/>
    <x v="4"/>
    <n v="0"/>
    <n v="0"/>
    <n v="0"/>
    <n v="0"/>
    <n v="0"/>
  </r>
  <r>
    <x v="2"/>
    <s v="Preventative Controls"/>
    <s v="Access and Data Management"/>
    <x v="4"/>
    <n v="0"/>
    <n v="0"/>
    <n v="0"/>
    <n v="0"/>
    <n v="0"/>
  </r>
  <r>
    <x v="2"/>
    <s v="Preventative Controls"/>
    <s v="Device/End-Point Security"/>
    <x v="0"/>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2"/>
    <n v="0"/>
    <n v="0"/>
    <n v="0"/>
    <n v="0"/>
    <n v="0"/>
  </r>
  <r>
    <x v="2"/>
    <s v="Preventative Controls"/>
    <s v="Device/End-Point Security"/>
    <x v="2"/>
    <n v="0"/>
    <n v="0"/>
    <n v="0"/>
    <n v="0"/>
    <n v="0"/>
  </r>
  <r>
    <x v="2"/>
    <s v="Preventative Controls"/>
    <s v="Device/End-Point Security"/>
    <x v="2"/>
    <n v="0"/>
    <n v="0"/>
    <n v="0"/>
    <n v="0"/>
    <n v="0"/>
  </r>
  <r>
    <x v="2"/>
    <s v="Preventative Controls"/>
    <s v="Device/End-Point Security"/>
    <x v="3"/>
    <n v="0"/>
    <n v="0"/>
    <n v="0"/>
    <n v="0"/>
    <n v="0"/>
  </r>
  <r>
    <x v="2"/>
    <s v="Preventative Controls"/>
    <s v="Device/End-Point Security"/>
    <x v="3"/>
    <n v="0"/>
    <n v="0"/>
    <n v="0"/>
    <n v="0"/>
    <n v="0"/>
  </r>
  <r>
    <x v="2"/>
    <s v="Preventative Controls"/>
    <s v="Device/End-Point Security"/>
    <x v="4"/>
    <n v="0"/>
    <n v="0"/>
    <n v="0"/>
    <n v="0"/>
    <n v="0"/>
  </r>
  <r>
    <x v="2"/>
    <s v="Preventative Controls"/>
    <s v="Secure Coding"/>
    <x v="0"/>
    <n v="0"/>
    <n v="0"/>
    <n v="0"/>
    <n v="0"/>
    <n v="0"/>
  </r>
  <r>
    <x v="2"/>
    <s v="Preventative Controls"/>
    <s v="Secure Coding"/>
    <x v="0"/>
    <n v="0"/>
    <n v="0"/>
    <n v="0"/>
    <n v="0"/>
    <n v="0"/>
  </r>
  <r>
    <x v="2"/>
    <s v="Preventative Controls"/>
    <s v="Secure Coding"/>
    <x v="0"/>
    <n v="0"/>
    <n v="0"/>
    <n v="0"/>
    <n v="0"/>
    <n v="0"/>
  </r>
  <r>
    <x v="2"/>
    <s v="Preventative Controls"/>
    <s v="Secure Coding"/>
    <x v="0"/>
    <n v="0"/>
    <n v="0"/>
    <n v="0"/>
    <n v="0"/>
    <n v="0"/>
  </r>
  <r>
    <x v="2"/>
    <s v="Preventative Controls"/>
    <s v="Secure Coding"/>
    <x v="1"/>
    <n v="0"/>
    <n v="0"/>
    <n v="0"/>
    <n v="0"/>
    <n v="0"/>
  </r>
  <r>
    <x v="2"/>
    <s v="Preventative Controls"/>
    <s v="Secure Coding"/>
    <x v="2"/>
    <n v="0"/>
    <n v="0"/>
    <n v="0"/>
    <n v="0"/>
    <n v="0"/>
  </r>
  <r>
    <x v="2"/>
    <s v="Preventative Controls"/>
    <s v="Secure Coding"/>
    <x v="2"/>
    <n v="0"/>
    <n v="0"/>
    <n v="0"/>
    <n v="0"/>
    <n v="0"/>
  </r>
  <r>
    <x v="2"/>
    <s v="Preventative Controls"/>
    <s v="Secure Coding"/>
    <x v="2"/>
    <n v="0"/>
    <n v="0"/>
    <n v="0"/>
    <n v="0"/>
    <n v="0"/>
  </r>
  <r>
    <x v="2"/>
    <s v="Preventative Controls"/>
    <s v="Secure Coding"/>
    <x v="2"/>
    <n v="0"/>
    <n v="0"/>
    <n v="0"/>
    <n v="0"/>
    <n v="0"/>
  </r>
  <r>
    <x v="2"/>
    <s v="Preventative Controls"/>
    <s v="Secure Coding"/>
    <x v="3"/>
    <n v="0"/>
    <n v="0"/>
    <n v="0"/>
    <n v="0"/>
    <n v="0"/>
  </r>
  <r>
    <x v="2"/>
    <s v="Preventative Controls"/>
    <s v="Secure Coding"/>
    <x v="3"/>
    <n v="0"/>
    <n v="0"/>
    <n v="0"/>
    <n v="0"/>
    <n v="0"/>
  </r>
  <r>
    <x v="2"/>
    <s v="Preventative Controls"/>
    <s v="Secure Coding"/>
    <x v="3"/>
    <n v="0"/>
    <n v="0"/>
    <n v="0"/>
    <n v="0"/>
    <n v="0"/>
  </r>
  <r>
    <x v="2"/>
    <s v="Preventative Controls"/>
    <s v="Secure Coding"/>
    <x v="4"/>
    <n v="0"/>
    <n v="0"/>
    <n v="0"/>
    <n v="0"/>
    <n v="0"/>
  </r>
  <r>
    <x v="2"/>
    <s v="Detective Controls"/>
    <s v="Threat and Vulnerability Detection"/>
    <x v="0"/>
    <n v="0"/>
    <n v="0"/>
    <n v="0"/>
    <n v="0"/>
    <n v="0"/>
  </r>
  <r>
    <x v="2"/>
    <s v="Detective Controls"/>
    <s v="Threat and Vulnerability Detection"/>
    <x v="0"/>
    <n v="0"/>
    <n v="0"/>
    <n v="0"/>
    <n v="0"/>
    <n v="0"/>
  </r>
  <r>
    <x v="2"/>
    <s v="Detective Controls"/>
    <s v="Threat and Vulnerability Detection"/>
    <x v="0"/>
    <n v="0"/>
    <n v="0"/>
    <n v="0"/>
    <n v="0"/>
    <n v="0"/>
  </r>
  <r>
    <x v="2"/>
    <s v="Detective Controls"/>
    <s v="Threat and Vulnerability Detection"/>
    <x v="0"/>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2"/>
    <n v="0"/>
    <n v="0"/>
    <n v="0"/>
    <n v="0"/>
    <n v="0"/>
  </r>
  <r>
    <x v="2"/>
    <s v="Detective Controls"/>
    <s v="Threat and Vulnerability Detection"/>
    <x v="2"/>
    <n v="0"/>
    <n v="0"/>
    <n v="0"/>
    <n v="0"/>
    <n v="0"/>
  </r>
  <r>
    <x v="2"/>
    <s v="Detective Controls"/>
    <s v="Threat and Vulnerability Detection"/>
    <x v="3"/>
    <n v="0"/>
    <n v="0"/>
    <n v="0"/>
    <n v="0"/>
    <n v="0"/>
  </r>
  <r>
    <x v="2"/>
    <s v="Detective Controls"/>
    <s v="Threat and Vulnerability Detection"/>
    <x v="3"/>
    <n v="0"/>
    <n v="0"/>
    <n v="0"/>
    <n v="0"/>
    <n v="0"/>
  </r>
  <r>
    <x v="2"/>
    <s v="Detective Controls"/>
    <s v="Threat and Vulnerability Detection"/>
    <x v="3"/>
    <n v="0"/>
    <n v="0"/>
    <n v="0"/>
    <n v="0"/>
    <n v="0"/>
  </r>
  <r>
    <x v="2"/>
    <s v="Detective Controls"/>
    <s v="Threat and Vulnerability Detection"/>
    <x v="4"/>
    <n v="0"/>
    <n v="0"/>
    <n v="0"/>
    <n v="0"/>
    <n v="0"/>
  </r>
  <r>
    <x v="2"/>
    <s v="Detective Controls"/>
    <s v="Threat and Vulnerability Detection"/>
    <x v="4"/>
    <n v="0"/>
    <n v="0"/>
    <n v="0"/>
    <n v="0"/>
    <n v="0"/>
  </r>
  <r>
    <x v="2"/>
    <s v="Detective Controls"/>
    <s v="Anomalous Activity Detection"/>
    <x v="0"/>
    <n v="0"/>
    <n v="0"/>
    <n v="0"/>
    <n v="0"/>
    <n v="0"/>
  </r>
  <r>
    <x v="2"/>
    <s v="Detective Controls"/>
    <s v="Anomalous Activity Detection"/>
    <x v="0"/>
    <n v="0"/>
    <n v="0"/>
    <n v="0"/>
    <n v="0"/>
    <n v="0"/>
  </r>
  <r>
    <x v="2"/>
    <s v="Detective Controls"/>
    <s v="Anomalous Activity Detection"/>
    <x v="0"/>
    <n v="0"/>
    <n v="0"/>
    <n v="0"/>
    <n v="0"/>
    <n v="0"/>
  </r>
  <r>
    <x v="2"/>
    <s v="Detective Controls"/>
    <s v="Anomalous Activity Detection"/>
    <x v="0"/>
    <n v="0"/>
    <n v="0"/>
    <n v="0"/>
    <n v="0"/>
    <n v="0"/>
  </r>
  <r>
    <x v="2"/>
    <s v="Detective Controls"/>
    <s v="Anomalous Activity Detection"/>
    <x v="0"/>
    <n v="0"/>
    <n v="0"/>
    <n v="0"/>
    <n v="0"/>
    <n v="0"/>
  </r>
  <r>
    <x v="2"/>
    <s v="Detective Controls"/>
    <s v="Anomalous Activity Detection"/>
    <x v="1"/>
    <n v="0"/>
    <n v="0"/>
    <n v="0"/>
    <n v="0"/>
    <n v="0"/>
  </r>
  <r>
    <x v="2"/>
    <s v="Detective Controls"/>
    <s v="Anomalous Activity Detection"/>
    <x v="1"/>
    <n v="0"/>
    <n v="0"/>
    <n v="0"/>
    <n v="0"/>
    <n v="0"/>
  </r>
  <r>
    <x v="2"/>
    <s v="Detective Controls"/>
    <s v="Anomalous Activity Detection"/>
    <x v="1"/>
    <n v="0"/>
    <n v="0"/>
    <n v="0"/>
    <n v="0"/>
    <n v="0"/>
  </r>
  <r>
    <x v="2"/>
    <s v="Detective Controls"/>
    <s v="Anomalous Activity Detection"/>
    <x v="1"/>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3"/>
    <n v="0"/>
    <n v="0"/>
    <n v="0"/>
    <n v="0"/>
    <n v="0"/>
  </r>
  <r>
    <x v="2"/>
    <s v="Detective Controls"/>
    <s v="Anomalous Activity Detection"/>
    <x v="3"/>
    <n v="0"/>
    <n v="0"/>
    <n v="0"/>
    <n v="0"/>
    <n v="0"/>
  </r>
  <r>
    <x v="2"/>
    <s v="Detective Controls"/>
    <s v="Anomalous Activity Detection"/>
    <x v="3"/>
    <n v="0"/>
    <n v="0"/>
    <n v="0"/>
    <n v="0"/>
    <n v="0"/>
  </r>
  <r>
    <x v="2"/>
    <s v="Detective Controls"/>
    <s v="Anomalous Activity Detection"/>
    <x v="3"/>
    <n v="0"/>
    <n v="0"/>
    <n v="0"/>
    <n v="0"/>
    <n v="0"/>
  </r>
  <r>
    <x v="2"/>
    <s v="Detective Controls"/>
    <s v="Anomalous Activity Detection"/>
    <x v="3"/>
    <n v="0"/>
    <n v="0"/>
    <n v="0"/>
    <n v="0"/>
    <n v="0"/>
  </r>
  <r>
    <x v="2"/>
    <s v="Detective Controls"/>
    <s v="Anomalous Activity Detection"/>
    <x v="4"/>
    <n v="0"/>
    <n v="0"/>
    <n v="0"/>
    <n v="0"/>
    <n v="0"/>
  </r>
  <r>
    <x v="2"/>
    <s v="Detective Controls"/>
    <s v="Anomalous Activity Detection"/>
    <x v="4"/>
    <n v="0"/>
    <n v="0"/>
    <n v="0"/>
    <n v="0"/>
    <n v="0"/>
  </r>
  <r>
    <x v="2"/>
    <s v="Detective Controls"/>
    <s v="Event Detection"/>
    <x v="0"/>
    <n v="0"/>
    <n v="0"/>
    <n v="0"/>
    <n v="0"/>
    <n v="0"/>
  </r>
  <r>
    <x v="2"/>
    <s v="Detective Controls"/>
    <s v="Event Detection"/>
    <x v="0"/>
    <n v="0"/>
    <n v="0"/>
    <n v="0"/>
    <n v="0"/>
    <n v="0"/>
  </r>
  <r>
    <x v="2"/>
    <s v="Detective Controls"/>
    <s v="Event Detection"/>
    <x v="0"/>
    <n v="0"/>
    <n v="0"/>
    <n v="0"/>
    <n v="0"/>
    <n v="0"/>
  </r>
  <r>
    <x v="2"/>
    <s v="Detective Controls"/>
    <s v="Event Detection"/>
    <x v="0"/>
    <n v="0"/>
    <n v="0"/>
    <n v="0"/>
    <n v="0"/>
    <n v="0"/>
  </r>
  <r>
    <x v="2"/>
    <s v="Detective Controls"/>
    <s v="Event Detection"/>
    <x v="0"/>
    <n v="0"/>
    <n v="0"/>
    <n v="0"/>
    <n v="0"/>
    <n v="0"/>
  </r>
  <r>
    <x v="2"/>
    <s v="Detective Controls"/>
    <s v="Event Detection"/>
    <x v="1"/>
    <n v="0"/>
    <n v="0"/>
    <n v="0"/>
    <n v="0"/>
    <n v="0"/>
  </r>
  <r>
    <x v="2"/>
    <s v="Detective Controls"/>
    <s v="Event Detection"/>
    <x v="2"/>
    <n v="0"/>
    <n v="0"/>
    <n v="0"/>
    <n v="0"/>
    <n v="0"/>
  </r>
  <r>
    <x v="2"/>
    <s v="Detective Controls"/>
    <s v="Event Detection"/>
    <x v="2"/>
    <n v="0"/>
    <n v="0"/>
    <n v="0"/>
    <n v="0"/>
    <n v="0"/>
  </r>
  <r>
    <x v="2"/>
    <s v="Detective Controls"/>
    <s v="Event Detection"/>
    <x v="2"/>
    <n v="0"/>
    <n v="0"/>
    <n v="0"/>
    <n v="0"/>
    <n v="0"/>
  </r>
  <r>
    <x v="2"/>
    <s v="Detective Controls"/>
    <s v="Event Detection"/>
    <x v="3"/>
    <n v="0"/>
    <n v="0"/>
    <n v="0"/>
    <n v="0"/>
    <n v="0"/>
  </r>
  <r>
    <x v="2"/>
    <s v="Detective Controls"/>
    <s v="Event Detection"/>
    <x v="3"/>
    <n v="0"/>
    <n v="0"/>
    <n v="0"/>
    <n v="0"/>
    <n v="0"/>
  </r>
  <r>
    <x v="2"/>
    <s v="Detective Controls"/>
    <s v="Event Detection"/>
    <x v="3"/>
    <n v="0"/>
    <n v="0"/>
    <n v="0"/>
    <n v="0"/>
    <n v="0"/>
  </r>
  <r>
    <x v="2"/>
    <s v="Detective Controls"/>
    <s v="Event Detection"/>
    <x v="3"/>
    <n v="0"/>
    <n v="0"/>
    <n v="0"/>
    <n v="0"/>
    <n v="0"/>
  </r>
  <r>
    <x v="2"/>
    <s v="Detective Controls"/>
    <s v="Event Detection"/>
    <x v="4"/>
    <n v="0"/>
    <n v="0"/>
    <n v="0"/>
    <n v="0"/>
    <n v="0"/>
  </r>
  <r>
    <x v="2"/>
    <s v="Detective Controls"/>
    <s v="Event Detection"/>
    <x v="4"/>
    <n v="0"/>
    <n v="0"/>
    <n v="0"/>
    <n v="0"/>
    <n v="0"/>
  </r>
  <r>
    <x v="2"/>
    <s v="Corrective Controls"/>
    <s v="Patch Management"/>
    <x v="0"/>
    <n v="0"/>
    <n v="0"/>
    <n v="0"/>
    <n v="0"/>
    <n v="0"/>
  </r>
  <r>
    <x v="2"/>
    <s v="Corrective Controls"/>
    <s v="Patch Management"/>
    <x v="0"/>
    <n v="0"/>
    <n v="0"/>
    <n v="0"/>
    <n v="0"/>
    <n v="0"/>
  </r>
  <r>
    <x v="2"/>
    <s v="Corrective Controls"/>
    <s v="Patch Management"/>
    <x v="0"/>
    <n v="0"/>
    <n v="0"/>
    <n v="0"/>
    <n v="0"/>
    <n v="0"/>
  </r>
  <r>
    <x v="2"/>
    <s v="Corrective Controls"/>
    <s v="Patch Management"/>
    <x v="1"/>
    <n v="0"/>
    <n v="0"/>
    <n v="0"/>
    <n v="0"/>
    <n v="0"/>
  </r>
  <r>
    <x v="2"/>
    <s v="Corrective Controls"/>
    <s v="Patch Management"/>
    <x v="1"/>
    <n v="0"/>
    <n v="0"/>
    <n v="0"/>
    <n v="0"/>
    <n v="0"/>
  </r>
  <r>
    <x v="2"/>
    <s v="Corrective Controls"/>
    <s v="Patch Management"/>
    <x v="1"/>
    <n v="0"/>
    <n v="0"/>
    <n v="0"/>
    <n v="0"/>
    <n v="0"/>
  </r>
  <r>
    <x v="2"/>
    <s v="Corrective Controls"/>
    <s v="Patch Management"/>
    <x v="1"/>
    <n v="0"/>
    <n v="0"/>
    <n v="0"/>
    <n v="0"/>
    <n v="0"/>
  </r>
  <r>
    <x v="2"/>
    <s v="Corrective Controls"/>
    <s v="Patch Management"/>
    <x v="1"/>
    <n v="0"/>
    <n v="0"/>
    <n v="0"/>
    <n v="0"/>
    <n v="0"/>
  </r>
  <r>
    <x v="2"/>
    <s v="Corrective Controls"/>
    <s v="Patch Management"/>
    <x v="2"/>
    <n v="0"/>
    <n v="0"/>
    <n v="0"/>
    <n v="0"/>
    <n v="0"/>
  </r>
  <r>
    <x v="2"/>
    <s v="Corrective Controls"/>
    <s v="Patch Management"/>
    <x v="3"/>
    <n v="0"/>
    <n v="0"/>
    <n v="0"/>
    <n v="0"/>
    <n v="0"/>
  </r>
  <r>
    <x v="2"/>
    <s v="Corrective Controls"/>
    <s v="Patch Management"/>
    <x v="3"/>
    <n v="0"/>
    <n v="0"/>
    <n v="0"/>
    <n v="0"/>
    <n v="0"/>
  </r>
  <r>
    <x v="2"/>
    <s v="Corrective Controls"/>
    <s v="Patch Management"/>
    <x v="4"/>
    <n v="0"/>
    <n v="0"/>
    <n v="0"/>
    <n v="0"/>
    <n v="0"/>
  </r>
  <r>
    <x v="2"/>
    <s v="Corrective Controls"/>
    <s v="Patch Management"/>
    <x v="4"/>
    <n v="0"/>
    <n v="0"/>
    <n v="0"/>
    <n v="0"/>
    <n v="0"/>
  </r>
  <r>
    <x v="2"/>
    <s v="Corrective Controls"/>
    <s v="Remediation"/>
    <x v="0"/>
    <n v="0"/>
    <n v="0"/>
    <n v="0"/>
    <n v="0"/>
    <n v="0"/>
  </r>
  <r>
    <x v="2"/>
    <s v="Corrective Controls"/>
    <s v="Remediation"/>
    <x v="1"/>
    <n v="0"/>
    <n v="0"/>
    <n v="0"/>
    <n v="0"/>
    <n v="0"/>
  </r>
  <r>
    <x v="2"/>
    <s v="Corrective Controls"/>
    <s v="Remediation"/>
    <x v="1"/>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3"/>
    <n v="0"/>
    <n v="0"/>
    <n v="0"/>
    <n v="0"/>
    <n v="0"/>
  </r>
  <r>
    <x v="2"/>
    <s v="Corrective Controls"/>
    <s v="Remediation"/>
    <x v="4"/>
    <n v="0"/>
    <n v="0"/>
    <n v="0"/>
    <n v="0"/>
    <n v="0"/>
  </r>
  <r>
    <x v="3"/>
    <s v="Connections"/>
    <s v="Connections"/>
    <x v="0"/>
    <n v="0"/>
    <n v="0"/>
    <n v="0"/>
    <n v="0"/>
    <n v="0"/>
  </r>
  <r>
    <x v="3"/>
    <s v="Connections"/>
    <s v="Connections"/>
    <x v="0"/>
    <n v="0"/>
    <n v="0"/>
    <n v="0"/>
    <n v="0"/>
    <n v="0"/>
  </r>
  <r>
    <x v="3"/>
    <s v="Connections"/>
    <s v="Connections"/>
    <x v="0"/>
    <n v="0"/>
    <n v="0"/>
    <n v="0"/>
    <n v="0"/>
    <n v="0"/>
  </r>
  <r>
    <x v="3"/>
    <s v="Connections"/>
    <s v="Connections"/>
    <x v="0"/>
    <n v="0"/>
    <n v="0"/>
    <n v="0"/>
    <n v="0"/>
    <n v="0"/>
  </r>
  <r>
    <x v="3"/>
    <s v="Connections"/>
    <s v="Connections"/>
    <x v="1"/>
    <n v="0"/>
    <n v="0"/>
    <n v="0"/>
    <n v="0"/>
    <n v="0"/>
  </r>
  <r>
    <x v="3"/>
    <s v="Connections"/>
    <s v="Connections"/>
    <x v="1"/>
    <n v="0"/>
    <n v="0"/>
    <n v="0"/>
    <n v="0"/>
    <n v="0"/>
  </r>
  <r>
    <x v="3"/>
    <s v="Connections"/>
    <s v="Connections"/>
    <x v="1"/>
    <n v="0"/>
    <n v="0"/>
    <n v="0"/>
    <n v="0"/>
    <n v="0"/>
  </r>
  <r>
    <x v="3"/>
    <s v="Connections"/>
    <s v="Connections"/>
    <x v="1"/>
    <n v="0"/>
    <n v="0"/>
    <n v="0"/>
    <n v="0"/>
    <n v="0"/>
  </r>
  <r>
    <x v="3"/>
    <s v="Connections"/>
    <s v="Connections"/>
    <x v="2"/>
    <n v="0"/>
    <n v="0"/>
    <n v="0"/>
    <n v="0"/>
    <n v="0"/>
  </r>
  <r>
    <x v="3"/>
    <s v="Connections"/>
    <s v="Connections"/>
    <x v="2"/>
    <n v="0"/>
    <n v="0"/>
    <n v="0"/>
    <n v="0"/>
    <n v="0"/>
  </r>
  <r>
    <x v="3"/>
    <s v="Connections"/>
    <s v="Connections"/>
    <x v="2"/>
    <n v="0"/>
    <n v="0"/>
    <n v="0"/>
    <n v="0"/>
    <n v="0"/>
  </r>
  <r>
    <x v="3"/>
    <s v="Connections"/>
    <s v="Connections"/>
    <x v="2"/>
    <n v="0"/>
    <n v="0"/>
    <n v="0"/>
    <n v="0"/>
    <n v="0"/>
  </r>
  <r>
    <x v="3"/>
    <s v="Connections"/>
    <s v="Connections"/>
    <x v="3"/>
    <n v="0"/>
    <n v="0"/>
    <n v="0"/>
    <n v="0"/>
    <n v="0"/>
  </r>
  <r>
    <x v="3"/>
    <s v="Connections"/>
    <s v="Connections"/>
    <x v="3"/>
    <n v="0"/>
    <n v="0"/>
    <n v="0"/>
    <n v="0"/>
    <n v="0"/>
  </r>
  <r>
    <x v="3"/>
    <s v="Connections"/>
    <s v="Connections"/>
    <x v="4"/>
    <n v="0"/>
    <n v="0"/>
    <n v="0"/>
    <n v="0"/>
    <n v="0"/>
  </r>
  <r>
    <x v="3"/>
    <s v="Connections"/>
    <s v="Connections"/>
    <x v="4"/>
    <n v="0"/>
    <n v="0"/>
    <n v="0"/>
    <n v="0"/>
    <n v="0"/>
  </r>
  <r>
    <x v="3"/>
    <s v="Relationship Management"/>
    <s v="Due Diligence"/>
    <x v="0"/>
    <n v="0"/>
    <n v="0"/>
    <n v="0"/>
    <n v="0"/>
    <n v="0"/>
  </r>
  <r>
    <x v="3"/>
    <s v="Relationship Management"/>
    <s v="Due Diligence"/>
    <x v="0"/>
    <n v="0"/>
    <n v="0"/>
    <n v="0"/>
    <n v="0"/>
    <n v="0"/>
  </r>
  <r>
    <x v="3"/>
    <s v="Relationship Management"/>
    <s v="Due Diligence"/>
    <x v="0"/>
    <n v="0"/>
    <n v="0"/>
    <n v="0"/>
    <n v="0"/>
    <n v="0"/>
  </r>
  <r>
    <x v="3"/>
    <s v="Relationship Management"/>
    <s v="Due Diligence"/>
    <x v="1"/>
    <n v="0"/>
    <n v="0"/>
    <n v="0"/>
    <n v="0"/>
    <n v="0"/>
  </r>
  <r>
    <x v="3"/>
    <s v="Relationship Management"/>
    <s v="Due Diligence"/>
    <x v="1"/>
    <n v="0"/>
    <n v="0"/>
    <n v="0"/>
    <n v="0"/>
    <n v="0"/>
  </r>
  <r>
    <x v="3"/>
    <s v="Relationship Management"/>
    <s v="Due Diligence"/>
    <x v="2"/>
    <n v="0"/>
    <n v="0"/>
    <n v="0"/>
    <n v="0"/>
    <n v="0"/>
  </r>
  <r>
    <x v="3"/>
    <s v="Relationship Management"/>
    <s v="Due Diligence"/>
    <x v="2"/>
    <n v="0"/>
    <n v="0"/>
    <n v="0"/>
    <n v="0"/>
    <n v="0"/>
  </r>
  <r>
    <x v="3"/>
    <s v="Relationship Management"/>
    <s v="Due Diligence"/>
    <x v="3"/>
    <n v="0"/>
    <n v="0"/>
    <n v="0"/>
    <n v="0"/>
    <n v="0"/>
  </r>
  <r>
    <x v="3"/>
    <s v="Relationship Management"/>
    <s v="Due Diligence"/>
    <x v="3"/>
    <n v="0"/>
    <n v="0"/>
    <n v="0"/>
    <n v="0"/>
    <n v="0"/>
  </r>
  <r>
    <x v="3"/>
    <s v="Relationship Management"/>
    <s v="Due Diligence"/>
    <x v="4"/>
    <n v="0"/>
    <n v="0"/>
    <n v="0"/>
    <n v="0"/>
    <n v="0"/>
  </r>
  <r>
    <x v="3"/>
    <s v="Relationship Management"/>
    <s v="Due Diligence"/>
    <x v="4"/>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1"/>
    <n v="0"/>
    <n v="0"/>
    <n v="0"/>
    <n v="0"/>
    <n v="0"/>
  </r>
  <r>
    <x v="3"/>
    <s v="Relationship Management"/>
    <s v="Contracts"/>
    <x v="1"/>
    <n v="0"/>
    <n v="0"/>
    <n v="0"/>
    <n v="0"/>
    <n v="0"/>
  </r>
  <r>
    <x v="3"/>
    <s v="Relationship Management"/>
    <s v="Contracts"/>
    <x v="1"/>
    <n v="0"/>
    <n v="0"/>
    <n v="0"/>
    <n v="0"/>
    <n v="0"/>
  </r>
  <r>
    <x v="3"/>
    <s v="Relationship Management"/>
    <s v="Contracts"/>
    <x v="2"/>
    <n v="0"/>
    <n v="0"/>
    <n v="0"/>
    <n v="0"/>
    <n v="0"/>
  </r>
  <r>
    <x v="3"/>
    <s v="Relationship Management"/>
    <s v="Contracts"/>
    <x v="3"/>
    <n v="0"/>
    <n v="0"/>
    <n v="0"/>
    <n v="0"/>
    <n v="0"/>
  </r>
  <r>
    <x v="3"/>
    <s v="Relationship Management"/>
    <s v="Contracts"/>
    <x v="3"/>
    <n v="0"/>
    <n v="0"/>
    <n v="0"/>
    <n v="0"/>
    <n v="0"/>
  </r>
  <r>
    <x v="3"/>
    <s v="Relationship Management"/>
    <s v="Contracts"/>
    <x v="4"/>
    <n v="0"/>
    <n v="0"/>
    <n v="0"/>
    <n v="0"/>
    <n v="0"/>
  </r>
  <r>
    <x v="3"/>
    <s v="Relationship Management"/>
    <s v="Ongoing Monitoring"/>
    <x v="0"/>
    <n v="0"/>
    <n v="0"/>
    <n v="0"/>
    <n v="0"/>
    <n v="0"/>
  </r>
  <r>
    <x v="3"/>
    <s v="Relationship Management"/>
    <s v="Ongoing Monitoring"/>
    <x v="0"/>
    <n v="0"/>
    <n v="0"/>
    <n v="0"/>
    <n v="0"/>
    <n v="0"/>
  </r>
  <r>
    <x v="3"/>
    <s v="Relationship Management"/>
    <s v="Ongoing Monitoring"/>
    <x v="0"/>
    <n v="0"/>
    <n v="0"/>
    <n v="0"/>
    <n v="0"/>
    <n v="0"/>
  </r>
  <r>
    <x v="3"/>
    <s v="Relationship Management"/>
    <s v="Ongoing Monitoring"/>
    <x v="1"/>
    <n v="0"/>
    <n v="0"/>
    <n v="0"/>
    <n v="0"/>
    <n v="0"/>
  </r>
  <r>
    <x v="3"/>
    <s v="Relationship Management"/>
    <s v="Ongoing Monitoring"/>
    <x v="1"/>
    <n v="0"/>
    <n v="0"/>
    <n v="0"/>
    <n v="0"/>
    <n v="0"/>
  </r>
  <r>
    <x v="3"/>
    <s v="Relationship Management"/>
    <s v="Ongoing Monitoring"/>
    <x v="1"/>
    <n v="0"/>
    <n v="0"/>
    <n v="0"/>
    <n v="0"/>
    <n v="0"/>
  </r>
  <r>
    <x v="3"/>
    <s v="Relationship Management"/>
    <s v="Ongoing Monitoring"/>
    <x v="1"/>
    <n v="0"/>
    <n v="0"/>
    <n v="0"/>
    <n v="0"/>
    <n v="0"/>
  </r>
  <r>
    <x v="3"/>
    <s v="Relationship Management"/>
    <s v="Ongoing Monitoring"/>
    <x v="2"/>
    <n v="0"/>
    <n v="0"/>
    <n v="0"/>
    <n v="0"/>
    <n v="0"/>
  </r>
  <r>
    <x v="3"/>
    <s v="Relationship Management"/>
    <s v="Ongoing Monitoring"/>
    <x v="2"/>
    <n v="0"/>
    <n v="0"/>
    <n v="0"/>
    <n v="0"/>
    <n v="0"/>
  </r>
  <r>
    <x v="3"/>
    <s v="Relationship Management"/>
    <s v="Ongoing Monitoring"/>
    <x v="3"/>
    <n v="0"/>
    <n v="0"/>
    <n v="0"/>
    <n v="0"/>
    <n v="0"/>
  </r>
  <r>
    <x v="3"/>
    <s v="Relationship Management"/>
    <s v="Ongoing Monitoring"/>
    <x v="4"/>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2"/>
    <n v="0"/>
    <n v="0"/>
    <n v="0"/>
    <n v="0"/>
    <n v="0"/>
  </r>
  <r>
    <x v="4"/>
    <s v="Incident Resilience Planning and Strategy"/>
    <s v="Planning"/>
    <x v="2"/>
    <n v="0"/>
    <n v="0"/>
    <n v="0"/>
    <n v="0"/>
    <n v="0"/>
  </r>
  <r>
    <x v="4"/>
    <s v="Incident Resilience Planning and Strategy"/>
    <s v="Planning"/>
    <x v="2"/>
    <n v="0"/>
    <n v="0"/>
    <n v="0"/>
    <n v="0"/>
    <n v="0"/>
  </r>
  <r>
    <x v="4"/>
    <s v="Incident Resilience Planning and Strategy"/>
    <s v="Planning"/>
    <x v="2"/>
    <n v="0"/>
    <n v="0"/>
    <n v="0"/>
    <n v="0"/>
    <n v="0"/>
  </r>
  <r>
    <x v="4"/>
    <s v="Incident Resilience Planning and Strategy"/>
    <s v="Planning"/>
    <x v="3"/>
    <n v="0"/>
    <n v="0"/>
    <n v="0"/>
    <n v="0"/>
    <n v="0"/>
  </r>
  <r>
    <x v="4"/>
    <s v="Incident Resilience Planning and Strategy"/>
    <s v="Planning"/>
    <x v="3"/>
    <n v="0"/>
    <n v="0"/>
    <n v="0"/>
    <n v="0"/>
    <n v="0"/>
  </r>
  <r>
    <x v="4"/>
    <s v="Incident Resilience Planning and Strategy"/>
    <s v="Planning"/>
    <x v="3"/>
    <n v="0"/>
    <n v="0"/>
    <n v="0"/>
    <n v="0"/>
    <n v="0"/>
  </r>
  <r>
    <x v="4"/>
    <s v="Incident Resilience Planning and Strategy"/>
    <s v="Planning"/>
    <x v="4"/>
    <n v="0"/>
    <n v="0"/>
    <n v="0"/>
    <n v="0"/>
    <n v="0"/>
  </r>
  <r>
    <x v="4"/>
    <s v="Incident Resilience Planning and Strategy"/>
    <s v="Planning"/>
    <x v="4"/>
    <n v="0"/>
    <n v="0"/>
    <n v="0"/>
    <n v="0"/>
    <n v="0"/>
  </r>
  <r>
    <x v="4"/>
    <s v="Incident Resilience Planning and Strategy"/>
    <s v="Testing"/>
    <x v="0"/>
    <n v="0"/>
    <n v="0"/>
    <n v="0"/>
    <n v="0"/>
    <n v="0"/>
  </r>
  <r>
    <x v="4"/>
    <s v="Incident Resilience Planning and Strategy"/>
    <s v="Testing"/>
    <x v="0"/>
    <n v="0"/>
    <n v="0"/>
    <n v="0"/>
    <n v="0"/>
    <n v="0"/>
  </r>
  <r>
    <x v="4"/>
    <s v="Incident Resilience Planning and Strategy"/>
    <s v="Testing"/>
    <x v="0"/>
    <n v="0"/>
    <n v="0"/>
    <n v="0"/>
    <n v="0"/>
    <n v="0"/>
  </r>
  <r>
    <x v="4"/>
    <s v="Incident Resilience Planning and Strategy"/>
    <s v="Testing"/>
    <x v="1"/>
    <n v="0"/>
    <n v="0"/>
    <n v="0"/>
    <n v="0"/>
    <n v="0"/>
  </r>
  <r>
    <x v="4"/>
    <s v="Incident Resilience Planning and Strategy"/>
    <s v="Testing"/>
    <x v="1"/>
    <n v="0"/>
    <n v="0"/>
    <n v="0"/>
    <n v="0"/>
    <n v="0"/>
  </r>
  <r>
    <x v="4"/>
    <s v="Incident Resilience Planning and Strategy"/>
    <s v="Testing"/>
    <x v="1"/>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4"/>
    <n v="0"/>
    <n v="0"/>
    <n v="0"/>
    <n v="0"/>
    <n v="0"/>
  </r>
  <r>
    <x v="4"/>
    <s v="Incident Resilience Planning and Strategy"/>
    <s v="Testing"/>
    <x v="4"/>
    <n v="0"/>
    <n v="0"/>
    <n v="0"/>
    <n v="0"/>
    <n v="0"/>
  </r>
  <r>
    <x v="4"/>
    <s v="Incident Resilience Planning and Strategy"/>
    <s v="Testing"/>
    <x v="4"/>
    <n v="0"/>
    <n v="0"/>
    <n v="0"/>
    <n v="0"/>
    <n v="0"/>
  </r>
  <r>
    <x v="4"/>
    <s v="Incident Resilience Planning and Strategy"/>
    <s v="Testing"/>
    <x v="4"/>
    <n v="0"/>
    <n v="0"/>
    <n v="0"/>
    <n v="0"/>
    <n v="0"/>
  </r>
  <r>
    <x v="4"/>
    <s v="Detection, Response, and Mitigation"/>
    <s v="Detection"/>
    <x v="0"/>
    <n v="0"/>
    <n v="0"/>
    <n v="0"/>
    <n v="0"/>
    <n v="0"/>
  </r>
  <r>
    <x v="4"/>
    <s v="Detection, Response, and Mitigation"/>
    <s v="Detection"/>
    <x v="0"/>
    <n v="0"/>
    <n v="0"/>
    <n v="0"/>
    <n v="0"/>
    <n v="0"/>
  </r>
  <r>
    <x v="4"/>
    <s v="Detection, Response, and Mitigation"/>
    <s v="Detection"/>
    <x v="0"/>
    <n v="0"/>
    <n v="0"/>
    <n v="0"/>
    <n v="0"/>
    <n v="0"/>
  </r>
  <r>
    <x v="4"/>
    <s v="Detection, Response, and Mitigation"/>
    <s v="Detection"/>
    <x v="1"/>
    <n v="0"/>
    <n v="0"/>
    <n v="0"/>
    <n v="0"/>
    <n v="0"/>
  </r>
  <r>
    <x v="4"/>
    <s v="Detection, Response, and Mitigation"/>
    <s v="Detection"/>
    <x v="2"/>
    <n v="0"/>
    <n v="0"/>
    <n v="0"/>
    <n v="0"/>
    <n v="0"/>
  </r>
  <r>
    <x v="4"/>
    <s v="Detection, Response, and Mitigation"/>
    <s v="Detection"/>
    <x v="2"/>
    <n v="0"/>
    <n v="0"/>
    <n v="0"/>
    <n v="0"/>
    <n v="0"/>
  </r>
  <r>
    <x v="4"/>
    <s v="Detection, Response, and Mitigation"/>
    <s v="Detection"/>
    <x v="2"/>
    <n v="0"/>
    <n v="0"/>
    <n v="0"/>
    <n v="0"/>
    <n v="0"/>
  </r>
  <r>
    <x v="4"/>
    <s v="Detection, Response, and Mitigation"/>
    <s v="Detection"/>
    <x v="2"/>
    <n v="0"/>
    <n v="0"/>
    <n v="0"/>
    <n v="0"/>
    <n v="0"/>
  </r>
  <r>
    <x v="4"/>
    <s v="Detection, Response, and Mitigation"/>
    <s v="Detection"/>
    <x v="2"/>
    <n v="0"/>
    <n v="0"/>
    <n v="0"/>
    <n v="0"/>
    <n v="0"/>
  </r>
  <r>
    <x v="4"/>
    <s v="Detection, Response, and Mitigation"/>
    <s v="Detection"/>
    <x v="3"/>
    <n v="0"/>
    <n v="0"/>
    <n v="0"/>
    <n v="0"/>
    <n v="0"/>
  </r>
  <r>
    <x v="4"/>
    <s v="Detection, Response, and Mitigation"/>
    <s v="Detection"/>
    <x v="3"/>
    <n v="0"/>
    <n v="0"/>
    <n v="0"/>
    <n v="0"/>
    <n v="0"/>
  </r>
  <r>
    <x v="4"/>
    <s v="Detection, Response, and Mitigation"/>
    <s v="Detection"/>
    <x v="4"/>
    <n v="0"/>
    <n v="0"/>
    <n v="0"/>
    <n v="0"/>
    <n v="0"/>
  </r>
  <r>
    <x v="4"/>
    <s v="Detection, Response, and Mitigation"/>
    <s v="Response and Mitigation"/>
    <x v="0"/>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2"/>
    <n v="0"/>
    <n v="0"/>
    <n v="0"/>
    <n v="0"/>
    <n v="0"/>
  </r>
  <r>
    <x v="4"/>
    <s v="Detection, Response, and Mitigation"/>
    <s v="Response and Mitigation"/>
    <x v="2"/>
    <n v="0"/>
    <n v="0"/>
    <n v="0"/>
    <n v="0"/>
    <n v="0"/>
  </r>
  <r>
    <x v="4"/>
    <s v="Detection, Response, and Mitigation"/>
    <s v="Response and Mitigation"/>
    <x v="2"/>
    <n v="0"/>
    <n v="0"/>
    <n v="0"/>
    <n v="0"/>
    <n v="0"/>
  </r>
  <r>
    <x v="4"/>
    <s v="Detection, Response, and Mitigation"/>
    <s v="Response and Mitigation"/>
    <x v="2"/>
    <n v="0"/>
    <n v="0"/>
    <n v="0"/>
    <n v="0"/>
    <n v="0"/>
  </r>
  <r>
    <x v="4"/>
    <s v="Detection, Response, and Mitigation"/>
    <s v="Response and Mitigation"/>
    <x v="3"/>
    <n v="0"/>
    <n v="0"/>
    <n v="0"/>
    <n v="0"/>
    <n v="0"/>
  </r>
  <r>
    <x v="4"/>
    <s v="Detection, Response, and Mitigation"/>
    <s v="Response and Mitigation"/>
    <x v="3"/>
    <n v="0"/>
    <n v="0"/>
    <n v="0"/>
    <n v="0"/>
    <n v="0"/>
  </r>
  <r>
    <x v="4"/>
    <s v="Detection, Response, and Mitigation"/>
    <s v="Response and Mitigation"/>
    <x v="3"/>
    <n v="0"/>
    <n v="0"/>
    <n v="0"/>
    <n v="0"/>
    <n v="0"/>
  </r>
  <r>
    <x v="4"/>
    <s v="Detection, Response, and Mitigation"/>
    <s v="Response and Mitigation"/>
    <x v="4"/>
    <n v="0"/>
    <n v="0"/>
    <n v="0"/>
    <n v="0"/>
    <n v="0"/>
  </r>
  <r>
    <x v="4"/>
    <s v="Detection, Response, and Mitigation"/>
    <s v="Response and Mitigation"/>
    <x v="4"/>
    <n v="0"/>
    <n v="0"/>
    <n v="0"/>
    <n v="0"/>
    <n v="0"/>
  </r>
  <r>
    <x v="4"/>
    <s v="Escalation and Reporting"/>
    <s v="Escalation and Reporting"/>
    <x v="0"/>
    <n v="0"/>
    <n v="0"/>
    <n v="0"/>
    <n v="0"/>
    <n v="0"/>
  </r>
  <r>
    <x v="4"/>
    <s v="Escalation and Reporting"/>
    <s v="Escalation and Reporting"/>
    <x v="0"/>
    <n v="0"/>
    <n v="0"/>
    <n v="0"/>
    <n v="0"/>
    <n v="0"/>
  </r>
  <r>
    <x v="4"/>
    <s v="Escalation and Reporting"/>
    <s v="Escalation and Reporting"/>
    <x v="0"/>
    <n v="0"/>
    <n v="0"/>
    <n v="0"/>
    <n v="0"/>
    <n v="0"/>
  </r>
  <r>
    <x v="4"/>
    <s v="Escalation and Reporting"/>
    <s v="Escalation and Reporting"/>
    <x v="0"/>
    <n v="0"/>
    <n v="0"/>
    <n v="0"/>
    <n v="0"/>
    <n v="0"/>
  </r>
  <r>
    <x v="4"/>
    <s v="Escalation and Reporting"/>
    <s v="Escalation and Reporting"/>
    <x v="1"/>
    <n v="0"/>
    <n v="0"/>
    <n v="0"/>
    <n v="0"/>
    <n v="0"/>
  </r>
  <r>
    <x v="4"/>
    <s v="Escalation and Reporting"/>
    <s v="Escalation and Reporting"/>
    <x v="1"/>
    <n v="0"/>
    <n v="0"/>
    <n v="0"/>
    <n v="0"/>
    <n v="0"/>
  </r>
  <r>
    <x v="4"/>
    <s v="Escalation and Reporting"/>
    <s v="Escalation and Reporting"/>
    <x v="1"/>
    <n v="0"/>
    <n v="0"/>
    <n v="0"/>
    <n v="0"/>
    <n v="0"/>
  </r>
  <r>
    <x v="4"/>
    <s v="Escalation and Reporting"/>
    <s v="Escalation and Reporting"/>
    <x v="2"/>
    <n v="0"/>
    <n v="0"/>
    <n v="0"/>
    <n v="0"/>
    <n v="0"/>
  </r>
  <r>
    <x v="4"/>
    <s v="Escalation and Reporting"/>
    <s v="Escalation and Reporting"/>
    <x v="2"/>
    <n v="0"/>
    <n v="0"/>
    <n v="0"/>
    <n v="0"/>
    <n v="0"/>
  </r>
  <r>
    <x v="4"/>
    <s v="Escalation and Reporting"/>
    <s v="Escalation and Reporting"/>
    <x v="2"/>
    <n v="0"/>
    <n v="0"/>
    <n v="0"/>
    <n v="0"/>
    <n v="0"/>
  </r>
  <r>
    <x v="4"/>
    <s v="Escalation and Reporting"/>
    <s v="Escalation and Reporting"/>
    <x v="3"/>
    <n v="0"/>
    <n v="0"/>
    <n v="0"/>
    <n v="0"/>
    <n v="0"/>
  </r>
  <r>
    <x v="4"/>
    <s v="Escalation and Reporting"/>
    <s v="Escalation and Reporting"/>
    <x v="3"/>
    <n v="0"/>
    <n v="0"/>
    <n v="0"/>
    <n v="0"/>
    <n v="0"/>
  </r>
  <r>
    <x v="4"/>
    <s v="Escalation and Reporting"/>
    <s v="Escalation and Reporting"/>
    <x v="4"/>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10"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8">
  <location ref="B7:B38" firstHeaderRow="1" firstDataRow="1" firstDataCol="1"/>
  <pivotFields count="9">
    <pivotField axis="axisRow" showAll="0">
      <items count="6">
        <item x="0"/>
        <item x="1"/>
        <item x="2"/>
        <item x="3"/>
        <item x="4"/>
        <item t="default"/>
      </items>
    </pivotField>
    <pivotField showAll="0"/>
    <pivotField showAll="0"/>
    <pivotField axis="axisRow" showAll="0">
      <items count="6">
        <item x="0"/>
        <item x="1"/>
        <item x="2"/>
        <item x="3"/>
        <item x="4"/>
        <item t="default"/>
      </items>
    </pivotField>
    <pivotField showAll="0"/>
    <pivotField showAll="0"/>
    <pivotField showAll="0"/>
    <pivotField showAll="0"/>
    <pivotField showAll="0"/>
  </pivotFields>
  <rowFields count="2">
    <field x="0"/>
    <field x="3"/>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workbookVersion" displayName="workbookVersion" ref="E28:H42" totalsRowShown="0" dataDxfId="306" headerRowCellStyle="Normal" dataCellStyle="Normal">
  <tableColumns count="4">
    <tableColumn id="1" xr3:uid="{00000000-0010-0000-0000-000001000000}" name="Version" dataDxfId="305" dataCellStyle="Normal"/>
    <tableColumn id="2" xr3:uid="{00000000-0010-0000-0000-000002000000}" name="Date" dataDxfId="304" dataCellStyle="Normal"/>
    <tableColumn id="3" xr3:uid="{00000000-0010-0000-0000-000003000000}" name="Author" dataDxfId="303" dataCellStyle="Normal"/>
    <tableColumn id="4" xr3:uid="{00000000-0010-0000-0000-000004000000}" name="Description" dataDxfId="302" dataCellStyle="Normal"/>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externalThreats" displayName="externalThreats" ref="B8:I9" totalsRowShown="0" headerRowDxfId="240" dataDxfId="239">
  <autoFilter ref="B8:I9" xr:uid="{00000000-0009-0000-0100-000005000000}"/>
  <tableColumns count="8">
    <tableColumn id="1" xr3:uid="{00000000-0010-0000-0900-000001000000}" name="Risk" dataDxfId="238"/>
    <tableColumn id="7" xr3:uid="{00000000-0010-0000-0900-000007000000}" name="Score" dataDxfId="237"/>
    <tableColumn id="2" xr3:uid="{00000000-0010-0000-0900-000002000000}" name="Least " dataDxfId="236"/>
    <tableColumn id="3" xr3:uid="{00000000-0010-0000-0900-000003000000}" name="Minimal " dataDxfId="235"/>
    <tableColumn id="4" xr3:uid="{00000000-0010-0000-0900-000004000000}" name="Moderate " dataDxfId="234"/>
    <tableColumn id="5" xr3:uid="{00000000-0010-0000-0900-000005000000}" name="Significant " dataDxfId="233"/>
    <tableColumn id="6" xr3:uid="{00000000-0010-0000-0900-000006000000}" name="Most " dataDxfId="232"/>
    <tableColumn id="8" xr3:uid="{00000000-0010-0000-0900-000008000000}" name="Notes" dataDxfId="231"/>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2" displayName="Table2" ref="A5:I39" totalsRowShown="0" headerRowDxfId="230" dataDxfId="229" dataCellStyle="Percent">
  <autoFilter ref="A5:I39" xr:uid="{00000000-0009-0000-0100-000007000000}"/>
  <tableColumns count="9">
    <tableColumn id="9" xr3:uid="{00000000-0010-0000-0A00-000009000000}" name="Domain" dataDxfId="228" dataCellStyle="Percent">
      <calculatedColumnFormula>MID('Risk Management and Oversight'!$A$5,11,LEN('Risk Management and Oversight'!$A$5))</calculatedColumnFormula>
    </tableColumn>
    <tableColumn id="8" xr3:uid="{00000000-0010-0000-0A00-000008000000}" name="Assesment Factor" dataDxfId="227" dataCellStyle="Percent"/>
    <tableColumn id="1" xr3:uid="{00000000-0010-0000-0A00-000001000000}" name="Component" dataDxfId="226"/>
    <tableColumn id="2" xr3:uid="{00000000-0010-0000-0A00-000002000000}" name="Baseline" dataDxfId="225" dataCellStyle="Percent">
      <calculatedColumnFormula>IFERROR(COUNTIF(cyberRisk[workArea2],$C6&amp;D$5&amp;yes)/(COUNTIF(cyberRisk[workArea],$C6&amp;D$5)-COUNTIF(cyberRisk[workArea2],$C6&amp;D$5&amp;NotAvail)),"N/A")</calculatedColumnFormula>
    </tableColumn>
    <tableColumn id="3" xr3:uid="{00000000-0010-0000-0A00-000003000000}" name="Evolving" dataDxfId="224" dataCellStyle="Percent">
      <calculatedColumnFormula>IF(D6=NotAvail,NotAvail,IFERROR(COUNTIF(cyberRisk[workArea2],$C6&amp;E$5&amp;yes)/(COUNTIF(cyberRisk[workArea],$C6&amp;E$5)-COUNTIF(cyberRisk[workArea2],$C6&amp;E$5&amp;NotAvail)),"N/A"))</calculatedColumnFormula>
    </tableColumn>
    <tableColumn id="4" xr3:uid="{00000000-0010-0000-0A00-000004000000}" name="Intermediate" dataDxfId="223" dataCellStyle="Percent">
      <calculatedColumnFormula>IF(E6=NotAvail,NotAvail,IFERROR(COUNTIF(cyberRisk[workArea2],$C6&amp;F$5&amp;yes)/(COUNTIF(cyberRisk[workArea],$C6&amp;F$5)-COUNTIF(cyberRisk[workArea2],$C6&amp;F$5&amp;NotAvail)),"N/A"))</calculatedColumnFormula>
    </tableColumn>
    <tableColumn id="5" xr3:uid="{00000000-0010-0000-0A00-000005000000}" name="Advanced" dataDxfId="222" dataCellStyle="Percent">
      <calculatedColumnFormula>IF(F6=NotAvail,NotAvail,IFERROR(COUNTIF(cyberRisk[workArea2],$C6&amp;G$5&amp;yes)/(COUNTIF(cyberRisk[workArea],$C6&amp;G$5)-COUNTIF(cyberRisk[workArea2],$C6&amp;G$5&amp;NotAvail)),"N/A"))</calculatedColumnFormula>
    </tableColumn>
    <tableColumn id="6" xr3:uid="{00000000-0010-0000-0A00-000006000000}" name="Innovative" dataDxfId="221" dataCellStyle="Percent">
      <calculatedColumnFormula>IF(G6=NotAvail,NotAvail,IFERROR(COUNTIF(cyberRisk[workArea2],$C6&amp;H$5&amp;yes)/(COUNTIF(cyberRisk[workArea],$C6&amp;H$5)-COUNTIF(cyberRisk[workArea2],$C6&amp;H$5&amp;NotAvail)),"N/A"))</calculatedColumnFormula>
    </tableColumn>
    <tableColumn id="7" xr3:uid="{00000000-0010-0000-0A00-000007000000}" name="Calculated Level" dataDxfId="220">
      <calculatedColumnFormula>IF(AND(D6=1,E6=1,F6=1,G6=1,H6=1),H$5,IF(AND(D6=1,E6=1,F6=1,G6=1),G$5,IF(AND(D6=1,E6=1,F6=1),F$5,IF(AND(D6=1,E6=1),E$5,IF(D6=1,D$5,nOTA)))))</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cyberRisk" displayName="cyberRisk" ref="A8:R149" totalsRowShown="0" headerRowDxfId="219" dataDxfId="218">
  <autoFilter ref="A8:R149" xr:uid="{00000000-0009-0000-0100-000008000000}"/>
  <tableColumns count="18">
    <tableColumn id="1" xr3:uid="{00000000-0010-0000-0B00-000001000000}" name="Assesment Factor" dataDxfId="217"/>
    <tableColumn id="2" xr3:uid="{00000000-0010-0000-0B00-000002000000}" name="Component" dataDxfId="216"/>
    <tableColumn id="3" xr3:uid="{00000000-0010-0000-0B00-000003000000}" name="Maturity Level" dataDxfId="215"/>
    <tableColumn id="4" xr3:uid="{00000000-0010-0000-0B00-000004000000}" name="Y, Y(C), N" dataDxfId="214"/>
    <tableColumn id="5" xr3:uid="{00000000-0010-0000-0B00-000005000000}" name="Declarative Statement" dataDxfId="213"/>
    <tableColumn id="6" xr3:uid="{00000000-0010-0000-0B00-000006000000}" name="Useful links" dataDxfId="212" dataCellStyle="Hyperlink"/>
    <tableColumn id="7" xr3:uid="{00000000-0010-0000-0B00-000007000000}" name="Notes" dataDxfId="211" dataCellStyle="Normal"/>
    <tableColumn id="13" xr3:uid="{00000000-0010-0000-0B00-00000D000000}" name="Appendix A" dataDxfId="210">
      <calculatedColumnFormula>IFERROR(HYPERLINK("#'Appendix A'!E"&amp;ROW(INDEX(Table23[DSorder],MATCH(cyberRisk[[#This Row],[AppAref]],Table23[DSorder],0))),"GO"),"")</calculatedColumnFormula>
    </tableColumn>
    <tableColumn id="10" xr3:uid="{00000000-0010-0000-0B00-00000A000000}" name="workArea" dataDxfId="209">
      <calculatedColumnFormula>cyberRisk[[#This Row],[Component]]&amp;cyberRisk[[#This Row],[Maturity Level]]</calculatedColumnFormula>
    </tableColumn>
    <tableColumn id="11" xr3:uid="{00000000-0010-0000-0B00-00000B000000}" name="workArea2" dataDxfId="208">
      <calculatedColumnFormula>cyberRisk[[#This Row],[workArea]]&amp;cyberRisk[[#This Row],[Y, Y(C), N]]</calculatedColumnFormula>
    </tableColumn>
    <tableColumn id="12" xr3:uid="{00000000-0010-0000-0B00-00000C000000}" name="Ref No." dataDxfId="207"/>
    <tableColumn id="8" xr3:uid="{00000000-0010-0000-0B00-000008000000}" name="Ref LU" dataDxfId="206"/>
    <tableColumn id="9" xr3:uid="{00000000-0010-0000-0B00-000009000000}" name="domain" dataDxfId="205">
      <calculatedColumnFormula>TRIM(MID($A$5,FIND(":",$A$5)+2,LEN($A$5)))</calculatedColumnFormula>
    </tableColumn>
    <tableColumn id="14" xr3:uid="{00000000-0010-0000-0B00-00000E000000}" name="Yes-" dataDxfId="204">
      <calculatedColumnFormula>IF(cyberRisk[[#This Row],[Y, Y(C), N]]=yes,1,0)</calculatedColumnFormula>
    </tableColumn>
    <tableColumn id="15" xr3:uid="{00000000-0010-0000-0B00-00000F000000}" name="YesCC-" dataDxfId="203">
      <calculatedColumnFormula>IF(cyberRisk[[#This Row],[Y, Y(C), N]]=yesCC,1,0)</calculatedColumnFormula>
    </tableColumn>
    <tableColumn id="16" xr3:uid="{00000000-0010-0000-0B00-000010000000}" name="No-" dataDxfId="202">
      <calculatedColumnFormula>IF(cyberRisk[[#This Row],[Y, Y(C), N]]=no,1,0)</calculatedColumnFormula>
    </tableColumn>
    <tableColumn id="17" xr3:uid="{00000000-0010-0000-0B00-000011000000}" name="N/A-" dataDxfId="201">
      <calculatedColumnFormula>IF(cyberRisk[[#This Row],[Y, Y(C), N]]=NotAvail,1,0)</calculatedColumnFormula>
    </tableColumn>
    <tableColumn id="19" xr3:uid="{00000000-0010-0000-0B00-000013000000}" name="AppAref" dataDxfId="200"/>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IntelNColab" displayName="IntelNColab" ref="A8:R53" totalsRowShown="0" headerRowDxfId="199" dataDxfId="198">
  <autoFilter ref="A8:R53" xr:uid="{00000000-0009-0000-0100-000009000000}"/>
  <tableColumns count="18">
    <tableColumn id="1" xr3:uid="{00000000-0010-0000-0C00-000001000000}" name="Assesment Factor" dataDxfId="197"/>
    <tableColumn id="2" xr3:uid="{00000000-0010-0000-0C00-000002000000}" name="Component" dataDxfId="196"/>
    <tableColumn id="3" xr3:uid="{00000000-0010-0000-0C00-000003000000}" name="Maturity Level" dataDxfId="195"/>
    <tableColumn id="4" xr3:uid="{00000000-0010-0000-0C00-000004000000}" name="Y, Y(C), N" dataDxfId="194"/>
    <tableColumn id="5" xr3:uid="{00000000-0010-0000-0C00-000005000000}" name="Declarative Statement" dataDxfId="193"/>
    <tableColumn id="6" xr3:uid="{00000000-0010-0000-0C00-000006000000}" name="Useful links" dataDxfId="192" dataCellStyle="Hyperlink"/>
    <tableColumn id="7" xr3:uid="{00000000-0010-0000-0C00-000007000000}" name="Notes" dataDxfId="0" dataCellStyle="Normal"/>
    <tableColumn id="17" xr3:uid="{00000000-0010-0000-0C00-000011000000}" name="Appendix A" dataDxfId="191" dataCellStyle="Hyperlink">
      <calculatedColumnFormula>IFERROR(HYPERLINK("#'Appendix A'!E"&amp;ROW(INDEX(Table23[DSorder],MATCH(IntelNColab[[#This Row],[AppAref]],Table23[DSorder],0))),"GO"),"")</calculatedColumnFormula>
    </tableColumn>
    <tableColumn id="10" xr3:uid="{00000000-0010-0000-0C00-00000A000000}" name="workArea" dataDxfId="190">
      <calculatedColumnFormula>IntelNColab[[#This Row],[Component]]&amp;IntelNColab[[#This Row],[Maturity Level]]</calculatedColumnFormula>
    </tableColumn>
    <tableColumn id="11" xr3:uid="{00000000-0010-0000-0C00-00000B000000}" name="workArea2" dataDxfId="189">
      <calculatedColumnFormula>IntelNColab[[#This Row],[workArea]]&amp;IntelNColab[[#This Row],[Y, Y(C), N]]</calculatedColumnFormula>
    </tableColumn>
    <tableColumn id="8" xr3:uid="{00000000-0010-0000-0C00-000008000000}" name="Ref No." dataDxfId="188"/>
    <tableColumn id="9" xr3:uid="{00000000-0010-0000-0C00-000009000000}" name="Ref LU" dataDxfId="187"/>
    <tableColumn id="16" xr3:uid="{00000000-0010-0000-0C00-000010000000}" name="Domain" dataDxfId="186">
      <calculatedColumnFormula>TRIM(MID($A$5,FIND(":",$A$5)+2,LEN($A$5)))</calculatedColumnFormula>
    </tableColumn>
    <tableColumn id="12" xr3:uid="{00000000-0010-0000-0C00-00000C000000}" name="Yes-" dataDxfId="185">
      <calculatedColumnFormula>IF(IntelNColab[[#This Row],[Y, Y(C), N]]=yes,1,0)</calculatedColumnFormula>
    </tableColumn>
    <tableColumn id="13" xr3:uid="{00000000-0010-0000-0C00-00000D000000}" name="YesCC-" dataDxfId="184">
      <calculatedColumnFormula>IF(IntelNColab[[#This Row],[Y, Y(C), N]]=yesCC,1,0)</calculatedColumnFormula>
    </tableColumn>
    <tableColumn id="14" xr3:uid="{00000000-0010-0000-0C00-00000E000000}" name="No-" dataDxfId="183">
      <calculatedColumnFormula>IF(IntelNColab[[#This Row],[Y, Y(C), N]]=no,1,0)</calculatedColumnFormula>
    </tableColumn>
    <tableColumn id="15" xr3:uid="{00000000-0010-0000-0C00-00000F000000}" name="N/A-" dataDxfId="182">
      <calculatedColumnFormula>IF(IntelNColab[[#This Row],[Y, Y(C), N]]=NotAvail,1,0)</calculatedColumnFormula>
    </tableColumn>
    <tableColumn id="18" xr3:uid="{00000000-0010-0000-0C00-000012000000}" name="AppAref" dataDxfId="18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cyberControls" displayName="cyberControls" ref="A8:R182" totalsRowShown="0" headerRowDxfId="180" dataDxfId="179">
  <autoFilter ref="A8:R182" xr:uid="{00000000-0009-0000-0100-00000A000000}"/>
  <tableColumns count="18">
    <tableColumn id="1" xr3:uid="{00000000-0010-0000-0D00-000001000000}" name="Assesment Factor" dataDxfId="178"/>
    <tableColumn id="2" xr3:uid="{00000000-0010-0000-0D00-000002000000}" name="Component" dataDxfId="177"/>
    <tableColumn id="3" xr3:uid="{00000000-0010-0000-0D00-000003000000}" name="Maturity Level" dataDxfId="176"/>
    <tableColumn id="4" xr3:uid="{00000000-0010-0000-0D00-000004000000}" name="Y, Y(C), N" dataDxfId="175"/>
    <tableColumn id="5" xr3:uid="{00000000-0010-0000-0D00-000005000000}" name="Declarative Statement" dataDxfId="174"/>
    <tableColumn id="6" xr3:uid="{00000000-0010-0000-0D00-000006000000}" name="Useful links" dataDxfId="173" dataCellStyle="Hyperlink"/>
    <tableColumn id="7" xr3:uid="{00000000-0010-0000-0D00-000007000000}" name="Notes" dataDxfId="172" dataCellStyle="Normal"/>
    <tableColumn id="17" xr3:uid="{00000000-0010-0000-0D00-000011000000}" name="Appendix A" dataDxfId="171">
      <calculatedColumnFormula>IFERROR(HYPERLINK("#'Appendix A'!E"&amp;ROW(INDEX(Table23[DSorder],MATCH(cyberControls[[#This Row],[AppAref]],Table23[DSorder],0))),"GO"),"")</calculatedColumnFormula>
    </tableColumn>
    <tableColumn id="10" xr3:uid="{00000000-0010-0000-0D00-00000A000000}" name="workArea" dataDxfId="170">
      <calculatedColumnFormula>cyberControls[[#This Row],[Component]]&amp;cyberControls[[#This Row],[Maturity Level]]</calculatedColumnFormula>
    </tableColumn>
    <tableColumn id="11" xr3:uid="{00000000-0010-0000-0D00-00000B000000}" name="workArea2" dataDxfId="169">
      <calculatedColumnFormula>cyberControls[[#This Row],[workArea]]&amp;cyberControls[[#This Row],[Y, Y(C), N]]</calculatedColumnFormula>
    </tableColumn>
    <tableColumn id="8" xr3:uid="{00000000-0010-0000-0D00-000008000000}" name="Ref No." dataDxfId="168"/>
    <tableColumn id="9" xr3:uid="{00000000-0010-0000-0D00-000009000000}" name="Ref LU" dataDxfId="167"/>
    <tableColumn id="16" xr3:uid="{00000000-0010-0000-0D00-000010000000}" name="Domain" dataDxfId="166">
      <calculatedColumnFormula>TRIM(MID($A$5,FIND(":",$A$5)+2,LEN($A$5)))</calculatedColumnFormula>
    </tableColumn>
    <tableColumn id="12" xr3:uid="{00000000-0010-0000-0D00-00000C000000}" name="Yes-" dataDxfId="165">
      <calculatedColumnFormula>IF(cyberControls[[#This Row],[Y, Y(C), N]]=yes,1,0)</calculatedColumnFormula>
    </tableColumn>
    <tableColumn id="13" xr3:uid="{00000000-0010-0000-0D00-00000D000000}" name="YesCC-" dataDxfId="164">
      <calculatedColumnFormula>IF(cyberControls[[#This Row],[Y, Y(C), N]]=yesCC,1,0)</calculatedColumnFormula>
    </tableColumn>
    <tableColumn id="14" xr3:uid="{00000000-0010-0000-0D00-00000E000000}" name="No-" dataDxfId="163">
      <calculatedColumnFormula>IF(cyberControls[[#This Row],[Y, Y(C), N]]=no,1,0)</calculatedColumnFormula>
    </tableColumn>
    <tableColumn id="15" xr3:uid="{00000000-0010-0000-0D00-00000F000000}" name="N/A-" dataDxfId="162">
      <calculatedColumnFormula>IF(cyberControls[[#This Row],[Y, Y(C), N]]=NotAvail,1,0)</calculatedColumnFormula>
    </tableColumn>
    <tableColumn id="18" xr3:uid="{00000000-0010-0000-0D00-000012000000}" name="AppAref" dataDxfId="161"/>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ExtDep" displayName="ExtDep" ref="A8:R59" totalsRowShown="0" headerRowDxfId="160" dataDxfId="159">
  <autoFilter ref="A8:R59" xr:uid="{00000000-0009-0000-0100-00000B000000}"/>
  <tableColumns count="18">
    <tableColumn id="1" xr3:uid="{00000000-0010-0000-0E00-000001000000}" name="Assesment Factor" dataDxfId="158"/>
    <tableColumn id="2" xr3:uid="{00000000-0010-0000-0E00-000002000000}" name="Component" dataDxfId="157"/>
    <tableColumn id="3" xr3:uid="{00000000-0010-0000-0E00-000003000000}" name="Maturity Level" dataDxfId="156"/>
    <tableColumn id="4" xr3:uid="{00000000-0010-0000-0E00-000004000000}" name="Y ,Y(C), N" dataDxfId="155"/>
    <tableColumn id="5" xr3:uid="{00000000-0010-0000-0E00-000005000000}" name="Declarative Statement" dataDxfId="154"/>
    <tableColumn id="6" xr3:uid="{00000000-0010-0000-0E00-000006000000}" name="Useful links" dataDxfId="153" dataCellStyle="Hyperlink"/>
    <tableColumn id="7" xr3:uid="{00000000-0010-0000-0E00-000007000000}" name="Notes" dataDxfId="152" dataCellStyle="Normal"/>
    <tableColumn id="17" xr3:uid="{00000000-0010-0000-0E00-000011000000}" name="Appendix A" dataDxfId="151" dataCellStyle="Hyperlink">
      <calculatedColumnFormula>IFERROR(HYPERLINK("#'Appendix A'!E"&amp;ROW(INDEX(Table23[DSorder],MATCH(ExtDep[[#This Row],[AppAref]],Table23[DSorder],0))),"GO"),"")</calculatedColumnFormula>
    </tableColumn>
    <tableColumn id="10" xr3:uid="{00000000-0010-0000-0E00-00000A000000}" name="workArea" dataDxfId="150">
      <calculatedColumnFormula>ExtDep[[#This Row],[Component]]&amp;ExtDep[[#This Row],[Maturity Level]]</calculatedColumnFormula>
    </tableColumn>
    <tableColumn id="11" xr3:uid="{00000000-0010-0000-0E00-00000B000000}" name="workArea2" dataDxfId="149">
      <calculatedColumnFormula>ExtDep[[#This Row],[workArea]]&amp;ExtDep[[#This Row],[Y ,Y(C), N]]</calculatedColumnFormula>
    </tableColumn>
    <tableColumn id="8" xr3:uid="{00000000-0010-0000-0E00-000008000000}" name="Ref No." dataDxfId="148"/>
    <tableColumn id="9" xr3:uid="{00000000-0010-0000-0E00-000009000000}" name="Ref LU" dataDxfId="147"/>
    <tableColumn id="16" xr3:uid="{00000000-0010-0000-0E00-000010000000}" name="Domain" dataDxfId="146">
      <calculatedColumnFormula>TRIM(MID($A$5,FIND(":",$A$5)+2,LEN($A$5)))</calculatedColumnFormula>
    </tableColumn>
    <tableColumn id="12" xr3:uid="{00000000-0010-0000-0E00-00000C000000}" name="Yes-" dataDxfId="145">
      <calculatedColumnFormula>IF(ExtDep[[#This Row],[Y ,Y(C), N]]=yes,1,0)</calculatedColumnFormula>
    </tableColumn>
    <tableColumn id="13" xr3:uid="{00000000-0010-0000-0E00-00000D000000}" name="YesCC-" dataDxfId="144">
      <calculatedColumnFormula>IF(ExtDep[[#This Row],[Y ,Y(C), N]]=yesCC,1,0)</calculatedColumnFormula>
    </tableColumn>
    <tableColumn id="14" xr3:uid="{00000000-0010-0000-0E00-00000E000000}" name="No-" dataDxfId="143">
      <calculatedColumnFormula>IF(ExtDep[[#This Row],[Y ,Y(C), N]]=no,1,0)</calculatedColumnFormula>
    </tableColumn>
    <tableColumn id="15" xr3:uid="{00000000-0010-0000-0E00-00000F000000}" name="N/A-" dataDxfId="142">
      <calculatedColumnFormula>IF(ExtDep[[#This Row],[Y ,Y(C), N]]=NotAvail,1,0)</calculatedColumnFormula>
    </tableColumn>
    <tableColumn id="18" xr3:uid="{00000000-0010-0000-0E00-000012000000}" name="AppAref" dataDxfId="141"/>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F000000}" name="cyberInc" displayName="cyberInc" ref="A8:R91" totalsRowShown="0" headerRowDxfId="140" dataDxfId="139">
  <autoFilter ref="A8:R91" xr:uid="{00000000-0009-0000-0100-00000C000000}"/>
  <tableColumns count="18">
    <tableColumn id="1" xr3:uid="{00000000-0010-0000-0F00-000001000000}" name="Assesment Factor" dataDxfId="138"/>
    <tableColumn id="2" xr3:uid="{00000000-0010-0000-0F00-000002000000}" name="Component" dataDxfId="137"/>
    <tableColumn id="3" xr3:uid="{00000000-0010-0000-0F00-000003000000}" name="Maturity Level" dataDxfId="136"/>
    <tableColumn id="4" xr3:uid="{00000000-0010-0000-0F00-000004000000}" name="Y ,Y(C), N" dataDxfId="135"/>
    <tableColumn id="5" xr3:uid="{00000000-0010-0000-0F00-000005000000}" name="Declarative Statement" dataDxfId="134"/>
    <tableColumn id="6" xr3:uid="{00000000-0010-0000-0F00-000006000000}" name="Useful links" dataDxfId="133" dataCellStyle="Hyperlink"/>
    <tableColumn id="7" xr3:uid="{00000000-0010-0000-0F00-000007000000}" name="Notes" dataDxfId="132" dataCellStyle="Normal"/>
    <tableColumn id="17" xr3:uid="{00000000-0010-0000-0F00-000011000000}" name="Appendix A" dataDxfId="131" dataCellStyle="Hyperlink">
      <calculatedColumnFormula>IFERROR(HYPERLINK("#'Appendix A'!E"&amp;ROW(INDEX(Table23[DSorder],MATCH(cyberInc[[#This Row],[AppAref]],Table23[DSorder],0))),"GO"),"")</calculatedColumnFormula>
    </tableColumn>
    <tableColumn id="10" xr3:uid="{00000000-0010-0000-0F00-00000A000000}" name="workArea" dataDxfId="130">
      <calculatedColumnFormula>cyberInc[[#This Row],[Component]]&amp;cyberInc[[#This Row],[Maturity Level]]</calculatedColumnFormula>
    </tableColumn>
    <tableColumn id="11" xr3:uid="{00000000-0010-0000-0F00-00000B000000}" name="workArea2" dataDxfId="129">
      <calculatedColumnFormula>cyberInc[[#This Row],[workArea]]&amp;cyberInc[[#This Row],[Y ,Y(C), N]]</calculatedColumnFormula>
    </tableColumn>
    <tableColumn id="8" xr3:uid="{00000000-0010-0000-0F00-000008000000}" name="Ref No." dataDxfId="128"/>
    <tableColumn id="9" xr3:uid="{00000000-0010-0000-0F00-000009000000}" name="Ref LU" dataDxfId="127"/>
    <tableColumn id="16" xr3:uid="{00000000-0010-0000-0F00-000010000000}" name="Domain" dataDxfId="126">
      <calculatedColumnFormula>TRIM(MID($A$5,FIND(":",$A$5)+2,LEN($A$5)))</calculatedColumnFormula>
    </tableColumn>
    <tableColumn id="12" xr3:uid="{00000000-0010-0000-0F00-00000C000000}" name="Yes-" dataDxfId="125">
      <calculatedColumnFormula>IF(cyberInc[[#This Row],[Y ,Y(C), N]]=yes,1,0)</calculatedColumnFormula>
    </tableColumn>
    <tableColumn id="13" xr3:uid="{00000000-0010-0000-0F00-00000D000000}" name="YesCC-" dataDxfId="124">
      <calculatedColumnFormula>IF(cyberInc[[#This Row],[Y ,Y(C), N]]=yesCC,1,0)</calculatedColumnFormula>
    </tableColumn>
    <tableColumn id="14" xr3:uid="{00000000-0010-0000-0F00-00000E000000}" name="No-" dataDxfId="123">
      <calculatedColumnFormula>IF(cyberInc[[#This Row],[Y ,Y(C), N]]=no,1,0)</calculatedColumnFormula>
    </tableColumn>
    <tableColumn id="15" xr3:uid="{00000000-0010-0000-0F00-00000F000000}" name="N/A-" dataDxfId="122">
      <calculatedColumnFormula>IF(cyberInc[[#This Row],[Y ,Y(C), N]]=NotAvail,1,0)</calculatedColumnFormula>
    </tableColumn>
    <tableColumn id="18" xr3:uid="{00000000-0010-0000-0F00-000012000000}" name="AppAref" dataDxfId="121"/>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0000000}" name="Table23" displayName="Table23" ref="A5:AF331" totalsRowShown="0">
  <autoFilter ref="A5:AF331" xr:uid="{00000000-0009-0000-0100-000017000000}"/>
  <sortState xmlns:xlrd2="http://schemas.microsoft.com/office/spreadsheetml/2017/richdata2" ref="A6:AF331">
    <sortCondition ref="G5:G331"/>
  </sortState>
  <tableColumns count="32">
    <tableColumn id="1" xr3:uid="{00000000-0010-0000-1000-000001000000}" name="Domain" dataDxfId="120"/>
    <tableColumn id="2" xr3:uid="{00000000-0010-0000-1000-000002000000}" name="Assesment" dataDxfId="119"/>
    <tableColumn id="3" xr3:uid="{00000000-0010-0000-1000-000003000000}" name="Component" dataDxfId="118"/>
    <tableColumn id="28" xr3:uid="{00000000-0010-0000-1000-00001C000000}" name="Link to Declarative Statement" dataDxfId="117">
      <calculatedColumnFormula>IF(Table23[[#This Row],[hideText]]=FALSE,HYPERLINK(INDEX('Verify Baseline Links'!$P$10:$P$132,MATCH(Table23[[#This Row],[DSorder]],'Verify Baseline Links'!$M$10:$M$132,0)),"DS"),"")</calculatedColumnFormula>
    </tableColumn>
    <tableColumn id="4" xr3:uid="{00000000-0010-0000-1000-000004000000}" name="Declarative Statement" dataDxfId="116"/>
    <tableColumn id="26" xr3:uid="{00000000-0010-0000-1000-00001A000000}" name="clean DS" dataDxfId="115">
      <calculatedColumnFormula>CLEAN(TRIM(SUBSTITUTE(LEFT(Table23[[#This Row],[Declarative Statement]],MIN(250,LEN(Table23[[#This Row],[Declarative Statement]]))),CHAR(160)," ")))</calculatedColumnFormula>
    </tableColumn>
    <tableColumn id="5" xr3:uid="{00000000-0010-0000-1000-000005000000}" name="DS Match" dataDxfId="114">
      <calculatedColumnFormula>MATCH(Table23[[#This Row],[clean DS]],combinedMaturityTable[Dsm clean],0)</calculatedColumnFormula>
    </tableColumn>
    <tableColumn id="6" xr3:uid="{00000000-0010-0000-1000-000006000000}" name="Ref. #" dataDxfId="113"/>
    <tableColumn id="7" xr3:uid="{00000000-0010-0000-1000-000007000000}" name="Link to Reference" dataDxfId="112"/>
    <tableColumn id="33" xr3:uid="{00000000-0010-0000-1000-000021000000}" name="Refernce Link" dataDxfId="111">
      <calculatedColumnFormula>HYPERLINK(Table23[[#This Row],[URL]],Table23[[#This Row],[Link to Reference]])</calculatedColumnFormula>
    </tableColumn>
    <tableColumn id="8" xr3:uid="{00000000-0010-0000-1000-000008000000}" name="Reference" dataDxfId="110"/>
    <tableColumn id="9" xr3:uid="{00000000-0010-0000-1000-000009000000}" name="Link 2"/>
    <tableColumn id="10" xr3:uid="{00000000-0010-0000-1000-00000A000000}" name="Reference 2"/>
    <tableColumn id="11" xr3:uid="{00000000-0010-0000-1000-00000B000000}" name="Link 3"/>
    <tableColumn id="12" xr3:uid="{00000000-0010-0000-1000-00000C000000}" name="Reference 3"/>
    <tableColumn id="13" xr3:uid="{00000000-0010-0000-1000-00000D000000}" name="Link 4"/>
    <tableColumn id="14" xr3:uid="{00000000-0010-0000-1000-00000E000000}" name="Reference 4"/>
    <tableColumn id="15" xr3:uid="{00000000-0010-0000-1000-00000F000000}" name="Link 5"/>
    <tableColumn id="16" xr3:uid="{00000000-0010-0000-1000-000010000000}" name="Reference 5"/>
    <tableColumn id="17" xr3:uid="{00000000-0010-0000-1000-000011000000}" name="Link 6"/>
    <tableColumn id="18" xr3:uid="{00000000-0010-0000-1000-000012000000}" name="Reference 6"/>
    <tableColumn id="19" xr3:uid="{00000000-0010-0000-1000-000013000000}" name="Link 7"/>
    <tableColumn id="20" xr3:uid="{00000000-0010-0000-1000-000014000000}" name="Reference 7"/>
    <tableColumn id="21" xr3:uid="{00000000-0010-0000-1000-000015000000}" name="Booklet"/>
    <tableColumn id="25" xr3:uid="{00000000-0010-0000-1000-000019000000}" name="Type" dataDxfId="109">
      <calculatedColumnFormula>IFERROR(IF(SEARCH("WP",Table23[[#This Row],[Link to Reference]])&gt;0,"Work Program","Booklet"),"Booklet")</calculatedColumnFormula>
    </tableColumn>
    <tableColumn id="22" xr3:uid="{00000000-0010-0000-1000-000016000000}" name="Page"/>
    <tableColumn id="30" xr3:uid="{00000000-0010-0000-1000-00001E000000}" name="reference match" dataDxfId="108">
      <calculatedColumnFormula>IF(Table23[[#This Row],[Type]]="Booklet",MATCH(LEFT(Table23[[#This Row],[Link to Reference]],FIND(".",Table23[[#This Row],[Link to Reference]])-1),bookletsInfo[Initial],0),MATCH(LEFT(Table23[[#This Row],[Link to Reference]],FIND(".",Table23[[#This Row],[Link to Reference]])-1),WPInfo[Initials],0))</calculatedColumnFormula>
    </tableColumn>
    <tableColumn id="23" xr3:uid="{00000000-0010-0000-1000-000017000000}" name="URL" dataDxfId="107">
      <calculatedColumnFormula>IFERROR(IF(Table23[[#This Row],[Type]]="Booklet",INDEX(bookletsInfo[Booklet URL],Table23[[#This Row],[reference match]])&amp;"#Page="&amp;(Table23[[#This Row],[Page]]+INDEX(bookletsInfo[booklet offset],Table23[[#This Row],[reference match]])),INDEX(WPInfo[PDF URL],Table23[[#This Row],[reference match]])&amp;"#Page="&amp;Table23[[#This Row],[Page]]),"")</calculatedColumnFormula>
    </tableColumn>
    <tableColumn id="24" xr3:uid="{00000000-0010-0000-1000-000018000000}" name="order"/>
    <tableColumn id="27" xr3:uid="{00000000-0010-0000-1000-00001B000000}" name="hideText" dataDxfId="106">
      <calculatedColumnFormula>IF(G6=G5,IF(MOD(Table23[[#This Row],[order]],2)=1,"hideOdd","hideEven"),FALSE)</calculatedColumnFormula>
    </tableColumn>
    <tableColumn id="29" xr3:uid="{00000000-0010-0000-1000-00001D000000}" name="DSorder" dataDxfId="105">
      <calculatedColumnFormula>IF(Table23[[#This Row],[hideText]]=FALSE,AE5+1,AE5)</calculatedColumnFormula>
    </tableColumn>
    <tableColumn id="31" xr3:uid="{00000000-0010-0000-1000-00001F000000}" name="Notes" dataDxfId="104"/>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20" displayName="Table20" ref="B16:T139" totalsRowShown="0" headerRowDxfId="103" dataDxfId="102">
  <autoFilter ref="B16:T139" xr:uid="{00000000-0009-0000-0100-000014000000}"/>
  <tableColumns count="19">
    <tableColumn id="1" xr3:uid="{00000000-0010-0000-1100-000001000000}" name="Domain" dataDxfId="101"/>
    <tableColumn id="2" xr3:uid="{00000000-0010-0000-1100-000002000000}" name="Assesment Factor" dataDxfId="100"/>
    <tableColumn id="3" xr3:uid="{00000000-0010-0000-1100-000003000000}" name="Component" dataDxfId="99"/>
    <tableColumn id="4" xr3:uid="{00000000-0010-0000-1100-000004000000}" name="Declarative Statement" dataDxfId="98"/>
    <tableColumn id="5" xr3:uid="{00000000-0010-0000-1100-000005000000}" name="Reference Count" dataDxfId="97"/>
    <tableColumn id="6" xr3:uid="{00000000-0010-0000-1100-000006000000}" name="Link 1" dataDxfId="96"/>
    <tableColumn id="7" xr3:uid="{00000000-0010-0000-1100-000007000000}" name="Reference 1" dataDxfId="95"/>
    <tableColumn id="8" xr3:uid="{00000000-0010-0000-1100-000008000000}" name="Link 2" dataDxfId="94"/>
    <tableColumn id="9" xr3:uid="{00000000-0010-0000-1100-000009000000}" name="Reference 2" dataDxfId="93"/>
    <tableColumn id="10" xr3:uid="{00000000-0010-0000-1100-00000A000000}" name="Link 3" dataDxfId="92"/>
    <tableColumn id="11" xr3:uid="{00000000-0010-0000-1100-00000B000000}" name="Reference 3" dataDxfId="91"/>
    <tableColumn id="12" xr3:uid="{00000000-0010-0000-1100-00000C000000}" name="Link 4" dataDxfId="90"/>
    <tableColumn id="13" xr3:uid="{00000000-0010-0000-1100-00000D000000}" name="Reference 4" dataDxfId="89"/>
    <tableColumn id="14" xr3:uid="{00000000-0010-0000-1100-00000E000000}" name="Link 5" dataDxfId="88"/>
    <tableColumn id="15" xr3:uid="{00000000-0010-0000-1100-00000F000000}" name="Reference 5" dataDxfId="87"/>
    <tableColumn id="16" xr3:uid="{00000000-0010-0000-1100-000010000000}" name="Link 6" dataDxfId="86"/>
    <tableColumn id="17" xr3:uid="{00000000-0010-0000-1100-000011000000}" name="Reference 6" dataDxfId="85"/>
    <tableColumn id="18" xr3:uid="{00000000-0010-0000-1100-000012000000}" name="Link 7" dataDxfId="84"/>
    <tableColumn id="19" xr3:uid="{00000000-0010-0000-1100-000013000000}" name="Reference 7" dataDxfId="83"/>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2000000}" name="combinedMaturityTable" displayName="combinedMaturityTable" ref="B7:M501" totalsRowShown="0" headerRowBorderDxfId="82" headerRowCellStyle="Heading 3">
  <autoFilter ref="B7:M501" xr:uid="{00000000-0009-0000-0100-000012000000}">
    <filterColumn colId="3">
      <filters>
        <filter val="Baseline"/>
      </filters>
    </filterColumn>
  </autoFilter>
  <tableColumns count="12">
    <tableColumn id="1" xr3:uid="{00000000-0010-0000-1200-000001000000}" name="domain"/>
    <tableColumn id="2" xr3:uid="{00000000-0010-0000-1200-000002000000}" name="Assesment Factor"/>
    <tableColumn id="3" xr3:uid="{00000000-0010-0000-1200-000003000000}" name="Component"/>
    <tableColumn id="4" xr3:uid="{00000000-0010-0000-1200-000004000000}" name="Maturity Level"/>
    <tableColumn id="5" xr3:uid="{00000000-0010-0000-1200-000005000000}" name="Y, Y(C), N"/>
    <tableColumn id="6" xr3:uid="{00000000-0010-0000-1200-000006000000}" name="DS Yes"/>
    <tableColumn id="7" xr3:uid="{00000000-0010-0000-1200-000007000000}" name="DS YesCC"/>
    <tableColumn id="8" xr3:uid="{00000000-0010-0000-1200-000008000000}" name="DS No"/>
    <tableColumn id="9" xr3:uid="{00000000-0010-0000-1200-000009000000}" name="DS N/A"/>
    <tableColumn id="10" xr3:uid="{00000000-0010-0000-1200-00000A000000}" name="DS"/>
    <tableColumn id="11" xr3:uid="{00000000-0010-0000-1200-00000B000000}" name="DSm" dataDxfId="81">
      <calculatedColumnFormula>IF(combinedMaturityTable[[#This Row],[Maturity Level]]="Baseline",LEFT(combinedMaturityTable[[#This Row],[DS]],FIND("(FFIEC ",combinedMaturityTable[[#This Row],[DS]])-1),"")</calculatedColumnFormula>
    </tableColumn>
    <tableColumn id="13" xr3:uid="{00000000-0010-0000-1200-00000D000000}" name="Dsm clean" dataDxfId="80">
      <calculatedColumnFormula>CLEAN(TRIM(SUBSTITUTE(LEFT(combinedMaturityTable[[#This Row],[DSm]],MIN(250,LEN(combinedMaturityTable[[#This Row],[DSm]]))),CHAR(160)," ")))</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E44:H49" totalsRowShown="0" headerRowDxfId="301" dataDxfId="300">
  <tableColumns count="4">
    <tableColumn id="1" xr3:uid="{00000000-0010-0000-0100-000001000000}" name="Date" dataDxfId="299"/>
    <tableColumn id="2" xr3:uid="{00000000-0010-0000-0100-000002000000}" name="Impact" dataDxfId="298"/>
    <tableColumn id="3" xr3:uid="{00000000-0010-0000-0100-000003000000}" name="Difficulty" dataDxfId="297"/>
    <tableColumn id="4" xr3:uid="{00000000-0010-0000-0100-000004000000}" name="Description" dataDxfId="296"/>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3000000}" name="hyperlinkLU" displayName="hyperlinkLU" ref="R3:AF124" totalsRowShown="0">
  <autoFilter ref="R3:AF124" xr:uid="{00000000-0009-0000-0100-000010000000}"/>
  <tableColumns count="15">
    <tableColumn id="1" xr3:uid="{00000000-0010-0000-1300-000001000000}" name="Reference"/>
    <tableColumn id="13" xr3:uid="{00000000-0010-0000-1300-00000D000000}" name="Reference No."/>
    <tableColumn id="5" xr3:uid="{00000000-0010-0000-1300-000005000000}" name="Booklet"/>
    <tableColumn id="10" xr3:uid="{00000000-0010-0000-1300-00000A000000}" name="Page"/>
    <tableColumn id="11" xr3:uid="{00000000-0010-0000-1300-00000B000000}" name="Physical Page"/>
    <tableColumn id="6" xr3:uid="{00000000-0010-0000-1300-000006000000}" name="PDFPage"/>
    <tableColumn id="12" xr3:uid="{00000000-0010-0000-1300-00000C000000}" name="PDF URL"/>
    <tableColumn id="8" xr3:uid="{00000000-0010-0000-1300-000008000000}" name="alt PDF Note"/>
    <tableColumn id="7" xr3:uid="{00000000-0010-0000-1300-000007000000}" name="alt PDF URL"/>
    <tableColumn id="9" xr3:uid="{00000000-0010-0000-1300-000009000000}" name="alt PDF Label"/>
    <tableColumn id="2" xr3:uid="{00000000-0010-0000-1300-000002000000}" name="URL fragment"/>
    <tableColumn id="3" xr3:uid="{00000000-0010-0000-1300-000003000000}" name="URL"/>
    <tableColumn id="4" xr3:uid="{00000000-0010-0000-1300-000004000000}" name="Label"/>
    <tableColumn id="14" xr3:uid="{00000000-0010-0000-1300-00000E000000}" name="verified"/>
    <tableColumn id="15" xr3:uid="{00000000-0010-0000-1300-00000F000000}" name="CAT AppA"/>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maturityOrderTable" displayName="maturityOrderTable" ref="AJ3:AK8" totalsRowShown="0" dataDxfId="78" headerRowBorderDxfId="79" headerRowCellStyle="Heading 3">
  <autoFilter ref="AJ3:AK8" xr:uid="{00000000-0009-0000-0100-000013000000}"/>
  <tableColumns count="2">
    <tableColumn id="1" xr3:uid="{00000000-0010-0000-1400-000001000000}" name="value" dataDxfId="77"/>
    <tableColumn id="2" xr3:uid="{00000000-0010-0000-1400-000002000000}" name="orderValue" dataDxfId="76"/>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5000000}" name="bookletsInfo" displayName="bookletsInfo" ref="AN3:AT14" totalsRowShown="0">
  <autoFilter ref="AN3:AT14" xr:uid="{00000000-0009-0000-0100-000015000000}"/>
  <tableColumns count="7">
    <tableColumn id="1" xr3:uid="{00000000-0010-0000-1500-000001000000}" name="Document"/>
    <tableColumn id="2" xr3:uid="{00000000-0010-0000-1500-000002000000}" name="Initial"/>
    <tableColumn id="3" xr3:uid="{00000000-0010-0000-1500-000003000000}" name="Booklet"/>
    <tableColumn id="4" xr3:uid="{00000000-0010-0000-1500-000004000000}" name="Section"/>
    <tableColumn id="5" xr3:uid="{00000000-0010-0000-1500-000005000000}" name="Full Name"/>
    <tableColumn id="6" xr3:uid="{00000000-0010-0000-1500-000006000000}" name="Booklet URL"/>
    <tableColumn id="7" xr3:uid="{00000000-0010-0000-1500-000007000000}" name="booklet offset"/>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WPInfo" displayName="WPInfo" ref="AV3:AZ14" totalsRowShown="0">
  <autoFilter ref="AV3:AZ14" xr:uid="{00000000-0009-0000-0100-000016000000}"/>
  <tableColumns count="5">
    <tableColumn id="1" xr3:uid="{00000000-0010-0000-1600-000001000000}" name="Work Paper"/>
    <tableColumn id="2" xr3:uid="{00000000-0010-0000-1600-000002000000}" name="Initials"/>
    <tableColumn id="3" xr3:uid="{00000000-0010-0000-1600-000003000000}" name="Type"/>
    <tableColumn id="4" xr3:uid="{00000000-0010-0000-1600-000004000000}" name="PDF URL"/>
    <tableColumn id="5" xr3:uid="{00000000-0010-0000-1600-000005000000}" name="Word URL"/>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FFIECBooklets" displayName="FFIECBooklets" ref="A36:C44" totalsRowShown="0" headerRowDxfId="295" headerRowCellStyle="Heading 3">
  <tableColumns count="3">
    <tableColumn id="1" xr3:uid="{00000000-0010-0000-0200-000001000000}" name="Booklet" dataDxfId="294" dataCellStyle="Explanatory Text"/>
    <tableColumn id="2" xr3:uid="{00000000-0010-0000-0200-000002000000}" name="Booklet URL" dataDxfId="293" dataCellStyle="Input"/>
    <tableColumn id="3" xr3:uid="{00000000-0010-0000-0200-000003000000}" name="Page Offset" dataDxfId="292" dataCellStyle="Inpu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log" displayName="log" ref="A6:H7" totalsRowShown="0">
  <autoFilter ref="A6:H7" xr:uid="{00000000-0009-0000-0100-00000F000000}"/>
  <tableColumns count="8">
    <tableColumn id="1" xr3:uid="{00000000-0010-0000-0300-000001000000}" name="Worksheet"/>
    <tableColumn id="2" xr3:uid="{00000000-0010-0000-0300-000002000000}" name="Location"/>
    <tableColumn id="3" xr3:uid="{00000000-0010-0000-0300-000003000000}" name="Name"/>
    <tableColumn id="4" xr3:uid="{00000000-0010-0000-0300-000004000000}" name="Changed To" dataDxfId="291"/>
    <tableColumn id="7" xr3:uid="{00000000-0010-0000-0300-000007000000}" name="Change Note"/>
    <tableColumn id="5" xr3:uid="{00000000-0010-0000-0300-000005000000}" name="Change Date" dataDxfId="290"/>
    <tableColumn id="6" xr3:uid="{00000000-0010-0000-0300-000006000000}" name="Changed By"/>
    <tableColumn id="8" xr3:uid="{00000000-0010-0000-0300-000008000000}" name="Note on Chang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rollUp" displayName="rollUp" ref="B6:I11" totalsRowShown="0" headerRowDxfId="289" dataDxfId="288">
  <autoFilter ref="B6:I11" xr:uid="{00000000-0009-0000-0100-000006000000}"/>
  <tableColumns count="8">
    <tableColumn id="1" xr3:uid="{00000000-0010-0000-0400-000001000000}" name="Category" dataDxfId="287"/>
    <tableColumn id="2" xr3:uid="{00000000-0010-0000-0400-000002000000}" name="Risks" dataDxfId="286"/>
    <tableColumn id="8" xr3:uid="{00000000-0010-0000-0400-000008000000}" name="Answered" dataDxfId="285"/>
    <tableColumn id="3" xr3:uid="{00000000-0010-0000-0400-000003000000}" name="Least" dataDxfId="284"/>
    <tableColumn id="4" xr3:uid="{00000000-0010-0000-0400-000004000000}" name="Minimal" dataDxfId="283"/>
    <tableColumn id="5" xr3:uid="{00000000-0010-0000-0400-000005000000}" name="Moderate" dataDxfId="282"/>
    <tableColumn id="6" xr3:uid="{00000000-0010-0000-0400-000006000000}" name="Significant" dataDxfId="281"/>
    <tableColumn id="7" xr3:uid="{00000000-0010-0000-0400-000007000000}" name="Most" dataDxfId="28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echNConnect" displayName="techNConnect" ref="B8:I22" totalsRowShown="0" headerRowDxfId="279" dataDxfId="278">
  <autoFilter ref="B8:I22" xr:uid="{00000000-0009-0000-0100-000001000000}"/>
  <tableColumns count="8">
    <tableColumn id="1" xr3:uid="{00000000-0010-0000-0500-000001000000}" name="Risk" dataDxfId="277"/>
    <tableColumn id="7" xr3:uid="{00000000-0010-0000-0500-000007000000}" name="Score" dataDxfId="1"/>
    <tableColumn id="2" xr3:uid="{00000000-0010-0000-0500-000002000000}" name="Least" dataDxfId="276"/>
    <tableColumn id="3" xr3:uid="{00000000-0010-0000-0500-000003000000}" name="Minimal" dataDxfId="275"/>
    <tableColumn id="4" xr3:uid="{00000000-0010-0000-0500-000004000000}" name="Moderate" dataDxfId="274"/>
    <tableColumn id="5" xr3:uid="{00000000-0010-0000-0500-000005000000}" name="Significant" dataDxfId="273"/>
    <tableColumn id="6" xr3:uid="{00000000-0010-0000-0500-000006000000}" name="Most" dataDxfId="272"/>
    <tableColumn id="8" xr3:uid="{00000000-0010-0000-0500-000008000000}" name="Notes" dataDxfId="27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deliveryChannels" displayName="deliveryChannels" ref="B8:I11" totalsRowShown="0" headerRowDxfId="270" dataDxfId="269">
  <autoFilter ref="B8:I11" xr:uid="{00000000-0009-0000-0100-000002000000}"/>
  <tableColumns count="8">
    <tableColumn id="1" xr3:uid="{00000000-0010-0000-0600-000001000000}" name="Risk" dataDxfId="268"/>
    <tableColumn id="7" xr3:uid="{00000000-0010-0000-0600-000007000000}" name="Score" dataDxfId="267"/>
    <tableColumn id="2" xr3:uid="{00000000-0010-0000-0600-000002000000}" name="Least " dataDxfId="266"/>
    <tableColumn id="3" xr3:uid="{00000000-0010-0000-0600-000003000000}" name="Minimal " dataDxfId="265"/>
    <tableColumn id="4" xr3:uid="{00000000-0010-0000-0600-000004000000}" name="Moderate " dataDxfId="264"/>
    <tableColumn id="5" xr3:uid="{00000000-0010-0000-0600-000005000000}" name="Significant " dataDxfId="263"/>
    <tableColumn id="6" xr3:uid="{00000000-0010-0000-0600-000006000000}" name="Most " dataDxfId="262"/>
    <tableColumn id="8" xr3:uid="{00000000-0010-0000-0600-000008000000}" name="Notes" dataDxfId="26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onlineMobileTech" displayName="onlineMobileTech" ref="B8:I22" totalsRowShown="0" headerRowDxfId="260" dataDxfId="259">
  <autoFilter ref="B8:I22" xr:uid="{00000000-0009-0000-0100-000003000000}"/>
  <tableColumns count="8">
    <tableColumn id="1" xr3:uid="{00000000-0010-0000-0700-000001000000}" name="Risk" dataDxfId="258"/>
    <tableColumn id="7" xr3:uid="{00000000-0010-0000-0700-000007000000}" name="Score" dataDxfId="257"/>
    <tableColumn id="2" xr3:uid="{00000000-0010-0000-0700-000002000000}" name="Least " dataDxfId="256"/>
    <tableColumn id="3" xr3:uid="{00000000-0010-0000-0700-000003000000}" name="Minimal " dataDxfId="255"/>
    <tableColumn id="4" xr3:uid="{00000000-0010-0000-0700-000004000000}" name="Moderate " dataDxfId="254"/>
    <tableColumn id="5" xr3:uid="{00000000-0010-0000-0700-000005000000}" name="Significant " dataDxfId="253"/>
    <tableColumn id="6" xr3:uid="{00000000-0010-0000-0700-000006000000}" name="Most " dataDxfId="252"/>
    <tableColumn id="8" xr3:uid="{00000000-0010-0000-0700-000008000000}" name="Notes" dataDxfId="25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8000000}" name="orgChar" displayName="orgChar" ref="B8:I15" totalsRowShown="0" headerRowDxfId="250" dataDxfId="249">
  <autoFilter ref="B8:I15" xr:uid="{00000000-0009-0000-0100-000004000000}"/>
  <tableColumns count="8">
    <tableColumn id="1" xr3:uid="{00000000-0010-0000-0800-000001000000}" name="Risk" dataDxfId="248"/>
    <tableColumn id="7" xr3:uid="{00000000-0010-0000-0800-000007000000}" name="Score" dataDxfId="247"/>
    <tableColumn id="2" xr3:uid="{00000000-0010-0000-0800-000002000000}" name="Least " dataDxfId="246"/>
    <tableColumn id="3" xr3:uid="{00000000-0010-0000-0800-000003000000}" name="Minimal " dataDxfId="245"/>
    <tableColumn id="4" xr3:uid="{00000000-0010-0000-0800-000004000000}" name="Moderate " dataDxfId="244"/>
    <tableColumn id="5" xr3:uid="{00000000-0010-0000-0800-000005000000}" name="Significant " dataDxfId="243"/>
    <tableColumn id="6" xr3:uid="{00000000-0010-0000-0800-000006000000}" name="Most " dataDxfId="242"/>
    <tableColumn id="8" xr3:uid="{00000000-0010-0000-0800-000008000000}" name="Notes" dataDxfId="24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pi.com/" TargetMode="External"/><Relationship Id="rId13" Type="http://schemas.openxmlformats.org/officeDocument/2006/relationships/table" Target="../tables/table2.xml"/><Relationship Id="rId3" Type="http://schemas.openxmlformats.org/officeDocument/2006/relationships/hyperlink" Target="http://www.watkinsconsulting.com/" TargetMode="External"/><Relationship Id="rId7" Type="http://schemas.openxmlformats.org/officeDocument/2006/relationships/hyperlink" Target="https://www.fsscc.org/" TargetMode="External"/><Relationship Id="rId12" Type="http://schemas.openxmlformats.org/officeDocument/2006/relationships/table" Target="../tables/table1.xml"/><Relationship Id="rId2" Type="http://schemas.openxmlformats.org/officeDocument/2006/relationships/hyperlink" Target="https://www.ffiec.gov/cybersecurity.htm" TargetMode="External"/><Relationship Id="rId1" Type="http://schemas.openxmlformats.org/officeDocument/2006/relationships/hyperlink" Target="https://www.ffiec.gov/" TargetMode="External"/><Relationship Id="rId6" Type="http://schemas.openxmlformats.org/officeDocument/2006/relationships/hyperlink" Target="https://www.ffiec.gov/pdf/cybersecurity/FFIEC_CAT_Appendix_A_May_2017.pdf" TargetMode="External"/><Relationship Id="rId11" Type="http://schemas.openxmlformats.org/officeDocument/2006/relationships/printerSettings" Target="../printerSettings/printerSettings1.bin"/><Relationship Id="rId5" Type="http://schemas.openxmlformats.org/officeDocument/2006/relationships/hyperlink" Target="https://ithandbook.ffiec.gov/" TargetMode="External"/><Relationship Id="rId10" Type="http://schemas.openxmlformats.org/officeDocument/2006/relationships/hyperlink" Target="https://bpi.com/financial-services-sector-cybersecurity-profile/" TargetMode="External"/><Relationship Id="rId4" Type="http://schemas.openxmlformats.org/officeDocument/2006/relationships/hyperlink" Target="https://www.ffiec.gov/pdf/cybersecurity/FFIEC_CAT_May_2017.pdf" TargetMode="External"/><Relationship Id="rId9" Type="http://schemas.openxmlformats.org/officeDocument/2006/relationships/hyperlink" Target="https://www.fsscc.org/files/galleries/FSSCC_ACAT_v2_1.xlsx" TargetMode="External"/><Relationship Id="rId1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8.bin"/><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printerSettings" Target="../printerSettings/printerSettings20.bin"/><Relationship Id="rId1" Type="http://schemas.openxmlformats.org/officeDocument/2006/relationships/hyperlink" Target="https://ithandbook.ffiec.gov/" TargetMode="External"/><Relationship Id="rId6" Type="http://schemas.openxmlformats.org/officeDocument/2006/relationships/table" Target="../tables/table23.xml"/><Relationship Id="rId5" Type="http://schemas.openxmlformats.org/officeDocument/2006/relationships/table" Target="../tables/table22.xml"/><Relationship Id="rId4"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fitToPage="1"/>
  </sheetPr>
  <dimension ref="A1:L51"/>
  <sheetViews>
    <sheetView tabSelected="1" zoomScaleNormal="100" workbookViewId="0">
      <pane ySplit="3" topLeftCell="A4" activePane="bottomLeft" state="frozen"/>
      <selection pane="bottomLeft" activeCell="B18" sqref="B18"/>
    </sheetView>
  </sheetViews>
  <sheetFormatPr defaultColWidth="8.85546875" defaultRowHeight="15" x14ac:dyDescent="0.25"/>
  <cols>
    <col min="1" max="1" width="27.140625" style="10" customWidth="1"/>
    <col min="2" max="2" width="61.5703125" style="10" customWidth="1"/>
    <col min="3" max="3" width="9.5703125" style="178" customWidth="1"/>
    <col min="4" max="4" width="1.42578125" style="10" customWidth="1"/>
    <col min="5" max="5" width="11.28515625" style="10" customWidth="1"/>
    <col min="6" max="6" width="16.5703125" style="10" customWidth="1"/>
    <col min="7" max="7" width="13.5703125" style="10" customWidth="1"/>
    <col min="8" max="8" width="90.85546875" style="10" customWidth="1"/>
    <col min="9" max="9" width="1.42578125" style="10" customWidth="1"/>
    <col min="10" max="10" width="27.7109375" style="10" customWidth="1"/>
    <col min="11" max="11" width="51.42578125" style="10" customWidth="1"/>
    <col min="12" max="12" width="20.7109375" style="10" customWidth="1"/>
    <col min="13" max="13" width="26.85546875" style="10" customWidth="1"/>
    <col min="14" max="19" width="8.85546875" style="10"/>
    <col min="20" max="20" width="8.85546875" style="10" customWidth="1"/>
    <col min="21" max="16384" width="8.85546875" style="10"/>
  </cols>
  <sheetData>
    <row r="1" spans="1:10" customFormat="1" ht="20.100000000000001" customHeight="1" x14ac:dyDescent="0.25">
      <c r="A1" s="316" t="str">
        <f>HYPERLINK(websiteHTTP&amp;webSiteURL,"Watkins Consulting")</f>
        <v>Watkins Consulting</v>
      </c>
      <c r="B1" s="132"/>
      <c r="C1" s="132"/>
      <c r="D1" s="132"/>
      <c r="E1" s="132"/>
      <c r="F1" s="327" t="str">
        <f>IF(firmName&gt;0,firmName,"")</f>
        <v/>
      </c>
      <c r="G1" s="327"/>
      <c r="H1" s="327"/>
      <c r="I1" s="7"/>
      <c r="J1" s="8" t="str">
        <f>HYPERLINK(websiteHTTP&amp;webSiteURL&amp;userManualrURL,"User Manual")</f>
        <v>User Manual</v>
      </c>
    </row>
    <row r="2" spans="1:10" customFormat="1" ht="20.100000000000001" customHeight="1" x14ac:dyDescent="0.25">
      <c r="A2" s="256" t="str">
        <f ca="1">" Excel Workbook Version: "&amp;versionID</f>
        <v xml:space="preserve"> Excel Workbook Version: 3.4.2</v>
      </c>
      <c r="B2" s="132"/>
      <c r="C2" s="132"/>
      <c r="D2" s="132"/>
      <c r="E2" s="132"/>
      <c r="F2" s="347" t="str">
        <f>Information</f>
        <v>FFIEC Cybersecurity Assessment Tool (May 2017)</v>
      </c>
      <c r="G2" s="347"/>
      <c r="H2" s="347"/>
      <c r="I2" s="7"/>
      <c r="J2" s="8" t="s">
        <v>1094</v>
      </c>
    </row>
    <row r="3" spans="1:10" customFormat="1" ht="20.100000000000001" customHeight="1" thickBot="1" x14ac:dyDescent="0.3">
      <c r="A3" s="139" t="str">
        <f ca="1">MID(CELL("filename",A1),FIND("]",CELL("filename",A1))+1,256)</f>
        <v>Information</v>
      </c>
      <c r="B3" s="315" t="str">
        <f ca="1">IF(hideRegNotice&lt;&gt;"Yes",HYPERLINK("mailto:solutions@watkinsconsulting.com?subject=FFIEC Cybersecurity Assessment Tool "&amp;versionID&amp;" registration/feedback ","Please register to receive updates."),"")</f>
        <v>Please register to receive updates.</v>
      </c>
      <c r="C3" s="140"/>
      <c r="D3" s="140"/>
      <c r="E3" s="140"/>
      <c r="F3" s="328" t="str">
        <f>IF(assessmentDate&gt;0,assessmentDate,"")</f>
        <v/>
      </c>
      <c r="G3" s="328"/>
      <c r="H3" s="328"/>
      <c r="I3" s="144"/>
      <c r="J3" s="155" t="s">
        <v>620</v>
      </c>
    </row>
    <row r="4" spans="1:10" s="13" customFormat="1" ht="20.25" customHeight="1" thickTop="1" thickBot="1" x14ac:dyDescent="0.3">
      <c r="A4" s="9"/>
      <c r="E4" s="14"/>
      <c r="G4" s="15"/>
      <c r="H4" s="12"/>
    </row>
    <row r="5" spans="1:10" s="13" customFormat="1" ht="25.5" customHeight="1" x14ac:dyDescent="0.25">
      <c r="A5" s="330" t="str">
        <f ca="1">HYPERLINK("mailto:solutions@watkinsconsulting.com?subject=FFIEC Cybersecurity Assessment Tool "&amp;versionID&amp;" registration/feedback ","Please click here to register with us to receive periodic tool updates or to provide feedback. "&amp;CHAR(10)&amp;CHAR(13)&amp;"We greatly appreciate your comments.")</f>
        <v>Please click here to register with us to receive periodic tool updates or to provide feedback. 
_x000D_We greatly appreciate your comments.</v>
      </c>
      <c r="B5" s="331"/>
      <c r="C5" s="176"/>
      <c r="D5" s="16"/>
      <c r="E5" s="17"/>
      <c r="F5" s="335" t="s">
        <v>622</v>
      </c>
      <c r="G5" s="335"/>
      <c r="H5" s="335"/>
    </row>
    <row r="6" spans="1:10" s="13" customFormat="1" ht="15.75" thickBot="1" x14ac:dyDescent="0.3">
      <c r="A6" s="332"/>
      <c r="B6" s="333"/>
      <c r="C6" s="176"/>
      <c r="D6" s="17"/>
      <c r="E6" s="17"/>
      <c r="F6" s="335"/>
      <c r="G6" s="335"/>
      <c r="H6" s="335"/>
    </row>
    <row r="7" spans="1:10" s="13" customFormat="1" x14ac:dyDescent="0.25">
      <c r="A7" s="17"/>
      <c r="B7" s="17"/>
      <c r="C7" s="17"/>
      <c r="D7" s="17"/>
      <c r="E7" s="17"/>
      <c r="F7" s="335"/>
      <c r="G7" s="335"/>
      <c r="H7" s="335"/>
    </row>
    <row r="8" spans="1:10" s="13" customFormat="1" ht="15.75" thickBot="1" x14ac:dyDescent="0.3">
      <c r="A8" s="19" t="s">
        <v>2113</v>
      </c>
      <c r="B8" s="17"/>
      <c r="C8" s="17"/>
      <c r="D8" s="17"/>
      <c r="E8" s="17"/>
      <c r="F8" s="17"/>
      <c r="G8" s="17"/>
      <c r="H8" s="17"/>
    </row>
    <row r="9" spans="1:10" x14ac:dyDescent="0.25">
      <c r="A9" s="19" t="s">
        <v>625</v>
      </c>
      <c r="B9" s="20"/>
      <c r="C9" s="20"/>
      <c r="F9" s="336" t="s">
        <v>1093</v>
      </c>
      <c r="G9" s="337"/>
      <c r="H9" s="338"/>
    </row>
    <row r="10" spans="1:10" x14ac:dyDescent="0.25">
      <c r="E10" s="21"/>
      <c r="F10" s="339"/>
      <c r="G10" s="340"/>
      <c r="H10" s="341"/>
      <c r="I10" s="18"/>
    </row>
    <row r="11" spans="1:10" x14ac:dyDescent="0.25">
      <c r="A11" s="10" t="s">
        <v>594</v>
      </c>
      <c r="E11" s="21"/>
      <c r="F11" s="339"/>
      <c r="G11" s="340"/>
      <c r="H11" s="341"/>
      <c r="I11" s="18"/>
    </row>
    <row r="12" spans="1:10" x14ac:dyDescent="0.25">
      <c r="A12" s="10" t="s">
        <v>2110</v>
      </c>
      <c r="E12" s="21"/>
      <c r="F12" s="339"/>
      <c r="G12" s="340"/>
      <c r="H12" s="341"/>
      <c r="I12" s="18"/>
    </row>
    <row r="13" spans="1:10" x14ac:dyDescent="0.25">
      <c r="A13" s="10" t="s">
        <v>599</v>
      </c>
      <c r="E13" s="21"/>
      <c r="F13" s="339"/>
      <c r="G13" s="340"/>
      <c r="H13" s="341"/>
    </row>
    <row r="14" spans="1:10" ht="15.75" thickBot="1" x14ac:dyDescent="0.3">
      <c r="A14" s="10" t="s">
        <v>600</v>
      </c>
      <c r="E14" s="21"/>
      <c r="F14" s="342"/>
      <c r="G14" s="343"/>
      <c r="H14" s="344"/>
    </row>
    <row r="15" spans="1:10" ht="15.75" thickBot="1" x14ac:dyDescent="0.3">
      <c r="A15" s="10" t="s">
        <v>626</v>
      </c>
      <c r="G15" s="22"/>
    </row>
    <row r="16" spans="1:10" x14ac:dyDescent="0.25">
      <c r="A16" s="108"/>
      <c r="B16" s="108"/>
      <c r="F16" s="345" t="s">
        <v>1115</v>
      </c>
      <c r="G16" s="337"/>
      <c r="H16" s="338"/>
    </row>
    <row r="17" spans="1:8" ht="18" thickBot="1" x14ac:dyDescent="0.35">
      <c r="A17" s="346" t="s">
        <v>631</v>
      </c>
      <c r="B17" s="346"/>
      <c r="C17" s="176"/>
      <c r="F17" s="339"/>
      <c r="G17" s="340"/>
      <c r="H17" s="341"/>
    </row>
    <row r="18" spans="1:8" ht="15.75" thickTop="1" x14ac:dyDescent="0.25">
      <c r="A18" s="111" t="s">
        <v>632</v>
      </c>
      <c r="B18" s="31"/>
      <c r="C18" s="176"/>
      <c r="F18" s="339"/>
      <c r="G18" s="340"/>
      <c r="H18" s="341"/>
    </row>
    <row r="19" spans="1:8" x14ac:dyDescent="0.25">
      <c r="A19" s="111" t="s">
        <v>20</v>
      </c>
      <c r="B19" s="421"/>
      <c r="C19" s="176"/>
      <c r="D19" s="24"/>
      <c r="F19" s="339"/>
      <c r="G19" s="340"/>
      <c r="H19" s="341"/>
    </row>
    <row r="20" spans="1:8" x14ac:dyDescent="0.25">
      <c r="A20" s="111" t="s">
        <v>633</v>
      </c>
      <c r="B20" s="31"/>
      <c r="C20" s="176"/>
      <c r="D20" s="24"/>
      <c r="F20" s="339"/>
      <c r="G20" s="340"/>
      <c r="H20" s="341"/>
    </row>
    <row r="21" spans="1:8" ht="99" customHeight="1" x14ac:dyDescent="0.25">
      <c r="A21" s="111" t="s">
        <v>634</v>
      </c>
      <c r="B21" s="422"/>
      <c r="C21" s="176"/>
      <c r="F21" s="339"/>
      <c r="G21" s="340"/>
      <c r="H21" s="341"/>
    </row>
    <row r="22" spans="1:8" x14ac:dyDescent="0.25">
      <c r="A22" s="111" t="s">
        <v>2107</v>
      </c>
      <c r="B22" s="31" t="s">
        <v>208</v>
      </c>
      <c r="F22" s="339"/>
      <c r="G22" s="340"/>
      <c r="H22" s="341"/>
    </row>
    <row r="23" spans="1:8" x14ac:dyDescent="0.25">
      <c r="A23" s="247"/>
      <c r="B23" s="247"/>
      <c r="C23" s="247"/>
      <c r="D23" s="24"/>
      <c r="F23" s="339"/>
      <c r="G23" s="340"/>
      <c r="H23" s="341"/>
    </row>
    <row r="24" spans="1:8" ht="27.75" customHeight="1" thickBot="1" x14ac:dyDescent="0.35">
      <c r="A24" s="334" t="s">
        <v>623</v>
      </c>
      <c r="B24" s="334"/>
      <c r="C24" s="176"/>
      <c r="D24" s="26"/>
      <c r="F24" s="339"/>
      <c r="G24" s="340"/>
      <c r="H24" s="341"/>
    </row>
    <row r="25" spans="1:8" ht="30" customHeight="1" thickTop="1" thickBot="1" x14ac:dyDescent="0.3">
      <c r="A25" s="23" t="s">
        <v>602</v>
      </c>
      <c r="B25" s="93" t="str">
        <f>HYPERLINK(websiteHTTP&amp;webSiteURL,webSiteURL)</f>
        <v>watkinsconsulting.com</v>
      </c>
      <c r="C25" s="176"/>
      <c r="D25" s="27"/>
      <c r="F25" s="342"/>
      <c r="G25" s="343"/>
      <c r="H25" s="344"/>
    </row>
    <row r="26" spans="1:8" ht="15" customHeight="1" x14ac:dyDescent="0.25">
      <c r="A26" s="23" t="s">
        <v>603</v>
      </c>
      <c r="B26" s="232" t="str">
        <f>HYPERLINK(websiteHTTP&amp;webSiteURL&amp;"/services/cybersecurity-governance","cybersecurity-governance")</f>
        <v>cybersecurity-governance</v>
      </c>
      <c r="C26" s="176"/>
      <c r="E26" s="322" t="str">
        <f ca="1">INDIRECT("E"&amp;TRIM(TEXT(ROWS(workbookVersion[Version])+ROW(workbookVersion[[#Headers],[Version]]),"@")))</f>
        <v>3.4.2</v>
      </c>
      <c r="F26" s="28"/>
      <c r="G26" s="29"/>
    </row>
    <row r="27" spans="1:8" ht="17.25" customHeight="1" thickBot="1" x14ac:dyDescent="0.3">
      <c r="A27" s="23" t="s">
        <v>607</v>
      </c>
      <c r="B27" s="24" t="str">
        <f>HYPERLINK(websiteHTTP&amp;webSiteURL&amp;userManualrURL,MID(userManualrURL,29,LEN(userManualrURL)))</f>
        <v>Watkins-FFIEC-CAT-Excel-User-Guide-v3.3.1.pdf</v>
      </c>
      <c r="C27" s="176"/>
      <c r="E27" s="329" t="s">
        <v>635</v>
      </c>
      <c r="F27" s="329"/>
      <c r="G27" s="329"/>
      <c r="H27" s="329"/>
    </row>
    <row r="28" spans="1:8" x14ac:dyDescent="0.25">
      <c r="B28" s="25"/>
      <c r="C28" s="25"/>
      <c r="E28" s="112" t="s">
        <v>595</v>
      </c>
      <c r="F28" s="112" t="s">
        <v>20</v>
      </c>
      <c r="G28" s="112" t="s">
        <v>596</v>
      </c>
      <c r="H28" s="112" t="s">
        <v>597</v>
      </c>
    </row>
    <row r="29" spans="1:8" ht="18" thickBot="1" x14ac:dyDescent="0.35">
      <c r="A29" s="334" t="s">
        <v>621</v>
      </c>
      <c r="B29" s="334"/>
      <c r="C29" s="176"/>
      <c r="E29" s="223">
        <v>1</v>
      </c>
      <c r="F29" s="224">
        <v>42286</v>
      </c>
      <c r="G29" s="223" t="s">
        <v>598</v>
      </c>
      <c r="H29" s="320" t="s">
        <v>601</v>
      </c>
    </row>
    <row r="30" spans="1:8" ht="15.75" thickTop="1" x14ac:dyDescent="0.25">
      <c r="A30" s="111" t="s">
        <v>854</v>
      </c>
      <c r="B30" s="158" t="s">
        <v>627</v>
      </c>
      <c r="C30" s="158"/>
      <c r="E30" s="223">
        <v>1.01</v>
      </c>
      <c r="F30" s="224">
        <v>42296</v>
      </c>
      <c r="G30" s="223" t="s">
        <v>598</v>
      </c>
      <c r="H30" s="223" t="s">
        <v>629</v>
      </c>
    </row>
    <row r="31" spans="1:8" ht="30" x14ac:dyDescent="0.25">
      <c r="A31" s="111" t="s">
        <v>855</v>
      </c>
      <c r="B31" s="158" t="s">
        <v>628</v>
      </c>
      <c r="C31" s="158"/>
      <c r="E31" s="223">
        <v>1.02</v>
      </c>
      <c r="F31" s="224">
        <v>42341</v>
      </c>
      <c r="G31" s="223" t="s">
        <v>598</v>
      </c>
      <c r="H31" s="206" t="s">
        <v>630</v>
      </c>
    </row>
    <row r="32" spans="1:8" ht="105" x14ac:dyDescent="0.25">
      <c r="A32" s="159" t="s">
        <v>2114</v>
      </c>
      <c r="B32" s="234" t="s">
        <v>1092</v>
      </c>
      <c r="C32" s="158"/>
      <c r="E32" s="223">
        <v>2</v>
      </c>
      <c r="F32" s="224">
        <v>42943</v>
      </c>
      <c r="G32" s="223" t="s">
        <v>598</v>
      </c>
      <c r="H32" s="206" t="s">
        <v>1078</v>
      </c>
    </row>
    <row r="33" spans="1:12" ht="45" x14ac:dyDescent="0.25">
      <c r="A33" s="159" t="s">
        <v>1114</v>
      </c>
      <c r="B33" s="233" t="s">
        <v>1113</v>
      </c>
      <c r="C33" s="158"/>
      <c r="E33" s="226">
        <v>2.0099999999999998</v>
      </c>
      <c r="F33" s="227">
        <v>43060</v>
      </c>
      <c r="G33" s="226" t="s">
        <v>598</v>
      </c>
      <c r="H33" s="228" t="s">
        <v>2115</v>
      </c>
    </row>
    <row r="34" spans="1:12" ht="45" x14ac:dyDescent="0.25">
      <c r="A34" s="159" t="s">
        <v>1095</v>
      </c>
      <c r="B34" s="233" t="s">
        <v>1096</v>
      </c>
      <c r="C34" s="160"/>
      <c r="E34" s="226">
        <v>2.1</v>
      </c>
      <c r="F34" s="227">
        <v>43343</v>
      </c>
      <c r="G34" s="226" t="s">
        <v>598</v>
      </c>
      <c r="H34" s="228" t="s">
        <v>2116</v>
      </c>
    </row>
    <row r="35" spans="1:12" ht="45" x14ac:dyDescent="0.25">
      <c r="A35" s="324" t="s">
        <v>1079</v>
      </c>
      <c r="B35" s="325"/>
      <c r="C35" s="326"/>
      <c r="E35" s="226">
        <v>3</v>
      </c>
      <c r="F35" s="227">
        <v>43504</v>
      </c>
      <c r="G35" s="226" t="s">
        <v>598</v>
      </c>
      <c r="H35" s="228" t="s">
        <v>2106</v>
      </c>
      <c r="J35" s="173"/>
      <c r="K35" s="173"/>
      <c r="L35" s="173"/>
    </row>
    <row r="36" spans="1:12" s="180" customFormat="1" ht="30" customHeight="1" thickBot="1" x14ac:dyDescent="0.3">
      <c r="A36" s="195" t="s">
        <v>915</v>
      </c>
      <c r="B36" s="195" t="s">
        <v>919</v>
      </c>
      <c r="C36" s="196" t="s">
        <v>947</v>
      </c>
      <c r="E36" s="226">
        <v>3.1</v>
      </c>
      <c r="F36" s="227">
        <v>43512</v>
      </c>
      <c r="G36" s="226" t="s">
        <v>598</v>
      </c>
      <c r="H36" s="226" t="s">
        <v>2101</v>
      </c>
    </row>
    <row r="37" spans="1:12" s="180" customFormat="1" ht="30" x14ac:dyDescent="0.25">
      <c r="A37" s="189" t="s">
        <v>917</v>
      </c>
      <c r="B37" s="191" t="s">
        <v>1081</v>
      </c>
      <c r="C37" s="191">
        <v>3</v>
      </c>
      <c r="E37" s="226">
        <v>3.2</v>
      </c>
      <c r="F37" s="227">
        <v>43542</v>
      </c>
      <c r="G37" s="226" t="s">
        <v>598</v>
      </c>
      <c r="H37" s="226" t="s">
        <v>2109</v>
      </c>
    </row>
    <row r="38" spans="1:12" ht="30" x14ac:dyDescent="0.25">
      <c r="A38" s="189" t="s">
        <v>853</v>
      </c>
      <c r="B38" s="191" t="s">
        <v>1082</v>
      </c>
      <c r="C38" s="191">
        <v>3</v>
      </c>
      <c r="E38" s="226">
        <v>3.3</v>
      </c>
      <c r="F38" s="227">
        <v>43615</v>
      </c>
      <c r="G38" s="226" t="s">
        <v>598</v>
      </c>
      <c r="H38" s="226" t="s">
        <v>2108</v>
      </c>
    </row>
    <row r="39" spans="1:12" ht="30" x14ac:dyDescent="0.25">
      <c r="A39" s="189" t="s">
        <v>916</v>
      </c>
      <c r="B39" s="191" t="s">
        <v>1083</v>
      </c>
      <c r="C39" s="191">
        <v>3</v>
      </c>
      <c r="E39" s="226" t="s">
        <v>2111</v>
      </c>
      <c r="F39" s="227">
        <v>43739</v>
      </c>
      <c r="G39" s="226" t="s">
        <v>598</v>
      </c>
      <c r="H39" s="226" t="s">
        <v>2112</v>
      </c>
    </row>
    <row r="40" spans="1:12" ht="30" x14ac:dyDescent="0.25">
      <c r="A40" s="189" t="s">
        <v>918</v>
      </c>
      <c r="B40" s="191" t="s">
        <v>1084</v>
      </c>
      <c r="C40" s="191">
        <v>3</v>
      </c>
      <c r="E40" s="226">
        <v>3.4</v>
      </c>
      <c r="F40" s="227">
        <v>43760</v>
      </c>
      <c r="G40" s="226" t="s">
        <v>598</v>
      </c>
      <c r="H40" s="226" t="s">
        <v>2117</v>
      </c>
    </row>
    <row r="41" spans="1:12" ht="30" x14ac:dyDescent="0.25">
      <c r="A41" s="198" t="s">
        <v>967</v>
      </c>
      <c r="B41" s="70" t="s">
        <v>1085</v>
      </c>
      <c r="C41" s="70">
        <v>2</v>
      </c>
      <c r="D41" s="16"/>
      <c r="E41" s="226" t="s">
        <v>2119</v>
      </c>
      <c r="F41" s="227">
        <v>43769</v>
      </c>
      <c r="G41" s="226" t="s">
        <v>598</v>
      </c>
      <c r="H41" s="226" t="s">
        <v>2120</v>
      </c>
    </row>
    <row r="42" spans="1:12" ht="30" x14ac:dyDescent="0.25">
      <c r="A42" s="198" t="s">
        <v>974</v>
      </c>
      <c r="B42" s="70" t="s">
        <v>1086</v>
      </c>
      <c r="C42" s="70">
        <v>3</v>
      </c>
      <c r="D42" s="16"/>
      <c r="E42" s="226" t="s">
        <v>2121</v>
      </c>
      <c r="F42" s="227">
        <v>43781</v>
      </c>
      <c r="G42" s="226" t="s">
        <v>598</v>
      </c>
      <c r="H42" s="226" t="s">
        <v>2122</v>
      </c>
    </row>
    <row r="43" spans="1:12" ht="30.75" thickBot="1" x14ac:dyDescent="0.3">
      <c r="A43" s="189" t="s">
        <v>1026</v>
      </c>
      <c r="B43" s="70" t="s">
        <v>1087</v>
      </c>
      <c r="C43" s="70">
        <v>4</v>
      </c>
      <c r="D43" s="16"/>
      <c r="E43" s="329" t="s">
        <v>852</v>
      </c>
      <c r="F43" s="329"/>
      <c r="G43" s="329"/>
      <c r="H43" s="329"/>
    </row>
    <row r="44" spans="1:12" ht="30" x14ac:dyDescent="0.25">
      <c r="A44" s="198" t="s">
        <v>1034</v>
      </c>
      <c r="B44" s="70" t="s">
        <v>1088</v>
      </c>
      <c r="C44" s="70">
        <v>3</v>
      </c>
      <c r="D44" s="225"/>
      <c r="E44" s="180" t="s">
        <v>20</v>
      </c>
      <c r="F44" s="180" t="s">
        <v>847</v>
      </c>
      <c r="G44" s="190" t="s">
        <v>848</v>
      </c>
      <c r="H44" s="180" t="s">
        <v>597</v>
      </c>
    </row>
    <row r="45" spans="1:12" x14ac:dyDescent="0.25">
      <c r="D45" s="225"/>
      <c r="E45" s="221">
        <v>42943</v>
      </c>
      <c r="F45" s="211" t="s">
        <v>850</v>
      </c>
      <c r="G45" s="211" t="s">
        <v>849</v>
      </c>
      <c r="H45" s="211" t="s">
        <v>1256</v>
      </c>
    </row>
    <row r="46" spans="1:12" ht="34.5" customHeight="1" x14ac:dyDescent="0.25">
      <c r="A46" s="318"/>
      <c r="B46" s="318"/>
      <c r="C46" s="318"/>
      <c r="D46" s="225"/>
      <c r="E46" s="221">
        <v>43344</v>
      </c>
      <c r="F46" s="245" t="s">
        <v>849</v>
      </c>
      <c r="G46" s="246" t="s">
        <v>849</v>
      </c>
      <c r="H46" s="245" t="s">
        <v>1257</v>
      </c>
    </row>
    <row r="47" spans="1:12" s="318" customFormat="1" x14ac:dyDescent="0.25">
      <c r="E47" s="221">
        <v>43509</v>
      </c>
      <c r="F47" s="307" t="s">
        <v>850</v>
      </c>
      <c r="G47" s="222" t="s">
        <v>850</v>
      </c>
      <c r="H47" s="307" t="s">
        <v>2104</v>
      </c>
    </row>
    <row r="48" spans="1:12" ht="39.950000000000003" customHeight="1" thickBot="1" x14ac:dyDescent="0.35">
      <c r="A48" s="323" t="s">
        <v>1265</v>
      </c>
      <c r="B48" s="323"/>
      <c r="C48" s="323"/>
      <c r="E48" s="221">
        <v>43512</v>
      </c>
      <c r="F48" s="304" t="s">
        <v>850</v>
      </c>
      <c r="G48" s="222" t="s">
        <v>850</v>
      </c>
      <c r="H48" s="304" t="s">
        <v>2102</v>
      </c>
    </row>
    <row r="49" spans="1:8" ht="30.75" thickTop="1" x14ac:dyDescent="0.25">
      <c r="A49" s="19" t="s">
        <v>1258</v>
      </c>
      <c r="B49" s="19" t="s">
        <v>597</v>
      </c>
      <c r="C49" s="19" t="s">
        <v>924</v>
      </c>
      <c r="E49" s="221">
        <v>43512</v>
      </c>
      <c r="F49" s="304" t="s">
        <v>850</v>
      </c>
      <c r="G49" s="312" t="s">
        <v>850</v>
      </c>
      <c r="H49" s="304" t="s">
        <v>2103</v>
      </c>
    </row>
    <row r="50" spans="1:8" ht="30" x14ac:dyDescent="0.25">
      <c r="A50" s="254" t="s">
        <v>1259</v>
      </c>
      <c r="B50" s="184" t="s">
        <v>1261</v>
      </c>
      <c r="C50" s="253" t="s">
        <v>1260</v>
      </c>
      <c r="E50" s="221"/>
      <c r="F50" s="319"/>
      <c r="G50" s="312"/>
      <c r="H50" s="319"/>
    </row>
    <row r="51" spans="1:8" ht="90" x14ac:dyDescent="0.25">
      <c r="A51" s="255" t="s">
        <v>1262</v>
      </c>
      <c r="B51" s="248" t="s">
        <v>1263</v>
      </c>
      <c r="C51" s="253" t="s">
        <v>1264</v>
      </c>
    </row>
  </sheetData>
  <sheetProtection algorithmName="SHA-512" hashValue="uN1p+iolosJR/e+PB/MDFHsTibyOsq/8VFEhAlNHgsq2coi0xZlRZUIJB3qZInHIln0UIhGp4OBunMWiQW62rw==" saltValue="tAqt7c7SoZeIQ7P7cLGVTg==" spinCount="100000" sheet="1" objects="1" scenarios="1" formatCells="0" formatColumns="0" formatRows="0" sort="0" autoFilter="0"/>
  <mergeCells count="14">
    <mergeCell ref="A48:C48"/>
    <mergeCell ref="A35:C35"/>
    <mergeCell ref="F1:H1"/>
    <mergeCell ref="F3:H3"/>
    <mergeCell ref="E43:H43"/>
    <mergeCell ref="A5:B6"/>
    <mergeCell ref="A24:B24"/>
    <mergeCell ref="F5:H7"/>
    <mergeCell ref="F9:H14"/>
    <mergeCell ref="F16:H25"/>
    <mergeCell ref="A29:B29"/>
    <mergeCell ref="A17:B17"/>
    <mergeCell ref="E27:H27"/>
    <mergeCell ref="F2:H2"/>
  </mergeCells>
  <conditionalFormatting sqref="F45:G50">
    <cfRule type="cellIs" dxfId="75" priority="10" stopIfTrue="1" operator="equal">
      <formula>textHigh</formula>
    </cfRule>
    <cfRule type="cellIs" dxfId="74" priority="13" stopIfTrue="1" operator="equal">
      <formula>textMedium</formula>
    </cfRule>
    <cfRule type="cellIs" dxfId="73" priority="14" stopIfTrue="1" operator="equal">
      <formula>textLow</formula>
    </cfRule>
  </conditionalFormatting>
  <conditionalFormatting sqref="A18">
    <cfRule type="expression" dxfId="72" priority="2">
      <formula>$B$18=0</formula>
    </cfRule>
  </conditionalFormatting>
  <conditionalFormatting sqref="A19">
    <cfRule type="expression" dxfId="71" priority="1">
      <formula>$B$19=0</formula>
    </cfRule>
  </conditionalFormatting>
  <dataValidations count="2">
    <dataValidation type="list" allowBlank="1" showInputMessage="1" showErrorMessage="1" sqref="F45:G50" xr:uid="{00000000-0002-0000-0000-000000000000}">
      <formula1>lowMedHigh</formula1>
    </dataValidation>
    <dataValidation type="list" allowBlank="1" showInputMessage="1" showErrorMessage="1" sqref="B22" xr:uid="{00000000-0002-0000-0000-000001000000}">
      <formula1>JustYesNo</formula1>
    </dataValidation>
  </dataValidations>
  <hyperlinks>
    <hyperlink ref="B30" r:id="rId1" xr:uid="{00000000-0004-0000-0000-000000000000}"/>
    <hyperlink ref="B31" r:id="rId2" xr:uid="{00000000-0004-0000-0000-000001000000}"/>
    <hyperlink ref="B25" r:id="rId3" display="www.watkinsconsulting.com" xr:uid="{00000000-0004-0000-0000-000002000000}"/>
    <hyperlink ref="J3" location="disclaimer" display="disclaimer" xr:uid="{00000000-0004-0000-0000-000003000000}"/>
    <hyperlink ref="B32" r:id="rId4" xr:uid="{00000000-0004-0000-0000-000004000000}"/>
    <hyperlink ref="J2" location="workbookInfo" display="Workbook Information" xr:uid="{00000000-0004-0000-0000-000005000000}"/>
    <hyperlink ref="B34" r:id="rId5" xr:uid="{00000000-0004-0000-0000-000006000000}"/>
    <hyperlink ref="B33" r:id="rId6" xr:uid="{00000000-0004-0000-0000-000007000000}"/>
    <hyperlink ref="A50" r:id="rId7" xr:uid="{00000000-0004-0000-0000-000008000000}"/>
    <hyperlink ref="A51" r:id="rId8" xr:uid="{00000000-0004-0000-0000-000009000000}"/>
    <hyperlink ref="C50" r:id="rId9" xr:uid="{00000000-0004-0000-0000-00000A000000}"/>
    <hyperlink ref="C51" r:id="rId10" xr:uid="{00000000-0004-0000-0000-00000B000000}"/>
  </hyperlinks>
  <pageMargins left="0.25" right="0.25" top="0.75" bottom="0.75" header="0.3" footer="0.3"/>
  <pageSetup scale="52" orientation="landscape" r:id="rId11"/>
  <headerFooter>
    <oddFooter>&amp;F</oddFooter>
  </headerFooter>
  <tableParts count="3">
    <tablePart r:id="rId12"/>
    <tablePart r:id="rId13"/>
    <tablePart r:id="rId1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theme="4" tint="0.39997558519241921"/>
  </sheetPr>
  <dimension ref="A1:K25"/>
  <sheetViews>
    <sheetView workbookViewId="0">
      <selection activeCell="D8" sqref="D8"/>
    </sheetView>
  </sheetViews>
  <sheetFormatPr defaultRowHeight="15" x14ac:dyDescent="0.25"/>
  <cols>
    <col min="1" max="1" width="21.7109375" bestFit="1" customWidth="1"/>
    <col min="3" max="3" width="19" bestFit="1" customWidth="1"/>
    <col min="4" max="4" width="64.5703125" bestFit="1" customWidth="1"/>
    <col min="8" max="8" width="21.5703125" bestFit="1" customWidth="1"/>
  </cols>
  <sheetData>
    <row r="1" spans="1:11" s="249" customFormat="1" ht="20.100000000000001" customHeight="1" x14ac:dyDescent="0.25">
      <c r="A1" s="6" t="str">
        <f>HYPERLINK(websiteHTTP&amp;webSiteURL,"Watkins Consulting")</f>
        <v>Watkins Consulting</v>
      </c>
      <c r="B1" s="132"/>
      <c r="C1" s="132"/>
      <c r="D1" s="133" t="str">
        <f>IF(firmName&gt;0,firmName,"")</f>
        <v/>
      </c>
      <c r="E1" s="132"/>
      <c r="F1" s="132"/>
      <c r="G1" s="132"/>
      <c r="H1" s="8" t="str">
        <f>HYPERLINK(websiteHTTP&amp;webSiteURL&amp;userManualrURL,"User Manual")</f>
        <v>User Manual</v>
      </c>
    </row>
    <row r="2" spans="1:11" s="249" customFormat="1" ht="20.100000000000001" customHeight="1" x14ac:dyDescent="0.25">
      <c r="A2" s="256" t="str">
        <f ca="1">workbookVersionLabel</f>
        <v xml:space="preserve"> Excel Workbook Version: 3.4.2</v>
      </c>
      <c r="B2" s="132"/>
      <c r="C2" s="132"/>
      <c r="D2" s="133" t="str">
        <f>Information</f>
        <v>FFIEC Cybersecurity Assessment Tool (May 2017)</v>
      </c>
      <c r="E2" s="133"/>
      <c r="F2" s="133"/>
      <c r="G2" s="133"/>
      <c r="H2" s="8" t="s">
        <v>1094</v>
      </c>
    </row>
    <row r="3" spans="1:11" s="249" customFormat="1" ht="20.100000000000001" customHeight="1" thickBot="1" x14ac:dyDescent="0.3">
      <c r="A3" s="139" t="str">
        <f ca="1">MID(CELL("filename",A1),FIND("]",CELL("filename",A1))+1,256)</f>
        <v>TOC</v>
      </c>
      <c r="B3" s="140"/>
      <c r="C3" s="140"/>
      <c r="D3" s="142" t="str">
        <f>IF(assessmentDate&gt;0,assessmentDate,"")</f>
        <v/>
      </c>
      <c r="E3" s="140"/>
      <c r="F3" s="140"/>
      <c r="G3" s="140"/>
      <c r="H3" s="155" t="s">
        <v>620</v>
      </c>
    </row>
    <row r="4" spans="1:11" ht="15.75" thickTop="1" x14ac:dyDescent="0.25"/>
    <row r="5" spans="1:11" ht="24" thickBot="1" x14ac:dyDescent="0.4">
      <c r="C5" s="381" t="s">
        <v>1266</v>
      </c>
      <c r="D5" s="381"/>
      <c r="E5" s="10"/>
      <c r="F5" s="10"/>
    </row>
    <row r="6" spans="1:11" s="249" customFormat="1" ht="21.75" thickTop="1" x14ac:dyDescent="0.35">
      <c r="C6" s="259" t="s">
        <v>1268</v>
      </c>
      <c r="D6" s="264" t="str">
        <f ca="1">HYPERLINK("#displayNN",'Risk-Maturity Summary'!A3)</f>
        <v>Risk-Maturity Summary</v>
      </c>
      <c r="E6" s="179" t="s">
        <v>2091</v>
      </c>
      <c r="F6" s="247"/>
      <c r="H6" s="258"/>
    </row>
    <row r="7" spans="1:11" ht="21" customHeight="1" x14ac:dyDescent="0.3">
      <c r="C7" s="382" t="s">
        <v>1267</v>
      </c>
      <c r="D7" s="260" t="str">
        <f ca="1">HYPERLINK("#inherentRisk",'Risk Rollup'!A3)</f>
        <v>Risk Rollup</v>
      </c>
      <c r="E7" s="179" t="s">
        <v>2092</v>
      </c>
      <c r="F7" s="10"/>
    </row>
    <row r="8" spans="1:11" ht="21" customHeight="1" x14ac:dyDescent="0.3">
      <c r="C8" s="382"/>
      <c r="D8" s="261" t="str">
        <f ca="1">HYPERLINK("#"&amp;"'Technology and Connection Types'!C9",'Technology and Connection Types'!A3)</f>
        <v>Technology and Connection Types</v>
      </c>
      <c r="E8" s="179"/>
      <c r="F8" s="10"/>
    </row>
    <row r="9" spans="1:11" ht="21" customHeight="1" x14ac:dyDescent="0.3">
      <c r="C9" s="382"/>
      <c r="D9" s="261" t="str">
        <f ca="1">HYPERLINK("#"&amp;"'Delivery Channels'!C9",'Delivery Channels'!A3)</f>
        <v>Delivery Channels</v>
      </c>
      <c r="E9" s="179"/>
      <c r="F9" s="10"/>
    </row>
    <row r="10" spans="1:11" ht="21" customHeight="1" x14ac:dyDescent="0.3">
      <c r="C10" s="382"/>
      <c r="D10" s="261" t="str">
        <f ca="1">HYPERLINK("#"&amp;"'Online, Mobile and Services'!C9",'Online, Mobile and Services'!A3)</f>
        <v>Online, Mobile and Services</v>
      </c>
      <c r="E10" s="179"/>
      <c r="F10" s="10"/>
      <c r="K10" s="305"/>
    </row>
    <row r="11" spans="1:11" ht="21" customHeight="1" x14ac:dyDescent="0.3">
      <c r="C11" s="382"/>
      <c r="D11" s="261" t="str">
        <f ca="1">HYPERLINK("#"&amp;"'Organizational Characteristics'!C9",'Organizational Characteristics'!A3)</f>
        <v>Organizational Characteristics</v>
      </c>
      <c r="E11" s="179"/>
      <c r="F11" s="10"/>
      <c r="K11" s="305"/>
    </row>
    <row r="12" spans="1:11" ht="21" customHeight="1" x14ac:dyDescent="0.3">
      <c r="C12" s="382"/>
      <c r="D12" s="261" t="str">
        <f ca="1">HYPERLINK("#"&amp;"'External Threats'!C9",'External Threats'!A3)</f>
        <v>External Threats</v>
      </c>
      <c r="E12" s="179"/>
      <c r="F12" s="10"/>
    </row>
    <row r="13" spans="1:11" ht="21" customHeight="1" x14ac:dyDescent="0.3">
      <c r="C13" s="382" t="s">
        <v>1269</v>
      </c>
      <c r="D13" s="262" t="str">
        <f ca="1">HYPERLINK("#"&amp;"'Maturity Summary'!A3",'Maturity Summary'!A3)</f>
        <v>Maturity Summary</v>
      </c>
      <c r="E13" s="179" t="s">
        <v>2093</v>
      </c>
      <c r="F13" s="10"/>
    </row>
    <row r="14" spans="1:11" ht="21" customHeight="1" x14ac:dyDescent="0.3">
      <c r="C14" s="382"/>
      <c r="D14" s="262" t="str">
        <f ca="1">HYPERLINK("#"&amp;"'Maturity Roll Up'!A3",'Maturity Roll Up'!A3)</f>
        <v>Maturity Roll Up</v>
      </c>
      <c r="E14" s="4" t="s">
        <v>2094</v>
      </c>
    </row>
    <row r="15" spans="1:11" ht="21" customHeight="1" x14ac:dyDescent="0.3">
      <c r="C15" s="382"/>
      <c r="D15" s="263" t="str">
        <f ca="1">HYPERLINK("#"&amp;"'Risk Management and Oversight'!D9",'Risk Management and Oversight'!A3)</f>
        <v>Risk Management and Oversight</v>
      </c>
      <c r="E15" s="4"/>
    </row>
    <row r="16" spans="1:11" ht="21" customHeight="1" x14ac:dyDescent="0.3">
      <c r="C16" s="382"/>
      <c r="D16" s="263" t="str">
        <f ca="1">HYPERLINK("#"&amp;"'Threat Intel and Collaboration'!D9",'Threat Intel and Collaboration'!A3)</f>
        <v>Threat Intel and Collaboration</v>
      </c>
      <c r="E16" s="4"/>
    </row>
    <row r="17" spans="3:5" ht="21" customHeight="1" x14ac:dyDescent="0.3">
      <c r="C17" s="382"/>
      <c r="D17" s="263" t="str">
        <f ca="1">HYPERLINK("#"&amp;"'Cybersecurity Controls'!D9",'Cybersecurity Controls'!A3)</f>
        <v>Cybersecurity Controls</v>
      </c>
      <c r="E17" s="4"/>
    </row>
    <row r="18" spans="3:5" ht="21" customHeight="1" x14ac:dyDescent="0.3">
      <c r="C18" s="382"/>
      <c r="D18" s="263" t="str">
        <f ca="1">HYPERLINK("#"&amp;"'External Dependency'!D9",'External Dependency'!A3)</f>
        <v>External Dependency</v>
      </c>
      <c r="E18" s="4"/>
    </row>
    <row r="19" spans="3:5" ht="21" customHeight="1" x14ac:dyDescent="0.3">
      <c r="C19" s="382"/>
      <c r="D19" s="263" t="str">
        <f ca="1">HYPERLINK("#"&amp;"'Cyber Incidence'!D9",'Cyber Incidence'!A3)</f>
        <v>Cyber Incidence</v>
      </c>
      <c r="E19" s="4"/>
    </row>
    <row r="20" spans="3:5" ht="18.75" x14ac:dyDescent="0.3">
      <c r="C20" s="382" t="s">
        <v>1270</v>
      </c>
      <c r="D20" s="265" t="str">
        <f ca="1">HYPERLINK("#"&amp;"firmName",Information!A3)</f>
        <v>Information</v>
      </c>
      <c r="E20" s="4" t="s">
        <v>2095</v>
      </c>
    </row>
    <row r="21" spans="3:5" ht="18.75" x14ac:dyDescent="0.3">
      <c r="C21" s="382"/>
      <c r="D21" s="265" t="str">
        <f ca="1">HYPERLINK("#"&amp;"Log!A3",Log!A3)</f>
        <v>Log</v>
      </c>
      <c r="E21" s="4" t="s">
        <v>2096</v>
      </c>
    </row>
    <row r="22" spans="3:5" ht="18.75" x14ac:dyDescent="0.3">
      <c r="C22" s="382"/>
      <c r="D22" s="265" t="str">
        <f ca="1">HYPERLINK("#"&amp;"c7",A3)</f>
        <v>TOC</v>
      </c>
      <c r="E22" s="4" t="s">
        <v>2097</v>
      </c>
    </row>
    <row r="23" spans="3:5" ht="21" x14ac:dyDescent="0.3">
      <c r="C23" s="311" t="s">
        <v>894</v>
      </c>
      <c r="D23" s="309" t="str">
        <f ca="1">HYPERLINK("#"&amp;"'Appendix A'!A3",'Appendix A'!A3)</f>
        <v>Appendix A</v>
      </c>
      <c r="E23" s="4" t="s">
        <v>2100</v>
      </c>
    </row>
    <row r="24" spans="3:5" ht="18.75" x14ac:dyDescent="0.3">
      <c r="C24" s="383" t="s">
        <v>2090</v>
      </c>
      <c r="D24" s="310" t="str">
        <f ca="1">HYPERLINK("#"&amp;"'Pivot Reports'!A3",'Pivot Reports'!A3)</f>
        <v>Pivot Reports</v>
      </c>
      <c r="E24" s="4" t="s">
        <v>2098</v>
      </c>
    </row>
    <row r="25" spans="3:5" ht="18.75" x14ac:dyDescent="0.3">
      <c r="C25" s="383"/>
      <c r="D25" s="310" t="str">
        <f ca="1">HYPERLINK("#"&amp;"'Table Roll Up'!A3",'Table Roll Up'!A3)</f>
        <v>Table Roll Up</v>
      </c>
      <c r="E25" s="4" t="s">
        <v>2099</v>
      </c>
    </row>
  </sheetData>
  <sheetProtection algorithmName="SHA-512" hashValue="3Iu5RZ9fhDEMKBIQcPfz1mKM8eFLK8p/M/spOpd+1qLQW04dsVdsnXI0NHfU2wUHN6RgOTmL5BdHexhbuEtcaQ==" saltValue="MWKgQzIPMfU+ZtDl5DpqIg==" spinCount="100000" sheet="1" objects="1" scenarios="1" formatColumns="0"/>
  <mergeCells count="5">
    <mergeCell ref="C5:D5"/>
    <mergeCell ref="C7:C12"/>
    <mergeCell ref="C13:C19"/>
    <mergeCell ref="C20:C22"/>
    <mergeCell ref="C24:C25"/>
  </mergeCells>
  <hyperlinks>
    <hyperlink ref="H3" location="disclaimer" display="disclaimer" xr:uid="{00000000-0004-0000-0900-000000000000}"/>
    <hyperlink ref="H2" location="workbookInfo" display="Workbook Information" xr:uid="{00000000-0004-0000-09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C05047"/>
    <pageSetUpPr fitToPage="1"/>
  </sheetPr>
  <dimension ref="A1:J41"/>
  <sheetViews>
    <sheetView workbookViewId="0">
      <pane ySplit="5" topLeftCell="A6" activePane="bottomLeft" state="frozen"/>
      <selection pane="bottomLeft" activeCell="A4" sqref="A4"/>
    </sheetView>
  </sheetViews>
  <sheetFormatPr defaultRowHeight="15" x14ac:dyDescent="0.25"/>
  <cols>
    <col min="1" max="1" width="12.7109375" style="99" customWidth="1"/>
    <col min="2" max="3" width="25.7109375" customWidth="1"/>
    <col min="4" max="9" width="15.7109375" customWidth="1"/>
    <col min="10" max="10" width="19" customWidth="1"/>
  </cols>
  <sheetData>
    <row r="1" spans="1:10" s="112" customFormat="1" ht="20.100000000000001" customHeight="1" x14ac:dyDescent="0.25">
      <c r="A1" s="6" t="str">
        <f>HYPERLINK(websiteHTTP&amp;webSiteURL,"Watkins Consulting")</f>
        <v>Watkins Consulting</v>
      </c>
      <c r="B1" s="132"/>
      <c r="C1" s="132"/>
      <c r="D1" s="132"/>
      <c r="E1" s="136" t="str">
        <f>IF(firmName&gt;0,firmName,"")</f>
        <v/>
      </c>
      <c r="F1" s="132"/>
      <c r="G1" s="132"/>
      <c r="H1" s="132"/>
      <c r="I1" s="132"/>
      <c r="J1" s="272" t="str">
        <f>HYPERLINK(websiteHTTP&amp;webSiteURL&amp;userManualrURL,"User Manual")</f>
        <v>User Manual</v>
      </c>
    </row>
    <row r="2" spans="1:10" s="112" customFormat="1" ht="20.100000000000001" customHeight="1" x14ac:dyDescent="0.25">
      <c r="A2" s="256" t="str">
        <f ca="1">workbookVersionLabel</f>
        <v xml:space="preserve"> Excel Workbook Version: 3.4.2</v>
      </c>
      <c r="B2" s="132"/>
      <c r="C2" s="132"/>
      <c r="D2" s="132"/>
      <c r="E2" s="133" t="str">
        <f>Information</f>
        <v>FFIEC Cybersecurity Assessment Tool (May 2017)</v>
      </c>
      <c r="F2" s="137"/>
      <c r="G2" s="137"/>
      <c r="H2" s="137"/>
      <c r="I2" s="137"/>
      <c r="J2" s="272" t="s">
        <v>1094</v>
      </c>
    </row>
    <row r="3" spans="1:10" s="112" customFormat="1" ht="20.100000000000001" customHeight="1" thickBot="1" x14ac:dyDescent="0.3">
      <c r="A3" s="139" t="str">
        <f ca="1">MID(CELL("filename",A1),FIND("]",CELL("filename",A1))+1,256)</f>
        <v>Maturity Summary</v>
      </c>
      <c r="B3" s="140"/>
      <c r="C3" s="140"/>
      <c r="D3" s="141"/>
      <c r="E3" s="142" t="str">
        <f>IF(assessmentDate&gt;0,assessmentDate,"")</f>
        <v/>
      </c>
      <c r="F3" s="141"/>
      <c r="G3" s="141"/>
      <c r="H3" s="141"/>
      <c r="I3" s="141"/>
      <c r="J3" s="273" t="s">
        <v>620</v>
      </c>
    </row>
    <row r="4" spans="1:10" s="94" customFormat="1" ht="15.75" thickTop="1" x14ac:dyDescent="0.25">
      <c r="A4" s="99"/>
      <c r="B4" s="128"/>
      <c r="C4" s="130"/>
      <c r="D4" s="130"/>
      <c r="F4" s="108"/>
      <c r="G4" s="108"/>
      <c r="H4" s="128"/>
      <c r="I4" s="129"/>
    </row>
    <row r="5" spans="1:10" ht="35.25" thickBot="1" x14ac:dyDescent="0.3">
      <c r="A5" s="100" t="s">
        <v>24</v>
      </c>
      <c r="B5" s="97" t="s">
        <v>25</v>
      </c>
      <c r="C5" s="97" t="s">
        <v>26</v>
      </c>
      <c r="D5" s="97" t="s">
        <v>27</v>
      </c>
      <c r="E5" s="97" t="s">
        <v>28</v>
      </c>
      <c r="F5" s="97" t="s">
        <v>29</v>
      </c>
      <c r="G5" s="97" t="s">
        <v>30</v>
      </c>
      <c r="H5" s="97" t="s">
        <v>31</v>
      </c>
      <c r="I5" s="97" t="s">
        <v>32</v>
      </c>
      <c r="J5" s="100" t="s">
        <v>33</v>
      </c>
    </row>
    <row r="6" spans="1:10" ht="27.95" customHeight="1" thickTop="1" x14ac:dyDescent="0.25">
      <c r="A6" s="387" t="s">
        <v>214</v>
      </c>
      <c r="B6" s="397" t="s">
        <v>34</v>
      </c>
      <c r="C6" s="113" t="s">
        <v>35</v>
      </c>
      <c r="D6" s="95">
        <f>'Maturity Roll Up'!D6</f>
        <v>0</v>
      </c>
      <c r="E6" s="95">
        <f>'Maturity Roll Up'!E6</f>
        <v>0</v>
      </c>
      <c r="F6" s="95">
        <f>'Maturity Roll Up'!F6</f>
        <v>0</v>
      </c>
      <c r="G6" s="95">
        <f>'Maturity Roll Up'!G6</f>
        <v>0</v>
      </c>
      <c r="H6" s="95">
        <f>'Maturity Roll Up'!H6</f>
        <v>0</v>
      </c>
      <c r="I6" s="146" t="str">
        <f>'Maturity Roll Up'!I6</f>
        <v>---</v>
      </c>
      <c r="J6" s="98" t="str">
        <f>riskMaturity</f>
        <v>---</v>
      </c>
    </row>
    <row r="7" spans="1:10" ht="27.95" customHeight="1" x14ac:dyDescent="0.25">
      <c r="A7" s="388"/>
      <c r="B7" s="394"/>
      <c r="C7" s="122" t="s">
        <v>36</v>
      </c>
      <c r="D7" s="96">
        <f>'Maturity Roll Up'!D7</f>
        <v>0</v>
      </c>
      <c r="E7" s="96">
        <f>'Maturity Roll Up'!E7</f>
        <v>0</v>
      </c>
      <c r="F7" s="96">
        <f>'Maturity Roll Up'!F7</f>
        <v>0</v>
      </c>
      <c r="G7" s="96">
        <f>'Maturity Roll Up'!G7</f>
        <v>0</v>
      </c>
      <c r="H7" s="96">
        <f>'Maturity Roll Up'!H7</f>
        <v>0</v>
      </c>
      <c r="I7" s="147" t="str">
        <f>'Maturity Roll Up'!I7</f>
        <v>---</v>
      </c>
      <c r="J7" s="99"/>
    </row>
    <row r="8" spans="1:10" ht="27.95" customHeight="1" x14ac:dyDescent="0.25">
      <c r="A8" s="388"/>
      <c r="B8" s="395"/>
      <c r="C8" s="115" t="s">
        <v>610</v>
      </c>
      <c r="D8" s="104">
        <f>'Maturity Roll Up'!D8</f>
        <v>0</v>
      </c>
      <c r="E8" s="104">
        <f>'Maturity Roll Up'!E8</f>
        <v>0</v>
      </c>
      <c r="F8" s="104">
        <f>'Maturity Roll Up'!F8</f>
        <v>0</v>
      </c>
      <c r="G8" s="104">
        <f>'Maturity Roll Up'!G8</f>
        <v>0</v>
      </c>
      <c r="H8" s="104">
        <f>'Maturity Roll Up'!H8</f>
        <v>0</v>
      </c>
      <c r="I8" s="148" t="str">
        <f>'Maturity Roll Up'!I8</f>
        <v>---</v>
      </c>
      <c r="J8" s="99"/>
    </row>
    <row r="9" spans="1:10" ht="27.95" customHeight="1" x14ac:dyDescent="0.25">
      <c r="A9" s="388"/>
      <c r="B9" s="394" t="s">
        <v>37</v>
      </c>
      <c r="C9" s="122" t="s">
        <v>38</v>
      </c>
      <c r="D9" s="96">
        <f>'Maturity Roll Up'!D9</f>
        <v>0</v>
      </c>
      <c r="E9" s="96">
        <f>'Maturity Roll Up'!E9</f>
        <v>0</v>
      </c>
      <c r="F9" s="96">
        <f>'Maturity Roll Up'!F9</f>
        <v>0</v>
      </c>
      <c r="G9" s="96">
        <f>'Maturity Roll Up'!G9</f>
        <v>0</v>
      </c>
      <c r="H9" s="96">
        <f>'Maturity Roll Up'!H9</f>
        <v>0</v>
      </c>
      <c r="I9" s="147" t="str">
        <f>'Maturity Roll Up'!I9</f>
        <v>---</v>
      </c>
      <c r="J9" s="99"/>
    </row>
    <row r="10" spans="1:10" ht="27.95" customHeight="1" x14ac:dyDescent="0.25">
      <c r="A10" s="388"/>
      <c r="B10" s="394"/>
      <c r="C10" s="114" t="s">
        <v>39</v>
      </c>
      <c r="D10" s="96">
        <f>'Maturity Roll Up'!D10</f>
        <v>0</v>
      </c>
      <c r="E10" s="96">
        <f>'Maturity Roll Up'!E10</f>
        <v>0</v>
      </c>
      <c r="F10" s="96">
        <f>'Maturity Roll Up'!F10</f>
        <v>0</v>
      </c>
      <c r="G10" s="96">
        <f>'Maturity Roll Up'!G10</f>
        <v>0</v>
      </c>
      <c r="H10" s="96">
        <f>'Maturity Roll Up'!H10</f>
        <v>0</v>
      </c>
      <c r="I10" s="147" t="str">
        <f>'Maturity Roll Up'!I10</f>
        <v>---</v>
      </c>
      <c r="J10" s="99"/>
    </row>
    <row r="11" spans="1:10" ht="27.95" customHeight="1" x14ac:dyDescent="0.25">
      <c r="A11" s="388"/>
      <c r="B11" s="395"/>
      <c r="C11" s="123" t="s">
        <v>40</v>
      </c>
      <c r="D11" s="104">
        <f>'Maturity Roll Up'!D11</f>
        <v>0</v>
      </c>
      <c r="E11" s="104">
        <f>'Maturity Roll Up'!E11</f>
        <v>0</v>
      </c>
      <c r="F11" s="104">
        <f>'Maturity Roll Up'!F11</f>
        <v>0</v>
      </c>
      <c r="G11" s="104">
        <f>'Maturity Roll Up'!G11</f>
        <v>0</v>
      </c>
      <c r="H11" s="104">
        <f>'Maturity Roll Up'!H11</f>
        <v>0</v>
      </c>
      <c r="I11" s="148" t="str">
        <f>'Maturity Roll Up'!I11</f>
        <v>---</v>
      </c>
      <c r="J11" s="99"/>
    </row>
    <row r="12" spans="1:10" ht="27.95" customHeight="1" x14ac:dyDescent="0.25">
      <c r="A12" s="388"/>
      <c r="B12" s="116" t="s">
        <v>41</v>
      </c>
      <c r="C12" s="116" t="s">
        <v>42</v>
      </c>
      <c r="D12" s="105">
        <f>'Maturity Roll Up'!D12</f>
        <v>0</v>
      </c>
      <c r="E12" s="105">
        <f>'Maturity Roll Up'!E12</f>
        <v>0</v>
      </c>
      <c r="F12" s="105">
        <f>'Maturity Roll Up'!F12</f>
        <v>0</v>
      </c>
      <c r="G12" s="105">
        <f>'Maturity Roll Up'!G12</f>
        <v>0</v>
      </c>
      <c r="H12" s="105">
        <f>'Maturity Roll Up'!H12</f>
        <v>0</v>
      </c>
      <c r="I12" s="149" t="str">
        <f>'Maturity Roll Up'!I12</f>
        <v>---</v>
      </c>
      <c r="J12" s="99"/>
    </row>
    <row r="13" spans="1:10" ht="27.95" customHeight="1" x14ac:dyDescent="0.25">
      <c r="A13" s="388"/>
      <c r="B13" s="394" t="s">
        <v>43</v>
      </c>
      <c r="C13" s="122" t="s">
        <v>44</v>
      </c>
      <c r="D13" s="96">
        <f>'Maturity Roll Up'!D13</f>
        <v>0</v>
      </c>
      <c r="E13" s="96">
        <f>'Maturity Roll Up'!E13</f>
        <v>0</v>
      </c>
      <c r="F13" s="96">
        <f>'Maturity Roll Up'!F13</f>
        <v>0</v>
      </c>
      <c r="G13" s="96">
        <f>'Maturity Roll Up'!G13</f>
        <v>0</v>
      </c>
      <c r="H13" s="96">
        <f>'Maturity Roll Up'!H13</f>
        <v>0</v>
      </c>
      <c r="I13" s="147" t="str">
        <f>'Maturity Roll Up'!I13</f>
        <v>---</v>
      </c>
      <c r="J13" s="99"/>
    </row>
    <row r="14" spans="1:10" ht="27.95" customHeight="1" thickBot="1" x14ac:dyDescent="0.3">
      <c r="A14" s="389"/>
      <c r="B14" s="396"/>
      <c r="C14" s="117" t="s">
        <v>45</v>
      </c>
      <c r="D14" s="102">
        <f>'Maturity Roll Up'!D14</f>
        <v>0</v>
      </c>
      <c r="E14" s="102">
        <f>'Maturity Roll Up'!E14</f>
        <v>0</v>
      </c>
      <c r="F14" s="102">
        <f>'Maturity Roll Up'!F14</f>
        <v>0</v>
      </c>
      <c r="G14" s="102">
        <f>'Maturity Roll Up'!G14</f>
        <v>0</v>
      </c>
      <c r="H14" s="102">
        <f>'Maturity Roll Up'!H14</f>
        <v>0</v>
      </c>
      <c r="I14" s="150" t="str">
        <f>'Maturity Roll Up'!I14</f>
        <v>---</v>
      </c>
      <c r="J14" s="99"/>
    </row>
    <row r="15" spans="1:10" ht="27.95" customHeight="1" thickTop="1" x14ac:dyDescent="0.25">
      <c r="A15" s="390" t="s">
        <v>210</v>
      </c>
      <c r="B15" s="118" t="s">
        <v>191</v>
      </c>
      <c r="C15" s="118" t="s">
        <v>611</v>
      </c>
      <c r="D15" s="106">
        <f>'Maturity Roll Up'!D16</f>
        <v>0</v>
      </c>
      <c r="E15" s="106">
        <f>'Maturity Roll Up'!E16</f>
        <v>0</v>
      </c>
      <c r="F15" s="106">
        <f>'Maturity Roll Up'!F16</f>
        <v>0</v>
      </c>
      <c r="G15" s="106">
        <f>'Maturity Roll Up'!G16</f>
        <v>0</v>
      </c>
      <c r="H15" s="106">
        <f>'Maturity Roll Up'!H16</f>
        <v>0</v>
      </c>
      <c r="I15" s="151" t="str">
        <f>'Maturity Roll Up'!I16</f>
        <v>---</v>
      </c>
      <c r="J15" s="98" t="str">
        <f>intelMaturity</f>
        <v>---</v>
      </c>
    </row>
    <row r="16" spans="1:10" ht="27.95" customHeight="1" x14ac:dyDescent="0.25">
      <c r="A16" s="391"/>
      <c r="B16" s="119" t="s">
        <v>609</v>
      </c>
      <c r="C16" s="124" t="s">
        <v>609</v>
      </c>
      <c r="D16" s="107">
        <f>'Maturity Roll Up'!D17</f>
        <v>0</v>
      </c>
      <c r="E16" s="107">
        <f>'Maturity Roll Up'!E17</f>
        <v>0</v>
      </c>
      <c r="F16" s="107">
        <f>'Maturity Roll Up'!F17</f>
        <v>0</v>
      </c>
      <c r="G16" s="107">
        <f>'Maturity Roll Up'!G17</f>
        <v>0</v>
      </c>
      <c r="H16" s="107">
        <f>'Maturity Roll Up'!H17</f>
        <v>0</v>
      </c>
      <c r="I16" s="152" t="str">
        <f>'Maturity Roll Up'!I17</f>
        <v>---</v>
      </c>
      <c r="J16" s="99"/>
    </row>
    <row r="17" spans="1:10" ht="27.95" customHeight="1" thickBot="1" x14ac:dyDescent="0.3">
      <c r="A17" s="392"/>
      <c r="B17" s="120" t="s">
        <v>246</v>
      </c>
      <c r="C17" s="120" t="s">
        <v>246</v>
      </c>
      <c r="D17" s="103">
        <f>'Maturity Roll Up'!D18</f>
        <v>0</v>
      </c>
      <c r="E17" s="103">
        <f>'Maturity Roll Up'!E18</f>
        <v>0</v>
      </c>
      <c r="F17" s="103">
        <f>'Maturity Roll Up'!F18</f>
        <v>0</v>
      </c>
      <c r="G17" s="103">
        <f>'Maturity Roll Up'!G18</f>
        <v>0</v>
      </c>
      <c r="H17" s="103">
        <f>'Maturity Roll Up'!H18</f>
        <v>0</v>
      </c>
      <c r="I17" s="153" t="str">
        <f>'Maturity Roll Up'!I18</f>
        <v>---</v>
      </c>
      <c r="J17" s="99"/>
    </row>
    <row r="18" spans="1:10" ht="27.95" customHeight="1" thickTop="1" x14ac:dyDescent="0.25">
      <c r="A18" s="393" t="s">
        <v>215</v>
      </c>
      <c r="B18" s="394" t="s">
        <v>263</v>
      </c>
      <c r="C18" s="122" t="s">
        <v>264</v>
      </c>
      <c r="D18" s="96">
        <f>'Maturity Roll Up'!D20</f>
        <v>0</v>
      </c>
      <c r="E18" s="96">
        <f>'Maturity Roll Up'!E20</f>
        <v>0</v>
      </c>
      <c r="F18" s="96">
        <f>'Maturity Roll Up'!F20</f>
        <v>0</v>
      </c>
      <c r="G18" s="96">
        <f>'Maturity Roll Up'!G20</f>
        <v>0</v>
      </c>
      <c r="H18" s="96">
        <f>'Maturity Roll Up'!H20</f>
        <v>0</v>
      </c>
      <c r="I18" s="146" t="str">
        <f>'Maturity Roll Up'!I20</f>
        <v>---</v>
      </c>
      <c r="J18" s="98" t="str">
        <f>controlMaturity</f>
        <v>---</v>
      </c>
    </row>
    <row r="19" spans="1:10" ht="27.95" customHeight="1" x14ac:dyDescent="0.25">
      <c r="A19" s="388"/>
      <c r="B19" s="394"/>
      <c r="C19" s="114" t="s">
        <v>296</v>
      </c>
      <c r="D19" s="96">
        <f>'Maturity Roll Up'!D21</f>
        <v>0</v>
      </c>
      <c r="E19" s="96">
        <f>'Maturity Roll Up'!E21</f>
        <v>0</v>
      </c>
      <c r="F19" s="96">
        <f>'Maturity Roll Up'!F21</f>
        <v>0</v>
      </c>
      <c r="G19" s="96">
        <f>'Maturity Roll Up'!G21</f>
        <v>0</v>
      </c>
      <c r="H19" s="96">
        <f>'Maturity Roll Up'!H21</f>
        <v>0</v>
      </c>
      <c r="I19" s="147" t="str">
        <f>'Maturity Roll Up'!I21</f>
        <v>---</v>
      </c>
      <c r="J19" s="99"/>
    </row>
    <row r="20" spans="1:10" ht="27.95" customHeight="1" x14ac:dyDescent="0.25">
      <c r="A20" s="388"/>
      <c r="B20" s="394"/>
      <c r="C20" s="122" t="s">
        <v>335</v>
      </c>
      <c r="D20" s="96">
        <f>'Maturity Roll Up'!D22</f>
        <v>0</v>
      </c>
      <c r="E20" s="96">
        <f>'Maturity Roll Up'!E22</f>
        <v>0</v>
      </c>
      <c r="F20" s="96">
        <f>'Maturity Roll Up'!F22</f>
        <v>0</v>
      </c>
      <c r="G20" s="96">
        <f>'Maturity Roll Up'!G22</f>
        <v>0</v>
      </c>
      <c r="H20" s="96">
        <f>'Maturity Roll Up'!H22</f>
        <v>0</v>
      </c>
      <c r="I20" s="147" t="str">
        <f>'Maturity Roll Up'!I22</f>
        <v>---</v>
      </c>
      <c r="J20" s="99"/>
    </row>
    <row r="21" spans="1:10" ht="27.95" customHeight="1" x14ac:dyDescent="0.25">
      <c r="A21" s="388"/>
      <c r="B21" s="395"/>
      <c r="C21" s="115" t="s">
        <v>350</v>
      </c>
      <c r="D21" s="104">
        <f>'Maturity Roll Up'!D23</f>
        <v>0</v>
      </c>
      <c r="E21" s="104">
        <f>'Maturity Roll Up'!E23</f>
        <v>0</v>
      </c>
      <c r="F21" s="104">
        <f>'Maturity Roll Up'!F23</f>
        <v>0</v>
      </c>
      <c r="G21" s="104">
        <f>'Maturity Roll Up'!G23</f>
        <v>0</v>
      </c>
      <c r="H21" s="104">
        <f>'Maturity Roll Up'!H23</f>
        <v>0</v>
      </c>
      <c r="I21" s="148" t="str">
        <f>'Maturity Roll Up'!I23</f>
        <v>---</v>
      </c>
      <c r="J21" s="99"/>
    </row>
    <row r="22" spans="1:10" ht="27.95" customHeight="1" x14ac:dyDescent="0.25">
      <c r="A22" s="388"/>
      <c r="B22" s="394" t="s">
        <v>364</v>
      </c>
      <c r="C22" s="122" t="s">
        <v>612</v>
      </c>
      <c r="D22" s="96">
        <f>'Maturity Roll Up'!D24</f>
        <v>0</v>
      </c>
      <c r="E22" s="96">
        <f>'Maturity Roll Up'!E24</f>
        <v>0</v>
      </c>
      <c r="F22" s="96">
        <f>'Maturity Roll Up'!F24</f>
        <v>0</v>
      </c>
      <c r="G22" s="96">
        <f>'Maturity Roll Up'!G24</f>
        <v>0</v>
      </c>
      <c r="H22" s="96">
        <f>'Maturity Roll Up'!H24</f>
        <v>0</v>
      </c>
      <c r="I22" s="147" t="str">
        <f>'Maturity Roll Up'!I24</f>
        <v>---</v>
      </c>
      <c r="J22" s="99"/>
    </row>
    <row r="23" spans="1:10" ht="27.95" customHeight="1" x14ac:dyDescent="0.25">
      <c r="A23" s="388"/>
      <c r="B23" s="394"/>
      <c r="C23" s="114" t="s">
        <v>387</v>
      </c>
      <c r="D23" s="96">
        <f>'Maturity Roll Up'!D25</f>
        <v>0</v>
      </c>
      <c r="E23" s="96">
        <f>'Maturity Roll Up'!E25</f>
        <v>0</v>
      </c>
      <c r="F23" s="96">
        <f>'Maturity Roll Up'!F25</f>
        <v>0</v>
      </c>
      <c r="G23" s="96">
        <f>'Maturity Roll Up'!G25</f>
        <v>0</v>
      </c>
      <c r="H23" s="96">
        <f>'Maturity Roll Up'!H25</f>
        <v>0</v>
      </c>
      <c r="I23" s="147" t="str">
        <f>'Maturity Roll Up'!I25</f>
        <v>---</v>
      </c>
      <c r="J23" s="99"/>
    </row>
    <row r="24" spans="1:10" ht="27.95" customHeight="1" x14ac:dyDescent="0.25">
      <c r="A24" s="388"/>
      <c r="B24" s="395"/>
      <c r="C24" s="123" t="s">
        <v>410</v>
      </c>
      <c r="D24" s="104">
        <f>'Maturity Roll Up'!D26</f>
        <v>0</v>
      </c>
      <c r="E24" s="104">
        <f>'Maturity Roll Up'!E26</f>
        <v>0</v>
      </c>
      <c r="F24" s="104">
        <f>'Maturity Roll Up'!F26</f>
        <v>0</v>
      </c>
      <c r="G24" s="104">
        <f>'Maturity Roll Up'!G26</f>
        <v>0</v>
      </c>
      <c r="H24" s="104">
        <f>'Maturity Roll Up'!H26</f>
        <v>0</v>
      </c>
      <c r="I24" s="148" t="str">
        <f>'Maturity Roll Up'!I26</f>
        <v>---</v>
      </c>
      <c r="J24" s="99"/>
    </row>
    <row r="25" spans="1:10" ht="27.95" customHeight="1" x14ac:dyDescent="0.25">
      <c r="A25" s="388"/>
      <c r="B25" s="394" t="s">
        <v>421</v>
      </c>
      <c r="C25" s="114" t="s">
        <v>422</v>
      </c>
      <c r="D25" s="96">
        <f>'Maturity Roll Up'!D27</f>
        <v>0</v>
      </c>
      <c r="E25" s="96">
        <f>'Maturity Roll Up'!E27</f>
        <v>0</v>
      </c>
      <c r="F25" s="96">
        <f>'Maturity Roll Up'!F27</f>
        <v>0</v>
      </c>
      <c r="G25" s="96">
        <f>'Maturity Roll Up'!G27</f>
        <v>0</v>
      </c>
      <c r="H25" s="96">
        <f>'Maturity Roll Up'!H27</f>
        <v>0</v>
      </c>
      <c r="I25" s="147" t="str">
        <f>'Maturity Roll Up'!I27</f>
        <v>---</v>
      </c>
      <c r="J25" s="99"/>
    </row>
    <row r="26" spans="1:10" ht="27.95" customHeight="1" thickBot="1" x14ac:dyDescent="0.3">
      <c r="A26" s="389"/>
      <c r="B26" s="396"/>
      <c r="C26" s="125" t="s">
        <v>436</v>
      </c>
      <c r="D26" s="102">
        <f>'Maturity Roll Up'!D28</f>
        <v>0</v>
      </c>
      <c r="E26" s="102">
        <f>'Maturity Roll Up'!E28</f>
        <v>0</v>
      </c>
      <c r="F26" s="102">
        <f>'Maturity Roll Up'!F28</f>
        <v>0</v>
      </c>
      <c r="G26" s="102">
        <f>'Maturity Roll Up'!G28</f>
        <v>0</v>
      </c>
      <c r="H26" s="102">
        <f>'Maturity Roll Up'!H28</f>
        <v>0</v>
      </c>
      <c r="I26" s="150" t="str">
        <f>'Maturity Roll Up'!I28</f>
        <v>---</v>
      </c>
      <c r="J26" s="99"/>
    </row>
    <row r="27" spans="1:10" ht="27.95" customHeight="1" thickTop="1" x14ac:dyDescent="0.25">
      <c r="A27" s="390" t="s">
        <v>216</v>
      </c>
      <c r="B27" s="118" t="s">
        <v>448</v>
      </c>
      <c r="C27" s="118" t="s">
        <v>448</v>
      </c>
      <c r="D27" s="106">
        <f>'Maturity Roll Up'!D30</f>
        <v>0</v>
      </c>
      <c r="E27" s="106">
        <f>'Maturity Roll Up'!E30</f>
        <v>0</v>
      </c>
      <c r="F27" s="106">
        <f>'Maturity Roll Up'!F30</f>
        <v>0</v>
      </c>
      <c r="G27" s="106">
        <f>'Maturity Roll Up'!G30</f>
        <v>0</v>
      </c>
      <c r="H27" s="106">
        <f>'Maturity Roll Up'!H30</f>
        <v>0</v>
      </c>
      <c r="I27" s="151" t="str">
        <f>'Maturity Roll Up'!I30</f>
        <v>---</v>
      </c>
      <c r="J27" s="98" t="str">
        <f>dependencyMaturity</f>
        <v>---</v>
      </c>
    </row>
    <row r="28" spans="1:10" ht="27.95" customHeight="1" x14ac:dyDescent="0.25">
      <c r="A28" s="391"/>
      <c r="B28" s="398" t="s">
        <v>465</v>
      </c>
      <c r="C28" s="126" t="s">
        <v>466</v>
      </c>
      <c r="D28" s="101">
        <f>'Maturity Roll Up'!D31</f>
        <v>0</v>
      </c>
      <c r="E28" s="101">
        <f>'Maturity Roll Up'!E31</f>
        <v>0</v>
      </c>
      <c r="F28" s="101">
        <f>'Maturity Roll Up'!F31</f>
        <v>0</v>
      </c>
      <c r="G28" s="101">
        <f>'Maturity Roll Up'!G31</f>
        <v>0</v>
      </c>
      <c r="H28" s="101">
        <f>'Maturity Roll Up'!H31</f>
        <v>0</v>
      </c>
      <c r="I28" s="153" t="str">
        <f>'Maturity Roll Up'!I31</f>
        <v>---</v>
      </c>
      <c r="J28" s="99"/>
    </row>
    <row r="29" spans="1:10" ht="27.95" customHeight="1" x14ac:dyDescent="0.25">
      <c r="A29" s="391"/>
      <c r="B29" s="398"/>
      <c r="C29" s="121" t="s">
        <v>478</v>
      </c>
      <c r="D29" s="101">
        <f>'Maturity Roll Up'!D32</f>
        <v>0</v>
      </c>
      <c r="E29" s="101">
        <f>'Maturity Roll Up'!E32</f>
        <v>0</v>
      </c>
      <c r="F29" s="101">
        <f>'Maturity Roll Up'!F32</f>
        <v>0</v>
      </c>
      <c r="G29" s="101">
        <f>'Maturity Roll Up'!G32</f>
        <v>0</v>
      </c>
      <c r="H29" s="101">
        <f>'Maturity Roll Up'!H32</f>
        <v>0</v>
      </c>
      <c r="I29" s="153" t="str">
        <f>'Maturity Roll Up'!I32</f>
        <v>---</v>
      </c>
      <c r="J29" s="99"/>
    </row>
    <row r="30" spans="1:10" ht="27.95" customHeight="1" thickBot="1" x14ac:dyDescent="0.3">
      <c r="A30" s="392"/>
      <c r="B30" s="399"/>
      <c r="C30" s="127" t="s">
        <v>492</v>
      </c>
      <c r="D30" s="103">
        <f>'Maturity Roll Up'!D33</f>
        <v>0</v>
      </c>
      <c r="E30" s="103">
        <f>'Maturity Roll Up'!E33</f>
        <v>0</v>
      </c>
      <c r="F30" s="103">
        <f>'Maturity Roll Up'!F33</f>
        <v>0</v>
      </c>
      <c r="G30" s="103">
        <f>'Maturity Roll Up'!G33</f>
        <v>0</v>
      </c>
      <c r="H30" s="103">
        <f>'Maturity Roll Up'!H33</f>
        <v>0</v>
      </c>
      <c r="I30" s="154" t="str">
        <f>'Maturity Roll Up'!I33</f>
        <v>---</v>
      </c>
      <c r="J30" s="99"/>
    </row>
    <row r="31" spans="1:10" ht="27.95" customHeight="1" thickTop="1" x14ac:dyDescent="0.25">
      <c r="A31" s="393" t="s">
        <v>608</v>
      </c>
      <c r="B31" s="394" t="s">
        <v>510</v>
      </c>
      <c r="C31" s="122" t="s">
        <v>511</v>
      </c>
      <c r="D31" s="96">
        <f>'Maturity Roll Up'!D35</f>
        <v>0</v>
      </c>
      <c r="E31" s="96">
        <f>'Maturity Roll Up'!E35</f>
        <v>0</v>
      </c>
      <c r="F31" s="96">
        <f>'Maturity Roll Up'!F35</f>
        <v>0</v>
      </c>
      <c r="G31" s="96">
        <f>'Maturity Roll Up'!G35</f>
        <v>0</v>
      </c>
      <c r="H31" s="96">
        <f>'Maturity Roll Up'!H35</f>
        <v>0</v>
      </c>
      <c r="I31" s="147" t="str">
        <f>'Maturity Roll Up'!I35</f>
        <v>---</v>
      </c>
      <c r="J31" s="98" t="str">
        <f>incidenceMaturity</f>
        <v>---</v>
      </c>
    </row>
    <row r="32" spans="1:10" ht="27.95" customHeight="1" x14ac:dyDescent="0.25">
      <c r="A32" s="388"/>
      <c r="B32" s="395"/>
      <c r="C32" s="115" t="s">
        <v>529</v>
      </c>
      <c r="D32" s="104">
        <f>'Maturity Roll Up'!D36</f>
        <v>0</v>
      </c>
      <c r="E32" s="104">
        <f>'Maturity Roll Up'!E36</f>
        <v>0</v>
      </c>
      <c r="F32" s="104">
        <f>'Maturity Roll Up'!F36</f>
        <v>0</v>
      </c>
      <c r="G32" s="104">
        <f>'Maturity Roll Up'!G36</f>
        <v>0</v>
      </c>
      <c r="H32" s="104">
        <f>'Maturity Roll Up'!H36</f>
        <v>0</v>
      </c>
      <c r="I32" s="148" t="str">
        <f>'Maturity Roll Up'!I36</f>
        <v>---</v>
      </c>
      <c r="J32" s="99"/>
    </row>
    <row r="33" spans="1:10" ht="27.95" customHeight="1" x14ac:dyDescent="0.25">
      <c r="A33" s="388"/>
      <c r="B33" s="394" t="s">
        <v>547</v>
      </c>
      <c r="C33" s="122" t="s">
        <v>548</v>
      </c>
      <c r="D33" s="96">
        <f>'Maturity Roll Up'!D37</f>
        <v>0</v>
      </c>
      <c r="E33" s="96">
        <f>'Maturity Roll Up'!E37</f>
        <v>0</v>
      </c>
      <c r="F33" s="96">
        <f>'Maturity Roll Up'!F37</f>
        <v>0</v>
      </c>
      <c r="G33" s="96">
        <f>'Maturity Roll Up'!G37</f>
        <v>0</v>
      </c>
      <c r="H33" s="96">
        <f>'Maturity Roll Up'!H37</f>
        <v>0</v>
      </c>
      <c r="I33" s="147" t="str">
        <f>'Maturity Roll Up'!I37</f>
        <v>---</v>
      </c>
      <c r="J33" s="99"/>
    </row>
    <row r="34" spans="1:10" ht="27.95" customHeight="1" x14ac:dyDescent="0.25">
      <c r="A34" s="388"/>
      <c r="B34" s="395"/>
      <c r="C34" s="115" t="s">
        <v>562</v>
      </c>
      <c r="D34" s="104">
        <f>'Maturity Roll Up'!D38</f>
        <v>0</v>
      </c>
      <c r="E34" s="104">
        <f>'Maturity Roll Up'!E38</f>
        <v>0</v>
      </c>
      <c r="F34" s="104">
        <f>'Maturity Roll Up'!F38</f>
        <v>0</v>
      </c>
      <c r="G34" s="104">
        <f>'Maturity Roll Up'!G38</f>
        <v>0</v>
      </c>
      <c r="H34" s="104">
        <f>'Maturity Roll Up'!H38</f>
        <v>0</v>
      </c>
      <c r="I34" s="148" t="str">
        <f>'Maturity Roll Up'!I38</f>
        <v>---</v>
      </c>
      <c r="J34" s="99"/>
    </row>
    <row r="35" spans="1:10" ht="27.95" customHeight="1" thickBot="1" x14ac:dyDescent="0.3">
      <c r="A35" s="389"/>
      <c r="B35" s="117" t="s">
        <v>580</v>
      </c>
      <c r="C35" s="125" t="s">
        <v>580</v>
      </c>
      <c r="D35" s="102">
        <f>'Maturity Roll Up'!D39</f>
        <v>0</v>
      </c>
      <c r="E35" s="102">
        <f>'Maturity Roll Up'!E39</f>
        <v>0</v>
      </c>
      <c r="F35" s="102">
        <f>'Maturity Roll Up'!F39</f>
        <v>0</v>
      </c>
      <c r="G35" s="102">
        <f>'Maturity Roll Up'!G39</f>
        <v>0</v>
      </c>
      <c r="H35" s="102">
        <f>'Maturity Roll Up'!H39</f>
        <v>0</v>
      </c>
      <c r="I35" s="150" t="str">
        <f>'Maturity Roll Up'!I39</f>
        <v>---</v>
      </c>
      <c r="J35" s="99"/>
    </row>
    <row r="36" spans="1:10" ht="15.75" thickTop="1" x14ac:dyDescent="0.25"/>
    <row r="37" spans="1:10" x14ac:dyDescent="0.25">
      <c r="D37" s="384" t="s">
        <v>846</v>
      </c>
      <c r="E37" s="385"/>
      <c r="F37" s="385"/>
      <c r="G37" s="385"/>
      <c r="H37" s="386"/>
    </row>
    <row r="39" spans="1:10" hidden="1" x14ac:dyDescent="0.25">
      <c r="D39" s="218">
        <f>SUM(D6:H35)*5</f>
        <v>0</v>
      </c>
    </row>
    <row r="40" spans="1:10" hidden="1" x14ac:dyDescent="0.25">
      <c r="D40">
        <f>COUNT(D6:H35)</f>
        <v>150</v>
      </c>
    </row>
    <row r="41" spans="1:10" hidden="1" x14ac:dyDescent="0.25">
      <c r="D41">
        <f>D39/D40</f>
        <v>0</v>
      </c>
    </row>
  </sheetData>
  <sheetProtection algorithmName="SHA-512" hashValue="MVfcCRYraA6N0v7rkA/1Cht+6re3V3fYHQOkBXN2uTbdFU4t7kWsv8KpXHCmvmnRgg9mYSuGLZydcEenPbZ1KA==" saltValue="3PgPn7p8mWORAFM920+Bhg==" spinCount="100000" sheet="1" objects="1" scenarios="1" formatColumns="0"/>
  <mergeCells count="15">
    <mergeCell ref="D37:H37"/>
    <mergeCell ref="A6:A14"/>
    <mergeCell ref="A15:A17"/>
    <mergeCell ref="A18:A26"/>
    <mergeCell ref="B22:B24"/>
    <mergeCell ref="B25:B26"/>
    <mergeCell ref="A27:A30"/>
    <mergeCell ref="A31:A35"/>
    <mergeCell ref="B6:B8"/>
    <mergeCell ref="B9:B11"/>
    <mergeCell ref="B13:B14"/>
    <mergeCell ref="B18:B21"/>
    <mergeCell ref="B28:B30"/>
    <mergeCell ref="B31:B32"/>
    <mergeCell ref="B33:B34"/>
  </mergeCells>
  <conditionalFormatting sqref="D6:H35">
    <cfRule type="colorScale" priority="25">
      <colorScale>
        <cfvo type="percent" val="0"/>
        <cfvo type="percent" val="50"/>
        <cfvo type="percent" val="100"/>
        <color rgb="FFF8696B"/>
        <color rgb="FFFFEB84"/>
        <color rgb="FF63BE7B"/>
      </colorScale>
    </cfRule>
  </conditionalFormatting>
  <conditionalFormatting sqref="I6:I35">
    <cfRule type="cellIs" dxfId="43" priority="14" operator="equal">
      <formula>"Innovative"</formula>
    </cfRule>
    <cfRule type="cellIs" dxfId="42" priority="15" operator="equal">
      <formula>"Advanced"</formula>
    </cfRule>
    <cfRule type="cellIs" dxfId="41" priority="16" operator="equal">
      <formula>"Intermediate"</formula>
    </cfRule>
    <cfRule type="cellIs" dxfId="40" priority="17" operator="equal">
      <formula>"Evolving"</formula>
    </cfRule>
    <cfRule type="cellIs" dxfId="39" priority="18" operator="equal">
      <formula>"Baseline"</formula>
    </cfRule>
    <cfRule type="cellIs" dxfId="38" priority="20" operator="equal">
      <formula>"---"</formula>
    </cfRule>
  </conditionalFormatting>
  <conditionalFormatting sqref="J6">
    <cfRule type="cellIs" dxfId="37" priority="8" operator="equal">
      <formula>"Innovative"</formula>
    </cfRule>
    <cfRule type="cellIs" dxfId="36" priority="9" operator="equal">
      <formula>"Advanced"</formula>
    </cfRule>
    <cfRule type="cellIs" dxfId="35" priority="10" operator="equal">
      <formula>"Intermediate"</formula>
    </cfRule>
    <cfRule type="cellIs" dxfId="34" priority="11" operator="equal">
      <formula>"Evolving"</formula>
    </cfRule>
    <cfRule type="cellIs" dxfId="33" priority="12" operator="equal">
      <formula>"Baseline"</formula>
    </cfRule>
    <cfRule type="cellIs" dxfId="32" priority="13" operator="equal">
      <formula>"---"</formula>
    </cfRule>
  </conditionalFormatting>
  <conditionalFormatting sqref="J31 J27 J18 J15">
    <cfRule type="cellIs" dxfId="31" priority="2" operator="equal">
      <formula>"Innovative"</formula>
    </cfRule>
    <cfRule type="cellIs" dxfId="30" priority="3" operator="equal">
      <formula>"Advanced"</formula>
    </cfRule>
    <cfRule type="cellIs" dxfId="29" priority="4" operator="equal">
      <formula>"Intermediate"</formula>
    </cfRule>
    <cfRule type="cellIs" dxfId="28" priority="5" operator="equal">
      <formula>"Evolving"</formula>
    </cfRule>
    <cfRule type="cellIs" dxfId="27" priority="6" operator="equal">
      <formula>"Baseline"</formula>
    </cfRule>
    <cfRule type="cellIs" dxfId="26" priority="7" operator="equal">
      <formula>"---"</formula>
    </cfRule>
  </conditionalFormatting>
  <conditionalFormatting sqref="D37:H37">
    <cfRule type="expression" dxfId="25" priority="1" stopIfTrue="1">
      <formula>$D$41&gt;0.0001</formula>
    </cfRule>
  </conditionalFormatting>
  <hyperlinks>
    <hyperlink ref="J3" location="disclaimer" display="disclaimer" xr:uid="{00000000-0004-0000-0A00-000000000000}"/>
    <hyperlink ref="J2" location="workbookInfo" display="Workbook Information" xr:uid="{00000000-0004-0000-0A00-000001000000}"/>
  </hyperlinks>
  <pageMargins left="0.7" right="0.7" top="0.75" bottom="0.75" header="0.3" footer="0.3"/>
  <pageSetup scale="5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C0504D"/>
    <pageSetUpPr fitToPage="1"/>
  </sheetPr>
  <dimension ref="A1:S46"/>
  <sheetViews>
    <sheetView zoomScale="75" zoomScaleNormal="75" workbookViewId="0">
      <pane ySplit="5" topLeftCell="A6" activePane="bottomLeft" state="frozen"/>
      <selection pane="bottomLeft" activeCell="A3" sqref="A3"/>
    </sheetView>
  </sheetViews>
  <sheetFormatPr defaultColWidth="8.85546875" defaultRowHeight="15" x14ac:dyDescent="0.25"/>
  <cols>
    <col min="1" max="1" width="50.7109375" style="10" customWidth="1"/>
    <col min="2" max="2" width="30.7109375" style="10" customWidth="1"/>
    <col min="3" max="9" width="20.7109375" style="10" customWidth="1"/>
    <col min="10" max="10" width="2.7109375" style="10" customWidth="1"/>
    <col min="11" max="11" width="20.7109375" style="10" customWidth="1"/>
    <col min="12" max="13" width="2.7109375" style="10" customWidth="1"/>
    <col min="14" max="18" width="20.7109375" style="10" customWidth="1"/>
    <col min="19" max="19" width="9.140625" style="285" hidden="1" customWidth="1"/>
    <col min="20" max="20" width="9.140625" style="10" customWidth="1"/>
    <col min="21" max="16384" width="8.85546875" style="10"/>
  </cols>
  <sheetData>
    <row r="1" spans="1:19" s="112" customFormat="1" ht="15.75" customHeight="1" x14ac:dyDescent="0.25">
      <c r="A1" s="6" t="str">
        <f>HYPERLINK(websiteHTTP&amp;webSiteURL,"Watkins Consulting")</f>
        <v>Watkins Consulting</v>
      </c>
      <c r="B1" s="132"/>
      <c r="C1" s="132"/>
      <c r="D1" s="132"/>
      <c r="E1" s="136" t="str">
        <f>IF(firmName&gt;0,firmName,"")</f>
        <v/>
      </c>
      <c r="F1" s="132"/>
      <c r="G1" s="132"/>
      <c r="H1" s="132"/>
      <c r="I1" s="132"/>
      <c r="J1" s="7"/>
      <c r="K1" s="8" t="str">
        <f>HYPERLINK(websiteHTTP&amp;webSiteURL&amp;userManualrURL,"User Manual")</f>
        <v>User Manual</v>
      </c>
      <c r="N1" s="400" t="str">
        <f>IF(S3&gt;0,"If any component maturity level declarative statements are all marked as N/A, the level and any higher levels in that component are marked as N/A.","")</f>
        <v/>
      </c>
      <c r="O1" s="400"/>
      <c r="P1" s="400"/>
      <c r="Q1" s="400"/>
      <c r="R1" s="400"/>
      <c r="S1" s="284" t="s">
        <v>1291</v>
      </c>
    </row>
    <row r="2" spans="1:19" s="112" customFormat="1" ht="17.25" customHeight="1" x14ac:dyDescent="0.25">
      <c r="A2" s="256" t="str">
        <f ca="1">workbookVersionLabel</f>
        <v xml:space="preserve"> Excel Workbook Version: 3.4.2</v>
      </c>
      <c r="B2" s="132"/>
      <c r="C2" s="132"/>
      <c r="D2" s="132"/>
      <c r="E2" s="133" t="str">
        <f>Information</f>
        <v>FFIEC Cybersecurity Assessment Tool (May 2017)</v>
      </c>
      <c r="F2" s="137"/>
      <c r="G2" s="137"/>
      <c r="H2" s="137"/>
      <c r="I2" s="137"/>
      <c r="J2" s="7"/>
      <c r="K2" s="8" t="s">
        <v>1094</v>
      </c>
      <c r="N2" s="400"/>
      <c r="O2" s="400"/>
      <c r="P2" s="400"/>
      <c r="Q2" s="400"/>
      <c r="R2" s="400"/>
      <c r="S2" s="284"/>
    </row>
    <row r="3" spans="1:19" s="112" customFormat="1" ht="15" customHeight="1" thickBot="1" x14ac:dyDescent="0.3">
      <c r="A3" s="139" t="str">
        <f ca="1">MID(CELL("filename",A1),FIND("]",CELL("filename",A1))+1,256)</f>
        <v>Maturity Roll Up</v>
      </c>
      <c r="B3" s="140"/>
      <c r="C3" s="140"/>
      <c r="D3" s="141"/>
      <c r="E3" s="142" t="str">
        <f>IF(assessmentDate&gt;0,assessmentDate,"")</f>
        <v/>
      </c>
      <c r="F3" s="141"/>
      <c r="G3" s="141"/>
      <c r="H3" s="141"/>
      <c r="I3" s="141"/>
      <c r="J3" s="144"/>
      <c r="K3" s="155" t="s">
        <v>620</v>
      </c>
      <c r="N3" s="400"/>
      <c r="O3" s="400"/>
      <c r="P3" s="400"/>
      <c r="Q3" s="400"/>
      <c r="R3" s="400"/>
      <c r="S3" s="284">
        <f>SUM(S6,S16,S20,S30,S35)</f>
        <v>0</v>
      </c>
    </row>
    <row r="4" spans="1:19" ht="3.95" customHeight="1" thickTop="1" x14ac:dyDescent="0.25"/>
    <row r="5" spans="1:19" ht="18" thickBot="1" x14ac:dyDescent="0.35">
      <c r="A5" s="58" t="s">
        <v>24</v>
      </c>
      <c r="B5" s="74" t="s">
        <v>25</v>
      </c>
      <c r="C5" s="75" t="s">
        <v>26</v>
      </c>
      <c r="D5" s="76" t="s">
        <v>27</v>
      </c>
      <c r="E5" s="76" t="s">
        <v>28</v>
      </c>
      <c r="F5" s="76" t="s">
        <v>29</v>
      </c>
      <c r="G5" s="76" t="s">
        <v>30</v>
      </c>
      <c r="H5" s="77" t="s">
        <v>31</v>
      </c>
      <c r="I5" s="78" t="s">
        <v>32</v>
      </c>
      <c r="K5" s="79" t="s">
        <v>33</v>
      </c>
      <c r="N5" s="276" t="str">
        <f>IF(COUNTIF(N6:N39,warningText)&gt;0,"Baseline","")</f>
        <v/>
      </c>
      <c r="O5" s="276" t="str">
        <f>IF(COUNTIF(O6:O39,warningText)&gt;0,"Evolving","")</f>
        <v/>
      </c>
      <c r="P5" s="276" t="str">
        <f>IF(COUNTIF(P6:P39,warningText)&gt;0,"Evolving","")</f>
        <v/>
      </c>
      <c r="Q5" s="276" t="str">
        <f>IF(COUNTIF(Q6:Q39,warningText)&gt;0,"Advanced","")</f>
        <v/>
      </c>
      <c r="R5" s="276" t="str">
        <f>IF(COUNTIF(R6:R39,warningText)&gt;0,"Innovative","")</f>
        <v/>
      </c>
    </row>
    <row r="6" spans="1:19" ht="30" customHeight="1" thickTop="1" x14ac:dyDescent="0.25">
      <c r="A6" s="80" t="str">
        <f>MID('Risk Management and Oversight'!$A$5,11,LEN('Risk Management and Oversight'!$A$5))</f>
        <v>Cyber Risk Management and Oversight</v>
      </c>
      <c r="B6" s="80" t="s">
        <v>34</v>
      </c>
      <c r="C6" s="76" t="s">
        <v>35</v>
      </c>
      <c r="D6" s="81">
        <f>IFERROR((COUNTIF(cyberRisk[workArea2],$C6&amp;D$5&amp;yes)+COUNTIF(cyberRisk[workArea2],$C6&amp;D$5&amp;yesCC))/(COUNTIF(cyberRisk[workArea],$C6&amp;D$5)-COUNTIF(cyberRisk[workArea2],$C6&amp;D$5&amp;NotAvail)),"N/A")</f>
        <v>0</v>
      </c>
      <c r="E6" s="81">
        <f>IF(D6=NotAvail,NotAvail,IFERROR((COUNTIF(cyberRisk[workArea2],$C6&amp;E$5&amp;yes)+COUNTIF(cyberRisk[workArea2],$C6&amp;E$5&amp;yesCC))/(COUNTIF(cyberRisk[workArea],$C6&amp;E$5)-COUNTIF(cyberRisk[workArea2],$C6&amp;E$5&amp;NotAvail)),"N/A"))</f>
        <v>0</v>
      </c>
      <c r="F6" s="81">
        <f>IF(E6=NotAvail,NotAvail,IFERROR((COUNTIF(cyberRisk[workArea2],$C6&amp;F$5&amp;yes)+COUNTIF(cyberRisk[workArea2],$C6&amp;F$5&amp;yesCC))/(COUNTIF(cyberRisk[workArea],$C6&amp;F$5)-COUNTIF(cyberRisk[workArea2],$C6&amp;F$5&amp;NotAvail)),"N/A"))</f>
        <v>0</v>
      </c>
      <c r="G6" s="81">
        <f>IF(F6=NotAvail,NotAvail,IFERROR((COUNTIF(cyberRisk[workArea2],$C6&amp;G$5&amp;yes)+COUNTIF(cyberRisk[workArea2],$C6&amp;G$5&amp;yesCC))/(COUNTIF(cyberRisk[workArea],$C6&amp;G$5)-COUNTIF(cyberRisk[workArea2],$C6&amp;G$5&amp;NotAvail)),"N/A"))</f>
        <v>0</v>
      </c>
      <c r="H6" s="81">
        <f>IF(G6=NotAvail,NotAvail,IFERROR((COUNTIF(cyberRisk[workArea2],$C6&amp;H$5&amp;yes)+COUNTIF(cyberRisk[workArea2],$C6&amp;H$5&amp;yesCC))/(COUNTIF(cyberRisk[workArea],$C6&amp;H$5)-COUNTIF(cyberRisk[workArea2],$C6&amp;H$5&amp;NotAvail)),"N/A"))</f>
        <v>0</v>
      </c>
      <c r="I6" s="82" t="str">
        <f t="shared" ref="I6:I14" si="0">IF(AND(D6=1,E6=1,F6=1,G6=1,H6=1),H$5,IF(AND(D6=1,E6=1,F6=1,G6=1),G$5,IF(AND(D6=1,E6=1,F6=1),F$5,IF(AND(D6=1,E6=1),E$5,IF(D6=1,D$5,nOTA)))))</f>
        <v>---</v>
      </c>
      <c r="K6" s="83" t="str">
        <f>IFERROR(INDEX(maturityLevels,MIN(MATCH(I6,maturityLevels,0),MATCH(I7,maturityLevels,0),MATCH(I8,maturityLevels,0),MATCH(I9,maturityLevels,0),MATCH(I10,maturityLevels,0),MATCH(I11,maturityLevels,0),MATCH(I12,maturityLevels,0),MATCH(I13,maturityLevels,0),MATCH(I14,maturityLevels,0))),nOTA)</f>
        <v>---</v>
      </c>
      <c r="N6" s="281" t="str">
        <f>IF(COUNTIF(cyberRisk[workArea],$C6&amp;D$5)=COUNTIF(cyberRisk[workArea2],$C6&amp;D$5&amp;NotAvail),warningText,"")</f>
        <v/>
      </c>
      <c r="O6" s="281" t="str">
        <f>IF(COUNTIF(cyberRisk[workArea],$C6&amp;E$5)=COUNTIF(cyberRisk[workArea2],$C6&amp;E$5&amp;NotAvail),warningText,"")</f>
        <v/>
      </c>
      <c r="P6" s="281" t="str">
        <f>IF(COUNTIF(cyberRisk[workArea],$C6&amp;F$5)=COUNTIF(cyberRisk[workArea2],$C6&amp;F$5&amp;NotAvail),warningText,"")</f>
        <v/>
      </c>
      <c r="Q6" s="281" t="str">
        <f>IF(COUNTIF(cyberRisk[workArea],$C6&amp;G$5)=COUNTIF(cyberRisk[workArea2],$C6&amp;G$5&amp;NotAvail),warningText,"")</f>
        <v/>
      </c>
      <c r="R6" s="281" t="str">
        <f>IF(COUNTIF(cyberRisk[workArea],$C6&amp;H$5)=COUNTIF(cyberRisk[workArea2],$C6&amp;H$5&amp;NotAvail),warningText,"")</f>
        <v/>
      </c>
      <c r="S6" s="285">
        <f>COUNTIF(N6:R14,warningText)</f>
        <v>0</v>
      </c>
    </row>
    <row r="7" spans="1:19" x14ac:dyDescent="0.25">
      <c r="A7" s="80" t="str">
        <f>MID('Risk Management and Oversight'!$A$5,11,LEN('Risk Management and Oversight'!$A$5))</f>
        <v>Cyber Risk Management and Oversight</v>
      </c>
      <c r="B7" s="80" t="s">
        <v>34</v>
      </c>
      <c r="C7" s="76" t="s">
        <v>36</v>
      </c>
      <c r="D7" s="81">
        <f>IFERROR((COUNTIF(cyberRisk[workArea2],$C7&amp;D$5&amp;yes)+COUNTIF(cyberRisk[workArea2],$C7&amp;D$5&amp;yesCC))/(COUNTIF(cyberRisk[workArea],$C7&amp;D$5)-COUNTIF(cyberRisk[workArea2],$C7&amp;D$5&amp;NotAvail)),"N/A")</f>
        <v>0</v>
      </c>
      <c r="E7" s="81">
        <f>IF(D7=NotAvail,NotAvail,IFERROR((COUNTIF(cyberRisk[workArea2],$C7&amp;E$5&amp;yes)+COUNTIF(cyberRisk[workArea2],$C7&amp;E$5&amp;yesCC))/(COUNTIF(cyberRisk[workArea],$C7&amp;E$5)-COUNTIF(cyberRisk[workArea2],$C7&amp;E$5&amp;NotAvail)),"N/A"))</f>
        <v>0</v>
      </c>
      <c r="F7" s="81">
        <f>IF(E7=NotAvail,NotAvail,IFERROR((COUNTIF(cyberRisk[workArea2],$C7&amp;F$5&amp;yes)+COUNTIF(cyberRisk[workArea2],$C7&amp;F$5&amp;yesCC))/(COUNTIF(cyberRisk[workArea],$C7&amp;F$5)-COUNTIF(cyberRisk[workArea2],$C7&amp;F$5&amp;NotAvail)),"N/A"))</f>
        <v>0</v>
      </c>
      <c r="G7" s="81">
        <f>IF(F7=NotAvail,NotAvail,IFERROR((COUNTIF(cyberRisk[workArea2],$C7&amp;G$5&amp;yes)+COUNTIF(cyberRisk[workArea2],$C7&amp;G$5&amp;yesCC))/(COUNTIF(cyberRisk[workArea],$C7&amp;G$5)-COUNTIF(cyberRisk[workArea2],$C7&amp;G$5&amp;NotAvail)),"N/A"))</f>
        <v>0</v>
      </c>
      <c r="H7" s="81">
        <f>IF(G7=NotAvail,NotAvail,IFERROR((COUNTIF(cyberRisk[workArea2],$C7&amp;H$5&amp;yes)+COUNTIF(cyberRisk[workArea2],$C7&amp;H$5&amp;yesCC))/(COUNTIF(cyberRisk[workArea],$C7&amp;H$5)-COUNTIF(cyberRisk[workArea2],$C7&amp;H$5&amp;NotAvail)),"N/A"))</f>
        <v>0</v>
      </c>
      <c r="I7" s="82" t="str">
        <f t="shared" si="0"/>
        <v>---</v>
      </c>
      <c r="N7" s="281" t="str">
        <f>IF(COUNTIF(cyberRisk[workArea],$C7&amp;D$5)=COUNTIF(cyberRisk[workArea2],$C7&amp;D$5&amp;NotAvail),warningText,"")</f>
        <v/>
      </c>
      <c r="O7" s="281" t="str">
        <f>IF(COUNTIF(cyberRisk[workArea],$C7&amp;E$5)=COUNTIF(cyberRisk[workArea2],$C7&amp;E$5&amp;NotAvail),warningText,"")</f>
        <v/>
      </c>
      <c r="P7" s="281" t="str">
        <f>IF(COUNTIF(cyberRisk[workArea],$C7&amp;F$5)=COUNTIF(cyberRisk[workArea2],$C7&amp;F$5&amp;NotAvail),warningText,"")</f>
        <v/>
      </c>
      <c r="Q7" s="281" t="str">
        <f>IF(COUNTIF(cyberRisk[workArea],$C7&amp;G$5)=COUNTIF(cyberRisk[workArea2],$C7&amp;G$5&amp;NotAvail),warningText,"")</f>
        <v/>
      </c>
      <c r="R7" s="281" t="str">
        <f>IF(COUNTIF(cyberRisk[workArea],$C7&amp;H$5)=COUNTIF(cyberRisk[workArea2],$C7&amp;H$5&amp;NotAvail),warningText,"")</f>
        <v/>
      </c>
    </row>
    <row r="8" spans="1:19" x14ac:dyDescent="0.25">
      <c r="A8" s="80" t="str">
        <f>MID('Risk Management and Oversight'!$A$5,11,LEN('Risk Management and Oversight'!$A$5))</f>
        <v>Cyber Risk Management and Oversight</v>
      </c>
      <c r="B8" s="80" t="s">
        <v>34</v>
      </c>
      <c r="C8" s="76" t="s">
        <v>610</v>
      </c>
      <c r="D8" s="81">
        <f>IFERROR((COUNTIF(cyberRisk[workArea2],$C8&amp;D$5&amp;yes)+COUNTIF(cyberRisk[workArea2],$C8&amp;D$5&amp;yesCC))/(COUNTIF(cyberRisk[workArea],$C8&amp;D$5)-COUNTIF(cyberRisk[workArea2],$C8&amp;D$5&amp;NotAvail)),"N/A")</f>
        <v>0</v>
      </c>
      <c r="E8" s="81">
        <f>IF(D8=NotAvail,NotAvail,IFERROR((COUNTIF(cyberRisk[workArea2],$C8&amp;E$5&amp;yes)+COUNTIF(cyberRisk[workArea2],$C8&amp;E$5&amp;yesCC))/(COUNTIF(cyberRisk[workArea],$C8&amp;E$5)-COUNTIF(cyberRisk[workArea2],$C8&amp;E$5&amp;NotAvail)),"N/A"))</f>
        <v>0</v>
      </c>
      <c r="F8" s="81">
        <f>IF(E8=NotAvail,NotAvail,IFERROR((COUNTIF(cyberRisk[workArea2],$C8&amp;F$5&amp;yes)+COUNTIF(cyberRisk[workArea2],$C8&amp;F$5&amp;yesCC))/(COUNTIF(cyberRisk[workArea],$C8&amp;F$5)-COUNTIF(cyberRisk[workArea2],$C8&amp;F$5&amp;NotAvail)),"N/A"))</f>
        <v>0</v>
      </c>
      <c r="G8" s="81">
        <f>IF(F8=NotAvail,NotAvail,IFERROR((COUNTIF(cyberRisk[workArea2],$C8&amp;G$5&amp;yes)+COUNTIF(cyberRisk[workArea2],$C8&amp;G$5&amp;yesCC))/(COUNTIF(cyberRisk[workArea],$C8&amp;G$5)-COUNTIF(cyberRisk[workArea2],$C8&amp;G$5&amp;NotAvail)),"N/A"))</f>
        <v>0</v>
      </c>
      <c r="H8" s="81">
        <f>IF(G8=NotAvail,NotAvail,IFERROR((COUNTIF(cyberRisk[workArea2],$C8&amp;H$5&amp;yes)+COUNTIF(cyberRisk[workArea2],$C8&amp;H$5&amp;yesCC))/(COUNTIF(cyberRisk[workArea],$C8&amp;H$5)-COUNTIF(cyberRisk[workArea2],$C8&amp;H$5&amp;NotAvail)),"N/A"))</f>
        <v>0</v>
      </c>
      <c r="I8" s="82" t="str">
        <f t="shared" si="0"/>
        <v>---</v>
      </c>
      <c r="N8" s="281" t="str">
        <f>IF(COUNTIF(cyberRisk[workArea],$C8&amp;D$5)=COUNTIF(cyberRisk[workArea2],$C8&amp;D$5&amp;NotAvail),warningText,"")</f>
        <v/>
      </c>
      <c r="O8" s="281" t="str">
        <f>IF(COUNTIF(cyberRisk[workArea],$C8&amp;E$5)=COUNTIF(cyberRisk[workArea2],$C8&amp;E$5&amp;NotAvail),warningText,"")</f>
        <v/>
      </c>
      <c r="P8" s="281" t="str">
        <f>IF(COUNTIF(cyberRisk[workArea],$C8&amp;F$5)=COUNTIF(cyberRisk[workArea2],$C8&amp;F$5&amp;NotAvail),warningText,"")</f>
        <v/>
      </c>
      <c r="Q8" s="281" t="str">
        <f>IF(COUNTIF(cyberRisk[workArea],$C8&amp;G$5)=COUNTIF(cyberRisk[workArea2],$C8&amp;G$5&amp;NotAvail),warningText,"")</f>
        <v/>
      </c>
      <c r="R8" s="281" t="str">
        <f>IF(COUNTIF(cyberRisk[workArea],$C8&amp;H$5)=COUNTIF(cyberRisk[workArea2],$C8&amp;H$5&amp;NotAvail),warningText,"")</f>
        <v/>
      </c>
    </row>
    <row r="9" spans="1:19" ht="30" x14ac:dyDescent="0.25">
      <c r="A9" s="80" t="str">
        <f>MID('Risk Management and Oversight'!$A$5,11,LEN('Risk Management and Oversight'!$A$5))</f>
        <v>Cyber Risk Management and Oversight</v>
      </c>
      <c r="B9" s="80" t="s">
        <v>37</v>
      </c>
      <c r="C9" s="58" t="s">
        <v>38</v>
      </c>
      <c r="D9" s="81">
        <f>IFERROR((COUNTIF(cyberRisk[workArea2],$C9&amp;D$5&amp;yes)+COUNTIF(cyberRisk[workArea2],$C9&amp;D$5&amp;yesCC))/(COUNTIF(cyberRisk[workArea],$C9&amp;D$5)-COUNTIF(cyberRisk[workArea2],$C9&amp;D$5&amp;NotAvail)),"N/A")</f>
        <v>0</v>
      </c>
      <c r="E9" s="81">
        <f>IF(D9=NotAvail,NotAvail,IFERROR((COUNTIF(cyberRisk[workArea2],$C9&amp;E$5&amp;yes)+COUNTIF(cyberRisk[workArea2],$C9&amp;E$5&amp;yesCC))/(COUNTIF(cyberRisk[workArea],$C9&amp;E$5)-COUNTIF(cyberRisk[workArea2],$C9&amp;E$5&amp;NotAvail)),"N/A"))</f>
        <v>0</v>
      </c>
      <c r="F9" s="81">
        <f>IF(E9=NotAvail,NotAvail,IFERROR((COUNTIF(cyberRisk[workArea2],$C9&amp;F$5&amp;yes)+COUNTIF(cyberRisk[workArea2],$C9&amp;F$5&amp;yesCC))/(COUNTIF(cyberRisk[workArea],$C9&amp;F$5)-COUNTIF(cyberRisk[workArea2],$C9&amp;F$5&amp;NotAvail)),"N/A"))</f>
        <v>0</v>
      </c>
      <c r="G9" s="81">
        <f>IF(F9=NotAvail,NotAvail,IFERROR((COUNTIF(cyberRisk[workArea2],$C9&amp;G$5&amp;yes)+COUNTIF(cyberRisk[workArea2],$C9&amp;G$5&amp;yesCC))/(COUNTIF(cyberRisk[workArea],$C9&amp;G$5)-COUNTIF(cyberRisk[workArea2],$C9&amp;G$5&amp;NotAvail)),"N/A"))</f>
        <v>0</v>
      </c>
      <c r="H9" s="81">
        <f>IF(G9=NotAvail,NotAvail,IFERROR((COUNTIF(cyberRisk[workArea2],$C9&amp;H$5&amp;yes)+COUNTIF(cyberRisk[workArea2],$C9&amp;H$5&amp;yesCC))/(COUNTIF(cyberRisk[workArea],$C9&amp;H$5)-COUNTIF(cyberRisk[workArea2],$C9&amp;H$5&amp;NotAvail)),"N/A"))</f>
        <v>0</v>
      </c>
      <c r="I9" s="85" t="str">
        <f t="shared" si="0"/>
        <v>---</v>
      </c>
      <c r="N9" s="281" t="str">
        <f>IF(COUNTIF(cyberRisk[workArea],$C9&amp;D$5)=COUNTIF(cyberRisk[workArea2],$C9&amp;D$5&amp;NotAvail),warningText,"")</f>
        <v/>
      </c>
      <c r="O9" s="281" t="str">
        <f>IF(COUNTIF(cyberRisk[workArea],$C9&amp;E$5)=COUNTIF(cyberRisk[workArea2],$C9&amp;E$5&amp;NotAvail),warningText,"")</f>
        <v/>
      </c>
      <c r="P9" s="281" t="str">
        <f>IF(COUNTIF(cyberRisk[workArea],$C9&amp;F$5)=COUNTIF(cyberRisk[workArea2],$C9&amp;F$5&amp;NotAvail),warningText,"")</f>
        <v/>
      </c>
      <c r="Q9" s="281" t="str">
        <f>IF(COUNTIF(cyberRisk[workArea],$C9&amp;G$5)=COUNTIF(cyberRisk[workArea2],$C9&amp;G$5&amp;NotAvail),warningText,"")</f>
        <v/>
      </c>
      <c r="R9" s="281" t="str">
        <f>IF(COUNTIF(cyberRisk[workArea],$C9&amp;H$5)=COUNTIF(cyberRisk[workArea2],$C9&amp;H$5&amp;NotAvail),warningText,"")</f>
        <v/>
      </c>
    </row>
    <row r="10" spans="1:19" x14ac:dyDescent="0.25">
      <c r="A10" s="80" t="str">
        <f>MID('Risk Management and Oversight'!$A$5,11,LEN('Risk Management and Oversight'!$A$5))</f>
        <v>Cyber Risk Management and Oversight</v>
      </c>
      <c r="B10" s="80" t="s">
        <v>37</v>
      </c>
      <c r="C10" s="58" t="s">
        <v>39</v>
      </c>
      <c r="D10" s="81">
        <f>IFERROR((COUNTIF(cyberRisk[workArea2],$C10&amp;D$5&amp;yes)+COUNTIF(cyberRisk[workArea2],$C10&amp;D$5&amp;yesCC))/(COUNTIF(cyberRisk[workArea],$C10&amp;D$5)-COUNTIF(cyberRisk[workArea2],$C10&amp;D$5&amp;NotAvail)),"N/A")</f>
        <v>0</v>
      </c>
      <c r="E10" s="81">
        <f>IF(D10=NotAvail,NotAvail,IFERROR((COUNTIF(cyberRisk[workArea2],$C10&amp;E$5&amp;yes)+COUNTIF(cyberRisk[workArea2],$C10&amp;E$5&amp;yesCC))/(COUNTIF(cyberRisk[workArea],$C10&amp;E$5)-COUNTIF(cyberRisk[workArea2],$C10&amp;E$5&amp;NotAvail)),"N/A"))</f>
        <v>0</v>
      </c>
      <c r="F10" s="81">
        <f>IF(E10=NotAvail,NotAvail,IFERROR((COUNTIF(cyberRisk[workArea2],$C10&amp;F$5&amp;yes)+COUNTIF(cyberRisk[workArea2],$C10&amp;F$5&amp;yesCC))/(COUNTIF(cyberRisk[workArea],$C10&amp;F$5)-COUNTIF(cyberRisk[workArea2],$C10&amp;F$5&amp;NotAvail)),"N/A"))</f>
        <v>0</v>
      </c>
      <c r="G10" s="81">
        <f>IF(F10=NotAvail,NotAvail,IFERROR((COUNTIF(cyberRisk[workArea2],$C10&amp;G$5&amp;yes)+COUNTIF(cyberRisk[workArea2],$C10&amp;G$5&amp;yesCC))/(COUNTIF(cyberRisk[workArea],$C10&amp;G$5)-COUNTIF(cyberRisk[workArea2],$C10&amp;G$5&amp;NotAvail)),"N/A"))</f>
        <v>0</v>
      </c>
      <c r="H10" s="81">
        <f>IF(G10=NotAvail,NotAvail,IFERROR((COUNTIF(cyberRisk[workArea2],$C10&amp;H$5&amp;yes)+COUNTIF(cyberRisk[workArea2],$C10&amp;H$5&amp;yesCC))/(COUNTIF(cyberRisk[workArea],$C10&amp;H$5)-COUNTIF(cyberRisk[workArea2],$C10&amp;H$5&amp;NotAvail)),"N/A"))</f>
        <v>0</v>
      </c>
      <c r="I10" s="85" t="str">
        <f t="shared" si="0"/>
        <v>---</v>
      </c>
      <c r="N10" s="281" t="str">
        <f>IF(COUNTIF(cyberRisk[workArea],$C10&amp;D$5)=COUNTIF(cyberRisk[workArea2],$C10&amp;D$5&amp;NotAvail),warningText,"")</f>
        <v/>
      </c>
      <c r="O10" s="281" t="str">
        <f>IF(COUNTIF(cyberRisk[workArea],$C10&amp;E$5)=COUNTIF(cyberRisk[workArea2],$C10&amp;E$5&amp;NotAvail),warningText,"")</f>
        <v/>
      </c>
      <c r="P10" s="281" t="str">
        <f>IF(COUNTIF(cyberRisk[workArea],$C10&amp;F$5)=COUNTIF(cyberRisk[workArea2],$C10&amp;F$5&amp;NotAvail),warningText,"")</f>
        <v/>
      </c>
      <c r="Q10" s="281" t="str">
        <f>IF(COUNTIF(cyberRisk[workArea],$C10&amp;G$5)=COUNTIF(cyberRisk[workArea2],$C10&amp;G$5&amp;NotAvail),warningText,"")</f>
        <v/>
      </c>
      <c r="R10" s="281" t="str">
        <f>IF(COUNTIF(cyberRisk[workArea],$C10&amp;H$5)=COUNTIF(cyberRisk[workArea2],$C10&amp;H$5&amp;NotAvail),warningText,"")</f>
        <v/>
      </c>
    </row>
    <row r="11" spans="1:19" x14ac:dyDescent="0.25">
      <c r="A11" s="80" t="str">
        <f>MID('Risk Management and Oversight'!$A$5,11,LEN('Risk Management and Oversight'!$A$5))</f>
        <v>Cyber Risk Management and Oversight</v>
      </c>
      <c r="B11" s="80" t="s">
        <v>37</v>
      </c>
      <c r="C11" s="58" t="s">
        <v>40</v>
      </c>
      <c r="D11" s="81">
        <f>IFERROR((COUNTIF(cyberRisk[workArea2],$C11&amp;D$5&amp;yes)+COUNTIF(cyberRisk[workArea2],$C11&amp;D$5&amp;yesCC))/(COUNTIF(cyberRisk[workArea],$C11&amp;D$5)-COUNTIF(cyberRisk[workArea2],$C11&amp;D$5&amp;NotAvail)),"N/A")</f>
        <v>0</v>
      </c>
      <c r="E11" s="81">
        <f>IF(D11=NotAvail,NotAvail,IFERROR((COUNTIF(cyberRisk[workArea2],$C11&amp;E$5&amp;yes)+COUNTIF(cyberRisk[workArea2],$C11&amp;E$5&amp;yesCC))/(COUNTIF(cyberRisk[workArea],$C11&amp;E$5)-COUNTIF(cyberRisk[workArea2],$C11&amp;E$5&amp;NotAvail)),"N/A"))</f>
        <v>0</v>
      </c>
      <c r="F11" s="81">
        <f>IF(E11=NotAvail,NotAvail,IFERROR((COUNTIF(cyberRisk[workArea2],$C11&amp;F$5&amp;yes)+COUNTIF(cyberRisk[workArea2],$C11&amp;F$5&amp;yesCC))/(COUNTIF(cyberRisk[workArea],$C11&amp;F$5)-COUNTIF(cyberRisk[workArea2],$C11&amp;F$5&amp;NotAvail)),"N/A"))</f>
        <v>0</v>
      </c>
      <c r="G11" s="81">
        <f>IF(F11=NotAvail,NotAvail,IFERROR((COUNTIF(cyberRisk[workArea2],$C11&amp;G$5&amp;yes)+COUNTIF(cyberRisk[workArea2],$C11&amp;G$5&amp;yesCC))/(COUNTIF(cyberRisk[workArea],$C11&amp;G$5)-COUNTIF(cyberRisk[workArea2],$C11&amp;G$5&amp;NotAvail)),"N/A"))</f>
        <v>0</v>
      </c>
      <c r="H11" s="81">
        <f>IF(G11=NotAvail,NotAvail,IFERROR((COUNTIF(cyberRisk[workArea2],$C11&amp;H$5&amp;yes)+COUNTIF(cyberRisk[workArea2],$C11&amp;H$5&amp;yesCC))/(COUNTIF(cyberRisk[workArea],$C11&amp;H$5)-COUNTIF(cyberRisk[workArea2],$C11&amp;H$5&amp;NotAvail)),"N/A"))</f>
        <v>0</v>
      </c>
      <c r="I11" s="85" t="str">
        <f t="shared" si="0"/>
        <v>---</v>
      </c>
      <c r="N11" s="281" t="str">
        <f>IF(COUNTIF(cyberRisk[workArea],$C11&amp;D$5)=COUNTIF(cyberRisk[workArea2],$C11&amp;D$5&amp;NotAvail),warningText,"")</f>
        <v/>
      </c>
      <c r="O11" s="281" t="str">
        <f>IF(COUNTIF(cyberRisk[workArea],$C11&amp;E$5)=COUNTIF(cyberRisk[workArea2],$C11&amp;E$5&amp;NotAvail),warningText,"")</f>
        <v/>
      </c>
      <c r="P11" s="281" t="str">
        <f>IF(COUNTIF(cyberRisk[workArea],$C11&amp;F$5)=COUNTIF(cyberRisk[workArea2],$C11&amp;F$5&amp;NotAvail),warningText,"")</f>
        <v/>
      </c>
      <c r="Q11" s="281" t="str">
        <f>IF(COUNTIF(cyberRisk[workArea],$C11&amp;G$5)=COUNTIF(cyberRisk[workArea2],$C11&amp;G$5&amp;NotAvail),warningText,"")</f>
        <v/>
      </c>
      <c r="R11" s="281" t="str">
        <f>IF(COUNTIF(cyberRisk[workArea],$C11&amp;H$5)=COUNTIF(cyberRisk[workArea2],$C11&amp;H$5&amp;NotAvail),warningText,"")</f>
        <v/>
      </c>
    </row>
    <row r="12" spans="1:19" x14ac:dyDescent="0.25">
      <c r="A12" s="80" t="str">
        <f>MID('Risk Management and Oversight'!$A$5,11,LEN('Risk Management and Oversight'!$A$5))</f>
        <v>Cyber Risk Management and Oversight</v>
      </c>
      <c r="B12" s="86" t="s">
        <v>41</v>
      </c>
      <c r="C12" s="58" t="s">
        <v>42</v>
      </c>
      <c r="D12" s="81">
        <f>IFERROR((COUNTIF(cyberRisk[workArea2],$C12&amp;D$5&amp;yes)+COUNTIF(cyberRisk[workArea2],$C12&amp;D$5&amp;yesCC))/(COUNTIF(cyberRisk[workArea],$C12&amp;D$5)-COUNTIF(cyberRisk[workArea2],$C12&amp;D$5&amp;NotAvail)),"N/A")</f>
        <v>0</v>
      </c>
      <c r="E12" s="81">
        <f>IF(D12=NotAvail,NotAvail,IFERROR((COUNTIF(cyberRisk[workArea2],$C12&amp;E$5&amp;yes)+COUNTIF(cyberRisk[workArea2],$C12&amp;E$5&amp;yesCC))/(COUNTIF(cyberRisk[workArea],$C12&amp;E$5)-COUNTIF(cyberRisk[workArea2],$C12&amp;E$5&amp;NotAvail)),"N/A"))</f>
        <v>0</v>
      </c>
      <c r="F12" s="81">
        <f>IF(E12=NotAvail,NotAvail,IFERROR((COUNTIF(cyberRisk[workArea2],$C12&amp;F$5&amp;yes)+COUNTIF(cyberRisk[workArea2],$C12&amp;F$5&amp;yesCC))/(COUNTIF(cyberRisk[workArea],$C12&amp;F$5)-COUNTIF(cyberRisk[workArea2],$C12&amp;F$5&amp;NotAvail)),"N/A"))</f>
        <v>0</v>
      </c>
      <c r="G12" s="81">
        <f>IF(F12=NotAvail,NotAvail,IFERROR((COUNTIF(cyberRisk[workArea2],$C12&amp;G$5&amp;yes)+COUNTIF(cyberRisk[workArea2],$C12&amp;G$5&amp;yesCC))/(COUNTIF(cyberRisk[workArea],$C12&amp;G$5)-COUNTIF(cyberRisk[workArea2],$C12&amp;G$5&amp;NotAvail)),"N/A"))</f>
        <v>0</v>
      </c>
      <c r="H12" s="81">
        <f>IF(G12=NotAvail,NotAvail,IFERROR((COUNTIF(cyberRisk[workArea2],$C12&amp;H$5&amp;yes)+COUNTIF(cyberRisk[workArea2],$C12&amp;H$5&amp;yesCC))/(COUNTIF(cyberRisk[workArea],$C12&amp;H$5)-COUNTIF(cyberRisk[workArea2],$C12&amp;H$5&amp;NotAvail)),"N/A"))</f>
        <v>0</v>
      </c>
      <c r="I12" s="85" t="str">
        <f t="shared" si="0"/>
        <v>---</v>
      </c>
      <c r="N12" s="281" t="str">
        <f>IF(COUNTIF(cyberRisk[workArea],$C12&amp;D$5)=COUNTIF(cyberRisk[workArea2],$C12&amp;D$5&amp;NotAvail),warningText,"")</f>
        <v/>
      </c>
      <c r="O12" s="281" t="str">
        <f>IF(COUNTIF(cyberRisk[workArea],$C12&amp;E$5)=COUNTIF(cyberRisk[workArea2],$C12&amp;E$5&amp;NotAvail),warningText,"")</f>
        <v/>
      </c>
      <c r="P12" s="281" t="str">
        <f>IF(COUNTIF(cyberRisk[workArea],$C12&amp;F$5)=COUNTIF(cyberRisk[workArea2],$C12&amp;F$5&amp;NotAvail),warningText,"")</f>
        <v/>
      </c>
      <c r="Q12" s="281" t="str">
        <f>IF(COUNTIF(cyberRisk[workArea],$C12&amp;G$5)=COUNTIF(cyberRisk[workArea2],$C12&amp;G$5&amp;NotAvail),warningText,"")</f>
        <v/>
      </c>
      <c r="R12" s="281" t="str">
        <f>IF(COUNTIF(cyberRisk[workArea],$C12&amp;H$5)=COUNTIF(cyberRisk[workArea2],$C12&amp;H$5&amp;NotAvail),warningText,"")</f>
        <v/>
      </c>
    </row>
    <row r="13" spans="1:19" x14ac:dyDescent="0.25">
      <c r="A13" s="80" t="str">
        <f>MID('Risk Management and Oversight'!$A$5,11,LEN('Risk Management and Oversight'!$A$5))</f>
        <v>Cyber Risk Management and Oversight</v>
      </c>
      <c r="B13" s="86" t="s">
        <v>43</v>
      </c>
      <c r="C13" s="58" t="s">
        <v>44</v>
      </c>
      <c r="D13" s="81">
        <f>IFERROR((COUNTIF(cyberRisk[workArea2],$C13&amp;D$5&amp;yes)+COUNTIF(cyberRisk[workArea2],$C13&amp;D$5&amp;yesCC))/(COUNTIF(cyberRisk[workArea],$C13&amp;D$5)-COUNTIF(cyberRisk[workArea2],$C13&amp;D$5&amp;NotAvail)),"N/A")</f>
        <v>0</v>
      </c>
      <c r="E13" s="81">
        <f>IF(D13=NotAvail,NotAvail,IFERROR((COUNTIF(cyberRisk[workArea2],$C13&amp;E$5&amp;yes)+COUNTIF(cyberRisk[workArea2],$C13&amp;E$5&amp;yesCC))/(COUNTIF(cyberRisk[workArea],$C13&amp;E$5)-COUNTIF(cyberRisk[workArea2],$C13&amp;E$5&amp;NotAvail)),"N/A"))</f>
        <v>0</v>
      </c>
      <c r="F13" s="81">
        <f>IF(E13=NotAvail,NotAvail,IFERROR((COUNTIF(cyberRisk[workArea2],$C13&amp;F$5&amp;yes)+COUNTIF(cyberRisk[workArea2],$C13&amp;F$5&amp;yesCC))/(COUNTIF(cyberRisk[workArea],$C13&amp;F$5)-COUNTIF(cyberRisk[workArea2],$C13&amp;F$5&amp;NotAvail)),"N/A"))</f>
        <v>0</v>
      </c>
      <c r="G13" s="81">
        <f>IF(F13=NotAvail,NotAvail,IFERROR((COUNTIF(cyberRisk[workArea2],$C13&amp;G$5&amp;yes)+COUNTIF(cyberRisk[workArea2],$C13&amp;G$5&amp;yesCC))/(COUNTIF(cyberRisk[workArea],$C13&amp;G$5)-COUNTIF(cyberRisk[workArea2],$C13&amp;G$5&amp;NotAvail)),"N/A"))</f>
        <v>0</v>
      </c>
      <c r="H13" s="81">
        <f>IF(G13=NotAvail,NotAvail,IFERROR((COUNTIF(cyberRisk[workArea2],$C13&amp;H$5&amp;yes)+COUNTIF(cyberRisk[workArea2],$C13&amp;H$5&amp;yesCC))/(COUNTIF(cyberRisk[workArea],$C13&amp;H$5)-COUNTIF(cyberRisk[workArea2],$C13&amp;H$5&amp;NotAvail)),"N/A"))</f>
        <v>0</v>
      </c>
      <c r="I13" s="85" t="str">
        <f t="shared" si="0"/>
        <v>---</v>
      </c>
      <c r="N13" s="281" t="str">
        <f>IF(COUNTIF(cyberRisk[workArea],$C13&amp;D$5)=COUNTIF(cyberRisk[workArea2],$C13&amp;D$5&amp;NotAvail),warningText,"")</f>
        <v/>
      </c>
      <c r="O13" s="281" t="str">
        <f>IF(COUNTIF(cyberRisk[workArea],$C13&amp;E$5)=COUNTIF(cyberRisk[workArea2],$C13&amp;E$5&amp;NotAvail),warningText,"")</f>
        <v/>
      </c>
      <c r="P13" s="281" t="str">
        <f>IF(COUNTIF(cyberRisk[workArea],$C13&amp;F$5)=COUNTIF(cyberRisk[workArea2],$C13&amp;F$5&amp;NotAvail),warningText,"")</f>
        <v/>
      </c>
      <c r="Q13" s="281" t="str">
        <f>IF(COUNTIF(cyberRisk[workArea],$C13&amp;G$5)=COUNTIF(cyberRisk[workArea2],$C13&amp;G$5&amp;NotAvail),warningText,"")</f>
        <v/>
      </c>
      <c r="R13" s="281" t="str">
        <f>IF(COUNTIF(cyberRisk[workArea],$C13&amp;H$5)=COUNTIF(cyberRisk[workArea2],$C13&amp;H$5&amp;NotAvail),warningText,"")</f>
        <v/>
      </c>
    </row>
    <row r="14" spans="1:19" x14ac:dyDescent="0.25">
      <c r="A14" s="80" t="str">
        <f>MID('Risk Management and Oversight'!$A$5,11,LEN('Risk Management and Oversight'!$A$5))</f>
        <v>Cyber Risk Management and Oversight</v>
      </c>
      <c r="B14" s="86" t="s">
        <v>43</v>
      </c>
      <c r="C14" s="58" t="s">
        <v>45</v>
      </c>
      <c r="D14" s="81">
        <f>IFERROR((COUNTIF(cyberRisk[workArea2],$C14&amp;D$5&amp;yes)+COUNTIF(cyberRisk[workArea2],$C14&amp;D$5&amp;yesCC))/(COUNTIF(cyberRisk[workArea],$C14&amp;D$5)-COUNTIF(cyberRisk[workArea2],$C14&amp;D$5&amp;NotAvail)),"N/A")</f>
        <v>0</v>
      </c>
      <c r="E14" s="81">
        <f>IF(D14=NotAvail,NotAvail,IFERROR((COUNTIF(cyberRisk[workArea2],$C14&amp;E$5&amp;yes)+COUNTIF(cyberRisk[workArea2],$C14&amp;E$5&amp;yesCC))/(COUNTIF(cyberRisk[workArea],$C14&amp;E$5)-COUNTIF(cyberRisk[workArea2],$C14&amp;E$5&amp;NotAvail)),"N/A"))</f>
        <v>0</v>
      </c>
      <c r="F14" s="81">
        <f>IF(E14=NotAvail,NotAvail,IFERROR((COUNTIF(cyberRisk[workArea2],$C14&amp;F$5&amp;yes)+COUNTIF(cyberRisk[workArea2],$C14&amp;F$5&amp;yesCC))/(COUNTIF(cyberRisk[workArea],$C14&amp;F$5)-COUNTIF(cyberRisk[workArea2],$C14&amp;F$5&amp;NotAvail)),"N/A"))</f>
        <v>0</v>
      </c>
      <c r="G14" s="81">
        <f>IF(F14=NotAvail,NotAvail,IFERROR((COUNTIF(cyberRisk[workArea2],$C14&amp;G$5&amp;yes)+COUNTIF(cyberRisk[workArea2],$C14&amp;G$5&amp;yesCC))/(COUNTIF(cyberRisk[workArea],$C14&amp;G$5)-COUNTIF(cyberRisk[workArea2],$C14&amp;G$5&amp;NotAvail)),"N/A"))</f>
        <v>0</v>
      </c>
      <c r="H14" s="81">
        <f>IF(G14=NotAvail,NotAvail,IFERROR((COUNTIF(cyberRisk[workArea2],$C14&amp;H$5&amp;yes)+COUNTIF(cyberRisk[workArea2],$C14&amp;H$5&amp;yesCC))/(COUNTIF(cyberRisk[workArea],$C14&amp;H$5)-COUNTIF(cyberRisk[workArea2],$C14&amp;H$5&amp;NotAvail)),"N/A"))</f>
        <v>0</v>
      </c>
      <c r="I14" s="85" t="str">
        <f t="shared" si="0"/>
        <v>---</v>
      </c>
      <c r="N14" s="281" t="str">
        <f>IF(COUNTIF(cyberRisk[workArea],$C14&amp;D$5)=COUNTIF(cyberRisk[workArea2],$C14&amp;D$5&amp;NotAvail),warningText,"")</f>
        <v/>
      </c>
      <c r="O14" s="281" t="str">
        <f>IF(COUNTIF(cyberRisk[workArea],$C14&amp;E$5)=COUNTIF(cyberRisk[workArea2],$C14&amp;E$5&amp;NotAvail),warningText,"")</f>
        <v/>
      </c>
      <c r="P14" s="281" t="str">
        <f>IF(COUNTIF(cyberRisk[workArea],$C14&amp;F$5)=COUNTIF(cyberRisk[workArea2],$C14&amp;F$5&amp;NotAvail),warningText,"")</f>
        <v/>
      </c>
      <c r="Q14" s="281" t="str">
        <f>IF(COUNTIF(cyberRisk[workArea],$C14&amp;G$5)=COUNTIF(cyberRisk[workArea2],$C14&amp;G$5&amp;NotAvail),warningText,"")</f>
        <v/>
      </c>
      <c r="R14" s="281" t="str">
        <f>IF(COUNTIF(cyberRisk[workArea],$C14&amp;H$5)=COUNTIF(cyberRisk[workArea2],$C14&amp;H$5&amp;NotAvail),warningText,"")</f>
        <v/>
      </c>
    </row>
    <row r="15" spans="1:19" ht="3.95" customHeight="1" x14ac:dyDescent="0.25">
      <c r="A15" s="277"/>
      <c r="B15" s="277"/>
      <c r="C15" s="278"/>
      <c r="D15" s="279"/>
      <c r="E15" s="279"/>
      <c r="F15" s="279"/>
      <c r="G15" s="279"/>
      <c r="H15" s="279"/>
      <c r="I15" s="280"/>
      <c r="N15" s="282"/>
      <c r="O15" s="282"/>
      <c r="P15" s="282"/>
      <c r="Q15" s="282"/>
      <c r="R15" s="282"/>
    </row>
    <row r="16" spans="1:19" ht="30" customHeight="1" x14ac:dyDescent="0.25">
      <c r="A16" s="80" t="str">
        <f>MID('Threat Intel and Collaboration'!$A$5,11,LEN('Threat Intel and Collaboration'!$A$5))</f>
        <v>Threat Intelligence and Collaboration</v>
      </c>
      <c r="B16" s="80" t="s">
        <v>191</v>
      </c>
      <c r="C16" s="58" t="s">
        <v>611</v>
      </c>
      <c r="D16" s="84">
        <f>IFERROR((COUNTIF(IntelNColab[workArea2],$C16&amp;D$5&amp;yes)+COUNTIF(IntelNColab[workArea2],$C16&amp;D$5&amp;yesCC))/(COUNTIF(IntelNColab[workArea],$C16&amp;D$5)-COUNTIF(IntelNColab[workArea2],$C16&amp;D$5&amp;NotAvail)),"N/A")</f>
        <v>0</v>
      </c>
      <c r="E16" s="84">
        <f>IF(D16=NotAvail,NotAvail,IFERROR((COUNTIF(IntelNColab[workArea2],$C16&amp;E$5&amp;yes)+COUNTIF(IntelNColab[workArea2],$C16&amp;E$5&amp;yesCC))/(COUNTIF(IntelNColab[workArea],$C16&amp;E$5)-COUNTIF(IntelNColab[workArea2],$C16&amp;E$5&amp;NotAvail)),"N/A"))</f>
        <v>0</v>
      </c>
      <c r="F16" s="84">
        <f>IF(E16=NotAvail,NotAvail,IFERROR((COUNTIF(IntelNColab[workArea2],$C16&amp;F$5&amp;yes)+COUNTIF(IntelNColab[workArea2],$C16&amp;F$5&amp;yesCC))/(COUNTIF(IntelNColab[workArea],$C16&amp;F$5)-COUNTIF(IntelNColab[workArea2],$C16&amp;F$5&amp;NotAvail)),"N/A"))</f>
        <v>0</v>
      </c>
      <c r="G16" s="84">
        <f>IF(F16=NotAvail,NotAvail,IFERROR((COUNTIF(IntelNColab[workArea2],$C16&amp;G$5&amp;yes)+COUNTIF(IntelNColab[workArea2],$C16&amp;G$5&amp;yesCC))/(COUNTIF(IntelNColab[workArea],$C16&amp;G$5)-COUNTIF(IntelNColab[workArea2],$C16&amp;G$5&amp;NotAvail)),"N/A"))</f>
        <v>0</v>
      </c>
      <c r="H16" s="84">
        <f>IF(G16=NotAvail,NotAvail,IFERROR((COUNTIF(IntelNColab[workArea2],$C16&amp;H$5&amp;yes)+COUNTIF(IntelNColab[workArea2],$C16&amp;H$5&amp;yesCC))/(COUNTIF(IntelNColab[workArea],$C16&amp;H$5)-COUNTIF(IntelNColab[workArea2],$C16&amp;H$5&amp;NotAvail)),"N/A"))</f>
        <v>0</v>
      </c>
      <c r="I16" s="85" t="str">
        <f>IF(AND(D16=1,E16=1,F16=1,G16=1,H16=1),H$5,IF(AND(D16=1,E16=1,F16=1,G16=1),G$5,IF(AND(D16=1,E16=1,F16=1),F$5,IF(AND(D16=1,E16=1),E$5,IF(D16=1,D$5,nOTA)))))</f>
        <v>---</v>
      </c>
      <c r="K16" s="83" t="str">
        <f>IFERROR(INDEX(maturityLevels,MIN(MATCH(I16,maturityLevels,0),MATCH(I17,maturityLevels,0),MATCH(I18,maturityLevels,0))),nOTA)</f>
        <v>---</v>
      </c>
      <c r="N16" s="281" t="str">
        <f>IF(COUNTIF(IntelNColab[workArea],$C16&amp;D$5)=COUNTIF(IntelNColab[workArea2],$C16&amp;D$5&amp;NotAvail),warningText,"")</f>
        <v/>
      </c>
      <c r="O16" s="281" t="str">
        <f>IF(COUNTIF(IntelNColab[workArea],$C16&amp;E$5)=COUNTIF(IntelNColab[workArea2],$C16&amp;E$5&amp;NotAvail),warningText,"")</f>
        <v/>
      </c>
      <c r="P16" s="281" t="str">
        <f>IF(COUNTIF(IntelNColab[workArea],$C16&amp;F$5)=COUNTIF(IntelNColab[workArea2],$C16&amp;F$5&amp;NotAvail),warningText,"")</f>
        <v/>
      </c>
      <c r="Q16" s="281" t="str">
        <f>IF(COUNTIF(IntelNColab[workArea],$C16&amp;G$5)=COUNTIF(IntelNColab[workArea2],$C16&amp;G$5&amp;NotAvail),warningText,"")</f>
        <v/>
      </c>
      <c r="R16" s="281" t="str">
        <f>IF(COUNTIF(IntelNColab[workArea],$C16&amp;H$5)=COUNTIF(IntelNColab[workArea2],$C16&amp;H$5&amp;NotAvail),warningText,"")</f>
        <v/>
      </c>
      <c r="S16" s="285">
        <f>COUNTIF(N16:R18,warningText)</f>
        <v>0</v>
      </c>
    </row>
    <row r="17" spans="1:19" ht="30" x14ac:dyDescent="0.25">
      <c r="A17" s="80" t="s">
        <v>210</v>
      </c>
      <c r="B17" s="80" t="s">
        <v>609</v>
      </c>
      <c r="C17" s="58" t="s">
        <v>609</v>
      </c>
      <c r="D17" s="84">
        <f>IFERROR((COUNTIF(IntelNColab[workArea2],$C17&amp;D$5&amp;yes)+COUNTIF(IntelNColab[workArea2],$C17&amp;D$5&amp;yesCC))/(COUNTIF(IntelNColab[workArea],$C17&amp;D$5)-COUNTIF(IntelNColab[workArea2],$C17&amp;D$5&amp;NotAvail)),"N/A")</f>
        <v>0</v>
      </c>
      <c r="E17" s="84">
        <f>IF(D17=NotAvail,NotAvail,IFERROR((COUNTIF(IntelNColab[workArea2],$C17&amp;E$5&amp;yes)+COUNTIF(IntelNColab[workArea2],$C17&amp;E$5&amp;yesCC))/(COUNTIF(IntelNColab[workArea],$C17&amp;E$5)-COUNTIF(IntelNColab[workArea2],$C17&amp;E$5&amp;NotAvail)),"N/A"))</f>
        <v>0</v>
      </c>
      <c r="F17" s="84">
        <f>IF(E17=NotAvail,NotAvail,IFERROR((COUNTIF(IntelNColab[workArea2],$C17&amp;F$5&amp;yes)+COUNTIF(IntelNColab[workArea2],$C17&amp;F$5&amp;yesCC))/(COUNTIF(IntelNColab[workArea],$C17&amp;F$5)-COUNTIF(IntelNColab[workArea2],$C17&amp;F$5&amp;NotAvail)),"N/A"))</f>
        <v>0</v>
      </c>
      <c r="G17" s="84">
        <f>IF(F17=NotAvail,NotAvail,IFERROR((COUNTIF(IntelNColab[workArea2],$C17&amp;G$5&amp;yes)+COUNTIF(IntelNColab[workArea2],$C17&amp;G$5&amp;yesCC))/(COUNTIF(IntelNColab[workArea],$C17&amp;G$5)-COUNTIF(IntelNColab[workArea2],$C17&amp;G$5&amp;NotAvail)),"N/A"))</f>
        <v>0</v>
      </c>
      <c r="H17" s="84">
        <f>IF(G17=NotAvail,NotAvail,IFERROR((COUNTIF(IntelNColab[workArea2],$C17&amp;H$5&amp;yes)+COUNTIF(IntelNColab[workArea2],$C17&amp;H$5&amp;yesCC))/(COUNTIF(IntelNColab[workArea],$C17&amp;H$5)-COUNTIF(IntelNColab[workArea2],$C17&amp;H$5&amp;NotAvail)),"N/A"))</f>
        <v>0</v>
      </c>
      <c r="I17" s="85" t="str">
        <f>IF(AND(D17=1,E17=1,F17=1,G17=1,H17=1),H$5,IF(AND(D17=1,E17=1,F17=1,G17=1),G$5,IF(AND(D17=1,E17=1,F17=1),F$5,IF(AND(D17=1,E17=1),E$5,IF(D17=1,D$5,nOTA)))))</f>
        <v>---</v>
      </c>
      <c r="N17" s="281" t="str">
        <f>IF(COUNTIF(IntelNColab[workArea],$C17&amp;D$5)=COUNTIF(IntelNColab[workArea2],$C17&amp;D$5&amp;NotAvail),warningText,"")</f>
        <v/>
      </c>
      <c r="O17" s="281" t="str">
        <f>IF(COUNTIF(IntelNColab[workArea],$C17&amp;E$5)=COUNTIF(IntelNColab[workArea2],$C17&amp;E$5&amp;NotAvail),warningText,"")</f>
        <v/>
      </c>
      <c r="P17" s="281" t="str">
        <f>IF(COUNTIF(IntelNColab[workArea],$C17&amp;F$5)=COUNTIF(IntelNColab[workArea2],$C17&amp;F$5&amp;NotAvail),warningText,"")</f>
        <v/>
      </c>
      <c r="Q17" s="281" t="str">
        <f>IF(COUNTIF(IntelNColab[workArea],$C17&amp;G$5)=COUNTIF(IntelNColab[workArea2],$C17&amp;G$5&amp;NotAvail),warningText,"")</f>
        <v/>
      </c>
      <c r="R17" s="281" t="str">
        <f>IF(COUNTIF(IntelNColab[workArea],$C17&amp;H$5)=COUNTIF(IntelNColab[workArea2],$C17&amp;H$5&amp;NotAvail),warningText,"")</f>
        <v/>
      </c>
    </row>
    <row r="18" spans="1:19" x14ac:dyDescent="0.25">
      <c r="A18" s="80" t="s">
        <v>210</v>
      </c>
      <c r="B18" s="80" t="s">
        <v>246</v>
      </c>
      <c r="C18" s="58" t="s">
        <v>246</v>
      </c>
      <c r="D18" s="84">
        <f>IFERROR((COUNTIF(IntelNColab[workArea2],$C18&amp;D$5&amp;yes)+COUNTIF(IntelNColab[workArea2],$C18&amp;D$5&amp;yesCC))/(COUNTIF(IntelNColab[workArea],$C18&amp;D$5)-COUNTIF(IntelNColab[workArea2],$C18&amp;D$5&amp;NotAvail)),"N/A")</f>
        <v>0</v>
      </c>
      <c r="E18" s="84">
        <f>IF(D18=NotAvail,NotAvail,IFERROR((COUNTIF(IntelNColab[workArea2],$C18&amp;E$5&amp;yes)+COUNTIF(IntelNColab[workArea2],$C18&amp;E$5&amp;yesCC))/(COUNTIF(IntelNColab[workArea],$C18&amp;E$5)-COUNTIF(IntelNColab[workArea2],$C18&amp;E$5&amp;NotAvail)),"N/A"))</f>
        <v>0</v>
      </c>
      <c r="F18" s="84">
        <f>IF(E18=NotAvail,NotAvail,IFERROR((COUNTIF(IntelNColab[workArea2],$C18&amp;F$5&amp;yes)+COUNTIF(IntelNColab[workArea2],$C18&amp;F$5&amp;yesCC))/(COUNTIF(IntelNColab[workArea],$C18&amp;F$5)-COUNTIF(IntelNColab[workArea2],$C18&amp;F$5&amp;NotAvail)),"N/A"))</f>
        <v>0</v>
      </c>
      <c r="G18" s="84">
        <f>IF(F18=NotAvail,NotAvail,IFERROR((COUNTIF(IntelNColab[workArea2],$C18&amp;G$5&amp;yes)+COUNTIF(IntelNColab[workArea2],$C18&amp;G$5&amp;yesCC))/(COUNTIF(IntelNColab[workArea],$C18&amp;G$5)-COUNTIF(IntelNColab[workArea2],$C18&amp;G$5&amp;NotAvail)),"N/A"))</f>
        <v>0</v>
      </c>
      <c r="H18" s="84">
        <f>IF(G18=NotAvail,NotAvail,IFERROR((COUNTIF(IntelNColab[workArea2],$C18&amp;H$5&amp;yes)+COUNTIF(IntelNColab[workArea2],$C18&amp;H$5&amp;yesCC))/(COUNTIF(IntelNColab[workArea],$C18&amp;H$5)-COUNTIF(IntelNColab[workArea2],$C18&amp;H$5&amp;NotAvail)),"N/A"))</f>
        <v>0</v>
      </c>
      <c r="I18" s="85" t="str">
        <f>IF(AND(D18=1,E18=1,F18=1,G18=1,H18=1),H$5,IF(AND(D18=1,E18=1,F18=1,G18=1),G$5,IF(AND(D18=1,E18=1,F18=1),F$5,IF(AND(D18=1,E18=1),E$5,IF(D18=1,D$5,nOTA)))))</f>
        <v>---</v>
      </c>
      <c r="N18" s="281" t="str">
        <f>IF(COUNTIF(IntelNColab[workArea],$C18&amp;D$5)=COUNTIF(IntelNColab[workArea2],$C18&amp;D$5&amp;NotAvail),warningText,"")</f>
        <v/>
      </c>
      <c r="O18" s="281" t="str">
        <f>IF(COUNTIF(IntelNColab[workArea],$C18&amp;E$5)=COUNTIF(IntelNColab[workArea2],$C18&amp;E$5&amp;NotAvail),warningText,"")</f>
        <v/>
      </c>
      <c r="P18" s="281" t="str">
        <f>IF(COUNTIF(IntelNColab[workArea],$C18&amp;F$5)=COUNTIF(IntelNColab[workArea2],$C18&amp;F$5&amp;NotAvail),warningText,"")</f>
        <v/>
      </c>
      <c r="Q18" s="281" t="str">
        <f>IF(COUNTIF(IntelNColab[workArea],$C18&amp;G$5)=COUNTIF(IntelNColab[workArea2],$C18&amp;G$5&amp;NotAvail),warningText,"")</f>
        <v/>
      </c>
      <c r="R18" s="281" t="str">
        <f>IF(COUNTIF(IntelNColab[workArea],$C18&amp;H$5)=COUNTIF(IntelNColab[workArea2],$C18&amp;H$5&amp;NotAvail),warningText,"")</f>
        <v/>
      </c>
    </row>
    <row r="19" spans="1:19" ht="3.95" customHeight="1" x14ac:dyDescent="0.25">
      <c r="A19" s="277"/>
      <c r="B19" s="277"/>
      <c r="C19" s="278"/>
      <c r="D19" s="279"/>
      <c r="E19" s="279"/>
      <c r="F19" s="279"/>
      <c r="G19" s="279"/>
      <c r="H19" s="279"/>
      <c r="I19" s="280"/>
      <c r="N19" s="282"/>
      <c r="O19" s="282"/>
      <c r="P19" s="282"/>
      <c r="Q19" s="282"/>
      <c r="R19" s="282"/>
    </row>
    <row r="20" spans="1:19" ht="30" customHeight="1" x14ac:dyDescent="0.25">
      <c r="A20" s="80" t="s">
        <v>215</v>
      </c>
      <c r="B20" s="80" t="s">
        <v>263</v>
      </c>
      <c r="C20" s="58" t="s">
        <v>264</v>
      </c>
      <c r="D20" s="84">
        <f>IFERROR((COUNTIF(cyberControls[workArea2],$C20&amp;D$5&amp;yes)+COUNTIF(cyberControls[workArea2],$C20&amp;D$5&amp;yesCC))/(COUNTIF(cyberControls[workArea],$C20&amp;D$5)-COUNTIF(cyberControls[workArea2],$C20&amp;D$5&amp;NotAvail)),"N/A")</f>
        <v>0</v>
      </c>
      <c r="E20" s="84">
        <f>IF(D20=NotAvail,NotAvail,IFERROR((COUNTIF(cyberControls[workArea2],$C20&amp;E$5&amp;yes)+COUNTIF(cyberControls[workArea2],$C20&amp;E$5&amp;yesCC))/(COUNTIF(cyberControls[workArea],$C20&amp;E$5)-COUNTIF(cyberControls[workArea2],$C20&amp;E$5&amp;NotAvail)),"N/A"))</f>
        <v>0</v>
      </c>
      <c r="F20" s="84">
        <f>IF(E20=NotAvail,NotAvail,IFERROR((COUNTIF(cyberControls[workArea2],$C20&amp;F$5&amp;yes)+COUNTIF(cyberControls[workArea2],$C20&amp;F$5&amp;yesCC))/(COUNTIF(cyberControls[workArea],$C20&amp;F$5)-COUNTIF(cyberControls[workArea2],$C20&amp;F$5&amp;NotAvail)),"N/A"))</f>
        <v>0</v>
      </c>
      <c r="G20" s="84">
        <f>IF(F20=NotAvail,NotAvail,IFERROR((COUNTIF(cyberControls[workArea2],$C20&amp;G$5&amp;yes)+COUNTIF(cyberControls[workArea2],$C20&amp;G$5&amp;yesCC))/(COUNTIF(cyberControls[workArea],$C20&amp;G$5)-COUNTIF(cyberControls[workArea2],$C20&amp;G$5&amp;NotAvail)),"N/A"))</f>
        <v>0</v>
      </c>
      <c r="H20" s="84">
        <f>IF(G20=NotAvail,NotAvail,IFERROR((COUNTIF(cyberControls[workArea2],$C20&amp;H$5&amp;yes)+COUNTIF(cyberControls[workArea2],$C20&amp;H$5&amp;yesCC))/(COUNTIF(cyberControls[workArea],$C20&amp;H$5)-COUNTIF(cyberControls[workArea2],$C20&amp;H$5&amp;NotAvail)),"N/A"))</f>
        <v>0</v>
      </c>
      <c r="I20" s="85" t="str">
        <f t="shared" ref="I20:I28" si="1">IF(AND(D20=1,E20=1,F20=1,G20=1,H20=1),H$5,IF(AND(D20=1,E20=1,F20=1,G20=1),G$5,IF(AND(D20=1,E20=1,F20=1),F$5,IF(AND(D20=1,E20=1),E$5,IF(D20=1,D$5,nOTA)))))</f>
        <v>---</v>
      </c>
      <c r="K20" s="83" t="str">
        <f>IFERROR(INDEX(maturityLevels,MIN(MATCH(I20,maturityLevels,0),MATCH(I21,maturityLevels,0),MATCH(I22,maturityLevels,0),MATCH(I23,maturityLevels,0),MATCH(I24,maturityLevels,0),MATCH(I25,maturityLevels,0),MATCH(I26,maturityLevels,0),MATCH(I27,maturityLevels,0),MATCH(I28,maturityLevels,0))),nOTA)</f>
        <v>---</v>
      </c>
      <c r="N20" s="281" t="str">
        <f>IF(COUNTIF(cyberControls[workArea],$C20&amp;D$5)=COUNTIF(cyberControls[workArea2],$C20&amp;D$5&amp;NotAvail),warningText,"")</f>
        <v/>
      </c>
      <c r="O20" s="281" t="str">
        <f>IF(COUNTIF(cyberControls[workArea],$C20&amp;E$5)=COUNTIF(cyberControls[workArea2],$C20&amp;E$5&amp;NotAvail),warningText,"")</f>
        <v/>
      </c>
      <c r="P20" s="281" t="str">
        <f>IF(COUNTIF(cyberControls[workArea],$C20&amp;F$5)=COUNTIF(cyberControls[workArea2],$C20&amp;F$5&amp;NotAvail),warningText,"")</f>
        <v/>
      </c>
      <c r="Q20" s="281" t="str">
        <f>IF(COUNTIF(cyberControls[workArea],$C20&amp;G$5)=COUNTIF(cyberControls[workArea2],$C20&amp;G$5&amp;NotAvail),warningText,"")</f>
        <v/>
      </c>
      <c r="R20" s="281" t="str">
        <f>IF(COUNTIF(cyberControls[workArea],$C20&amp;H$5)=COUNTIF(cyberControls[workArea2],$C20&amp;H$5&amp;NotAvail),warningText,"")</f>
        <v/>
      </c>
      <c r="S20" s="285">
        <f>COUNTIF(N20:R28,warningText)</f>
        <v>0</v>
      </c>
    </row>
    <row r="21" spans="1:19" ht="30" x14ac:dyDescent="0.25">
      <c r="A21" s="80" t="s">
        <v>215</v>
      </c>
      <c r="B21" s="80" t="s">
        <v>263</v>
      </c>
      <c r="C21" s="58" t="s">
        <v>296</v>
      </c>
      <c r="D21" s="84">
        <f>IFERROR((COUNTIF(cyberControls[workArea2],$C21&amp;D$5&amp;yes)+COUNTIF(cyberControls[workArea2],$C21&amp;D$5&amp;yesCC))/(COUNTIF(cyberControls[workArea],$C21&amp;D$5)-COUNTIF(cyberControls[workArea2],$C21&amp;D$5&amp;NotAvail)),"N/A")</f>
        <v>0</v>
      </c>
      <c r="E21" s="84">
        <f>IF(D21=NotAvail,NotAvail,IFERROR((COUNTIF(cyberControls[workArea2],$C21&amp;E$5&amp;yes)+COUNTIF(cyberControls[workArea2],$C21&amp;E$5&amp;yesCC))/(COUNTIF(cyberControls[workArea],$C21&amp;E$5)-COUNTIF(cyberControls[workArea2],$C21&amp;E$5&amp;NotAvail)),"N/A"))</f>
        <v>0</v>
      </c>
      <c r="F21" s="84">
        <f>IF(E21=NotAvail,NotAvail,IFERROR((COUNTIF(cyberControls[workArea2],$C21&amp;F$5&amp;yes)+COUNTIF(cyberControls[workArea2],$C21&amp;F$5&amp;yesCC))/(COUNTIF(cyberControls[workArea],$C21&amp;F$5)-COUNTIF(cyberControls[workArea2],$C21&amp;F$5&amp;NotAvail)),"N/A"))</f>
        <v>0</v>
      </c>
      <c r="G21" s="84">
        <f>IF(F21=NotAvail,NotAvail,IFERROR((COUNTIF(cyberControls[workArea2],$C21&amp;G$5&amp;yes)+COUNTIF(cyberControls[workArea2],$C21&amp;G$5&amp;yesCC))/(COUNTIF(cyberControls[workArea],$C21&amp;G$5)-COUNTIF(cyberControls[workArea2],$C21&amp;G$5&amp;NotAvail)),"N/A"))</f>
        <v>0</v>
      </c>
      <c r="H21" s="84">
        <f>IF(G21=NotAvail,NotAvail,IFERROR((COUNTIF(cyberControls[workArea2],$C21&amp;H$5&amp;yes)+COUNTIF(cyberControls[workArea2],$C21&amp;H$5&amp;yesCC))/(COUNTIF(cyberControls[workArea],$C21&amp;H$5)-COUNTIF(cyberControls[workArea2],$C21&amp;H$5&amp;NotAvail)),"N/A"))</f>
        <v>0</v>
      </c>
      <c r="I21" s="85" t="str">
        <f t="shared" si="1"/>
        <v>---</v>
      </c>
      <c r="N21" s="281" t="str">
        <f>IF(COUNTIF(cyberControls[workArea],$C21&amp;D$5)=COUNTIF(cyberControls[workArea2],$C21&amp;D$5&amp;NotAvail),warningText,"")</f>
        <v/>
      </c>
      <c r="O21" s="281" t="str">
        <f>IF(COUNTIF(cyberControls[workArea],$C21&amp;E$5)=COUNTIF(cyberControls[workArea2],$C21&amp;E$5&amp;NotAvail),warningText,"")</f>
        <v/>
      </c>
      <c r="P21" s="281" t="str">
        <f>IF(COUNTIF(cyberControls[workArea],$C21&amp;F$5)=COUNTIF(cyberControls[workArea2],$C21&amp;F$5&amp;NotAvail),warningText,"")</f>
        <v/>
      </c>
      <c r="Q21" s="281" t="str">
        <f>IF(COUNTIF(cyberControls[workArea],$C21&amp;G$5)=COUNTIF(cyberControls[workArea2],$C21&amp;G$5&amp;NotAvail),warningText,"")</f>
        <v/>
      </c>
      <c r="R21" s="281" t="str">
        <f>IF(COUNTIF(cyberControls[workArea],$C21&amp;H$5)=COUNTIF(cyberControls[workArea2],$C21&amp;H$5&amp;NotAvail),warningText,"")</f>
        <v/>
      </c>
    </row>
    <row r="22" spans="1:19" ht="30" x14ac:dyDescent="0.25">
      <c r="A22" s="80" t="s">
        <v>215</v>
      </c>
      <c r="B22" s="80" t="s">
        <v>263</v>
      </c>
      <c r="C22" s="58" t="s">
        <v>335</v>
      </c>
      <c r="D22" s="84">
        <f>IFERROR((COUNTIF(cyberControls[workArea2],$C22&amp;D$5&amp;yes)+COUNTIF(cyberControls[workArea2],$C22&amp;D$5&amp;yesCC))/(COUNTIF(cyberControls[workArea],$C22&amp;D$5)-COUNTIF(cyberControls[workArea2],$C22&amp;D$5&amp;NotAvail)),"N/A")</f>
        <v>0</v>
      </c>
      <c r="E22" s="84">
        <f>IF(D22=NotAvail,NotAvail,IFERROR((COUNTIF(cyberControls[workArea2],$C22&amp;E$5&amp;yes)+COUNTIF(cyberControls[workArea2],$C22&amp;E$5&amp;yesCC))/(COUNTIF(cyberControls[workArea],$C22&amp;E$5)-COUNTIF(cyberControls[workArea2],$C22&amp;E$5&amp;NotAvail)),"N/A"))</f>
        <v>0</v>
      </c>
      <c r="F22" s="84">
        <f>IF(E22=NotAvail,NotAvail,IFERROR((COUNTIF(cyberControls[workArea2],$C22&amp;F$5&amp;yes)+COUNTIF(cyberControls[workArea2],$C22&amp;F$5&amp;yesCC))/(COUNTIF(cyberControls[workArea],$C22&amp;F$5)-COUNTIF(cyberControls[workArea2],$C22&amp;F$5&amp;NotAvail)),"N/A"))</f>
        <v>0</v>
      </c>
      <c r="G22" s="84">
        <f>IF(F22=NotAvail,NotAvail,IFERROR((COUNTIF(cyberControls[workArea2],$C22&amp;G$5&amp;yes)+COUNTIF(cyberControls[workArea2],$C22&amp;G$5&amp;yesCC))/(COUNTIF(cyberControls[workArea],$C22&amp;G$5)-COUNTIF(cyberControls[workArea2],$C22&amp;G$5&amp;NotAvail)),"N/A"))</f>
        <v>0</v>
      </c>
      <c r="H22" s="84">
        <f>IF(G22=NotAvail,NotAvail,IFERROR((COUNTIF(cyberControls[workArea2],$C22&amp;H$5&amp;yes)+COUNTIF(cyberControls[workArea2],$C22&amp;H$5&amp;yesCC))/(COUNTIF(cyberControls[workArea],$C22&amp;H$5)-COUNTIF(cyberControls[workArea2],$C22&amp;H$5&amp;NotAvail)),"N/A"))</f>
        <v>0</v>
      </c>
      <c r="I22" s="85" t="str">
        <f t="shared" si="1"/>
        <v>---</v>
      </c>
      <c r="N22" s="281" t="str">
        <f>IF(COUNTIF(cyberControls[workArea],$C22&amp;D$5)=COUNTIF(cyberControls[workArea2],$C22&amp;D$5&amp;NotAvail),warningText,"")</f>
        <v/>
      </c>
      <c r="O22" s="281" t="str">
        <f>IF(COUNTIF(cyberControls[workArea],$C22&amp;E$5)=COUNTIF(cyberControls[workArea2],$C22&amp;E$5&amp;NotAvail),warningText,"")</f>
        <v/>
      </c>
      <c r="P22" s="281" t="str">
        <f>IF(COUNTIF(cyberControls[workArea],$C22&amp;F$5)=COUNTIF(cyberControls[workArea2],$C22&amp;F$5&amp;NotAvail),warningText,"")</f>
        <v/>
      </c>
      <c r="Q22" s="281" t="str">
        <f>IF(COUNTIF(cyberControls[workArea],$C22&amp;G$5)=COUNTIF(cyberControls[workArea2],$C22&amp;G$5&amp;NotAvail),warningText,"")</f>
        <v/>
      </c>
      <c r="R22" s="281" t="str">
        <f>IF(COUNTIF(cyberControls[workArea],$C22&amp;H$5)=COUNTIF(cyberControls[workArea2],$C22&amp;H$5&amp;NotAvail),warningText,"")</f>
        <v/>
      </c>
    </row>
    <row r="23" spans="1:19" x14ac:dyDescent="0.25">
      <c r="A23" s="80" t="s">
        <v>215</v>
      </c>
      <c r="B23" s="80" t="s">
        <v>263</v>
      </c>
      <c r="C23" s="58" t="s">
        <v>350</v>
      </c>
      <c r="D23" s="84">
        <f>IFERROR((COUNTIF(cyberControls[workArea2],$C23&amp;D$5&amp;yes)+COUNTIF(cyberControls[workArea2],$C23&amp;D$5&amp;yesCC))/(COUNTIF(cyberControls[workArea],$C23&amp;D$5)-COUNTIF(cyberControls[workArea2],$C23&amp;D$5&amp;NotAvail)),"N/A")</f>
        <v>0</v>
      </c>
      <c r="E23" s="84">
        <f>IF(D23=NotAvail,NotAvail,IFERROR((COUNTIF(cyberControls[workArea2],$C23&amp;E$5&amp;yes)+COUNTIF(cyberControls[workArea2],$C23&amp;E$5&amp;yesCC))/(COUNTIF(cyberControls[workArea],$C23&amp;E$5)-COUNTIF(cyberControls[workArea2],$C23&amp;E$5&amp;NotAvail)),"N/A"))</f>
        <v>0</v>
      </c>
      <c r="F23" s="84">
        <f>IF(E23=NotAvail,NotAvail,IFERROR((COUNTIF(cyberControls[workArea2],$C23&amp;F$5&amp;yes)+COUNTIF(cyberControls[workArea2],$C23&amp;F$5&amp;yesCC))/(COUNTIF(cyberControls[workArea],$C23&amp;F$5)-COUNTIF(cyberControls[workArea2],$C23&amp;F$5&amp;NotAvail)),"N/A"))</f>
        <v>0</v>
      </c>
      <c r="G23" s="84">
        <f>IF(F23=NotAvail,NotAvail,IFERROR((COUNTIF(cyberControls[workArea2],$C23&amp;G$5&amp;yes)+COUNTIF(cyberControls[workArea2],$C23&amp;G$5&amp;yesCC))/(COUNTIF(cyberControls[workArea],$C23&amp;G$5)-COUNTIF(cyberControls[workArea2],$C23&amp;G$5&amp;NotAvail)),"N/A"))</f>
        <v>0</v>
      </c>
      <c r="H23" s="84">
        <f>IF(G23=NotAvail,NotAvail,IFERROR((COUNTIF(cyberControls[workArea2],$C23&amp;H$5&amp;yes)+COUNTIF(cyberControls[workArea2],$C23&amp;H$5&amp;yesCC))/(COUNTIF(cyberControls[workArea],$C23&amp;H$5)-COUNTIF(cyberControls[workArea2],$C23&amp;H$5&amp;NotAvail)),"N/A"))</f>
        <v>0</v>
      </c>
      <c r="I23" s="85" t="str">
        <f t="shared" si="1"/>
        <v>---</v>
      </c>
      <c r="N23" s="281" t="str">
        <f>IF(COUNTIF(cyberControls[workArea],$C23&amp;D$5)=COUNTIF(cyberControls[workArea2],$C23&amp;D$5&amp;NotAvail),warningText,"")</f>
        <v/>
      </c>
      <c r="O23" s="281" t="str">
        <f>IF(COUNTIF(cyberControls[workArea],$C23&amp;E$5)=COUNTIF(cyberControls[workArea2],$C23&amp;E$5&amp;NotAvail),warningText,"")</f>
        <v/>
      </c>
      <c r="P23" s="281" t="str">
        <f>IF(COUNTIF(cyberControls[workArea],$C23&amp;F$5)=COUNTIF(cyberControls[workArea2],$C23&amp;F$5&amp;NotAvail),warningText,"")</f>
        <v/>
      </c>
      <c r="Q23" s="281" t="str">
        <f>IF(COUNTIF(cyberControls[workArea],$C23&amp;G$5)=COUNTIF(cyberControls[workArea2],$C23&amp;G$5&amp;NotAvail),warningText,"")</f>
        <v/>
      </c>
      <c r="R23" s="281" t="str">
        <f>IF(COUNTIF(cyberControls[workArea],$C23&amp;H$5)=COUNTIF(cyberControls[workArea2],$C23&amp;H$5&amp;NotAvail),warningText,"")</f>
        <v/>
      </c>
    </row>
    <row r="24" spans="1:19" ht="45" x14ac:dyDescent="0.25">
      <c r="A24" s="80" t="s">
        <v>215</v>
      </c>
      <c r="B24" s="80" t="s">
        <v>364</v>
      </c>
      <c r="C24" s="58" t="s">
        <v>612</v>
      </c>
      <c r="D24" s="84">
        <f>IFERROR((COUNTIF(cyberControls[workArea2],$C24&amp;D$5&amp;yes)+COUNTIF(cyberControls[workArea2],$C24&amp;D$5&amp;yesCC))/(COUNTIF(cyberControls[workArea],$C24&amp;D$5)-COUNTIF(cyberControls[workArea2],$C24&amp;D$5&amp;NotAvail)),"N/A")</f>
        <v>0</v>
      </c>
      <c r="E24" s="84">
        <f>IF(D24=NotAvail,NotAvail,IFERROR((COUNTIF(cyberControls[workArea2],$C24&amp;E$5&amp;yes)+COUNTIF(cyberControls[workArea2],$C24&amp;E$5&amp;yesCC))/(COUNTIF(cyberControls[workArea],$C24&amp;E$5)-COUNTIF(cyberControls[workArea2],$C24&amp;E$5&amp;NotAvail)),"N/A"))</f>
        <v>0</v>
      </c>
      <c r="F24" s="84">
        <f>IF(E24=NotAvail,NotAvail,IFERROR((COUNTIF(cyberControls[workArea2],$C24&amp;F$5&amp;yes)+COUNTIF(cyberControls[workArea2],$C24&amp;F$5&amp;yesCC))/(COUNTIF(cyberControls[workArea],$C24&amp;F$5)-COUNTIF(cyberControls[workArea2],$C24&amp;F$5&amp;NotAvail)),"N/A"))</f>
        <v>0</v>
      </c>
      <c r="G24" s="84">
        <f>IF(F24=NotAvail,NotAvail,IFERROR((COUNTIF(cyberControls[workArea2],$C24&amp;G$5&amp;yes)+COUNTIF(cyberControls[workArea2],$C24&amp;G$5&amp;yesCC))/(COUNTIF(cyberControls[workArea],$C24&amp;G$5)-COUNTIF(cyberControls[workArea2],$C24&amp;G$5&amp;NotAvail)),"N/A"))</f>
        <v>0</v>
      </c>
      <c r="H24" s="84">
        <f>IF(G24=NotAvail,NotAvail,IFERROR((COUNTIF(cyberControls[workArea2],$C24&amp;H$5&amp;yes)+COUNTIF(cyberControls[workArea2],$C24&amp;H$5&amp;yesCC))/(COUNTIF(cyberControls[workArea],$C24&amp;H$5)-COUNTIF(cyberControls[workArea2],$C24&amp;H$5&amp;NotAvail)),"N/A"))</f>
        <v>0</v>
      </c>
      <c r="I24" s="85" t="str">
        <f t="shared" si="1"/>
        <v>---</v>
      </c>
      <c r="N24" s="281" t="str">
        <f>IF(COUNTIF(cyberControls[workArea],$C24&amp;D$5)=COUNTIF(cyberControls[workArea2],$C24&amp;D$5&amp;NotAvail),warningText,"")</f>
        <v/>
      </c>
      <c r="O24" s="281" t="str">
        <f>IF(COUNTIF(cyberControls[workArea],$C24&amp;E$5)=COUNTIF(cyberControls[workArea2],$C24&amp;E$5&amp;NotAvail),warningText,"")</f>
        <v/>
      </c>
      <c r="P24" s="281" t="str">
        <f>IF(COUNTIF(cyberControls[workArea],$C24&amp;F$5)=COUNTIF(cyberControls[workArea2],$C24&amp;F$5&amp;NotAvail),warningText,"")</f>
        <v/>
      </c>
      <c r="Q24" s="281" t="str">
        <f>IF(COUNTIF(cyberControls[workArea],$C24&amp;G$5)=COUNTIF(cyberControls[workArea2],$C24&amp;G$5&amp;NotAvail),warningText,"")</f>
        <v/>
      </c>
      <c r="R24" s="281" t="str">
        <f>IF(COUNTIF(cyberControls[workArea],$C24&amp;H$5)=COUNTIF(cyberControls[workArea2],$C24&amp;H$5&amp;NotAvail),warningText,"")</f>
        <v/>
      </c>
    </row>
    <row r="25" spans="1:19" ht="30" x14ac:dyDescent="0.25">
      <c r="A25" s="80" t="s">
        <v>215</v>
      </c>
      <c r="B25" s="80" t="s">
        <v>364</v>
      </c>
      <c r="C25" s="58" t="s">
        <v>387</v>
      </c>
      <c r="D25" s="84">
        <f>IFERROR((COUNTIF(cyberControls[workArea2],$C25&amp;D$5&amp;yes)+COUNTIF(cyberControls[workArea2],$C25&amp;D$5&amp;yesCC))/(COUNTIF(cyberControls[workArea],$C25&amp;D$5)-COUNTIF(cyberControls[workArea2],$C25&amp;D$5&amp;NotAvail)),"N/A")</f>
        <v>0</v>
      </c>
      <c r="E25" s="84">
        <f>IF(D25=NotAvail,NotAvail,IFERROR((COUNTIF(cyberControls[workArea2],$C25&amp;E$5&amp;yes)+COUNTIF(cyberControls[workArea2],$C25&amp;E$5&amp;yesCC))/(COUNTIF(cyberControls[workArea],$C25&amp;E$5)-COUNTIF(cyberControls[workArea2],$C25&amp;E$5&amp;NotAvail)),"N/A"))</f>
        <v>0</v>
      </c>
      <c r="F25" s="84">
        <f>IF(E25=NotAvail,NotAvail,IFERROR((COUNTIF(cyberControls[workArea2],$C25&amp;F$5&amp;yes)+COUNTIF(cyberControls[workArea2],$C25&amp;F$5&amp;yesCC))/(COUNTIF(cyberControls[workArea],$C25&amp;F$5)-COUNTIF(cyberControls[workArea2],$C25&amp;F$5&amp;NotAvail)),"N/A"))</f>
        <v>0</v>
      </c>
      <c r="G25" s="84">
        <f>IF(F25=NotAvail,NotAvail,IFERROR((COUNTIF(cyberControls[workArea2],$C25&amp;G$5&amp;yes)+COUNTIF(cyberControls[workArea2],$C25&amp;G$5&amp;yesCC))/(COUNTIF(cyberControls[workArea],$C25&amp;G$5)-COUNTIF(cyberControls[workArea2],$C25&amp;G$5&amp;NotAvail)),"N/A"))</f>
        <v>0</v>
      </c>
      <c r="H25" s="84">
        <f>IF(G25=NotAvail,NotAvail,IFERROR((COUNTIF(cyberControls[workArea2],$C25&amp;H$5&amp;yes)+COUNTIF(cyberControls[workArea2],$C25&amp;H$5&amp;yesCC))/(COUNTIF(cyberControls[workArea],$C25&amp;H$5)-COUNTIF(cyberControls[workArea2],$C25&amp;H$5&amp;NotAvail)),"N/A"))</f>
        <v>0</v>
      </c>
      <c r="I25" s="85" t="str">
        <f t="shared" si="1"/>
        <v>---</v>
      </c>
      <c r="N25" s="281" t="str">
        <f>IF(COUNTIF(cyberControls[workArea],$C25&amp;D$5)=COUNTIF(cyberControls[workArea2],$C25&amp;D$5&amp;NotAvail),warningText,"")</f>
        <v/>
      </c>
      <c r="O25" s="281" t="str">
        <f>IF(COUNTIF(cyberControls[workArea],$C25&amp;E$5)=COUNTIF(cyberControls[workArea2],$C25&amp;E$5&amp;NotAvail),warningText,"")</f>
        <v/>
      </c>
      <c r="P25" s="281" t="str">
        <f>IF(COUNTIF(cyberControls[workArea],$C25&amp;F$5)=COUNTIF(cyberControls[workArea2],$C25&amp;F$5&amp;NotAvail),warningText,"")</f>
        <v/>
      </c>
      <c r="Q25" s="281" t="str">
        <f>IF(COUNTIF(cyberControls[workArea],$C25&amp;G$5)=COUNTIF(cyberControls[workArea2],$C25&amp;G$5&amp;NotAvail),warningText,"")</f>
        <v/>
      </c>
      <c r="R25" s="281" t="str">
        <f>IF(COUNTIF(cyberControls[workArea],$C25&amp;H$5)=COUNTIF(cyberControls[workArea2],$C25&amp;H$5&amp;NotAvail),warningText,"")</f>
        <v/>
      </c>
    </row>
    <row r="26" spans="1:19" x14ac:dyDescent="0.25">
      <c r="A26" s="80" t="s">
        <v>215</v>
      </c>
      <c r="B26" s="80" t="s">
        <v>364</v>
      </c>
      <c r="C26" s="58" t="s">
        <v>410</v>
      </c>
      <c r="D26" s="84">
        <f>IFERROR((COUNTIF(cyberControls[workArea2],$C26&amp;D$5&amp;yes)+COUNTIF(cyberControls[workArea2],$C26&amp;D$5&amp;yesCC))/(COUNTIF(cyberControls[workArea],$C26&amp;D$5)-COUNTIF(cyberControls[workArea2],$C26&amp;D$5&amp;NotAvail)),"N/A")</f>
        <v>0</v>
      </c>
      <c r="E26" s="84">
        <f>IF(D26=NotAvail,NotAvail,IFERROR((COUNTIF(cyberControls[workArea2],$C26&amp;E$5&amp;yes)+COUNTIF(cyberControls[workArea2],$C26&amp;E$5&amp;yesCC))/(COUNTIF(cyberControls[workArea],$C26&amp;E$5)-COUNTIF(cyberControls[workArea2],$C26&amp;E$5&amp;NotAvail)),"N/A"))</f>
        <v>0</v>
      </c>
      <c r="F26" s="84">
        <f>IF(E26=NotAvail,NotAvail,IFERROR((COUNTIF(cyberControls[workArea2],$C26&amp;F$5&amp;yes)+COUNTIF(cyberControls[workArea2],$C26&amp;F$5&amp;yesCC))/(COUNTIF(cyberControls[workArea],$C26&amp;F$5)-COUNTIF(cyberControls[workArea2],$C26&amp;F$5&amp;NotAvail)),"N/A"))</f>
        <v>0</v>
      </c>
      <c r="G26" s="84">
        <f>IF(F26=NotAvail,NotAvail,IFERROR((COUNTIF(cyberControls[workArea2],$C26&amp;G$5&amp;yes)+COUNTIF(cyberControls[workArea2],$C26&amp;G$5&amp;yesCC))/(COUNTIF(cyberControls[workArea],$C26&amp;G$5)-COUNTIF(cyberControls[workArea2],$C26&amp;G$5&amp;NotAvail)),"N/A"))</f>
        <v>0</v>
      </c>
      <c r="H26" s="84">
        <f>IF(G26=NotAvail,NotAvail,IFERROR((COUNTIF(cyberControls[workArea2],$C26&amp;H$5&amp;yes)+COUNTIF(cyberControls[workArea2],$C26&amp;H$5&amp;yesCC))/(COUNTIF(cyberControls[workArea],$C26&amp;H$5)-COUNTIF(cyberControls[workArea2],$C26&amp;H$5&amp;NotAvail)),"N/A"))</f>
        <v>0</v>
      </c>
      <c r="I26" s="85" t="str">
        <f t="shared" si="1"/>
        <v>---</v>
      </c>
      <c r="N26" s="281" t="str">
        <f>IF(COUNTIF(cyberControls[workArea],$C26&amp;D$5)=COUNTIF(cyberControls[workArea2],$C26&amp;D$5&amp;NotAvail),warningText,"")</f>
        <v/>
      </c>
      <c r="O26" s="281" t="str">
        <f>IF(COUNTIF(cyberControls[workArea],$C26&amp;E$5)=COUNTIF(cyberControls[workArea2],$C26&amp;E$5&amp;NotAvail),warningText,"")</f>
        <v/>
      </c>
      <c r="P26" s="281" t="str">
        <f>IF(COUNTIF(cyberControls[workArea],$C26&amp;F$5)=COUNTIF(cyberControls[workArea2],$C26&amp;F$5&amp;NotAvail),warningText,"")</f>
        <v/>
      </c>
      <c r="Q26" s="281" t="str">
        <f>IF(COUNTIF(cyberControls[workArea],$C26&amp;G$5)=COUNTIF(cyberControls[workArea2],$C26&amp;G$5&amp;NotAvail),warningText,"")</f>
        <v/>
      </c>
      <c r="R26" s="281" t="str">
        <f>IF(COUNTIF(cyberControls[workArea],$C26&amp;H$5)=COUNTIF(cyberControls[workArea2],$C26&amp;H$5&amp;NotAvail),warningText,"")</f>
        <v/>
      </c>
    </row>
    <row r="27" spans="1:19" x14ac:dyDescent="0.25">
      <c r="A27" s="80" t="s">
        <v>215</v>
      </c>
      <c r="B27" s="80" t="s">
        <v>421</v>
      </c>
      <c r="C27" s="58" t="s">
        <v>422</v>
      </c>
      <c r="D27" s="84">
        <f>IFERROR((COUNTIF(cyberControls[workArea2],$C27&amp;D$5&amp;yes)+COUNTIF(cyberControls[workArea2],$C27&amp;D$5&amp;yesCC))/(COUNTIF(cyberControls[workArea],$C27&amp;D$5)-COUNTIF(cyberControls[workArea2],$C27&amp;D$5&amp;NotAvail)),"N/A")</f>
        <v>0</v>
      </c>
      <c r="E27" s="84">
        <f>IF(D27=NotAvail,NotAvail,IFERROR((COUNTIF(cyberControls[workArea2],$C27&amp;E$5&amp;yes)+COUNTIF(cyberControls[workArea2],$C27&amp;E$5&amp;yesCC))/(COUNTIF(cyberControls[workArea],$C27&amp;E$5)-COUNTIF(cyberControls[workArea2],$C27&amp;E$5&amp;NotAvail)),"N/A"))</f>
        <v>0</v>
      </c>
      <c r="F27" s="84">
        <f>IF(E27=NotAvail,NotAvail,IFERROR((COUNTIF(cyberControls[workArea2],$C27&amp;F$5&amp;yes)+COUNTIF(cyberControls[workArea2],$C27&amp;F$5&amp;yesCC))/(COUNTIF(cyberControls[workArea],$C27&amp;F$5)-COUNTIF(cyberControls[workArea2],$C27&amp;F$5&amp;NotAvail)),"N/A"))</f>
        <v>0</v>
      </c>
      <c r="G27" s="84">
        <f>IF(F27=NotAvail,NotAvail,IFERROR((COUNTIF(cyberControls[workArea2],$C27&amp;G$5&amp;yes)+COUNTIF(cyberControls[workArea2],$C27&amp;G$5&amp;yesCC))/(COUNTIF(cyberControls[workArea],$C27&amp;G$5)-COUNTIF(cyberControls[workArea2],$C27&amp;G$5&amp;NotAvail)),"N/A"))</f>
        <v>0</v>
      </c>
      <c r="H27" s="84">
        <f>IF(G27=NotAvail,NotAvail,IFERROR((COUNTIF(cyberControls[workArea2],$C27&amp;H$5&amp;yes)+COUNTIF(cyberControls[workArea2],$C27&amp;H$5&amp;yesCC))/(COUNTIF(cyberControls[workArea],$C27&amp;H$5)-COUNTIF(cyberControls[workArea2],$C27&amp;H$5&amp;NotAvail)),"N/A"))</f>
        <v>0</v>
      </c>
      <c r="I27" s="85" t="str">
        <f t="shared" si="1"/>
        <v>---</v>
      </c>
      <c r="N27" s="281" t="str">
        <f>IF(COUNTIF(cyberControls[workArea],$C27&amp;D$5)=COUNTIF(cyberControls[workArea2],$C27&amp;D$5&amp;NotAvail),warningText,"")</f>
        <v/>
      </c>
      <c r="O27" s="281" t="str">
        <f>IF(COUNTIF(cyberControls[workArea],$C27&amp;E$5)=COUNTIF(cyberControls[workArea2],$C27&amp;E$5&amp;NotAvail),warningText,"")</f>
        <v/>
      </c>
      <c r="P27" s="281" t="str">
        <f>IF(COUNTIF(cyberControls[workArea],$C27&amp;F$5)=COUNTIF(cyberControls[workArea2],$C27&amp;F$5&amp;NotAvail),warningText,"")</f>
        <v/>
      </c>
      <c r="Q27" s="281" t="str">
        <f>IF(COUNTIF(cyberControls[workArea],$C27&amp;G$5)=COUNTIF(cyberControls[workArea2],$C27&amp;G$5&amp;NotAvail),warningText,"")</f>
        <v/>
      </c>
      <c r="R27" s="281" t="str">
        <f>IF(COUNTIF(cyberControls[workArea],$C27&amp;H$5)=COUNTIF(cyberControls[workArea2],$C27&amp;H$5&amp;NotAvail),warningText,"")</f>
        <v/>
      </c>
    </row>
    <row r="28" spans="1:19" x14ac:dyDescent="0.25">
      <c r="A28" s="80" t="s">
        <v>215</v>
      </c>
      <c r="B28" s="80" t="s">
        <v>421</v>
      </c>
      <c r="C28" s="58" t="s">
        <v>436</v>
      </c>
      <c r="D28" s="84">
        <f>IFERROR((COUNTIF(cyberControls[workArea2],$C28&amp;D$5&amp;yes)+COUNTIF(cyberControls[workArea2],$C28&amp;D$5&amp;yesCC))/(COUNTIF(cyberControls[workArea],$C28&amp;D$5)-COUNTIF(cyberControls[workArea2],$C28&amp;D$5&amp;NotAvail)),"N/A")</f>
        <v>0</v>
      </c>
      <c r="E28" s="84">
        <f>IF(D28=NotAvail,NotAvail,IFERROR((COUNTIF(cyberControls[workArea2],$C28&amp;E$5&amp;yes)+COUNTIF(cyberControls[workArea2],$C28&amp;E$5&amp;yesCC))/(COUNTIF(cyberControls[workArea],$C28&amp;E$5)-COUNTIF(cyberControls[workArea2],$C28&amp;E$5&amp;NotAvail)),"N/A"))</f>
        <v>0</v>
      </c>
      <c r="F28" s="84">
        <f>IF(E28=NotAvail,NotAvail,IFERROR((COUNTIF(cyberControls[workArea2],$C28&amp;F$5&amp;yes)+COUNTIF(cyberControls[workArea2],$C28&amp;F$5&amp;yesCC))/(COUNTIF(cyberControls[workArea],$C28&amp;F$5)-COUNTIF(cyberControls[workArea2],$C28&amp;F$5&amp;NotAvail)),"N/A"))</f>
        <v>0</v>
      </c>
      <c r="G28" s="84">
        <f>IF(F28=NotAvail,NotAvail,IFERROR((COUNTIF(cyberControls[workArea2],$C28&amp;G$5&amp;yes)+COUNTIF(cyberControls[workArea2],$C28&amp;G$5&amp;yesCC))/(COUNTIF(cyberControls[workArea],$C28&amp;G$5)-COUNTIF(cyberControls[workArea2],$C28&amp;G$5&amp;NotAvail)),"N/A"))</f>
        <v>0</v>
      </c>
      <c r="H28" s="84">
        <f>IF(G28=NotAvail,NotAvail,IFERROR((COUNTIF(cyberControls[workArea2],$C28&amp;H$5&amp;yes)+COUNTIF(cyberControls[workArea2],$C28&amp;H$5&amp;yesCC))/(COUNTIF(cyberControls[workArea],$C28&amp;H$5)-COUNTIF(cyberControls[workArea2],$C28&amp;H$5&amp;NotAvail)),"N/A"))</f>
        <v>0</v>
      </c>
      <c r="I28" s="85" t="str">
        <f t="shared" si="1"/>
        <v>---</v>
      </c>
      <c r="N28" s="281" t="str">
        <f>IF(COUNTIF(cyberControls[workArea],$C28&amp;D$5)=COUNTIF(cyberControls[workArea2],$C28&amp;D$5&amp;NotAvail),warningText,"")</f>
        <v/>
      </c>
      <c r="O28" s="281" t="str">
        <f>IF(COUNTIF(cyberControls[workArea],$C28&amp;E$5)=COUNTIF(cyberControls[workArea2],$C28&amp;E$5&amp;NotAvail),warningText,"")</f>
        <v/>
      </c>
      <c r="P28" s="281" t="str">
        <f>IF(COUNTIF(cyberControls[workArea],$C28&amp;F$5)=COUNTIF(cyberControls[workArea2],$C28&amp;F$5&amp;NotAvail),warningText,"")</f>
        <v/>
      </c>
      <c r="Q28" s="281" t="str">
        <f>IF(COUNTIF(cyberControls[workArea],$C28&amp;G$5)=COUNTIF(cyberControls[workArea2],$C28&amp;G$5&amp;NotAvail),warningText,"")</f>
        <v/>
      </c>
      <c r="R28" s="281" t="str">
        <f>IF(COUNTIF(cyberControls[workArea],$C28&amp;H$5)=COUNTIF(cyberControls[workArea2],$C28&amp;H$5&amp;NotAvail),warningText,"")</f>
        <v/>
      </c>
    </row>
    <row r="29" spans="1:19" ht="3.95" customHeight="1" x14ac:dyDescent="0.25">
      <c r="A29" s="277"/>
      <c r="B29" s="277"/>
      <c r="C29" s="278"/>
      <c r="D29" s="279"/>
      <c r="E29" s="279"/>
      <c r="F29" s="279"/>
      <c r="G29" s="279"/>
      <c r="H29" s="279"/>
      <c r="I29" s="280"/>
      <c r="N29" s="282"/>
      <c r="O29" s="282"/>
      <c r="P29" s="282"/>
      <c r="Q29" s="282"/>
      <c r="R29" s="282"/>
    </row>
    <row r="30" spans="1:19" ht="30" customHeight="1" x14ac:dyDescent="0.25">
      <c r="A30" s="80" t="s">
        <v>216</v>
      </c>
      <c r="B30" s="80" t="s">
        <v>448</v>
      </c>
      <c r="C30" s="58" t="s">
        <v>448</v>
      </c>
      <c r="D30" s="84">
        <f>IFERROR((COUNTIF(ExtDep[workArea2],$C30&amp;D$5&amp;yes)+COUNTIF(ExtDep[workArea2],$C30&amp;D$5&amp;yesCC))/(COUNTIF(ExtDep[workArea],$C30&amp;D$5)-COUNTIF(ExtDep[workArea2],$C30&amp;D$5&amp;NotAvail)),"N/A")</f>
        <v>0</v>
      </c>
      <c r="E30" s="84">
        <f>IF(D30=NotAvail,NotAvail,IFERROR((COUNTIF(ExtDep[workArea2],$C30&amp;E$5&amp;yes)+COUNTIF(ExtDep[workArea2],$C30&amp;E$5&amp;yesCC))/(COUNTIF(ExtDep[workArea],$C30&amp;E$5)-COUNTIF(ExtDep[workArea2],$C30&amp;E$5&amp;NotAvail)),"N/A"))</f>
        <v>0</v>
      </c>
      <c r="F30" s="84">
        <f>IF(E30=NotAvail,NotAvail,IFERROR((COUNTIF(ExtDep[workArea2],$C30&amp;F$5&amp;yes)+COUNTIF(ExtDep[workArea2],$C30&amp;F$5&amp;yesCC))/(COUNTIF(ExtDep[workArea],$C30&amp;F$5)-COUNTIF(ExtDep[workArea2],$C30&amp;F$5&amp;NotAvail)),"N/A"))</f>
        <v>0</v>
      </c>
      <c r="G30" s="84">
        <f>IF(F30=NotAvail,NotAvail,IFERROR((COUNTIF(ExtDep[workArea2],$C30&amp;G$5&amp;yes)+COUNTIF(ExtDep[workArea2],$C30&amp;G$5&amp;yesCC))/(COUNTIF(ExtDep[workArea],$C30&amp;G$5)-COUNTIF(ExtDep[workArea2],$C30&amp;G$5&amp;NotAvail)),"N/A"))</f>
        <v>0</v>
      </c>
      <c r="H30" s="84">
        <f>IF(G30=NotAvail,NotAvail,IFERROR((COUNTIF(ExtDep[workArea2],$C30&amp;H$5&amp;yes)+COUNTIF(ExtDep[workArea2],$C30&amp;H$5&amp;yesCC))/(COUNTIF(ExtDep[workArea],$C30&amp;H$5)-COUNTIF(ExtDep[workArea2],$C30&amp;H$5&amp;NotAvail)),"N/A"))</f>
        <v>0</v>
      </c>
      <c r="I30" s="85" t="str">
        <f>IF(AND(D30=1,E30=1,F30=1,G30=1,H30=1),H$5,IF(AND(D30=1,E30=1,F30=1,G30=1),G$5,IF(AND(D30=1,E30=1,F30=1),F$5,IF(AND(D30=1,E30=1),E$5,IF(D30=1,D$5,nOTA)))))</f>
        <v>---</v>
      </c>
      <c r="K30" s="83" t="str">
        <f>IFERROR(INDEX(maturityLevels,MIN(MATCH(I30,maturityLevels,0),MATCH(I31,maturityLevels,0),MATCH(I32,maturityLevels,0),MATCH(I33,maturityLevels,0))),nOTA)</f>
        <v>---</v>
      </c>
      <c r="N30" s="281" t="str">
        <f>IF(COUNTIF(ExtDep[workArea],$C30&amp;D$5)=COUNTIF(ExtDep[workArea2],$C30&amp;D$5&amp;NotAvail),warningText,"")</f>
        <v/>
      </c>
      <c r="O30" s="281" t="str">
        <f>IF(COUNTIF(ExtDep[workArea],$C30&amp;E$5)=COUNTIF(ExtDep[workArea2],$C30&amp;E$5&amp;NotAvail),warningText,"")</f>
        <v/>
      </c>
      <c r="P30" s="281" t="str">
        <f>IF(COUNTIF(ExtDep[workArea],$C30&amp;F$5)=COUNTIF(ExtDep[workArea2],$C30&amp;F$5&amp;NotAvail),warningText,"")</f>
        <v/>
      </c>
      <c r="Q30" s="281" t="str">
        <f>IF(COUNTIF(ExtDep[workArea],$C30&amp;G$5)=COUNTIF(ExtDep[workArea2],$C30&amp;G$5&amp;NotAvail),warningText,"")</f>
        <v/>
      </c>
      <c r="R30" s="281" t="str">
        <f>IF(COUNTIF(ExtDep[workArea],$C30&amp;H$5)=COUNTIF(ExtDep[workArea2],$C30&amp;H$5&amp;NotAvail),warningText,"")</f>
        <v/>
      </c>
      <c r="S30" s="285">
        <f>COUNTIF(N30:R33,warningText)</f>
        <v>0</v>
      </c>
    </row>
    <row r="31" spans="1:19" x14ac:dyDescent="0.25">
      <c r="A31" s="80" t="s">
        <v>216</v>
      </c>
      <c r="B31" s="80" t="s">
        <v>465</v>
      </c>
      <c r="C31" s="58" t="s">
        <v>466</v>
      </c>
      <c r="D31" s="84">
        <f>IFERROR((COUNTIF(ExtDep[workArea2],$C31&amp;D$5&amp;yes)+COUNTIF(ExtDep[workArea2],$C31&amp;D$5&amp;yesCC))/(COUNTIF(ExtDep[workArea],$C31&amp;D$5)-COUNTIF(ExtDep[workArea2],$C31&amp;D$5&amp;NotAvail)),"N/A")</f>
        <v>0</v>
      </c>
      <c r="E31" s="84">
        <f>IF(D31=NotAvail,NotAvail,IFERROR((COUNTIF(ExtDep[workArea2],$C31&amp;E$5&amp;yes)+COUNTIF(ExtDep[workArea2],$C31&amp;E$5&amp;yesCC))/(COUNTIF(ExtDep[workArea],$C31&amp;E$5)-COUNTIF(ExtDep[workArea2],$C31&amp;E$5&amp;NotAvail)),"N/A"))</f>
        <v>0</v>
      </c>
      <c r="F31" s="84">
        <f>IF(E31=NotAvail,NotAvail,IFERROR((COUNTIF(ExtDep[workArea2],$C31&amp;F$5&amp;yes)+COUNTIF(ExtDep[workArea2],$C31&amp;F$5&amp;yesCC))/(COUNTIF(ExtDep[workArea],$C31&amp;F$5)-COUNTIF(ExtDep[workArea2],$C31&amp;F$5&amp;NotAvail)),"N/A"))</f>
        <v>0</v>
      </c>
      <c r="G31" s="84">
        <f>IF(F31=NotAvail,NotAvail,IFERROR((COUNTIF(ExtDep[workArea2],$C31&amp;G$5&amp;yes)+COUNTIF(ExtDep[workArea2],$C31&amp;G$5&amp;yesCC))/(COUNTIF(ExtDep[workArea],$C31&amp;G$5)-COUNTIF(ExtDep[workArea2],$C31&amp;G$5&amp;NotAvail)),"N/A"))</f>
        <v>0</v>
      </c>
      <c r="H31" s="84">
        <f>IF(G31=NotAvail,NotAvail,IFERROR((COUNTIF(ExtDep[workArea2],$C31&amp;H$5&amp;yes)+COUNTIF(ExtDep[workArea2],$C31&amp;H$5&amp;yesCC))/(COUNTIF(ExtDep[workArea],$C31&amp;H$5)-COUNTIF(ExtDep[workArea2],$C31&amp;H$5&amp;NotAvail)),"N/A"))</f>
        <v>0</v>
      </c>
      <c r="I31" s="85" t="str">
        <f>IF(AND(D31=1,E31=1,F31=1,G31=1,H31=1),H$5,IF(AND(D31=1,E31=1,F31=1,G31=1),G$5,IF(AND(D31=1,E31=1,F31=1),F$5,IF(AND(D31=1,E31=1),E$5,IF(D31=1,D$5,nOTA)))))</f>
        <v>---</v>
      </c>
      <c r="N31" s="281" t="str">
        <f>IF(COUNTIF(ExtDep[workArea],$C31&amp;D$5)=COUNTIF(ExtDep[workArea2],$C31&amp;D$5&amp;NotAvail),warningText,"")</f>
        <v/>
      </c>
      <c r="O31" s="281" t="str">
        <f>IF(COUNTIF(ExtDep[workArea],$C31&amp;E$5)=COUNTIF(ExtDep[workArea2],$C31&amp;E$5&amp;NotAvail),warningText,"")</f>
        <v/>
      </c>
      <c r="P31" s="281" t="str">
        <f>IF(COUNTIF(ExtDep[workArea],$C31&amp;F$5)=COUNTIF(ExtDep[workArea2],$C31&amp;F$5&amp;NotAvail),warningText,"")</f>
        <v/>
      </c>
      <c r="Q31" s="281" t="str">
        <f>IF(COUNTIF(ExtDep[workArea],$C31&amp;G$5)=COUNTIF(ExtDep[workArea2],$C31&amp;G$5&amp;NotAvail),warningText,"")</f>
        <v/>
      </c>
      <c r="R31" s="281" t="str">
        <f>IF(COUNTIF(ExtDep[workArea],$C31&amp;H$5)=COUNTIF(ExtDep[workArea2],$C31&amp;H$5&amp;NotAvail),warningText,"")</f>
        <v/>
      </c>
    </row>
    <row r="32" spans="1:19" x14ac:dyDescent="0.25">
      <c r="A32" s="80" t="s">
        <v>216</v>
      </c>
      <c r="B32" s="80" t="s">
        <v>465</v>
      </c>
      <c r="C32" s="58" t="s">
        <v>478</v>
      </c>
      <c r="D32" s="84">
        <f>IFERROR((COUNTIF(ExtDep[workArea2],$C32&amp;D$5&amp;yes)+COUNTIF(ExtDep[workArea2],$C32&amp;D$5&amp;yesCC))/(COUNTIF(ExtDep[workArea],$C32&amp;D$5)-COUNTIF(ExtDep[workArea2],$C32&amp;D$5&amp;NotAvail)),"N/A")</f>
        <v>0</v>
      </c>
      <c r="E32" s="84">
        <f>IF(D32=NotAvail,NotAvail,IFERROR((COUNTIF(ExtDep[workArea2],$C32&amp;E$5&amp;yes)+COUNTIF(ExtDep[workArea2],$C32&amp;E$5&amp;yesCC))/(COUNTIF(ExtDep[workArea],$C32&amp;E$5)-COUNTIF(ExtDep[workArea2],$C32&amp;E$5&amp;NotAvail)),"N/A"))</f>
        <v>0</v>
      </c>
      <c r="F32" s="84">
        <f>IF(E32=NotAvail,NotAvail,IFERROR((COUNTIF(ExtDep[workArea2],$C32&amp;F$5&amp;yes)+COUNTIF(ExtDep[workArea2],$C32&amp;F$5&amp;yesCC))/(COUNTIF(ExtDep[workArea],$C32&amp;F$5)-COUNTIF(ExtDep[workArea2],$C32&amp;F$5&amp;NotAvail)),"N/A"))</f>
        <v>0</v>
      </c>
      <c r="G32" s="84">
        <f>IF(F32=NotAvail,NotAvail,IFERROR((COUNTIF(ExtDep[workArea2],$C32&amp;G$5&amp;yes)+COUNTIF(ExtDep[workArea2],$C32&amp;G$5&amp;yesCC))/(COUNTIF(ExtDep[workArea],$C32&amp;G$5)-COUNTIF(ExtDep[workArea2],$C32&amp;G$5&amp;NotAvail)),"N/A"))</f>
        <v>0</v>
      </c>
      <c r="H32" s="84">
        <f>IF(G32=NotAvail,NotAvail,IFERROR((COUNTIF(ExtDep[workArea2],$C32&amp;H$5&amp;yes)+COUNTIF(ExtDep[workArea2],$C32&amp;H$5&amp;yesCC))/(COUNTIF(ExtDep[workArea],$C32&amp;H$5)-COUNTIF(ExtDep[workArea2],$C32&amp;H$5&amp;NotAvail)),"N/A"))</f>
        <v>0</v>
      </c>
      <c r="I32" s="85" t="str">
        <f>IF(AND(D32=1,E32=1,F32=1,G32=1,H32=1),H$5,IF(AND(D32=1,E32=1,F32=1,G32=1),G$5,IF(AND(D32=1,E32=1,F32=1),F$5,IF(AND(D32=1,E32=1),E$5,IF(D32=1,D$5,nOTA)))))</f>
        <v>---</v>
      </c>
      <c r="N32" s="281" t="str">
        <f>IF(COUNTIF(ExtDep[workArea],$C32&amp;D$5)=COUNTIF(ExtDep[workArea2],$C32&amp;D$5&amp;NotAvail),warningText,"")</f>
        <v/>
      </c>
      <c r="O32" s="281" t="str">
        <f>IF(COUNTIF(ExtDep[workArea],$C32&amp;E$5)=COUNTIF(ExtDep[workArea2],$C32&amp;E$5&amp;NotAvail),warningText,"")</f>
        <v/>
      </c>
      <c r="P32" s="281" t="str">
        <f>IF(COUNTIF(ExtDep[workArea],$C32&amp;F$5)=COUNTIF(ExtDep[workArea2],$C32&amp;F$5&amp;NotAvail),warningText,"")</f>
        <v/>
      </c>
      <c r="Q32" s="281" t="str">
        <f>IF(COUNTIF(ExtDep[workArea],$C32&amp;G$5)=COUNTIF(ExtDep[workArea2],$C32&amp;G$5&amp;NotAvail),warningText,"")</f>
        <v/>
      </c>
      <c r="R32" s="281" t="str">
        <f>IF(COUNTIF(ExtDep[workArea],$C32&amp;H$5)=COUNTIF(ExtDep[workArea2],$C32&amp;H$5&amp;NotAvail),warningText,"")</f>
        <v/>
      </c>
    </row>
    <row r="33" spans="1:19" x14ac:dyDescent="0.25">
      <c r="A33" s="80" t="s">
        <v>216</v>
      </c>
      <c r="B33" s="80" t="s">
        <v>465</v>
      </c>
      <c r="C33" s="58" t="s">
        <v>492</v>
      </c>
      <c r="D33" s="84">
        <f>IFERROR((COUNTIF(ExtDep[workArea2],$C33&amp;D$5&amp;yes)+COUNTIF(ExtDep[workArea2],$C33&amp;D$5&amp;yesCC))/(COUNTIF(ExtDep[workArea],$C33&amp;D$5)-COUNTIF(ExtDep[workArea2],$C33&amp;D$5&amp;NotAvail)),"N/A")</f>
        <v>0</v>
      </c>
      <c r="E33" s="84">
        <f>IF(D33=NotAvail,NotAvail,IFERROR((COUNTIF(ExtDep[workArea2],$C33&amp;E$5&amp;yes)+COUNTIF(ExtDep[workArea2],$C33&amp;E$5&amp;yesCC))/(COUNTIF(ExtDep[workArea],$C33&amp;E$5)-COUNTIF(ExtDep[workArea2],$C33&amp;E$5&amp;NotAvail)),"N/A"))</f>
        <v>0</v>
      </c>
      <c r="F33" s="84">
        <f>IF(E33=NotAvail,NotAvail,IFERROR((COUNTIF(ExtDep[workArea2],$C33&amp;F$5&amp;yes)+COUNTIF(ExtDep[workArea2],$C33&amp;F$5&amp;yesCC))/(COUNTIF(ExtDep[workArea],$C33&amp;F$5)-COUNTIF(ExtDep[workArea2],$C33&amp;F$5&amp;NotAvail)),"N/A"))</f>
        <v>0</v>
      </c>
      <c r="G33" s="84">
        <f>IF(F33=NotAvail,NotAvail,IFERROR((COUNTIF(ExtDep[workArea2],$C33&amp;G$5&amp;yes)+COUNTIF(ExtDep[workArea2],$C33&amp;G$5&amp;yesCC))/(COUNTIF(ExtDep[workArea],$C33&amp;G$5)-COUNTIF(ExtDep[workArea2],$C33&amp;G$5&amp;NotAvail)),"N/A"))</f>
        <v>0</v>
      </c>
      <c r="H33" s="84">
        <f>IF(G33=NotAvail,NotAvail,IFERROR((COUNTIF(ExtDep[workArea2],$C33&amp;H$5&amp;yes)+COUNTIF(ExtDep[workArea2],$C33&amp;H$5&amp;yesCC))/(COUNTIF(ExtDep[workArea],$C33&amp;H$5)-COUNTIF(ExtDep[workArea2],$C33&amp;H$5&amp;NotAvail)),"N/A"))</f>
        <v>0</v>
      </c>
      <c r="I33" s="85" t="str">
        <f>IF(AND(D33=1,E33=1,F33=1,G33=1,H33=1),H$5,IF(AND(D33=1,E33=1,F33=1,G33=1),G$5,IF(AND(D33=1,E33=1,F33=1),F$5,IF(AND(D33=1,E33=1),E$5,IF(D33=1,D$5,nOTA)))))</f>
        <v>---</v>
      </c>
      <c r="N33" s="281" t="str">
        <f>IF(COUNTIF(ExtDep[workArea],$C33&amp;D$5)=COUNTIF(ExtDep[workArea2],$C33&amp;D$5&amp;NotAvail),warningText,"")</f>
        <v/>
      </c>
      <c r="O33" s="281" t="str">
        <f>IF(COUNTIF(ExtDep[workArea],$C33&amp;E$5)=COUNTIF(ExtDep[workArea2],$C33&amp;E$5&amp;NotAvail),warningText,"")</f>
        <v/>
      </c>
      <c r="P33" s="281" t="str">
        <f>IF(COUNTIF(ExtDep[workArea],$C33&amp;F$5)=COUNTIF(ExtDep[workArea2],$C33&amp;F$5&amp;NotAvail),warningText,"")</f>
        <v/>
      </c>
      <c r="Q33" s="281" t="str">
        <f>IF(COUNTIF(ExtDep[workArea],$C33&amp;G$5)=COUNTIF(ExtDep[workArea2],$C33&amp;G$5&amp;NotAvail),warningText,"")</f>
        <v/>
      </c>
      <c r="R33" s="281" t="str">
        <f>IF(COUNTIF(ExtDep[workArea],$C33&amp;H$5)=COUNTIF(ExtDep[workArea2],$C33&amp;H$5&amp;NotAvail),warningText,"")</f>
        <v/>
      </c>
    </row>
    <row r="34" spans="1:19" ht="3.95" customHeight="1" x14ac:dyDescent="0.25">
      <c r="A34" s="277"/>
      <c r="B34" s="277"/>
      <c r="C34" s="278"/>
      <c r="D34" s="279"/>
      <c r="E34" s="279"/>
      <c r="F34" s="279"/>
      <c r="G34" s="279"/>
      <c r="H34" s="279"/>
      <c r="I34" s="280"/>
      <c r="N34" s="282"/>
      <c r="O34" s="282"/>
      <c r="P34" s="282"/>
      <c r="Q34" s="282"/>
      <c r="R34" s="282"/>
    </row>
    <row r="35" spans="1:19" ht="30" customHeight="1" x14ac:dyDescent="0.25">
      <c r="A35" s="80" t="s">
        <v>608</v>
      </c>
      <c r="B35" s="80" t="s">
        <v>510</v>
      </c>
      <c r="C35" s="58" t="s">
        <v>511</v>
      </c>
      <c r="D35" s="84">
        <f>IFERROR((COUNTIF(cyberInc[workArea2],$C35&amp;D$5&amp;yes)+COUNTIF(cyberInc[workArea2],$C35&amp;D$5&amp;yesCC))/(COUNTIF(cyberInc[workArea],$C35&amp;D$5)-COUNTIF(cyberInc[workArea2],$C35&amp;D$5&amp;NotAvail)),"N/A")</f>
        <v>0</v>
      </c>
      <c r="E35" s="84">
        <f>IF(D35=NotAvail,NotAvail,IFERROR((COUNTIF(cyberInc[workArea2],$C35&amp;E$5&amp;yes)+COUNTIF(cyberInc[workArea2],$C35&amp;E$5&amp;yesCC))/(COUNTIF(cyberInc[workArea],$C35&amp;E$5)-COUNTIF(cyberInc[workArea2],$C35&amp;E$5&amp;NotAvail)),"N/A"))</f>
        <v>0</v>
      </c>
      <c r="F35" s="84">
        <f>IF(E35=NotAvail,NotAvail,IFERROR((COUNTIF(cyberInc[workArea2],$C35&amp;F$5&amp;yes)+COUNTIF(cyberInc[workArea2],$C35&amp;F$5&amp;yesCC))/(COUNTIF(cyberInc[workArea],$C35&amp;F$5)-COUNTIF(cyberInc[workArea2],$C35&amp;F$5&amp;NotAvail)),"N/A"))</f>
        <v>0</v>
      </c>
      <c r="G35" s="84">
        <f>IF(F35=NotAvail,NotAvail,IFERROR((COUNTIF(cyberInc[workArea2],$C35&amp;G$5&amp;yes)+COUNTIF(cyberInc[workArea2],$C35&amp;G$5&amp;yesCC))/(COUNTIF(cyberInc[workArea],$C35&amp;G$5)-COUNTIF(cyberInc[workArea2],$C35&amp;G$5&amp;NotAvail)),"N/A"))</f>
        <v>0</v>
      </c>
      <c r="H35" s="84">
        <f>IF(G35=NotAvail,NotAvail,IFERROR((COUNTIF(cyberInc[workArea2],$C35&amp;H$5&amp;yes)+COUNTIF(cyberInc[workArea2],$C35&amp;H$5&amp;yesCC))/(COUNTIF(cyberInc[workArea],$C35&amp;H$5)-COUNTIF(cyberInc[workArea2],$C35&amp;H$5&amp;NotAvail)),"N/A"))</f>
        <v>0</v>
      </c>
      <c r="I35" s="85" t="str">
        <f>IF(AND(D35=1,E35=1,F35=1,G35=1,H35=1),H$5,IF(AND(D35=1,E35=1,F35=1,G35=1),G$5,IF(AND(D35=1,E35=1,F35=1),F$5,IF(AND(D35=1,E35=1),E$5,IF(D35=1,D$5,nOTA)))))</f>
        <v>---</v>
      </c>
      <c r="K35" s="83" t="str">
        <f>IFERROR(INDEX(maturityLevels,MIN(MATCH(I35,maturityLevels,0),MATCH(I36,maturityLevels,0),MATCH(I37,maturityLevels,0),MATCH(I38,maturityLevels,0),MATCH(I39,maturityLevels,0))),nOTA)</f>
        <v>---</v>
      </c>
      <c r="N35" s="281" t="str">
        <f>IF(COUNTIF(cyberInc[workArea],$C35&amp;D$5)=COUNTIF(cyberInc[workArea2],$C35&amp;D$5&amp;NotAvail),warningText,"")</f>
        <v/>
      </c>
      <c r="O35" s="281" t="str">
        <f>IF(COUNTIF(cyberInc[workArea],$C35&amp;E$5)=COUNTIF(cyberInc[workArea2],$C35&amp;E$5&amp;NotAvail),warningText,"")</f>
        <v/>
      </c>
      <c r="P35" s="281" t="str">
        <f>IF(COUNTIF(cyberInc[workArea],$C35&amp;F$5)=COUNTIF(cyberInc[workArea2],$C35&amp;F$5&amp;NotAvail),warningText,"")</f>
        <v/>
      </c>
      <c r="Q35" s="281" t="str">
        <f>IF(COUNTIF(cyberInc[workArea],$C35&amp;G$5)=COUNTIF(cyberInc[workArea2],$C35&amp;G$5&amp;NotAvail),warningText,"")</f>
        <v/>
      </c>
      <c r="R35" s="281" t="str">
        <f>IF(COUNTIF(cyberInc[workArea],$C35&amp;H$5)=COUNTIF(cyberInc[workArea2],$C35&amp;H$5&amp;NotAvail),warningText,"")</f>
        <v/>
      </c>
      <c r="S35" s="285">
        <f>COUNTIF(N35:R39,warningText)</f>
        <v>0</v>
      </c>
    </row>
    <row r="36" spans="1:19" ht="30" x14ac:dyDescent="0.25">
      <c r="A36" s="80" t="s">
        <v>608</v>
      </c>
      <c r="B36" s="80" t="s">
        <v>510</v>
      </c>
      <c r="C36" s="58" t="s">
        <v>529</v>
      </c>
      <c r="D36" s="84">
        <f>IFERROR((COUNTIF(cyberInc[workArea2],$C36&amp;D$5&amp;yes)+COUNTIF(cyberInc[workArea2],$C36&amp;D$5&amp;yesCC))/(COUNTIF(cyberInc[workArea],$C36&amp;D$5)-COUNTIF(cyberInc[workArea2],$C36&amp;D$5&amp;NotAvail)),"N/A")</f>
        <v>0</v>
      </c>
      <c r="E36" s="84">
        <f>IF(D36=NotAvail,NotAvail,IFERROR((COUNTIF(cyberInc[workArea2],$C36&amp;E$5&amp;yes)+COUNTIF(cyberInc[workArea2],$C36&amp;E$5&amp;yesCC))/(COUNTIF(cyberInc[workArea],$C36&amp;E$5)-COUNTIF(cyberInc[workArea2],$C36&amp;E$5&amp;NotAvail)),"N/A"))</f>
        <v>0</v>
      </c>
      <c r="F36" s="84">
        <f>IF(E36=NotAvail,NotAvail,IFERROR((COUNTIF(cyberInc[workArea2],$C36&amp;F$5&amp;yes)+COUNTIF(cyberInc[workArea2],$C36&amp;F$5&amp;yesCC))/(COUNTIF(cyberInc[workArea],$C36&amp;F$5)-COUNTIF(cyberInc[workArea2],$C36&amp;F$5&amp;NotAvail)),"N/A"))</f>
        <v>0</v>
      </c>
      <c r="G36" s="84">
        <f>IF(F36=NotAvail,NotAvail,IFERROR((COUNTIF(cyberInc[workArea2],$C36&amp;G$5&amp;yes)+COUNTIF(cyberInc[workArea2],$C36&amp;G$5&amp;yesCC))/(COUNTIF(cyberInc[workArea],$C36&amp;G$5)-COUNTIF(cyberInc[workArea2],$C36&amp;G$5&amp;NotAvail)),"N/A"))</f>
        <v>0</v>
      </c>
      <c r="H36" s="84">
        <f>IF(G36=NotAvail,NotAvail,IFERROR((COUNTIF(cyberInc[workArea2],$C36&amp;H$5&amp;yes)+COUNTIF(cyberInc[workArea2],$C36&amp;H$5&amp;yesCC))/(COUNTIF(cyberInc[workArea],$C36&amp;H$5)-COUNTIF(cyberInc[workArea2],$C36&amp;H$5&amp;NotAvail)),"N/A"))</f>
        <v>0</v>
      </c>
      <c r="I36" s="85" t="str">
        <f>IF(AND(D36=1,E36=1,F36=1,G36=1,H36=1),H$5,IF(AND(D36=1,E36=1,F36=1,G36=1),G$5,IF(AND(D36=1,E36=1,F36=1),F$5,IF(AND(D36=1,E36=1),E$5,IF(D36=1,D$5,nOTA)))))</f>
        <v>---</v>
      </c>
      <c r="N36" s="281" t="str">
        <f>IF(COUNTIF(cyberInc[workArea],$C36&amp;D$5)=COUNTIF(cyberInc[workArea2],$C36&amp;D$5&amp;NotAvail),warningText,"")</f>
        <v/>
      </c>
      <c r="O36" s="281" t="str">
        <f>IF(COUNTIF(cyberInc[workArea],$C36&amp;E$5)=COUNTIF(cyberInc[workArea2],$C36&amp;E$5&amp;NotAvail),warningText,"")</f>
        <v/>
      </c>
      <c r="P36" s="281" t="str">
        <f>IF(COUNTIF(cyberInc[workArea],$C36&amp;F$5)=COUNTIF(cyberInc[workArea2],$C36&amp;F$5&amp;NotAvail),warningText,"")</f>
        <v/>
      </c>
      <c r="Q36" s="281" t="str">
        <f>IF(COUNTIF(cyberInc[workArea],$C36&amp;G$5)=COUNTIF(cyberInc[workArea2],$C36&amp;G$5&amp;NotAvail),warningText,"")</f>
        <v/>
      </c>
      <c r="R36" s="281" t="str">
        <f>IF(COUNTIF(cyberInc[workArea],$C36&amp;H$5)=COUNTIF(cyberInc[workArea2],$C36&amp;H$5&amp;NotAvail),warningText,"")</f>
        <v/>
      </c>
    </row>
    <row r="37" spans="1:19" ht="30" x14ac:dyDescent="0.25">
      <c r="A37" s="80" t="s">
        <v>608</v>
      </c>
      <c r="B37" s="80" t="s">
        <v>547</v>
      </c>
      <c r="C37" s="58" t="s">
        <v>548</v>
      </c>
      <c r="D37" s="84">
        <f>IFERROR((COUNTIF(cyberInc[workArea2],$C37&amp;D$5&amp;yes)+COUNTIF(cyberInc[workArea2],$C37&amp;D$5&amp;yesCC))/(COUNTIF(cyberInc[workArea],$C37&amp;D$5)-COUNTIF(cyberInc[workArea2],$C37&amp;D$5&amp;NotAvail)),"N/A")</f>
        <v>0</v>
      </c>
      <c r="E37" s="84">
        <f>IF(D37=NotAvail,NotAvail,IFERROR((COUNTIF(cyberInc[workArea2],$C37&amp;E$5&amp;yes)+COUNTIF(cyberInc[workArea2],$C37&amp;E$5&amp;yesCC))/(COUNTIF(cyberInc[workArea],$C37&amp;E$5)-COUNTIF(cyberInc[workArea2],$C37&amp;E$5&amp;NotAvail)),"N/A"))</f>
        <v>0</v>
      </c>
      <c r="F37" s="84">
        <f>IF(E37=NotAvail,NotAvail,IFERROR((COUNTIF(cyberInc[workArea2],$C37&amp;F$5&amp;yes)+COUNTIF(cyberInc[workArea2],$C37&amp;F$5&amp;yesCC))/(COUNTIF(cyberInc[workArea],$C37&amp;F$5)-COUNTIF(cyberInc[workArea2],$C37&amp;F$5&amp;NotAvail)),"N/A"))</f>
        <v>0</v>
      </c>
      <c r="G37" s="84">
        <f>IF(F37=NotAvail,NotAvail,IFERROR((COUNTIF(cyberInc[workArea2],$C37&amp;G$5&amp;yes)+COUNTIF(cyberInc[workArea2],$C37&amp;G$5&amp;yesCC))/(COUNTIF(cyberInc[workArea],$C37&amp;G$5)-COUNTIF(cyberInc[workArea2],$C37&amp;G$5&amp;NotAvail)),"N/A"))</f>
        <v>0</v>
      </c>
      <c r="H37" s="84">
        <f>IF(G37=NotAvail,NotAvail,IFERROR((COUNTIF(cyberInc[workArea2],$C37&amp;H$5&amp;yes)+COUNTIF(cyberInc[workArea2],$C37&amp;H$5&amp;yesCC))/(COUNTIF(cyberInc[workArea],$C37&amp;H$5)-COUNTIF(cyberInc[workArea2],$C37&amp;H$5&amp;NotAvail)),"N/A"))</f>
        <v>0</v>
      </c>
      <c r="I37" s="85" t="str">
        <f>IF(AND(D37=1,E37=1,F37=1,G37=1,H37=1),H$5,IF(AND(D37=1,E37=1,F37=1,G37=1),G$5,IF(AND(D37=1,E37=1,F37=1),F$5,IF(AND(D37=1,E37=1),E$5,IF(D37=1,D$5,nOTA)))))</f>
        <v>---</v>
      </c>
      <c r="N37" s="281" t="str">
        <f>IF(COUNTIF(cyberInc[workArea],$C37&amp;D$5)=COUNTIF(cyberInc[workArea2],$C37&amp;D$5&amp;NotAvail),warningText,"")</f>
        <v/>
      </c>
      <c r="O37" s="281" t="str">
        <f>IF(COUNTIF(cyberInc[workArea],$C37&amp;E$5)=COUNTIF(cyberInc[workArea2],$C37&amp;E$5&amp;NotAvail),warningText,"")</f>
        <v/>
      </c>
      <c r="P37" s="281" t="str">
        <f>IF(COUNTIF(cyberInc[workArea],$C37&amp;F$5)=COUNTIF(cyberInc[workArea2],$C37&amp;F$5&amp;NotAvail),warningText,"")</f>
        <v/>
      </c>
      <c r="Q37" s="281" t="str">
        <f>IF(COUNTIF(cyberInc[workArea],$C37&amp;G$5)=COUNTIF(cyberInc[workArea2],$C37&amp;G$5&amp;NotAvail),warningText,"")</f>
        <v/>
      </c>
      <c r="R37" s="281" t="str">
        <f>IF(COUNTIF(cyberInc[workArea],$C37&amp;H$5)=COUNTIF(cyberInc[workArea2],$C37&amp;H$5&amp;NotAvail),warningText,"")</f>
        <v/>
      </c>
    </row>
    <row r="38" spans="1:19" ht="30" x14ac:dyDescent="0.25">
      <c r="A38" s="80" t="s">
        <v>608</v>
      </c>
      <c r="B38" s="80" t="s">
        <v>547</v>
      </c>
      <c r="C38" s="58" t="s">
        <v>562</v>
      </c>
      <c r="D38" s="84">
        <f>IFERROR((COUNTIF(cyberInc[workArea2],$C38&amp;D$5&amp;yes)+COUNTIF(cyberInc[workArea2],$C38&amp;D$5&amp;yesCC))/(COUNTIF(cyberInc[workArea],$C38&amp;D$5)-COUNTIF(cyberInc[workArea2],$C38&amp;D$5&amp;NotAvail)),"N/A")</f>
        <v>0</v>
      </c>
      <c r="E38" s="84">
        <f>IF(D38=NotAvail,NotAvail,IFERROR((COUNTIF(cyberInc[workArea2],$C38&amp;E$5&amp;yes)+COUNTIF(cyberInc[workArea2],$C38&amp;E$5&amp;yesCC))/(COUNTIF(cyberInc[workArea],$C38&amp;E$5)-COUNTIF(cyberInc[workArea2],$C38&amp;E$5&amp;NotAvail)),"N/A"))</f>
        <v>0</v>
      </c>
      <c r="F38" s="84">
        <f>IF(E38=NotAvail,NotAvail,IFERROR((COUNTIF(cyberInc[workArea2],$C38&amp;F$5&amp;yes)+COUNTIF(cyberInc[workArea2],$C38&amp;F$5&amp;yesCC))/(COUNTIF(cyberInc[workArea],$C38&amp;F$5)-COUNTIF(cyberInc[workArea2],$C38&amp;F$5&amp;NotAvail)),"N/A"))</f>
        <v>0</v>
      </c>
      <c r="G38" s="84">
        <f>IF(F38=NotAvail,NotAvail,IFERROR((COUNTIF(cyberInc[workArea2],$C38&amp;G$5&amp;yes)+COUNTIF(cyberInc[workArea2],$C38&amp;G$5&amp;yesCC))/(COUNTIF(cyberInc[workArea],$C38&amp;G$5)-COUNTIF(cyberInc[workArea2],$C38&amp;G$5&amp;NotAvail)),"N/A"))</f>
        <v>0</v>
      </c>
      <c r="H38" s="84">
        <f>IF(G38=NotAvail,NotAvail,IFERROR((COUNTIF(cyberInc[workArea2],$C38&amp;H$5&amp;yes)+COUNTIF(cyberInc[workArea2],$C38&amp;H$5&amp;yesCC))/(COUNTIF(cyberInc[workArea],$C38&amp;H$5)-COUNTIF(cyberInc[workArea2],$C38&amp;H$5&amp;NotAvail)),"N/A"))</f>
        <v>0</v>
      </c>
      <c r="I38" s="85" t="str">
        <f>IF(AND(D38=1,E38=1,F38=1,G38=1,H38=1),H$5,IF(AND(D38=1,E38=1,F38=1,G38=1),G$5,IF(AND(D38=1,E38=1,F38=1),F$5,IF(AND(D38=1,E38=1),E$5,IF(D38=1,D$5,nOTA)))))</f>
        <v>---</v>
      </c>
      <c r="N38" s="281" t="str">
        <f>IF(COUNTIF(cyberInc[workArea],$C38&amp;D$5)=COUNTIF(cyberInc[workArea2],$C38&amp;D$5&amp;NotAvail),warningText,"")</f>
        <v/>
      </c>
      <c r="O38" s="281" t="str">
        <f>IF(COUNTIF(cyberInc[workArea],$C38&amp;E$5)=COUNTIF(cyberInc[workArea2],$C38&amp;E$5&amp;NotAvail),warningText,"")</f>
        <v/>
      </c>
      <c r="P38" s="281" t="str">
        <f>IF(COUNTIF(cyberInc[workArea],$C38&amp;F$5)=COUNTIF(cyberInc[workArea2],$C38&amp;F$5&amp;NotAvail),warningText,"")</f>
        <v/>
      </c>
      <c r="Q38" s="281" t="str">
        <f>IF(COUNTIF(cyberInc[workArea],$C38&amp;G$5)=COUNTIF(cyberInc[workArea2],$C38&amp;G$5&amp;NotAvail),warningText,"")</f>
        <v/>
      </c>
      <c r="R38" s="281" t="str">
        <f>IF(COUNTIF(cyberInc[workArea],$C38&amp;H$5)=COUNTIF(cyberInc[workArea2],$C38&amp;H$5&amp;NotAvail),warningText,"")</f>
        <v/>
      </c>
    </row>
    <row r="39" spans="1:19" ht="30" x14ac:dyDescent="0.25">
      <c r="A39" s="80" t="s">
        <v>608</v>
      </c>
      <c r="B39" s="80" t="s">
        <v>580</v>
      </c>
      <c r="C39" s="58" t="s">
        <v>580</v>
      </c>
      <c r="D39" s="84">
        <f>IFERROR((COUNTIF(cyberInc[workArea2],$C39&amp;D$5&amp;yes)+COUNTIF(cyberInc[workArea2],$C39&amp;D$5&amp;yesCC))/(COUNTIF(cyberInc[workArea],$C39&amp;D$5)-COUNTIF(cyberInc[workArea2],$C39&amp;D$5&amp;NotAvail)),"N/A")</f>
        <v>0</v>
      </c>
      <c r="E39" s="84">
        <f>IF(D39=NotAvail,NotAvail,IFERROR((COUNTIF(cyberInc[workArea2],$C39&amp;E$5&amp;yes)+COUNTIF(cyberInc[workArea2],$C39&amp;E$5&amp;yesCC))/(COUNTIF(cyberInc[workArea],$C39&amp;E$5)-COUNTIF(cyberInc[workArea2],$C39&amp;E$5&amp;NotAvail)),"N/A"))</f>
        <v>0</v>
      </c>
      <c r="F39" s="84">
        <f>IF(E39=NotAvail,NotAvail,IFERROR((COUNTIF(cyberInc[workArea2],$C39&amp;F$5&amp;yes)+COUNTIF(cyberInc[workArea2],$C39&amp;F$5&amp;yesCC))/(COUNTIF(cyberInc[workArea],$C39&amp;F$5)-COUNTIF(cyberInc[workArea2],$C39&amp;F$5&amp;NotAvail)),"N/A"))</f>
        <v>0</v>
      </c>
      <c r="G39" s="84">
        <f>IF(F39=NotAvail,NotAvail,IFERROR((COUNTIF(cyberInc[workArea2],$C39&amp;G$5&amp;yes)+COUNTIF(cyberInc[workArea2],$C39&amp;G$5&amp;yesCC))/(COUNTIF(cyberInc[workArea],$C39&amp;G$5)-COUNTIF(cyberInc[workArea2],$C39&amp;G$5&amp;NotAvail)),"N/A"))</f>
        <v>0</v>
      </c>
      <c r="H39" s="84">
        <f>IF(G39=NotAvail,NotAvail,IFERROR((COUNTIF(cyberInc[workArea2],$C39&amp;H$5&amp;yes)+COUNTIF(cyberInc[workArea2],$C39&amp;H$5&amp;yesCC))/(COUNTIF(cyberInc[workArea],$C39&amp;H$5)-COUNTIF(cyberInc[workArea2],$C39&amp;H$5&amp;NotAvail)),"N/A"))</f>
        <v>0</v>
      </c>
      <c r="I39" s="85" t="str">
        <f>IF(AND(D39=1,E39=1,F39=1,G39=1,H39=1),H$5,IF(AND(D39=1,E39=1,F39=1,G39=1),G$5,IF(AND(D39=1,E39=1,F39=1),F$5,IF(AND(D39=1,E39=1),E$5,IF(D39=1,D$5,nOTA)))))</f>
        <v>---</v>
      </c>
      <c r="N39" s="281" t="str">
        <f>IF(COUNTIF(cyberInc[workArea],$C39&amp;D$5)=COUNTIF(cyberInc[workArea2],$C39&amp;D$5&amp;NotAvail),warningText,"")</f>
        <v/>
      </c>
      <c r="O39" s="281" t="str">
        <f>IF(COUNTIF(cyberInc[workArea],$C39&amp;E$5)=COUNTIF(cyberInc[workArea2],$C39&amp;E$5&amp;NotAvail),warningText,"")</f>
        <v/>
      </c>
      <c r="P39" s="281" t="str">
        <f>IF(COUNTIF(cyberInc[workArea],$C39&amp;F$5)=COUNTIF(cyberInc[workArea2],$C39&amp;F$5&amp;NotAvail),warningText,"")</f>
        <v/>
      </c>
      <c r="Q39" s="281" t="str">
        <f>IF(COUNTIF(cyberInc[workArea],$C39&amp;G$5)=COUNTIF(cyberInc[workArea2],$C39&amp;G$5&amp;NotAvail),warningText,"")</f>
        <v/>
      </c>
      <c r="R39" s="281" t="str">
        <f>IF(COUNTIF(cyberInc[workArea],$C39&amp;H$5)=COUNTIF(cyberInc[workArea2],$C39&amp;H$5&amp;NotAvail),warningText,"")</f>
        <v/>
      </c>
    </row>
    <row r="41" spans="1:19" x14ac:dyDescent="0.25">
      <c r="I41" s="112"/>
      <c r="J41" s="112"/>
      <c r="K41" s="112"/>
    </row>
    <row r="42" spans="1:19" x14ac:dyDescent="0.25">
      <c r="I42" s="112"/>
      <c r="J42" s="112"/>
      <c r="K42" s="112"/>
    </row>
    <row r="43" spans="1:19" x14ac:dyDescent="0.25">
      <c r="I43" s="112"/>
      <c r="J43" s="112"/>
      <c r="K43" s="112"/>
    </row>
    <row r="44" spans="1:19" x14ac:dyDescent="0.25">
      <c r="I44" s="112"/>
      <c r="J44" s="112"/>
      <c r="K44" s="112"/>
    </row>
    <row r="45" spans="1:19" x14ac:dyDescent="0.25">
      <c r="I45" s="112"/>
      <c r="J45" s="112"/>
      <c r="K45" s="112"/>
    </row>
    <row r="46" spans="1:19" x14ac:dyDescent="0.25">
      <c r="I46" s="112"/>
      <c r="J46" s="112"/>
      <c r="K46" s="112"/>
    </row>
  </sheetData>
  <sheetProtection algorithmName="SHA-512" hashValue="0l+90LCPpDPL3smEfDKWK7WY+nh9/3ALpW3JvF433GXVKA4qvrNyaeTlryr4Ka1/DB3O1uSdOmItltXSvBZL9A==" saltValue="EBcBrwqFbLryy8gr29Sz3g==" spinCount="100000" sheet="1" objects="1" scenarios="1" formatColumns="0" autoFilter="0"/>
  <mergeCells count="1">
    <mergeCell ref="N1:R3"/>
  </mergeCells>
  <hyperlinks>
    <hyperlink ref="K3" location="disclaimer" display="disclaimer" xr:uid="{00000000-0004-0000-0B00-000000000000}"/>
    <hyperlink ref="K2" location="workbookInfo" display="Workbook Information" xr:uid="{00000000-0004-0000-0B00-000001000000}"/>
  </hyperlinks>
  <pageMargins left="0.25" right="0.25" top="0.75" bottom="0.75" header="0.3" footer="0.3"/>
  <pageSetup scale="54" fitToHeight="0" orientation="landscape" r:id="rId1"/>
  <headerFooter>
    <oddHeader>&amp;C&amp;A</oddHeader>
    <oddFooter>&amp;L&amp;"-,Bold" Confidential-Authorized Use Only&amp;C&amp;D&amp;RPage &amp;P</oddFooter>
  </headerFooter>
  <ignoredErrors>
    <ignoredError sqref="A16:B16 A17 A18:C18 A21:C23 A31:C33 A36:C39 A27:C28 A24 A25:A26 C25:C26 A20:C20 A30:C30 A35:C35 D6:H19 D29:H29 D20 D21:H28 E20:H20 D34:H39 D30 E30:H30 D31:H33" calculatedColumn="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5" tint="0.59999389629810485"/>
    <pageSetUpPr fitToPage="1"/>
  </sheetPr>
  <dimension ref="A1:Y187"/>
  <sheetViews>
    <sheetView zoomScaleNormal="100" workbookViewId="0">
      <pane ySplit="8" topLeftCell="A9" activePane="bottomLeft" state="frozen"/>
      <selection pane="bottomLeft" activeCell="D9" sqref="D9"/>
    </sheetView>
  </sheetViews>
  <sheetFormatPr defaultColWidth="8.85546875" defaultRowHeight="15" x14ac:dyDescent="0.25"/>
  <cols>
    <col min="1" max="2" width="25.7109375" style="10" customWidth="1"/>
    <col min="3" max="3" width="18.7109375" style="10" customWidth="1"/>
    <col min="4" max="4" width="12.7109375" style="10" customWidth="1"/>
    <col min="5" max="5" width="75.7109375" style="10" customWidth="1"/>
    <col min="6" max="6" width="30.7109375" style="46" customWidth="1"/>
    <col min="7" max="7" width="65.7109375" style="88" customWidth="1"/>
    <col min="8" max="8" width="13.7109375" style="185" customWidth="1"/>
    <col min="9" max="9" width="20.7109375" style="88" hidden="1" customWidth="1"/>
    <col min="10" max="10" width="46.5703125" style="10" hidden="1" customWidth="1"/>
    <col min="11" max="11" width="10.7109375" style="178" hidden="1" customWidth="1"/>
    <col min="12" max="12" width="17.7109375" style="178" hidden="1" customWidth="1"/>
    <col min="13" max="13" width="8.85546875" style="178" hidden="1" customWidth="1"/>
    <col min="14" max="17" width="8.85546875" style="10" hidden="1" customWidth="1"/>
    <col min="18" max="18" width="8.85546875" style="165" hidden="1" customWidth="1"/>
    <col min="19" max="19" width="8.85546875" style="10" customWidth="1"/>
    <col min="20" max="20" width="8.85546875" style="165" customWidth="1"/>
    <col min="21" max="21" width="8.85546875" style="10" customWidth="1"/>
    <col min="22" max="22" width="8.85546875" style="165" customWidth="1"/>
    <col min="23" max="25" width="8.85546875" style="10" customWidth="1"/>
    <col min="26" max="16384" width="8.85546875" style="10"/>
  </cols>
  <sheetData>
    <row r="1" spans="1:25" s="112" customFormat="1" ht="20.100000000000001" customHeight="1" x14ac:dyDescent="0.25">
      <c r="A1" s="6" t="str">
        <f>HYPERLINK(websiteHTTP&amp;webSiteURL,"Watkins Consulting")</f>
        <v>Watkins Consulting</v>
      </c>
      <c r="B1" s="132"/>
      <c r="C1" s="132"/>
      <c r="D1" s="132"/>
      <c r="E1" s="136" t="str">
        <f>IF(firmName&gt;0,firmName,"")</f>
        <v/>
      </c>
      <c r="F1" s="132"/>
      <c r="G1" s="8" t="str">
        <f>HYPERLINK(websiteHTTP&amp;webSiteURL&amp;userManualrURL,"User Manual")</f>
        <v>User Manual</v>
      </c>
      <c r="H1" s="8"/>
      <c r="K1" s="176"/>
      <c r="L1" s="176"/>
      <c r="M1" s="176"/>
      <c r="R1" s="166"/>
      <c r="T1" s="166"/>
      <c r="V1" s="166"/>
    </row>
    <row r="2" spans="1:25" s="112" customFormat="1" ht="20.100000000000001" customHeight="1" x14ac:dyDescent="0.25">
      <c r="A2" s="256" t="str">
        <f ca="1">workbookVersionLabel</f>
        <v xml:space="preserve"> Excel Workbook Version: 3.4.2</v>
      </c>
      <c r="B2" s="132"/>
      <c r="C2" s="132"/>
      <c r="D2" s="132"/>
      <c r="E2" s="133" t="str">
        <f>Information</f>
        <v>FFIEC Cybersecurity Assessment Tool (May 2017)</v>
      </c>
      <c r="F2" s="137"/>
      <c r="G2" s="8" t="s">
        <v>1094</v>
      </c>
      <c r="H2" s="8"/>
      <c r="K2" s="176"/>
      <c r="L2" s="176"/>
      <c r="M2" s="176"/>
      <c r="R2" s="166"/>
      <c r="T2" s="166"/>
      <c r="V2" s="166"/>
    </row>
    <row r="3" spans="1:25" s="112" customFormat="1" ht="20.100000000000001" customHeight="1" thickBot="1" x14ac:dyDescent="0.3">
      <c r="A3" s="139" t="str">
        <f ca="1">MID(CELL("filename",A1),FIND("]",CELL("filename",A1))+1,256)</f>
        <v>Risk Management and Oversight</v>
      </c>
      <c r="B3" s="140"/>
      <c r="C3" s="140"/>
      <c r="D3" s="141"/>
      <c r="E3" s="142" t="str">
        <f>IF(assessmentDate&gt;0,assessmentDate,"")</f>
        <v/>
      </c>
      <c r="F3" s="141"/>
      <c r="G3" s="155" t="s">
        <v>620</v>
      </c>
      <c r="H3" s="141"/>
      <c r="K3" s="176"/>
      <c r="L3" s="176"/>
      <c r="M3" s="176"/>
      <c r="R3" s="166"/>
      <c r="T3" s="166"/>
      <c r="V3" s="166"/>
    </row>
    <row r="4" spans="1:25" ht="15" customHeight="1" thickTop="1" x14ac:dyDescent="0.3">
      <c r="A4" s="283" t="str">
        <f>IF('Maturity Roll Up'!S6&gt;0,warn1&amp;'Maturity Roll Up'!S6&amp;warn2,"")</f>
        <v/>
      </c>
      <c r="C4" s="33"/>
      <c r="F4" s="317" t="s">
        <v>925</v>
      </c>
      <c r="G4" s="179" t="s">
        <v>927</v>
      </c>
      <c r="H4" s="179"/>
      <c r="I4" s="112"/>
      <c r="J4" s="112"/>
    </row>
    <row r="5" spans="1:25" ht="20.25" thickBot="1" x14ac:dyDescent="0.35">
      <c r="A5" s="407" t="s">
        <v>46</v>
      </c>
      <c r="B5" s="407"/>
      <c r="C5" s="407"/>
      <c r="D5" s="407"/>
      <c r="E5" s="407"/>
      <c r="F5" s="407"/>
      <c r="G5" s="407"/>
      <c r="H5" s="407"/>
      <c r="I5" s="90"/>
      <c r="J5" s="90"/>
    </row>
    <row r="6" spans="1:25" ht="15" customHeight="1" x14ac:dyDescent="0.25">
      <c r="A6" s="401" t="s">
        <v>47</v>
      </c>
      <c r="B6" s="402"/>
      <c r="C6" s="402"/>
      <c r="D6" s="402"/>
      <c r="E6" s="402"/>
      <c r="F6" s="402"/>
      <c r="G6" s="402"/>
      <c r="H6" s="403"/>
      <c r="I6" s="156"/>
      <c r="J6" s="156"/>
    </row>
    <row r="7" spans="1:25" ht="15" customHeight="1" thickBot="1" x14ac:dyDescent="0.3">
      <c r="A7" s="404"/>
      <c r="B7" s="405"/>
      <c r="C7" s="405"/>
      <c r="D7" s="405"/>
      <c r="E7" s="405"/>
      <c r="F7" s="405"/>
      <c r="G7" s="405"/>
      <c r="H7" s="406"/>
    </row>
    <row r="8" spans="1:25" x14ac:dyDescent="0.25">
      <c r="A8" s="46" t="s">
        <v>25</v>
      </c>
      <c r="B8" s="46" t="s">
        <v>26</v>
      </c>
      <c r="C8" s="46" t="s">
        <v>23</v>
      </c>
      <c r="D8" s="57" t="s">
        <v>878</v>
      </c>
      <c r="E8" s="46" t="s">
        <v>48</v>
      </c>
      <c r="F8" s="46" t="s">
        <v>49</v>
      </c>
      <c r="G8" s="91" t="s">
        <v>10</v>
      </c>
      <c r="H8" s="180" t="s">
        <v>2076</v>
      </c>
      <c r="I8" s="88" t="s">
        <v>50</v>
      </c>
      <c r="J8" s="88" t="s">
        <v>51</v>
      </c>
      <c r="K8" s="180" t="s">
        <v>956</v>
      </c>
      <c r="L8" s="180" t="s">
        <v>957</v>
      </c>
      <c r="M8" s="180" t="s">
        <v>1273</v>
      </c>
      <c r="N8" s="180" t="s">
        <v>1281</v>
      </c>
      <c r="O8" s="180" t="s">
        <v>1282</v>
      </c>
      <c r="P8" s="180" t="s">
        <v>1283</v>
      </c>
      <c r="Q8" s="180" t="s">
        <v>1284</v>
      </c>
      <c r="R8" s="180" t="s">
        <v>2077</v>
      </c>
      <c r="S8" s="169"/>
      <c r="T8" s="169"/>
      <c r="U8" s="169"/>
      <c r="V8" s="169"/>
      <c r="W8" s="169"/>
      <c r="X8" s="169"/>
      <c r="Y8" s="169"/>
    </row>
    <row r="9" spans="1:25" ht="60" x14ac:dyDescent="0.25">
      <c r="A9" s="86" t="s">
        <v>34</v>
      </c>
      <c r="B9" s="86" t="s">
        <v>35</v>
      </c>
      <c r="C9" s="86" t="s">
        <v>27</v>
      </c>
      <c r="D9" s="87"/>
      <c r="E9" s="110" t="s">
        <v>52</v>
      </c>
      <c r="F9"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3</v>
      </c>
      <c r="G9" s="423"/>
      <c r="H9" s="255" t="str">
        <f>IFERROR(HYPERLINK("#'Appendix A'!E"&amp;ROW(INDEX(Table23[DSorder],MATCH(cyberRisk[[#This Row],[AppAref]],Table23[DSorder],0))),"GO"),"")</f>
        <v>GO</v>
      </c>
      <c r="I9" s="86" t="str">
        <f>cyberRisk[[#This Row],[Component]]&amp;cyberRisk[[#This Row],[Maturity Level]]</f>
        <v>OversightBaseline</v>
      </c>
      <c r="J9" s="86" t="str">
        <f>cyberRisk[[#This Row],[workArea]]&amp;cyberRisk[[#This Row],[Y, Y(C), N]]</f>
        <v>OversightBaseline</v>
      </c>
      <c r="K9" s="184">
        <v>1</v>
      </c>
      <c r="L9" s="184">
        <f>IFERROR(MATCH(cyberRisk[[#This Row],[Ref No.]],hyperlinkLU[Reference No.],0),cyberRisk[[#This Row],[Ref No.]])</f>
        <v>1</v>
      </c>
      <c r="M9" s="184" t="str">
        <f t="shared" ref="M9:M40" si="0">TRIM(MID($A$5,FIND(":",$A$5)+2,LEN($A$5)))</f>
        <v>Cyber Risk Management and Oversight</v>
      </c>
      <c r="N9" s="184">
        <f>IF(cyberRisk[[#This Row],[Y, Y(C), N]]=yes,1,0)</f>
        <v>0</v>
      </c>
      <c r="O9" s="184">
        <f>IF(cyberRisk[[#This Row],[Y, Y(C), N]]=yesCC,1,0)</f>
        <v>0</v>
      </c>
      <c r="P9" s="184">
        <f>IF(cyberRisk[[#This Row],[Y, Y(C), N]]=no,1,0)</f>
        <v>0</v>
      </c>
      <c r="Q9" s="184">
        <f>IF(cyberRisk[[#This Row],[Y, Y(C), N]]=NotAvail,1,0)</f>
        <v>0</v>
      </c>
      <c r="R9" s="92">
        <v>1</v>
      </c>
      <c r="S9" s="88"/>
      <c r="T9" s="88"/>
      <c r="U9" s="88"/>
      <c r="V9" s="88"/>
      <c r="W9" s="88"/>
      <c r="X9" s="88"/>
      <c r="Y9" s="88"/>
    </row>
    <row r="10" spans="1:25" ht="45" x14ac:dyDescent="0.25">
      <c r="A10" s="86" t="s">
        <v>34</v>
      </c>
      <c r="B10" s="86" t="s">
        <v>35</v>
      </c>
      <c r="C10" s="86" t="s">
        <v>27</v>
      </c>
      <c r="D10" s="87"/>
      <c r="E10" s="110" t="s">
        <v>53</v>
      </c>
      <c r="F10"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v>
      </c>
      <c r="G10" s="424"/>
      <c r="H10" s="313" t="str">
        <f>IFERROR(HYPERLINK("#'Appendix A'!E"&amp;ROW(INDEX(Table23[DSorder],MATCH(cyberRisk[[#This Row],[AppAref]],Table23[DSorder],0))),"GO"),"")</f>
        <v>GO</v>
      </c>
      <c r="I10" s="86" t="str">
        <f>cyberRisk[[#This Row],[Component]]&amp;cyberRisk[[#This Row],[Maturity Level]]</f>
        <v>OversightBaseline</v>
      </c>
      <c r="J10" s="86" t="str">
        <f>cyberRisk[[#This Row],[workArea]]&amp;cyberRisk[[#This Row],[Y, Y(C), N]]</f>
        <v>OversightBaseline</v>
      </c>
      <c r="K10" s="184">
        <v>2</v>
      </c>
      <c r="L10" s="184">
        <f>IFERROR(MATCH(cyberRisk[[#This Row],[Ref No.]],hyperlinkLU[Reference No.],0),cyberRisk[[#This Row],[Ref No.]])</f>
        <v>2</v>
      </c>
      <c r="M10" s="184" t="str">
        <f t="shared" si="0"/>
        <v>Cyber Risk Management and Oversight</v>
      </c>
      <c r="N10" s="184">
        <f>IF(cyberRisk[[#This Row],[Y, Y(C), N]]=yes,1,0)</f>
        <v>0</v>
      </c>
      <c r="O10" s="184">
        <f>IF(cyberRisk[[#This Row],[Y, Y(C), N]]=yesCC,1,0)</f>
        <v>0</v>
      </c>
      <c r="P10" s="184">
        <f>IF(cyberRisk[[#This Row],[Y, Y(C), N]]=no,1,0)</f>
        <v>0</v>
      </c>
      <c r="Q10" s="184">
        <f>IF(cyberRisk[[#This Row],[Y, Y(C), N]]=NotAvail,1,0)</f>
        <v>0</v>
      </c>
      <c r="R10" s="92">
        <v>2</v>
      </c>
      <c r="S10" s="88"/>
      <c r="T10" s="88"/>
      <c r="U10" s="88"/>
      <c r="V10" s="88"/>
      <c r="W10" s="88"/>
      <c r="X10" s="88"/>
      <c r="Y10" s="88"/>
    </row>
    <row r="11" spans="1:25" ht="45" x14ac:dyDescent="0.25">
      <c r="A11" s="86" t="s">
        <v>34</v>
      </c>
      <c r="B11" s="86" t="s">
        <v>35</v>
      </c>
      <c r="C11" s="86" t="s">
        <v>27</v>
      </c>
      <c r="D11" s="87"/>
      <c r="E11" s="110" t="s">
        <v>54</v>
      </c>
      <c r="F11"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5</v>
      </c>
      <c r="G11" s="423"/>
      <c r="H11" s="29" t="str">
        <f>IFERROR(HYPERLINK("#'Appendix A'!E"&amp;ROW(INDEX(Table23[DSorder],MATCH(cyberRisk[[#This Row],[AppAref]],Table23[DSorder],0))),"GO"),"")</f>
        <v>GO</v>
      </c>
      <c r="I11" s="86" t="str">
        <f>cyberRisk[[#This Row],[Component]]&amp;cyberRisk[[#This Row],[Maturity Level]]</f>
        <v>OversightBaseline</v>
      </c>
      <c r="J11" s="86" t="str">
        <f>cyberRisk[[#This Row],[workArea]]&amp;cyberRisk[[#This Row],[Y, Y(C), N]]</f>
        <v>OversightBaseline</v>
      </c>
      <c r="K11" s="184">
        <v>3</v>
      </c>
      <c r="L11" s="184">
        <f>IFERROR(MATCH(cyberRisk[[#This Row],[Ref No.]],hyperlinkLU[Reference No.],0),cyberRisk[[#This Row],[Ref No.]])</f>
        <v>3</v>
      </c>
      <c r="M11" s="184" t="str">
        <f t="shared" si="0"/>
        <v>Cyber Risk Management and Oversight</v>
      </c>
      <c r="N11" s="184">
        <f>IF(cyberRisk[[#This Row],[Y, Y(C), N]]=yes,1,0)</f>
        <v>0</v>
      </c>
      <c r="O11" s="184">
        <f>IF(cyberRisk[[#This Row],[Y, Y(C), N]]=yesCC,1,0)</f>
        <v>0</v>
      </c>
      <c r="P11" s="184">
        <f>IF(cyberRisk[[#This Row],[Y, Y(C), N]]=no,1,0)</f>
        <v>0</v>
      </c>
      <c r="Q11" s="184">
        <f>IF(cyberRisk[[#This Row],[Y, Y(C), N]]=NotAvail,1,0)</f>
        <v>0</v>
      </c>
      <c r="R11" s="92">
        <v>3</v>
      </c>
      <c r="S11" s="88"/>
      <c r="T11" s="88"/>
      <c r="U11" s="88"/>
      <c r="V11" s="88"/>
      <c r="W11" s="88"/>
      <c r="X11" s="88"/>
      <c r="Y11" s="88"/>
    </row>
    <row r="12" spans="1:25" ht="30" x14ac:dyDescent="0.25">
      <c r="A12" s="86" t="s">
        <v>34</v>
      </c>
      <c r="B12" s="86" t="s">
        <v>35</v>
      </c>
      <c r="C12" s="86" t="s">
        <v>27</v>
      </c>
      <c r="D12" s="87"/>
      <c r="E12" s="58" t="s">
        <v>55</v>
      </c>
      <c r="F12"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E-Banking Booklet, page 20</v>
      </c>
      <c r="G12" s="424"/>
      <c r="H12" s="313" t="str">
        <f>IFERROR(HYPERLINK("#'Appendix A'!E"&amp;ROW(INDEX(Table23[DSorder],MATCH(cyberRisk[[#This Row],[AppAref]],Table23[DSorder],0))),"GO"),"")</f>
        <v>GO</v>
      </c>
      <c r="I12" s="86" t="str">
        <f>cyberRisk[[#This Row],[Component]]&amp;cyberRisk[[#This Row],[Maturity Level]]</f>
        <v>OversightBaseline</v>
      </c>
      <c r="J12" s="86" t="str">
        <f>cyberRisk[[#This Row],[workArea]]&amp;cyberRisk[[#This Row],[Y, Y(C), N]]</f>
        <v>OversightBaseline</v>
      </c>
      <c r="K12" s="184">
        <v>4</v>
      </c>
      <c r="L12" s="184">
        <f>IFERROR(MATCH(cyberRisk[[#This Row],[Ref No.]],hyperlinkLU[Reference No.],0),cyberRisk[[#This Row],[Ref No.]])</f>
        <v>4</v>
      </c>
      <c r="M12" s="184" t="str">
        <f t="shared" si="0"/>
        <v>Cyber Risk Management and Oversight</v>
      </c>
      <c r="N12" s="184">
        <f>IF(cyberRisk[[#This Row],[Y, Y(C), N]]=yes,1,0)</f>
        <v>0</v>
      </c>
      <c r="O12" s="184">
        <f>IF(cyberRisk[[#This Row],[Y, Y(C), N]]=yesCC,1,0)</f>
        <v>0</v>
      </c>
      <c r="P12" s="184">
        <f>IF(cyberRisk[[#This Row],[Y, Y(C), N]]=no,1,0)</f>
        <v>0</v>
      </c>
      <c r="Q12" s="184">
        <f>IF(cyberRisk[[#This Row],[Y, Y(C), N]]=NotAvail,1,0)</f>
        <v>0</v>
      </c>
      <c r="R12" s="92">
        <v>4</v>
      </c>
      <c r="S12" s="88"/>
      <c r="T12" s="88"/>
      <c r="U12" s="88"/>
      <c r="V12" s="88"/>
      <c r="W12" s="88"/>
      <c r="X12" s="88"/>
      <c r="Y12" s="88"/>
    </row>
    <row r="13" spans="1:25" s="46" customFormat="1" ht="105" x14ac:dyDescent="0.25">
      <c r="A13" s="86" t="s">
        <v>34</v>
      </c>
      <c r="B13" s="86" t="s">
        <v>35</v>
      </c>
      <c r="C13" s="86" t="s">
        <v>27</v>
      </c>
      <c r="D13" s="87"/>
      <c r="E13" s="58" t="s">
        <v>56</v>
      </c>
      <c r="F13"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Business Continuity Planning Booklet, page J-12</v>
      </c>
      <c r="G13" s="424"/>
      <c r="H13" s="313" t="str">
        <f>IFERROR(HYPERLINK("#'Appendix A'!E"&amp;ROW(INDEX(Table23[DSorder],MATCH(cyberRisk[[#This Row],[AppAref]],Table23[DSorder],0))),"GO"),"")</f>
        <v>GO</v>
      </c>
      <c r="I13" s="86" t="str">
        <f>cyberRisk[[#This Row],[Component]]&amp;cyberRisk[[#This Row],[Maturity Level]]</f>
        <v>OversightBaseline</v>
      </c>
      <c r="J13" s="86" t="str">
        <f>cyberRisk[[#This Row],[workArea]]&amp;cyberRisk[[#This Row],[Y, Y(C), N]]</f>
        <v>OversightBaseline</v>
      </c>
      <c r="K13" s="184">
        <v>5</v>
      </c>
      <c r="L13" s="184">
        <f>IFERROR(MATCH(cyberRisk[[#This Row],[Ref No.]],hyperlinkLU[Reference No.],0),cyberRisk[[#This Row],[Ref No.]])</f>
        <v>5</v>
      </c>
      <c r="M13" s="248" t="str">
        <f t="shared" si="0"/>
        <v>Cyber Risk Management and Oversight</v>
      </c>
      <c r="N13" s="184">
        <f>IF(cyberRisk[[#This Row],[Y, Y(C), N]]=yes,1,0)</f>
        <v>0</v>
      </c>
      <c r="O13" s="248">
        <f>IF(cyberRisk[[#This Row],[Y, Y(C), N]]=yesCC,1,0)</f>
        <v>0</v>
      </c>
      <c r="P13" s="184">
        <f>IF(cyberRisk[[#This Row],[Y, Y(C), N]]=no,1,0)</f>
        <v>0</v>
      </c>
      <c r="Q13" s="184">
        <f>IF(cyberRisk[[#This Row],[Y, Y(C), N]]=NotAvail,1,0)</f>
        <v>0</v>
      </c>
      <c r="R13" s="92">
        <v>5</v>
      </c>
      <c r="S13" s="88"/>
      <c r="T13" s="88"/>
      <c r="U13" s="88"/>
      <c r="V13" s="88"/>
      <c r="W13" s="88"/>
      <c r="X13" s="88"/>
      <c r="Y13" s="88"/>
    </row>
    <row r="14" spans="1:25" ht="30" x14ac:dyDescent="0.25">
      <c r="A14" s="86" t="s">
        <v>34</v>
      </c>
      <c r="B14" s="86" t="s">
        <v>35</v>
      </c>
      <c r="C14" s="86" t="s">
        <v>28</v>
      </c>
      <c r="D14" s="87"/>
      <c r="E14" s="58" t="s">
        <v>57</v>
      </c>
      <c r="F14" s="24"/>
      <c r="G14" s="424"/>
      <c r="H14" s="313" t="str">
        <f>IFERROR(HYPERLINK("#'Appendix A'!E"&amp;ROW(INDEX(Table23[DSorder],MATCH(cyberRisk[[#This Row],[AppAref]],Table23[DSorder],0))),"GO"),"")</f>
        <v/>
      </c>
      <c r="I14" s="86" t="str">
        <f>cyberRisk[[#This Row],[Component]]&amp;cyberRisk[[#This Row],[Maturity Level]]</f>
        <v>OversightEvolving</v>
      </c>
      <c r="J14" s="86" t="str">
        <f>cyberRisk[[#This Row],[workArea]]&amp;cyberRisk[[#This Row],[Y, Y(C), N]]</f>
        <v>OversightEvolving</v>
      </c>
      <c r="K14" s="184"/>
      <c r="L14" s="184"/>
      <c r="M14" s="184" t="str">
        <f t="shared" si="0"/>
        <v>Cyber Risk Management and Oversight</v>
      </c>
      <c r="N14" s="184">
        <f>IF(cyberRisk[[#This Row],[Y, Y(C), N]]=yes,1,0)</f>
        <v>0</v>
      </c>
      <c r="O14" s="184">
        <f>IF(cyberRisk[[#This Row],[Y, Y(C), N]]=yesCC,1,0)</f>
        <v>0</v>
      </c>
      <c r="P14" s="184">
        <f>IF(cyberRisk[[#This Row],[Y, Y(C), N]]=no,1,0)</f>
        <v>0</v>
      </c>
      <c r="Q14" s="184">
        <f>IF(cyberRisk[[#This Row],[Y, Y(C), N]]=NotAvail,1,0)</f>
        <v>0</v>
      </c>
      <c r="R14" s="92"/>
      <c r="S14" s="88"/>
      <c r="T14" s="88"/>
      <c r="U14" s="88"/>
      <c r="V14" s="88"/>
      <c r="W14" s="88"/>
      <c r="X14" s="88"/>
      <c r="Y14" s="88"/>
    </row>
    <row r="15" spans="1:25" ht="30" x14ac:dyDescent="0.25">
      <c r="A15" s="86" t="s">
        <v>34</v>
      </c>
      <c r="B15" s="86" t="s">
        <v>35</v>
      </c>
      <c r="C15" s="86" t="s">
        <v>28</v>
      </c>
      <c r="D15" s="87"/>
      <c r="E15" s="58" t="s">
        <v>58</v>
      </c>
      <c r="F15" s="24"/>
      <c r="G15" s="424"/>
      <c r="H15" s="313" t="str">
        <f>IFERROR(HYPERLINK("#'Appendix A'!E"&amp;ROW(INDEX(Table23[DSorder],MATCH(cyberRisk[[#This Row],[AppAref]],Table23[DSorder],0))),"GO"),"")</f>
        <v/>
      </c>
      <c r="I15" s="86" t="str">
        <f>cyberRisk[[#This Row],[Component]]&amp;cyberRisk[[#This Row],[Maturity Level]]</f>
        <v>OversightEvolving</v>
      </c>
      <c r="J15" s="86" t="str">
        <f>cyberRisk[[#This Row],[workArea]]&amp;cyberRisk[[#This Row],[Y, Y(C), N]]</f>
        <v>OversightEvolving</v>
      </c>
      <c r="K15" s="184"/>
      <c r="L15" s="184"/>
      <c r="M15" s="184" t="str">
        <f t="shared" si="0"/>
        <v>Cyber Risk Management and Oversight</v>
      </c>
      <c r="N15" s="184">
        <f>IF(cyberRisk[[#This Row],[Y, Y(C), N]]=yes,1,0)</f>
        <v>0</v>
      </c>
      <c r="O15" s="184">
        <f>IF(cyberRisk[[#This Row],[Y, Y(C), N]]=yesCC,1,0)</f>
        <v>0</v>
      </c>
      <c r="P15" s="184">
        <f>IF(cyberRisk[[#This Row],[Y, Y(C), N]]=no,1,0)</f>
        <v>0</v>
      </c>
      <c r="Q15" s="184">
        <f>IF(cyberRisk[[#This Row],[Y, Y(C), N]]=NotAvail,1,0)</f>
        <v>0</v>
      </c>
      <c r="R15" s="92"/>
      <c r="S15" s="88"/>
      <c r="T15" s="88"/>
      <c r="U15" s="88"/>
      <c r="V15" s="88"/>
      <c r="W15" s="88"/>
      <c r="X15" s="88"/>
      <c r="Y15" s="88"/>
    </row>
    <row r="16" spans="1:25" x14ac:dyDescent="0.25">
      <c r="A16" s="86" t="s">
        <v>34</v>
      </c>
      <c r="B16" s="86" t="s">
        <v>35</v>
      </c>
      <c r="C16" s="86" t="s">
        <v>28</v>
      </c>
      <c r="D16" s="87"/>
      <c r="E16" s="58" t="s">
        <v>59</v>
      </c>
      <c r="F16" s="24"/>
      <c r="G16" s="424"/>
      <c r="H16" s="313" t="str">
        <f>IFERROR(HYPERLINK("#'Appendix A'!E"&amp;ROW(INDEX(Table23[DSorder],MATCH(cyberRisk[[#This Row],[AppAref]],Table23[DSorder],0))),"GO"),"")</f>
        <v/>
      </c>
      <c r="I16" s="86" t="str">
        <f>cyberRisk[[#This Row],[Component]]&amp;cyberRisk[[#This Row],[Maturity Level]]</f>
        <v>OversightEvolving</v>
      </c>
      <c r="J16" s="86" t="str">
        <f>cyberRisk[[#This Row],[workArea]]&amp;cyberRisk[[#This Row],[Y, Y(C), N]]</f>
        <v>OversightEvolving</v>
      </c>
      <c r="K16" s="184"/>
      <c r="L16" s="184"/>
      <c r="M16" s="184" t="str">
        <f t="shared" si="0"/>
        <v>Cyber Risk Management and Oversight</v>
      </c>
      <c r="N16" s="184">
        <f>IF(cyberRisk[[#This Row],[Y, Y(C), N]]=yes,1,0)</f>
        <v>0</v>
      </c>
      <c r="O16" s="184">
        <f>IF(cyberRisk[[#This Row],[Y, Y(C), N]]=yesCC,1,0)</f>
        <v>0</v>
      </c>
      <c r="P16" s="184">
        <f>IF(cyberRisk[[#This Row],[Y, Y(C), N]]=no,1,0)</f>
        <v>0</v>
      </c>
      <c r="Q16" s="184">
        <f>IF(cyberRisk[[#This Row],[Y, Y(C), N]]=NotAvail,1,0)</f>
        <v>0</v>
      </c>
      <c r="R16" s="92"/>
      <c r="S16" s="88"/>
      <c r="T16" s="88"/>
      <c r="U16" s="88"/>
      <c r="V16" s="88"/>
      <c r="W16" s="88"/>
      <c r="X16" s="88"/>
      <c r="Y16" s="88"/>
    </row>
    <row r="17" spans="1:25" ht="30" x14ac:dyDescent="0.25">
      <c r="A17" s="86" t="s">
        <v>34</v>
      </c>
      <c r="B17" s="86" t="s">
        <v>35</v>
      </c>
      <c r="C17" s="86" t="s">
        <v>28</v>
      </c>
      <c r="D17" s="87"/>
      <c r="E17" s="58" t="s">
        <v>60</v>
      </c>
      <c r="F17" s="24"/>
      <c r="G17" s="424"/>
      <c r="H17" s="313" t="str">
        <f>IFERROR(HYPERLINK("#'Appendix A'!E"&amp;ROW(INDEX(Table23[DSorder],MATCH(cyberRisk[[#This Row],[AppAref]],Table23[DSorder],0))),"GO"),"")</f>
        <v/>
      </c>
      <c r="I17" s="86" t="str">
        <f>cyberRisk[[#This Row],[Component]]&amp;cyberRisk[[#This Row],[Maturity Level]]</f>
        <v>OversightEvolving</v>
      </c>
      <c r="J17" s="86" t="str">
        <f>cyberRisk[[#This Row],[workArea]]&amp;cyberRisk[[#This Row],[Y, Y(C), N]]</f>
        <v>OversightEvolving</v>
      </c>
      <c r="K17" s="184"/>
      <c r="L17" s="184"/>
      <c r="M17" s="184" t="str">
        <f t="shared" si="0"/>
        <v>Cyber Risk Management and Oversight</v>
      </c>
      <c r="N17" s="184">
        <f>IF(cyberRisk[[#This Row],[Y, Y(C), N]]=yes,1,0)</f>
        <v>0</v>
      </c>
      <c r="O17" s="184">
        <f>IF(cyberRisk[[#This Row],[Y, Y(C), N]]=yesCC,1,0)</f>
        <v>0</v>
      </c>
      <c r="P17" s="184">
        <f>IF(cyberRisk[[#This Row],[Y, Y(C), N]]=no,1,0)</f>
        <v>0</v>
      </c>
      <c r="Q17" s="184">
        <f>IF(cyberRisk[[#This Row],[Y, Y(C), N]]=NotAvail,1,0)</f>
        <v>0</v>
      </c>
      <c r="R17" s="92"/>
      <c r="S17" s="88"/>
      <c r="T17" s="88"/>
      <c r="U17" s="88"/>
      <c r="V17" s="88"/>
      <c r="W17" s="88"/>
      <c r="X17" s="88"/>
      <c r="Y17" s="88"/>
    </row>
    <row r="18" spans="1:25" ht="30" x14ac:dyDescent="0.25">
      <c r="A18" s="86" t="s">
        <v>34</v>
      </c>
      <c r="B18" s="86" t="s">
        <v>35</v>
      </c>
      <c r="C18" s="86" t="s">
        <v>29</v>
      </c>
      <c r="D18" s="87"/>
      <c r="E18" s="58" t="s">
        <v>61</v>
      </c>
      <c r="F18" s="24"/>
      <c r="G18" s="424"/>
      <c r="H18" s="313" t="str">
        <f>IFERROR(HYPERLINK("#'Appendix A'!E"&amp;ROW(INDEX(Table23[DSorder],MATCH(cyberRisk[[#This Row],[AppAref]],Table23[DSorder],0))),"GO"),"")</f>
        <v/>
      </c>
      <c r="I18" s="86" t="str">
        <f>cyberRisk[[#This Row],[Component]]&amp;cyberRisk[[#This Row],[Maturity Level]]</f>
        <v>OversightIntermediate</v>
      </c>
      <c r="J18" s="86" t="str">
        <f>cyberRisk[[#This Row],[workArea]]&amp;cyberRisk[[#This Row],[Y, Y(C), N]]</f>
        <v>OversightIntermediate</v>
      </c>
      <c r="K18" s="184"/>
      <c r="L18" s="184"/>
      <c r="M18" s="184" t="str">
        <f t="shared" si="0"/>
        <v>Cyber Risk Management and Oversight</v>
      </c>
      <c r="N18" s="184">
        <f>IF(cyberRisk[[#This Row],[Y, Y(C), N]]=yes,1,0)</f>
        <v>0</v>
      </c>
      <c r="O18" s="184">
        <f>IF(cyberRisk[[#This Row],[Y, Y(C), N]]=yesCC,1,0)</f>
        <v>0</v>
      </c>
      <c r="P18" s="184">
        <f>IF(cyberRisk[[#This Row],[Y, Y(C), N]]=no,1,0)</f>
        <v>0</v>
      </c>
      <c r="Q18" s="184">
        <f>IF(cyberRisk[[#This Row],[Y, Y(C), N]]=NotAvail,1,0)</f>
        <v>0</v>
      </c>
      <c r="R18" s="92"/>
      <c r="S18" s="88"/>
      <c r="T18" s="88"/>
      <c r="U18" s="88"/>
      <c r="V18" s="88"/>
      <c r="W18" s="88"/>
      <c r="X18" s="88"/>
      <c r="Y18" s="88"/>
    </row>
    <row r="19" spans="1:25" ht="45" x14ac:dyDescent="0.25">
      <c r="A19" s="86" t="s">
        <v>34</v>
      </c>
      <c r="B19" s="86" t="s">
        <v>35</v>
      </c>
      <c r="C19" s="86" t="s">
        <v>29</v>
      </c>
      <c r="D19" s="87"/>
      <c r="E19" s="58" t="s">
        <v>62</v>
      </c>
      <c r="F19" s="24"/>
      <c r="G19" s="424"/>
      <c r="H19" s="313" t="str">
        <f>IFERROR(HYPERLINK("#'Appendix A'!E"&amp;ROW(INDEX(Table23[DSorder],MATCH(cyberRisk[[#This Row],[AppAref]],Table23[DSorder],0))),"GO"),"")</f>
        <v/>
      </c>
      <c r="I19" s="86" t="str">
        <f>cyberRisk[[#This Row],[Component]]&amp;cyberRisk[[#This Row],[Maturity Level]]</f>
        <v>OversightIntermediate</v>
      </c>
      <c r="J19" s="86" t="str">
        <f>cyberRisk[[#This Row],[workArea]]&amp;cyberRisk[[#This Row],[Y, Y(C), N]]</f>
        <v>OversightIntermediate</v>
      </c>
      <c r="K19" s="184"/>
      <c r="L19" s="184"/>
      <c r="M19" s="184" t="str">
        <f t="shared" si="0"/>
        <v>Cyber Risk Management and Oversight</v>
      </c>
      <c r="N19" s="184">
        <f>IF(cyberRisk[[#This Row],[Y, Y(C), N]]=yes,1,0)</f>
        <v>0</v>
      </c>
      <c r="O19" s="184">
        <f>IF(cyberRisk[[#This Row],[Y, Y(C), N]]=yesCC,1,0)</f>
        <v>0</v>
      </c>
      <c r="P19" s="184">
        <f>IF(cyberRisk[[#This Row],[Y, Y(C), N]]=no,1,0)</f>
        <v>0</v>
      </c>
      <c r="Q19" s="184">
        <f>IF(cyberRisk[[#This Row],[Y, Y(C), N]]=NotAvail,1,0)</f>
        <v>0</v>
      </c>
      <c r="R19" s="92"/>
      <c r="S19" s="88"/>
      <c r="T19" s="88"/>
      <c r="U19" s="88"/>
      <c r="V19" s="88"/>
      <c r="W19" s="88"/>
      <c r="X19" s="88"/>
      <c r="Y19" s="88"/>
    </row>
    <row r="20" spans="1:25" ht="30" x14ac:dyDescent="0.25">
      <c r="A20" s="86" t="s">
        <v>34</v>
      </c>
      <c r="B20" s="86" t="s">
        <v>35</v>
      </c>
      <c r="C20" s="86" t="s">
        <v>29</v>
      </c>
      <c r="D20" s="87"/>
      <c r="E20" s="58" t="s">
        <v>63</v>
      </c>
      <c r="F20" s="24"/>
      <c r="G20" s="424"/>
      <c r="H20" s="313" t="str">
        <f>IFERROR(HYPERLINK("#'Appendix A'!E"&amp;ROW(INDEX(Table23[DSorder],MATCH(cyberRisk[[#This Row],[AppAref]],Table23[DSorder],0))),"GO"),"")</f>
        <v/>
      </c>
      <c r="I20" s="86" t="str">
        <f>cyberRisk[[#This Row],[Component]]&amp;cyberRisk[[#This Row],[Maturity Level]]</f>
        <v>OversightIntermediate</v>
      </c>
      <c r="J20" s="86" t="str">
        <f>cyberRisk[[#This Row],[workArea]]&amp;cyberRisk[[#This Row],[Y, Y(C), N]]</f>
        <v>OversightIntermediate</v>
      </c>
      <c r="K20" s="184"/>
      <c r="L20" s="184"/>
      <c r="M20" s="184" t="str">
        <f t="shared" si="0"/>
        <v>Cyber Risk Management and Oversight</v>
      </c>
      <c r="N20" s="184">
        <f>IF(cyberRisk[[#This Row],[Y, Y(C), N]]=yes,1,0)</f>
        <v>0</v>
      </c>
      <c r="O20" s="184">
        <f>IF(cyberRisk[[#This Row],[Y, Y(C), N]]=yesCC,1,0)</f>
        <v>0</v>
      </c>
      <c r="P20" s="184">
        <f>IF(cyberRisk[[#This Row],[Y, Y(C), N]]=no,1,0)</f>
        <v>0</v>
      </c>
      <c r="Q20" s="184">
        <f>IF(cyberRisk[[#This Row],[Y, Y(C), N]]=NotAvail,1,0)</f>
        <v>0</v>
      </c>
      <c r="R20" s="92"/>
      <c r="S20" s="88"/>
      <c r="T20" s="88"/>
      <c r="U20" s="88"/>
      <c r="V20" s="88"/>
      <c r="W20" s="88"/>
      <c r="X20" s="88"/>
      <c r="Y20" s="88"/>
    </row>
    <row r="21" spans="1:25" x14ac:dyDescent="0.25">
      <c r="A21" s="86" t="s">
        <v>34</v>
      </c>
      <c r="B21" s="86" t="s">
        <v>35</v>
      </c>
      <c r="C21" s="86" t="s">
        <v>29</v>
      </c>
      <c r="D21" s="87"/>
      <c r="E21" s="58" t="s">
        <v>64</v>
      </c>
      <c r="F21" s="24"/>
      <c r="G21" s="424"/>
      <c r="H21" s="313" t="str">
        <f>IFERROR(HYPERLINK("#'Appendix A'!E"&amp;ROW(INDEX(Table23[DSorder],MATCH(cyberRisk[[#This Row],[AppAref]],Table23[DSorder],0))),"GO"),"")</f>
        <v/>
      </c>
      <c r="I21" s="86" t="str">
        <f>cyberRisk[[#This Row],[Component]]&amp;cyberRisk[[#This Row],[Maturity Level]]</f>
        <v>OversightIntermediate</v>
      </c>
      <c r="J21" s="86" t="str">
        <f>cyberRisk[[#This Row],[workArea]]&amp;cyberRisk[[#This Row],[Y, Y(C), N]]</f>
        <v>OversightIntermediate</v>
      </c>
      <c r="K21" s="184"/>
      <c r="L21" s="184"/>
      <c r="M21" s="184" t="str">
        <f t="shared" si="0"/>
        <v>Cyber Risk Management and Oversight</v>
      </c>
      <c r="N21" s="184">
        <f>IF(cyberRisk[[#This Row],[Y, Y(C), N]]=yes,1,0)</f>
        <v>0</v>
      </c>
      <c r="O21" s="184">
        <f>IF(cyberRisk[[#This Row],[Y, Y(C), N]]=yesCC,1,0)</f>
        <v>0</v>
      </c>
      <c r="P21" s="184">
        <f>IF(cyberRisk[[#This Row],[Y, Y(C), N]]=no,1,0)</f>
        <v>0</v>
      </c>
      <c r="Q21" s="184">
        <f>IF(cyberRisk[[#This Row],[Y, Y(C), N]]=NotAvail,1,0)</f>
        <v>0</v>
      </c>
      <c r="R21" s="92"/>
      <c r="S21" s="88"/>
      <c r="T21" s="88"/>
      <c r="U21" s="88"/>
      <c r="V21" s="88"/>
      <c r="W21" s="88"/>
      <c r="X21" s="88"/>
      <c r="Y21" s="88"/>
    </row>
    <row r="22" spans="1:25" ht="45" x14ac:dyDescent="0.25">
      <c r="A22" s="86" t="s">
        <v>34</v>
      </c>
      <c r="B22" s="86" t="s">
        <v>35</v>
      </c>
      <c r="C22" s="86" t="s">
        <v>29</v>
      </c>
      <c r="D22" s="87"/>
      <c r="E22" s="58" t="s">
        <v>65</v>
      </c>
      <c r="F22" s="24"/>
      <c r="G22" s="424"/>
      <c r="H22" s="313" t="str">
        <f>IFERROR(HYPERLINK("#'Appendix A'!E"&amp;ROW(INDEX(Table23[DSorder],MATCH(cyberRisk[[#This Row],[AppAref]],Table23[DSorder],0))),"GO"),"")</f>
        <v/>
      </c>
      <c r="I22" s="86" t="str">
        <f>cyberRisk[[#This Row],[Component]]&amp;cyberRisk[[#This Row],[Maturity Level]]</f>
        <v>OversightIntermediate</v>
      </c>
      <c r="J22" s="86" t="str">
        <f>cyberRisk[[#This Row],[workArea]]&amp;cyberRisk[[#This Row],[Y, Y(C), N]]</f>
        <v>OversightIntermediate</v>
      </c>
      <c r="K22" s="184"/>
      <c r="L22" s="184"/>
      <c r="M22" s="184" t="str">
        <f t="shared" si="0"/>
        <v>Cyber Risk Management and Oversight</v>
      </c>
      <c r="N22" s="184">
        <f>IF(cyberRisk[[#This Row],[Y, Y(C), N]]=yes,1,0)</f>
        <v>0</v>
      </c>
      <c r="O22" s="184">
        <f>IF(cyberRisk[[#This Row],[Y, Y(C), N]]=yesCC,1,0)</f>
        <v>0</v>
      </c>
      <c r="P22" s="184">
        <f>IF(cyberRisk[[#This Row],[Y, Y(C), N]]=no,1,0)</f>
        <v>0</v>
      </c>
      <c r="Q22" s="184">
        <f>IF(cyberRisk[[#This Row],[Y, Y(C), N]]=NotAvail,1,0)</f>
        <v>0</v>
      </c>
      <c r="R22" s="92"/>
      <c r="S22" s="88"/>
      <c r="T22" s="88"/>
      <c r="U22" s="88"/>
      <c r="V22" s="88"/>
      <c r="W22" s="88"/>
      <c r="X22" s="88"/>
      <c r="Y22" s="88"/>
    </row>
    <row r="23" spans="1:25" ht="45" x14ac:dyDescent="0.25">
      <c r="A23" s="86" t="s">
        <v>34</v>
      </c>
      <c r="B23" s="86" t="s">
        <v>35</v>
      </c>
      <c r="C23" s="86" t="s">
        <v>29</v>
      </c>
      <c r="D23" s="87"/>
      <c r="E23" s="58" t="s">
        <v>66</v>
      </c>
      <c r="F23" s="24"/>
      <c r="G23" s="424"/>
      <c r="H23" s="313" t="str">
        <f>IFERROR(HYPERLINK("#'Appendix A'!E"&amp;ROW(INDEX(Table23[DSorder],MATCH(cyberRisk[[#This Row],[AppAref]],Table23[DSorder],0))),"GO"),"")</f>
        <v/>
      </c>
      <c r="I23" s="86" t="str">
        <f>cyberRisk[[#This Row],[Component]]&amp;cyberRisk[[#This Row],[Maturity Level]]</f>
        <v>OversightIntermediate</v>
      </c>
      <c r="J23" s="86" t="str">
        <f>cyberRisk[[#This Row],[workArea]]&amp;cyberRisk[[#This Row],[Y, Y(C), N]]</f>
        <v>OversightIntermediate</v>
      </c>
      <c r="K23" s="184"/>
      <c r="L23" s="184"/>
      <c r="M23" s="184" t="str">
        <f t="shared" si="0"/>
        <v>Cyber Risk Management and Oversight</v>
      </c>
      <c r="N23" s="184">
        <f>IF(cyberRisk[[#This Row],[Y, Y(C), N]]=yes,1,0)</f>
        <v>0</v>
      </c>
      <c r="O23" s="184">
        <f>IF(cyberRisk[[#This Row],[Y, Y(C), N]]=yesCC,1,0)</f>
        <v>0</v>
      </c>
      <c r="P23" s="184">
        <f>IF(cyberRisk[[#This Row],[Y, Y(C), N]]=no,1,0)</f>
        <v>0</v>
      </c>
      <c r="Q23" s="184">
        <f>IF(cyberRisk[[#This Row],[Y, Y(C), N]]=NotAvail,1,0)</f>
        <v>0</v>
      </c>
      <c r="R23" s="92"/>
      <c r="S23" s="88"/>
      <c r="T23" s="88"/>
      <c r="U23" s="88"/>
      <c r="V23" s="88"/>
      <c r="W23" s="88"/>
      <c r="X23" s="88"/>
      <c r="Y23" s="88"/>
    </row>
    <row r="24" spans="1:25" ht="45" x14ac:dyDescent="0.25">
      <c r="A24" s="86" t="s">
        <v>34</v>
      </c>
      <c r="B24" s="86" t="s">
        <v>35</v>
      </c>
      <c r="C24" s="86" t="s">
        <v>29</v>
      </c>
      <c r="D24" s="87"/>
      <c r="E24" s="58" t="s">
        <v>67</v>
      </c>
      <c r="F24" s="24"/>
      <c r="G24" s="424"/>
      <c r="H24" s="313" t="str">
        <f>IFERROR(HYPERLINK("#'Appendix A'!E"&amp;ROW(INDEX(Table23[DSorder],MATCH(cyberRisk[[#This Row],[AppAref]],Table23[DSorder],0))),"GO"),"")</f>
        <v/>
      </c>
      <c r="I24" s="86" t="str">
        <f>cyberRisk[[#This Row],[Component]]&amp;cyberRisk[[#This Row],[Maturity Level]]</f>
        <v>OversightIntermediate</v>
      </c>
      <c r="J24" s="86" t="str">
        <f>cyberRisk[[#This Row],[workArea]]&amp;cyberRisk[[#This Row],[Y, Y(C), N]]</f>
        <v>OversightIntermediate</v>
      </c>
      <c r="K24" s="184"/>
      <c r="L24" s="184"/>
      <c r="M24" s="184" t="str">
        <f t="shared" si="0"/>
        <v>Cyber Risk Management and Oversight</v>
      </c>
      <c r="N24" s="184">
        <f>IF(cyberRisk[[#This Row],[Y, Y(C), N]]=yes,1,0)</f>
        <v>0</v>
      </c>
      <c r="O24" s="184">
        <f>IF(cyberRisk[[#This Row],[Y, Y(C), N]]=yesCC,1,0)</f>
        <v>0</v>
      </c>
      <c r="P24" s="184">
        <f>IF(cyberRisk[[#This Row],[Y, Y(C), N]]=no,1,0)</f>
        <v>0</v>
      </c>
      <c r="Q24" s="184">
        <f>IF(cyberRisk[[#This Row],[Y, Y(C), N]]=NotAvail,1,0)</f>
        <v>0</v>
      </c>
      <c r="R24" s="92"/>
      <c r="S24" s="88"/>
      <c r="T24" s="88"/>
      <c r="U24" s="88"/>
      <c r="V24" s="88"/>
      <c r="W24" s="88"/>
      <c r="X24" s="88"/>
      <c r="Y24" s="88"/>
    </row>
    <row r="25" spans="1:25" ht="30" x14ac:dyDescent="0.25">
      <c r="A25" s="86" t="s">
        <v>34</v>
      </c>
      <c r="B25" s="86" t="s">
        <v>35</v>
      </c>
      <c r="C25" s="86" t="s">
        <v>29</v>
      </c>
      <c r="D25" s="87"/>
      <c r="E25" s="58" t="s">
        <v>68</v>
      </c>
      <c r="F25" s="24"/>
      <c r="G25" s="424"/>
      <c r="H25" s="313" t="str">
        <f>IFERROR(HYPERLINK("#'Appendix A'!E"&amp;ROW(INDEX(Table23[DSorder],MATCH(cyberRisk[[#This Row],[AppAref]],Table23[DSorder],0))),"GO"),"")</f>
        <v/>
      </c>
      <c r="I25" s="86" t="str">
        <f>cyberRisk[[#This Row],[Component]]&amp;cyberRisk[[#This Row],[Maturity Level]]</f>
        <v>OversightIntermediate</v>
      </c>
      <c r="J25" s="86" t="str">
        <f>cyberRisk[[#This Row],[workArea]]&amp;cyberRisk[[#This Row],[Y, Y(C), N]]</f>
        <v>OversightIntermediate</v>
      </c>
      <c r="K25" s="184"/>
      <c r="L25" s="184"/>
      <c r="M25" s="184" t="str">
        <f t="shared" si="0"/>
        <v>Cyber Risk Management and Oversight</v>
      </c>
      <c r="N25" s="184">
        <f>IF(cyberRisk[[#This Row],[Y, Y(C), N]]=yes,1,0)</f>
        <v>0</v>
      </c>
      <c r="O25" s="184">
        <f>IF(cyberRisk[[#This Row],[Y, Y(C), N]]=yesCC,1,0)</f>
        <v>0</v>
      </c>
      <c r="P25" s="184">
        <f>IF(cyberRisk[[#This Row],[Y, Y(C), N]]=no,1,0)</f>
        <v>0</v>
      </c>
      <c r="Q25" s="184">
        <f>IF(cyberRisk[[#This Row],[Y, Y(C), N]]=NotAvail,1,0)</f>
        <v>0</v>
      </c>
      <c r="R25" s="92"/>
      <c r="S25" s="88"/>
      <c r="T25" s="88"/>
      <c r="U25" s="88"/>
      <c r="V25" s="88"/>
      <c r="W25" s="88"/>
      <c r="X25" s="88"/>
      <c r="Y25" s="88"/>
    </row>
    <row r="26" spans="1:25" ht="30" x14ac:dyDescent="0.25">
      <c r="A26" s="86" t="s">
        <v>34</v>
      </c>
      <c r="B26" s="86" t="s">
        <v>35</v>
      </c>
      <c r="C26" s="86" t="s">
        <v>30</v>
      </c>
      <c r="D26" s="87"/>
      <c r="E26" s="58" t="s">
        <v>69</v>
      </c>
      <c r="F26" s="24"/>
      <c r="G26" s="424"/>
      <c r="H26" s="313" t="str">
        <f>IFERROR(HYPERLINK("#'Appendix A'!E"&amp;ROW(INDEX(Table23[DSorder],MATCH(cyberRisk[[#This Row],[AppAref]],Table23[DSorder],0))),"GO"),"")</f>
        <v/>
      </c>
      <c r="I26" s="86" t="str">
        <f>cyberRisk[[#This Row],[Component]]&amp;cyberRisk[[#This Row],[Maturity Level]]</f>
        <v>OversightAdvanced</v>
      </c>
      <c r="J26" s="86" t="str">
        <f>cyberRisk[[#This Row],[workArea]]&amp;cyberRisk[[#This Row],[Y, Y(C), N]]</f>
        <v>OversightAdvanced</v>
      </c>
      <c r="K26" s="184"/>
      <c r="L26" s="184"/>
      <c r="M26" s="184" t="str">
        <f t="shared" si="0"/>
        <v>Cyber Risk Management and Oversight</v>
      </c>
      <c r="N26" s="184">
        <f>IF(cyberRisk[[#This Row],[Y, Y(C), N]]=yes,1,0)</f>
        <v>0</v>
      </c>
      <c r="O26" s="184">
        <f>IF(cyberRisk[[#This Row],[Y, Y(C), N]]=yesCC,1,0)</f>
        <v>0</v>
      </c>
      <c r="P26" s="184">
        <f>IF(cyberRisk[[#This Row],[Y, Y(C), N]]=no,1,0)</f>
        <v>0</v>
      </c>
      <c r="Q26" s="184">
        <f>IF(cyberRisk[[#This Row],[Y, Y(C), N]]=NotAvail,1,0)</f>
        <v>0</v>
      </c>
      <c r="R26" s="92"/>
      <c r="S26" s="88"/>
      <c r="T26" s="88"/>
      <c r="U26" s="88"/>
      <c r="V26" s="88"/>
      <c r="W26" s="88"/>
      <c r="X26" s="88"/>
      <c r="Y26" s="88"/>
    </row>
    <row r="27" spans="1:25" ht="30" x14ac:dyDescent="0.25">
      <c r="A27" s="86" t="s">
        <v>34</v>
      </c>
      <c r="B27" s="86" t="s">
        <v>35</v>
      </c>
      <c r="C27" s="86" t="s">
        <v>30</v>
      </c>
      <c r="D27" s="87"/>
      <c r="E27" s="58" t="s">
        <v>70</v>
      </c>
      <c r="F27" s="24"/>
      <c r="G27" s="424"/>
      <c r="H27" s="313" t="str">
        <f>IFERROR(HYPERLINK("#'Appendix A'!E"&amp;ROW(INDEX(Table23[DSorder],MATCH(cyberRisk[[#This Row],[AppAref]],Table23[DSorder],0))),"GO"),"")</f>
        <v/>
      </c>
      <c r="I27" s="86" t="str">
        <f>cyberRisk[[#This Row],[Component]]&amp;cyberRisk[[#This Row],[Maturity Level]]</f>
        <v>OversightAdvanced</v>
      </c>
      <c r="J27" s="86" t="str">
        <f>cyberRisk[[#This Row],[workArea]]&amp;cyberRisk[[#This Row],[Y, Y(C), N]]</f>
        <v>OversightAdvanced</v>
      </c>
      <c r="K27" s="184"/>
      <c r="L27" s="184"/>
      <c r="M27" s="184" t="str">
        <f t="shared" si="0"/>
        <v>Cyber Risk Management and Oversight</v>
      </c>
      <c r="N27" s="184">
        <f>IF(cyberRisk[[#This Row],[Y, Y(C), N]]=yes,1,0)</f>
        <v>0</v>
      </c>
      <c r="O27" s="184">
        <f>IF(cyberRisk[[#This Row],[Y, Y(C), N]]=yesCC,1,0)</f>
        <v>0</v>
      </c>
      <c r="P27" s="184">
        <f>IF(cyberRisk[[#This Row],[Y, Y(C), N]]=no,1,0)</f>
        <v>0</v>
      </c>
      <c r="Q27" s="184">
        <f>IF(cyberRisk[[#This Row],[Y, Y(C), N]]=NotAvail,1,0)</f>
        <v>0</v>
      </c>
      <c r="R27" s="92"/>
      <c r="S27" s="88"/>
      <c r="T27" s="88"/>
      <c r="U27" s="88"/>
      <c r="V27" s="88"/>
      <c r="W27" s="88"/>
      <c r="X27" s="88"/>
      <c r="Y27" s="88"/>
    </row>
    <row r="28" spans="1:25" ht="30" x14ac:dyDescent="0.25">
      <c r="A28" s="86" t="s">
        <v>34</v>
      </c>
      <c r="B28" s="86" t="s">
        <v>35</v>
      </c>
      <c r="C28" s="86" t="s">
        <v>30</v>
      </c>
      <c r="D28" s="87"/>
      <c r="E28" s="58" t="s">
        <v>71</v>
      </c>
      <c r="F28" s="24"/>
      <c r="G28" s="424"/>
      <c r="H28" s="313" t="str">
        <f>IFERROR(HYPERLINK("#'Appendix A'!E"&amp;ROW(INDEX(Table23[DSorder],MATCH(cyberRisk[[#This Row],[AppAref]],Table23[DSorder],0))),"GO"),"")</f>
        <v/>
      </c>
      <c r="I28" s="86" t="str">
        <f>cyberRisk[[#This Row],[Component]]&amp;cyberRisk[[#This Row],[Maturity Level]]</f>
        <v>OversightAdvanced</v>
      </c>
      <c r="J28" s="86" t="str">
        <f>cyberRisk[[#This Row],[workArea]]&amp;cyberRisk[[#This Row],[Y, Y(C), N]]</f>
        <v>OversightAdvanced</v>
      </c>
      <c r="K28" s="184"/>
      <c r="L28" s="184"/>
      <c r="M28" s="184" t="str">
        <f t="shared" si="0"/>
        <v>Cyber Risk Management and Oversight</v>
      </c>
      <c r="N28" s="184">
        <f>IF(cyberRisk[[#This Row],[Y, Y(C), N]]=yes,1,0)</f>
        <v>0</v>
      </c>
      <c r="O28" s="184">
        <f>IF(cyberRisk[[#This Row],[Y, Y(C), N]]=yesCC,1,0)</f>
        <v>0</v>
      </c>
      <c r="P28" s="184">
        <f>IF(cyberRisk[[#This Row],[Y, Y(C), N]]=no,1,0)</f>
        <v>0</v>
      </c>
      <c r="Q28" s="184">
        <f>IF(cyberRisk[[#This Row],[Y, Y(C), N]]=NotAvail,1,0)</f>
        <v>0</v>
      </c>
      <c r="R28" s="92"/>
      <c r="S28" s="88"/>
      <c r="T28" s="88"/>
      <c r="U28" s="88"/>
      <c r="V28" s="88"/>
      <c r="W28" s="88"/>
      <c r="X28" s="88"/>
      <c r="Y28" s="88"/>
    </row>
    <row r="29" spans="1:25" ht="45" x14ac:dyDescent="0.25">
      <c r="A29" s="86" t="s">
        <v>34</v>
      </c>
      <c r="B29" s="86" t="s">
        <v>35</v>
      </c>
      <c r="C29" s="86" t="s">
        <v>30</v>
      </c>
      <c r="D29" s="87"/>
      <c r="E29" s="58" t="s">
        <v>72</v>
      </c>
      <c r="F29" s="24"/>
      <c r="G29" s="424"/>
      <c r="H29" s="313" t="str">
        <f>IFERROR(HYPERLINK("#'Appendix A'!E"&amp;ROW(INDEX(Table23[DSorder],MATCH(cyberRisk[[#This Row],[AppAref]],Table23[DSorder],0))),"GO"),"")</f>
        <v/>
      </c>
      <c r="I29" s="86" t="str">
        <f>cyberRisk[[#This Row],[Component]]&amp;cyberRisk[[#This Row],[Maturity Level]]</f>
        <v>OversightAdvanced</v>
      </c>
      <c r="J29" s="86" t="str">
        <f>cyberRisk[[#This Row],[workArea]]&amp;cyberRisk[[#This Row],[Y, Y(C), N]]</f>
        <v>OversightAdvanced</v>
      </c>
      <c r="K29" s="184"/>
      <c r="L29" s="184"/>
      <c r="M29" s="184" t="str">
        <f t="shared" si="0"/>
        <v>Cyber Risk Management and Oversight</v>
      </c>
      <c r="N29" s="184">
        <f>IF(cyberRisk[[#This Row],[Y, Y(C), N]]=yes,1,0)</f>
        <v>0</v>
      </c>
      <c r="O29" s="184">
        <f>IF(cyberRisk[[#This Row],[Y, Y(C), N]]=yesCC,1,0)</f>
        <v>0</v>
      </c>
      <c r="P29" s="184">
        <f>IF(cyberRisk[[#This Row],[Y, Y(C), N]]=no,1,0)</f>
        <v>0</v>
      </c>
      <c r="Q29" s="184">
        <f>IF(cyberRisk[[#This Row],[Y, Y(C), N]]=NotAvail,1,0)</f>
        <v>0</v>
      </c>
      <c r="R29" s="92"/>
      <c r="S29" s="88"/>
      <c r="T29" s="88"/>
      <c r="U29" s="88"/>
      <c r="V29" s="88"/>
      <c r="W29" s="88"/>
      <c r="X29" s="88"/>
      <c r="Y29" s="88"/>
    </row>
    <row r="30" spans="1:25" x14ac:dyDescent="0.25">
      <c r="A30" s="86" t="s">
        <v>34</v>
      </c>
      <c r="B30" s="86" t="s">
        <v>35</v>
      </c>
      <c r="C30" s="86" t="s">
        <v>30</v>
      </c>
      <c r="D30" s="87"/>
      <c r="E30" s="58" t="s">
        <v>73</v>
      </c>
      <c r="F30" s="24"/>
      <c r="G30" s="424"/>
      <c r="H30" s="313" t="str">
        <f>IFERROR(HYPERLINK("#'Appendix A'!E"&amp;ROW(INDEX(Table23[DSorder],MATCH(cyberRisk[[#This Row],[AppAref]],Table23[DSorder],0))),"GO"),"")</f>
        <v/>
      </c>
      <c r="I30" s="86" t="str">
        <f>cyberRisk[[#This Row],[Component]]&amp;cyberRisk[[#This Row],[Maturity Level]]</f>
        <v>OversightAdvanced</v>
      </c>
      <c r="J30" s="86" t="str">
        <f>cyberRisk[[#This Row],[workArea]]&amp;cyberRisk[[#This Row],[Y, Y(C), N]]</f>
        <v>OversightAdvanced</v>
      </c>
      <c r="K30" s="184"/>
      <c r="L30" s="184"/>
      <c r="M30" s="184" t="str">
        <f t="shared" si="0"/>
        <v>Cyber Risk Management and Oversight</v>
      </c>
      <c r="N30" s="184">
        <f>IF(cyberRisk[[#This Row],[Y, Y(C), N]]=yes,1,0)</f>
        <v>0</v>
      </c>
      <c r="O30" s="184">
        <f>IF(cyberRisk[[#This Row],[Y, Y(C), N]]=yesCC,1,0)</f>
        <v>0</v>
      </c>
      <c r="P30" s="184">
        <f>IF(cyberRisk[[#This Row],[Y, Y(C), N]]=no,1,0)</f>
        <v>0</v>
      </c>
      <c r="Q30" s="184">
        <f>IF(cyberRisk[[#This Row],[Y, Y(C), N]]=NotAvail,1,0)</f>
        <v>0</v>
      </c>
      <c r="R30" s="92"/>
      <c r="S30" s="88"/>
      <c r="T30" s="88"/>
      <c r="U30" s="88"/>
      <c r="V30" s="88"/>
      <c r="W30" s="88"/>
      <c r="X30" s="88"/>
      <c r="Y30" s="88"/>
    </row>
    <row r="31" spans="1:25" ht="30" x14ac:dyDescent="0.25">
      <c r="A31" s="86" t="s">
        <v>34</v>
      </c>
      <c r="B31" s="86" t="s">
        <v>35</v>
      </c>
      <c r="C31" s="86" t="s">
        <v>30</v>
      </c>
      <c r="D31" s="87"/>
      <c r="E31" s="58" t="s">
        <v>74</v>
      </c>
      <c r="F31" s="24"/>
      <c r="G31" s="424"/>
      <c r="H31" s="313" t="str">
        <f>IFERROR(HYPERLINK("#'Appendix A'!E"&amp;ROW(INDEX(Table23[DSorder],MATCH(cyberRisk[[#This Row],[AppAref]],Table23[DSorder],0))),"GO"),"")</f>
        <v/>
      </c>
      <c r="I31" s="86" t="str">
        <f>cyberRisk[[#This Row],[Component]]&amp;cyberRisk[[#This Row],[Maturity Level]]</f>
        <v>OversightAdvanced</v>
      </c>
      <c r="J31" s="86" t="str">
        <f>cyberRisk[[#This Row],[workArea]]&amp;cyberRisk[[#This Row],[Y, Y(C), N]]</f>
        <v>OversightAdvanced</v>
      </c>
      <c r="K31" s="184"/>
      <c r="L31" s="184"/>
      <c r="M31" s="184" t="str">
        <f t="shared" si="0"/>
        <v>Cyber Risk Management and Oversight</v>
      </c>
      <c r="N31" s="184">
        <f>IF(cyberRisk[[#This Row],[Y, Y(C), N]]=yes,1,0)</f>
        <v>0</v>
      </c>
      <c r="O31" s="184">
        <f>IF(cyberRisk[[#This Row],[Y, Y(C), N]]=yesCC,1,0)</f>
        <v>0</v>
      </c>
      <c r="P31" s="184">
        <f>IF(cyberRisk[[#This Row],[Y, Y(C), N]]=no,1,0)</f>
        <v>0</v>
      </c>
      <c r="Q31" s="184">
        <f>IF(cyberRisk[[#This Row],[Y, Y(C), N]]=NotAvail,1,0)</f>
        <v>0</v>
      </c>
      <c r="R31" s="92"/>
      <c r="S31" s="88"/>
      <c r="T31" s="88"/>
      <c r="U31" s="88"/>
      <c r="V31" s="88"/>
      <c r="W31" s="88"/>
      <c r="X31" s="88"/>
      <c r="Y31" s="88"/>
    </row>
    <row r="32" spans="1:25" ht="30" x14ac:dyDescent="0.25">
      <c r="A32" s="86" t="s">
        <v>34</v>
      </c>
      <c r="B32" s="86" t="s">
        <v>35</v>
      </c>
      <c r="C32" s="86" t="s">
        <v>31</v>
      </c>
      <c r="D32" s="87"/>
      <c r="E32" s="58" t="s">
        <v>75</v>
      </c>
      <c r="F32" s="24"/>
      <c r="G32" s="424"/>
      <c r="H32" s="313" t="str">
        <f>IFERROR(HYPERLINK("#'Appendix A'!E"&amp;ROW(INDEX(Table23[DSorder],MATCH(cyberRisk[[#This Row],[AppAref]],Table23[DSorder],0))),"GO"),"")</f>
        <v/>
      </c>
      <c r="I32" s="86" t="str">
        <f>cyberRisk[[#This Row],[Component]]&amp;cyberRisk[[#This Row],[Maturity Level]]</f>
        <v>OversightInnovative</v>
      </c>
      <c r="J32" s="86" t="str">
        <f>cyberRisk[[#This Row],[workArea]]&amp;cyberRisk[[#This Row],[Y, Y(C), N]]</f>
        <v>OversightInnovative</v>
      </c>
      <c r="K32" s="184"/>
      <c r="L32" s="184"/>
      <c r="M32" s="184" t="str">
        <f t="shared" si="0"/>
        <v>Cyber Risk Management and Oversight</v>
      </c>
      <c r="N32" s="184">
        <f>IF(cyberRisk[[#This Row],[Y, Y(C), N]]=yes,1,0)</f>
        <v>0</v>
      </c>
      <c r="O32" s="184">
        <f>IF(cyberRisk[[#This Row],[Y, Y(C), N]]=yesCC,1,0)</f>
        <v>0</v>
      </c>
      <c r="P32" s="184">
        <f>IF(cyberRisk[[#This Row],[Y, Y(C), N]]=no,1,0)</f>
        <v>0</v>
      </c>
      <c r="Q32" s="184">
        <f>IF(cyberRisk[[#This Row],[Y, Y(C), N]]=NotAvail,1,0)</f>
        <v>0</v>
      </c>
      <c r="R32" s="92"/>
      <c r="S32" s="88"/>
      <c r="T32" s="88"/>
      <c r="U32" s="88"/>
      <c r="V32" s="88"/>
      <c r="W32" s="88"/>
      <c r="X32" s="88"/>
      <c r="Y32" s="88"/>
    </row>
    <row r="33" spans="1:25" ht="45" x14ac:dyDescent="0.25">
      <c r="A33" s="86" t="s">
        <v>34</v>
      </c>
      <c r="B33" s="86" t="s">
        <v>35</v>
      </c>
      <c r="C33" s="86" t="s">
        <v>31</v>
      </c>
      <c r="D33" s="87"/>
      <c r="E33" s="58" t="s">
        <v>76</v>
      </c>
      <c r="F33" s="24"/>
      <c r="G33" s="424"/>
      <c r="H33" s="313" t="str">
        <f>IFERROR(HYPERLINK("#'Appendix A'!E"&amp;ROW(INDEX(Table23[DSorder],MATCH(cyberRisk[[#This Row],[AppAref]],Table23[DSorder],0))),"GO"),"")</f>
        <v/>
      </c>
      <c r="I33" s="86" t="str">
        <f>cyberRisk[[#This Row],[Component]]&amp;cyberRisk[[#This Row],[Maturity Level]]</f>
        <v>OversightInnovative</v>
      </c>
      <c r="J33" s="86" t="str">
        <f>cyberRisk[[#This Row],[workArea]]&amp;cyberRisk[[#This Row],[Y, Y(C), N]]</f>
        <v>OversightInnovative</v>
      </c>
      <c r="K33" s="184"/>
      <c r="L33" s="184"/>
      <c r="M33" s="184" t="str">
        <f t="shared" si="0"/>
        <v>Cyber Risk Management and Oversight</v>
      </c>
      <c r="N33" s="184">
        <f>IF(cyberRisk[[#This Row],[Y, Y(C), N]]=yes,1,0)</f>
        <v>0</v>
      </c>
      <c r="O33" s="184">
        <f>IF(cyberRisk[[#This Row],[Y, Y(C), N]]=yesCC,1,0)</f>
        <v>0</v>
      </c>
      <c r="P33" s="184">
        <f>IF(cyberRisk[[#This Row],[Y, Y(C), N]]=no,1,0)</f>
        <v>0</v>
      </c>
      <c r="Q33" s="184">
        <f>IF(cyberRisk[[#This Row],[Y, Y(C), N]]=NotAvail,1,0)</f>
        <v>0</v>
      </c>
      <c r="R33" s="92"/>
      <c r="S33" s="88"/>
      <c r="T33" s="88"/>
      <c r="U33" s="88"/>
      <c r="V33" s="88"/>
      <c r="W33" s="88"/>
      <c r="X33" s="88"/>
      <c r="Y33" s="88"/>
    </row>
    <row r="34" spans="1:25" ht="45" x14ac:dyDescent="0.25">
      <c r="A34" s="86" t="s">
        <v>34</v>
      </c>
      <c r="B34" s="86" t="s">
        <v>36</v>
      </c>
      <c r="C34" s="86" t="s">
        <v>27</v>
      </c>
      <c r="D34" s="87"/>
      <c r="E34" s="58" t="s">
        <v>77</v>
      </c>
      <c r="F34"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3</v>
      </c>
      <c r="G34" s="424"/>
      <c r="H34" s="313" t="str">
        <f>IFERROR(HYPERLINK("#'Appendix A'!E"&amp;ROW(INDEX(Table23[DSorder],MATCH(cyberRisk[[#This Row],[AppAref]],Table23[DSorder],0))),"GO"),"")</f>
        <v>GO</v>
      </c>
      <c r="I34" s="86" t="str">
        <f>cyberRisk[[#This Row],[Component]]&amp;cyberRisk[[#This Row],[Maturity Level]]</f>
        <v>Strategy/PoliciesBaseline</v>
      </c>
      <c r="J34" s="86" t="str">
        <f>cyberRisk[[#This Row],[workArea]]&amp;cyberRisk[[#This Row],[Y, Y(C), N]]</f>
        <v>Strategy/PoliciesBaseline</v>
      </c>
      <c r="K34" s="184">
        <v>1</v>
      </c>
      <c r="L34" s="184">
        <f>IFERROR(MATCH(cyberRisk[[#This Row],[Ref No.]],hyperlinkLU[Reference No.],0),cyberRisk[[#This Row],[Ref No.]])</f>
        <v>1</v>
      </c>
      <c r="M34" s="184" t="str">
        <f t="shared" si="0"/>
        <v>Cyber Risk Management and Oversight</v>
      </c>
      <c r="N34" s="184">
        <f>IF(cyberRisk[[#This Row],[Y, Y(C), N]]=yes,1,0)</f>
        <v>0</v>
      </c>
      <c r="O34" s="184">
        <f>IF(cyberRisk[[#This Row],[Y, Y(C), N]]=yesCC,1,0)</f>
        <v>0</v>
      </c>
      <c r="P34" s="184">
        <f>IF(cyberRisk[[#This Row],[Y, Y(C), N]]=no,1,0)</f>
        <v>0</v>
      </c>
      <c r="Q34" s="184">
        <f>IF(cyberRisk[[#This Row],[Y, Y(C), N]]=NotAvail,1,0)</f>
        <v>0</v>
      </c>
      <c r="R34" s="92">
        <v>6</v>
      </c>
      <c r="S34" s="88"/>
      <c r="T34" s="88"/>
      <c r="U34" s="88"/>
      <c r="V34" s="88"/>
      <c r="W34" s="88"/>
      <c r="X34" s="88"/>
      <c r="Y34" s="88"/>
    </row>
    <row r="35" spans="1:25" ht="45" x14ac:dyDescent="0.25">
      <c r="A35" s="86" t="s">
        <v>34</v>
      </c>
      <c r="B35" s="86" t="s">
        <v>36</v>
      </c>
      <c r="C35" s="86" t="s">
        <v>27</v>
      </c>
      <c r="D35" s="87"/>
      <c r="E35" s="58" t="s">
        <v>909</v>
      </c>
      <c r="F35"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16</v>
      </c>
      <c r="G35" s="423"/>
      <c r="H35" s="29" t="str">
        <f>IFERROR(HYPERLINK("#'Appendix A'!E"&amp;ROW(INDEX(Table23[DSorder],MATCH(cyberRisk[[#This Row],[AppAref]],Table23[DSorder],0))),"GO"),"")</f>
        <v>GO</v>
      </c>
      <c r="I35" s="86" t="str">
        <f>cyberRisk[[#This Row],[Component]]&amp;cyberRisk[[#This Row],[Maturity Level]]</f>
        <v>Strategy/PoliciesBaseline</v>
      </c>
      <c r="J35" s="86" t="str">
        <f>cyberRisk[[#This Row],[workArea]]&amp;cyberRisk[[#This Row],[Y, Y(C), N]]</f>
        <v>Strategy/PoliciesBaseline</v>
      </c>
      <c r="K35" s="184">
        <v>6</v>
      </c>
      <c r="L35" s="184">
        <f>IFERROR(MATCH(cyberRisk[[#This Row],[Ref No.]],hyperlinkLU[Reference No.],0),cyberRisk[[#This Row],[Ref No.]])</f>
        <v>6</v>
      </c>
      <c r="M35" s="184" t="str">
        <f t="shared" si="0"/>
        <v>Cyber Risk Management and Oversight</v>
      </c>
      <c r="N35" s="184">
        <f>IF(cyberRisk[[#This Row],[Y, Y(C), N]]=yes,1,0)</f>
        <v>0</v>
      </c>
      <c r="O35" s="184">
        <f>IF(cyberRisk[[#This Row],[Y, Y(C), N]]=yesCC,1,0)</f>
        <v>0</v>
      </c>
      <c r="P35" s="184">
        <f>IF(cyberRisk[[#This Row],[Y, Y(C), N]]=no,1,0)</f>
        <v>0</v>
      </c>
      <c r="Q35" s="184">
        <f>IF(cyberRisk[[#This Row],[Y, Y(C), N]]=NotAvail,1,0)</f>
        <v>0</v>
      </c>
      <c r="R35" s="92">
        <v>7</v>
      </c>
      <c r="S35" s="88"/>
      <c r="T35" s="88"/>
      <c r="U35" s="88"/>
      <c r="V35" s="88"/>
      <c r="W35" s="88"/>
      <c r="X35" s="88"/>
      <c r="Y35" s="88"/>
    </row>
    <row r="36" spans="1:25" ht="45" x14ac:dyDescent="0.25">
      <c r="A36" s="86" t="s">
        <v>34</v>
      </c>
      <c r="B36" s="86" t="s">
        <v>36</v>
      </c>
      <c r="C36" s="86" t="s">
        <v>27</v>
      </c>
      <c r="D36" s="87"/>
      <c r="E36" s="58" t="s">
        <v>78</v>
      </c>
      <c r="F36"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E-Banking Booklet, page 28</v>
      </c>
      <c r="G36" s="424"/>
      <c r="H36" s="313" t="str">
        <f>IFERROR(HYPERLINK("#'Appendix A'!E"&amp;ROW(INDEX(Table23[DSorder],MATCH(cyberRisk[[#This Row],[AppAref]],Table23[DSorder],0))),"GO"),"")</f>
        <v>GO</v>
      </c>
      <c r="I36" s="86" t="str">
        <f>cyberRisk[[#This Row],[Component]]&amp;cyberRisk[[#This Row],[Maturity Level]]</f>
        <v>Strategy/PoliciesBaseline</v>
      </c>
      <c r="J36" s="86" t="str">
        <f>cyberRisk[[#This Row],[workArea]]&amp;cyberRisk[[#This Row],[Y, Y(C), N]]</f>
        <v>Strategy/PoliciesBaseline</v>
      </c>
      <c r="K36" s="184">
        <v>7</v>
      </c>
      <c r="L36" s="184">
        <f>IFERROR(MATCH(cyberRisk[[#This Row],[Ref No.]],hyperlinkLU[Reference No.],0),cyberRisk[[#This Row],[Ref No.]])</f>
        <v>8</v>
      </c>
      <c r="M36" s="184" t="str">
        <f t="shared" si="0"/>
        <v>Cyber Risk Management and Oversight</v>
      </c>
      <c r="N36" s="184">
        <f>IF(cyberRisk[[#This Row],[Y, Y(C), N]]=yes,1,0)</f>
        <v>0</v>
      </c>
      <c r="O36" s="184">
        <f>IF(cyberRisk[[#This Row],[Y, Y(C), N]]=yesCC,1,0)</f>
        <v>0</v>
      </c>
      <c r="P36" s="184">
        <f>IF(cyberRisk[[#This Row],[Y, Y(C), N]]=no,1,0)</f>
        <v>0</v>
      </c>
      <c r="Q36" s="184">
        <f>IF(cyberRisk[[#This Row],[Y, Y(C), N]]=NotAvail,1,0)</f>
        <v>0</v>
      </c>
      <c r="R36" s="92">
        <v>8</v>
      </c>
      <c r="S36" s="88"/>
      <c r="T36" s="88"/>
      <c r="U36" s="88"/>
      <c r="V36" s="88"/>
      <c r="W36" s="88"/>
      <c r="X36" s="88"/>
      <c r="Y36" s="88"/>
    </row>
    <row r="37" spans="1:25" ht="45" x14ac:dyDescent="0.25">
      <c r="A37" s="86" t="s">
        <v>34</v>
      </c>
      <c r="B37" s="86" t="s">
        <v>36</v>
      </c>
      <c r="C37" s="86" t="s">
        <v>27</v>
      </c>
      <c r="D37" s="87"/>
      <c r="E37" s="58" t="s">
        <v>79</v>
      </c>
      <c r="F37"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16</v>
      </c>
      <c r="G37" s="423"/>
      <c r="H37" s="29" t="str">
        <f>IFERROR(HYPERLINK("#'Appendix A'!E"&amp;ROW(INDEX(Table23[DSorder],MATCH(cyberRisk[[#This Row],[AppAref]],Table23[DSorder],0))),"GO"),"")</f>
        <v>GO</v>
      </c>
      <c r="I37" s="86" t="str">
        <f>cyberRisk[[#This Row],[Component]]&amp;cyberRisk[[#This Row],[Maturity Level]]</f>
        <v>Strategy/PoliciesBaseline</v>
      </c>
      <c r="J37" s="86" t="str">
        <f>cyberRisk[[#This Row],[workArea]]&amp;cyberRisk[[#This Row],[Y, Y(C), N]]</f>
        <v>Strategy/PoliciesBaseline</v>
      </c>
      <c r="K37" s="184">
        <v>6.1</v>
      </c>
      <c r="L37" s="184">
        <f>IFERROR(MATCH(cyberRisk[[#This Row],[Ref No.]],hyperlinkLU[Reference No.],0),cyberRisk[[#This Row],[Ref No.]])</f>
        <v>7</v>
      </c>
      <c r="M37" s="184" t="str">
        <f t="shared" si="0"/>
        <v>Cyber Risk Management and Oversight</v>
      </c>
      <c r="N37" s="184">
        <f>IF(cyberRisk[[#This Row],[Y, Y(C), N]]=yes,1,0)</f>
        <v>0</v>
      </c>
      <c r="O37" s="184">
        <f>IF(cyberRisk[[#This Row],[Y, Y(C), N]]=yesCC,1,0)</f>
        <v>0</v>
      </c>
      <c r="P37" s="184">
        <f>IF(cyberRisk[[#This Row],[Y, Y(C), N]]=no,1,0)</f>
        <v>0</v>
      </c>
      <c r="Q37" s="184">
        <f>IF(cyberRisk[[#This Row],[Y, Y(C), N]]=NotAvail,1,0)</f>
        <v>0</v>
      </c>
      <c r="R37" s="92">
        <v>9</v>
      </c>
      <c r="S37" s="88"/>
      <c r="T37" s="88"/>
      <c r="U37" s="88"/>
      <c r="V37" s="88"/>
      <c r="W37" s="88"/>
      <c r="X37" s="88"/>
      <c r="Y37" s="88"/>
    </row>
    <row r="38" spans="1:25" ht="45" x14ac:dyDescent="0.25">
      <c r="A38" s="86" t="s">
        <v>34</v>
      </c>
      <c r="B38" s="86" t="s">
        <v>36</v>
      </c>
      <c r="C38" s="86" t="s">
        <v>27</v>
      </c>
      <c r="D38" s="87"/>
      <c r="E38" s="58" t="s">
        <v>80</v>
      </c>
      <c r="F38"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Outsourcing Booklet, page 2</v>
      </c>
      <c r="G38" s="424"/>
      <c r="H38" s="313" t="str">
        <f>IFERROR(HYPERLINK("#'Appendix A'!E"&amp;ROW(INDEX(Table23[DSorder],MATCH(cyberRisk[[#This Row],[AppAref]],Table23[DSorder],0))),"GO"),"")</f>
        <v>GO</v>
      </c>
      <c r="I38" s="86" t="str">
        <f>cyberRisk[[#This Row],[Component]]&amp;cyberRisk[[#This Row],[Maturity Level]]</f>
        <v>Strategy/PoliciesBaseline</v>
      </c>
      <c r="J38" s="86" t="str">
        <f>cyberRisk[[#This Row],[workArea]]&amp;cyberRisk[[#This Row],[Y, Y(C), N]]</f>
        <v>Strategy/PoliciesBaseline</v>
      </c>
      <c r="K38" s="184">
        <v>8</v>
      </c>
      <c r="L38" s="184">
        <f>IFERROR(MATCH(cyberRisk[[#This Row],[Ref No.]],hyperlinkLU[Reference No.],0),cyberRisk[[#This Row],[Ref No.]])</f>
        <v>9</v>
      </c>
      <c r="M38" s="184" t="str">
        <f t="shared" si="0"/>
        <v>Cyber Risk Management and Oversight</v>
      </c>
      <c r="N38" s="184">
        <f>IF(cyberRisk[[#This Row],[Y, Y(C), N]]=yes,1,0)</f>
        <v>0</v>
      </c>
      <c r="O38" s="184">
        <f>IF(cyberRisk[[#This Row],[Y, Y(C), N]]=yesCC,1,0)</f>
        <v>0</v>
      </c>
      <c r="P38" s="184">
        <f>IF(cyberRisk[[#This Row],[Y, Y(C), N]]=no,1,0)</f>
        <v>0</v>
      </c>
      <c r="Q38" s="184">
        <f>IF(cyberRisk[[#This Row],[Y, Y(C), N]]=NotAvail,1,0)</f>
        <v>0</v>
      </c>
      <c r="R38" s="92">
        <v>10</v>
      </c>
      <c r="S38" s="88"/>
      <c r="T38" s="88"/>
      <c r="U38" s="88"/>
      <c r="V38" s="88"/>
      <c r="W38" s="88"/>
      <c r="X38" s="88"/>
      <c r="Y38" s="88"/>
    </row>
    <row r="39" spans="1:25" ht="45" x14ac:dyDescent="0.25">
      <c r="A39" s="86" t="s">
        <v>34</v>
      </c>
      <c r="B39" s="86" t="s">
        <v>36</v>
      </c>
      <c r="C39" s="86" t="s">
        <v>27</v>
      </c>
      <c r="D39" s="87"/>
      <c r="E39" s="58" t="s">
        <v>81</v>
      </c>
      <c r="F39"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83</v>
      </c>
      <c r="G39" s="424"/>
      <c r="H39" s="313" t="str">
        <f>IFERROR(HYPERLINK("#'Appendix A'!E"&amp;ROW(INDEX(Table23[DSorder],MATCH(cyberRisk[[#This Row],[AppAref]],Table23[DSorder],0))),"GO"),"")</f>
        <v>GO</v>
      </c>
      <c r="I39" s="86" t="str">
        <f>cyberRisk[[#This Row],[Component]]&amp;cyberRisk[[#This Row],[Maturity Level]]</f>
        <v>Strategy/PoliciesBaseline</v>
      </c>
      <c r="J39" s="86" t="str">
        <f>cyberRisk[[#This Row],[workArea]]&amp;cyberRisk[[#This Row],[Y, Y(C), N]]</f>
        <v>Strategy/PoliciesBaseline</v>
      </c>
      <c r="K39" s="184">
        <v>9</v>
      </c>
      <c r="L39" s="184">
        <f>IFERROR(MATCH(cyberRisk[[#This Row],[Ref No.]],hyperlinkLU[Reference No.],0),cyberRisk[[#This Row],[Ref No.]])</f>
        <v>10</v>
      </c>
      <c r="M39" s="184" t="str">
        <f t="shared" si="0"/>
        <v>Cyber Risk Management and Oversight</v>
      </c>
      <c r="N39" s="184">
        <f>IF(cyberRisk[[#This Row],[Y, Y(C), N]]=yes,1,0)</f>
        <v>0</v>
      </c>
      <c r="O39" s="184">
        <f>IF(cyberRisk[[#This Row],[Y, Y(C), N]]=yesCC,1,0)</f>
        <v>0</v>
      </c>
      <c r="P39" s="184">
        <f>IF(cyberRisk[[#This Row],[Y, Y(C), N]]=no,1,0)</f>
        <v>0</v>
      </c>
      <c r="Q39" s="184">
        <f>IF(cyberRisk[[#This Row],[Y, Y(C), N]]=NotAvail,1,0)</f>
        <v>0</v>
      </c>
      <c r="R39" s="92">
        <v>11</v>
      </c>
      <c r="S39" s="88"/>
      <c r="T39" s="88"/>
      <c r="U39" s="88"/>
      <c r="V39" s="88"/>
      <c r="W39" s="88"/>
      <c r="X39" s="88"/>
      <c r="Y39" s="88"/>
    </row>
    <row r="40" spans="1:25" ht="30" x14ac:dyDescent="0.25">
      <c r="A40" s="86" t="s">
        <v>34</v>
      </c>
      <c r="B40" s="86" t="s">
        <v>36</v>
      </c>
      <c r="C40" s="86" t="s">
        <v>27</v>
      </c>
      <c r="D40" s="87"/>
      <c r="E40" s="58" t="s">
        <v>82</v>
      </c>
      <c r="F40"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7</v>
      </c>
      <c r="G40" s="424"/>
      <c r="H40" s="313" t="str">
        <f>IFERROR(HYPERLINK("#'Appendix A'!E"&amp;ROW(INDEX(Table23[DSorder],MATCH(cyberRisk[[#This Row],[AppAref]],Table23[DSorder],0))),"GO"),"")</f>
        <v>GO</v>
      </c>
      <c r="I40" s="86" t="str">
        <f>cyberRisk[[#This Row],[Component]]&amp;cyberRisk[[#This Row],[Maturity Level]]</f>
        <v>Strategy/PoliciesBaseline</v>
      </c>
      <c r="J40" s="86" t="str">
        <f>cyberRisk[[#This Row],[workArea]]&amp;cyberRisk[[#This Row],[Y, Y(C), N]]</f>
        <v>Strategy/PoliciesBaseline</v>
      </c>
      <c r="K40" s="184">
        <v>10</v>
      </c>
      <c r="L40" s="184">
        <f>IFERROR(MATCH(cyberRisk[[#This Row],[Ref No.]],hyperlinkLU[Reference No.],0),cyberRisk[[#This Row],[Ref No.]])</f>
        <v>11</v>
      </c>
      <c r="M40" s="184" t="str">
        <f t="shared" si="0"/>
        <v>Cyber Risk Management and Oversight</v>
      </c>
      <c r="N40" s="184">
        <f>IF(cyberRisk[[#This Row],[Y, Y(C), N]]=yes,1,0)</f>
        <v>0</v>
      </c>
      <c r="O40" s="184">
        <f>IF(cyberRisk[[#This Row],[Y, Y(C), N]]=yesCC,1,0)</f>
        <v>0</v>
      </c>
      <c r="P40" s="184">
        <f>IF(cyberRisk[[#This Row],[Y, Y(C), N]]=no,1,0)</f>
        <v>0</v>
      </c>
      <c r="Q40" s="184">
        <f>IF(cyberRisk[[#This Row],[Y, Y(C), N]]=NotAvail,1,0)</f>
        <v>0</v>
      </c>
      <c r="R40" s="92">
        <v>12</v>
      </c>
      <c r="S40" s="88"/>
      <c r="T40" s="88"/>
      <c r="U40" s="88"/>
      <c r="V40" s="88"/>
      <c r="W40" s="88"/>
      <c r="X40" s="88"/>
      <c r="Y40" s="88"/>
    </row>
    <row r="41" spans="1:25" ht="30" x14ac:dyDescent="0.25">
      <c r="A41" s="86" t="s">
        <v>34</v>
      </c>
      <c r="B41" s="86" t="s">
        <v>36</v>
      </c>
      <c r="C41" s="86" t="s">
        <v>28</v>
      </c>
      <c r="D41" s="87"/>
      <c r="E41" s="58" t="s">
        <v>83</v>
      </c>
      <c r="F41" s="24"/>
      <c r="G41" s="424"/>
      <c r="H41" s="313" t="str">
        <f>IFERROR(HYPERLINK("#'Appendix A'!E"&amp;ROW(INDEX(Table23[DSorder],MATCH(cyberRisk[[#This Row],[AppAref]],Table23[DSorder],0))),"GO"),"")</f>
        <v/>
      </c>
      <c r="I41" s="86" t="str">
        <f>cyberRisk[[#This Row],[Component]]&amp;cyberRisk[[#This Row],[Maturity Level]]</f>
        <v>Strategy/PoliciesEvolving</v>
      </c>
      <c r="J41" s="86" t="str">
        <f>cyberRisk[[#This Row],[workArea]]&amp;cyberRisk[[#This Row],[Y, Y(C), N]]</f>
        <v>Strategy/PoliciesEvolving</v>
      </c>
      <c r="K41" s="184"/>
      <c r="L41" s="184"/>
      <c r="M41" s="184" t="str">
        <f t="shared" ref="M41:M72" si="1">TRIM(MID($A$5,FIND(":",$A$5)+2,LEN($A$5)))</f>
        <v>Cyber Risk Management and Oversight</v>
      </c>
      <c r="N41" s="184">
        <f>IF(cyberRisk[[#This Row],[Y, Y(C), N]]=yes,1,0)</f>
        <v>0</v>
      </c>
      <c r="O41" s="184">
        <f>IF(cyberRisk[[#This Row],[Y, Y(C), N]]=yesCC,1,0)</f>
        <v>0</v>
      </c>
      <c r="P41" s="184">
        <f>IF(cyberRisk[[#This Row],[Y, Y(C), N]]=no,1,0)</f>
        <v>0</v>
      </c>
      <c r="Q41" s="184">
        <f>IF(cyberRisk[[#This Row],[Y, Y(C), N]]=NotAvail,1,0)</f>
        <v>0</v>
      </c>
      <c r="R41" s="92"/>
      <c r="S41" s="88"/>
      <c r="T41" s="88"/>
      <c r="U41" s="88"/>
      <c r="V41" s="88"/>
      <c r="W41" s="88"/>
      <c r="X41" s="88"/>
      <c r="Y41" s="88"/>
    </row>
    <row r="42" spans="1:25" ht="30" x14ac:dyDescent="0.25">
      <c r="A42" s="86" t="s">
        <v>34</v>
      </c>
      <c r="B42" s="86" t="s">
        <v>36</v>
      </c>
      <c r="C42" s="86" t="s">
        <v>28</v>
      </c>
      <c r="D42" s="87"/>
      <c r="E42" s="58" t="s">
        <v>84</v>
      </c>
      <c r="F42" s="24"/>
      <c r="G42" s="424"/>
      <c r="H42" s="313" t="str">
        <f>IFERROR(HYPERLINK("#'Appendix A'!E"&amp;ROW(INDEX(Table23[DSorder],MATCH(cyberRisk[[#This Row],[AppAref]],Table23[DSorder],0))),"GO"),"")</f>
        <v/>
      </c>
      <c r="I42" s="86" t="str">
        <f>cyberRisk[[#This Row],[Component]]&amp;cyberRisk[[#This Row],[Maturity Level]]</f>
        <v>Strategy/PoliciesEvolving</v>
      </c>
      <c r="J42" s="86" t="str">
        <f>cyberRisk[[#This Row],[workArea]]&amp;cyberRisk[[#This Row],[Y, Y(C), N]]</f>
        <v>Strategy/PoliciesEvolving</v>
      </c>
      <c r="K42" s="184"/>
      <c r="L42" s="184"/>
      <c r="M42" s="184" t="str">
        <f t="shared" si="1"/>
        <v>Cyber Risk Management and Oversight</v>
      </c>
      <c r="N42" s="184">
        <f>IF(cyberRisk[[#This Row],[Y, Y(C), N]]=yes,1,0)</f>
        <v>0</v>
      </c>
      <c r="O42" s="184">
        <f>IF(cyberRisk[[#This Row],[Y, Y(C), N]]=yesCC,1,0)</f>
        <v>0</v>
      </c>
      <c r="P42" s="184">
        <f>IF(cyberRisk[[#This Row],[Y, Y(C), N]]=no,1,0)</f>
        <v>0</v>
      </c>
      <c r="Q42" s="184">
        <f>IF(cyberRisk[[#This Row],[Y, Y(C), N]]=NotAvail,1,0)</f>
        <v>0</v>
      </c>
      <c r="R42" s="92"/>
      <c r="S42" s="88"/>
      <c r="T42" s="88"/>
      <c r="U42" s="88"/>
      <c r="V42" s="88"/>
      <c r="W42" s="88"/>
      <c r="X42" s="88"/>
      <c r="Y42" s="88"/>
    </row>
    <row r="43" spans="1:25" ht="30" x14ac:dyDescent="0.25">
      <c r="A43" s="86" t="s">
        <v>34</v>
      </c>
      <c r="B43" s="86" t="s">
        <v>36</v>
      </c>
      <c r="C43" s="86" t="s">
        <v>28</v>
      </c>
      <c r="D43" s="87"/>
      <c r="E43" s="58" t="s">
        <v>85</v>
      </c>
      <c r="F43" s="24"/>
      <c r="G43" s="424"/>
      <c r="H43" s="313" t="str">
        <f>IFERROR(HYPERLINK("#'Appendix A'!E"&amp;ROW(INDEX(Table23[DSorder],MATCH(cyberRisk[[#This Row],[AppAref]],Table23[DSorder],0))),"GO"),"")</f>
        <v/>
      </c>
      <c r="I43" s="86" t="str">
        <f>cyberRisk[[#This Row],[Component]]&amp;cyberRisk[[#This Row],[Maturity Level]]</f>
        <v>Strategy/PoliciesEvolving</v>
      </c>
      <c r="J43" s="86" t="str">
        <f>cyberRisk[[#This Row],[workArea]]&amp;cyberRisk[[#This Row],[Y, Y(C), N]]</f>
        <v>Strategy/PoliciesEvolving</v>
      </c>
      <c r="K43" s="184"/>
      <c r="L43" s="184"/>
      <c r="M43" s="184" t="str">
        <f t="shared" si="1"/>
        <v>Cyber Risk Management and Oversight</v>
      </c>
      <c r="N43" s="184">
        <f>IF(cyberRisk[[#This Row],[Y, Y(C), N]]=yes,1,0)</f>
        <v>0</v>
      </c>
      <c r="O43" s="184">
        <f>IF(cyberRisk[[#This Row],[Y, Y(C), N]]=yesCC,1,0)</f>
        <v>0</v>
      </c>
      <c r="P43" s="184">
        <f>IF(cyberRisk[[#This Row],[Y, Y(C), N]]=no,1,0)</f>
        <v>0</v>
      </c>
      <c r="Q43" s="184">
        <f>IF(cyberRisk[[#This Row],[Y, Y(C), N]]=NotAvail,1,0)</f>
        <v>0</v>
      </c>
      <c r="R43" s="92"/>
      <c r="S43" s="88"/>
      <c r="T43" s="88"/>
      <c r="U43" s="88"/>
      <c r="V43" s="88"/>
      <c r="W43" s="88"/>
      <c r="X43" s="88"/>
      <c r="Y43" s="88"/>
    </row>
    <row r="44" spans="1:25" ht="30" x14ac:dyDescent="0.25">
      <c r="A44" s="86" t="s">
        <v>34</v>
      </c>
      <c r="B44" s="86" t="s">
        <v>36</v>
      </c>
      <c r="C44" s="86" t="s">
        <v>29</v>
      </c>
      <c r="D44" s="87"/>
      <c r="E44" s="58" t="s">
        <v>86</v>
      </c>
      <c r="F44" s="24"/>
      <c r="G44" s="424"/>
      <c r="H44" s="313" t="str">
        <f>IFERROR(HYPERLINK("#'Appendix A'!E"&amp;ROW(INDEX(Table23[DSorder],MATCH(cyberRisk[[#This Row],[AppAref]],Table23[DSorder],0))),"GO"),"")</f>
        <v/>
      </c>
      <c r="I44" s="86" t="str">
        <f>cyberRisk[[#This Row],[Component]]&amp;cyberRisk[[#This Row],[Maturity Level]]</f>
        <v>Strategy/PoliciesIntermediate</v>
      </c>
      <c r="J44" s="86" t="str">
        <f>cyberRisk[[#This Row],[workArea]]&amp;cyberRisk[[#This Row],[Y, Y(C), N]]</f>
        <v>Strategy/PoliciesIntermediate</v>
      </c>
      <c r="K44" s="184"/>
      <c r="L44" s="184"/>
      <c r="M44" s="184" t="str">
        <f t="shared" si="1"/>
        <v>Cyber Risk Management and Oversight</v>
      </c>
      <c r="N44" s="184">
        <f>IF(cyberRisk[[#This Row],[Y, Y(C), N]]=yes,1,0)</f>
        <v>0</v>
      </c>
      <c r="O44" s="184">
        <f>IF(cyberRisk[[#This Row],[Y, Y(C), N]]=yesCC,1,0)</f>
        <v>0</v>
      </c>
      <c r="P44" s="184">
        <f>IF(cyberRisk[[#This Row],[Y, Y(C), N]]=no,1,0)</f>
        <v>0</v>
      </c>
      <c r="Q44" s="184">
        <f>IF(cyberRisk[[#This Row],[Y, Y(C), N]]=NotAvail,1,0)</f>
        <v>0</v>
      </c>
      <c r="R44" s="92"/>
      <c r="S44" s="88"/>
      <c r="T44" s="88"/>
      <c r="U44" s="88"/>
      <c r="V44" s="88"/>
      <c r="W44" s="88"/>
      <c r="X44" s="88"/>
      <c r="Y44" s="88"/>
    </row>
    <row r="45" spans="1:25" ht="30" x14ac:dyDescent="0.25">
      <c r="A45" s="86" t="s">
        <v>34</v>
      </c>
      <c r="B45" s="86" t="s">
        <v>36</v>
      </c>
      <c r="C45" s="86" t="s">
        <v>29</v>
      </c>
      <c r="D45" s="87"/>
      <c r="E45" s="58" t="s">
        <v>87</v>
      </c>
      <c r="F45" s="24"/>
      <c r="G45" s="424"/>
      <c r="H45" s="313" t="str">
        <f>IFERROR(HYPERLINK("#'Appendix A'!E"&amp;ROW(INDEX(Table23[DSorder],MATCH(cyberRisk[[#This Row],[AppAref]],Table23[DSorder],0))),"GO"),"")</f>
        <v/>
      </c>
      <c r="I45" s="86" t="str">
        <f>cyberRisk[[#This Row],[Component]]&amp;cyberRisk[[#This Row],[Maturity Level]]</f>
        <v>Strategy/PoliciesIntermediate</v>
      </c>
      <c r="J45" s="86" t="str">
        <f>cyberRisk[[#This Row],[workArea]]&amp;cyberRisk[[#This Row],[Y, Y(C), N]]</f>
        <v>Strategy/PoliciesIntermediate</v>
      </c>
      <c r="K45" s="184"/>
      <c r="L45" s="184"/>
      <c r="M45" s="184" t="str">
        <f t="shared" si="1"/>
        <v>Cyber Risk Management and Oversight</v>
      </c>
      <c r="N45" s="184">
        <f>IF(cyberRisk[[#This Row],[Y, Y(C), N]]=yes,1,0)</f>
        <v>0</v>
      </c>
      <c r="O45" s="184">
        <f>IF(cyberRisk[[#This Row],[Y, Y(C), N]]=yesCC,1,0)</f>
        <v>0</v>
      </c>
      <c r="P45" s="184">
        <f>IF(cyberRisk[[#This Row],[Y, Y(C), N]]=no,1,0)</f>
        <v>0</v>
      </c>
      <c r="Q45" s="184">
        <f>IF(cyberRisk[[#This Row],[Y, Y(C), N]]=NotAvail,1,0)</f>
        <v>0</v>
      </c>
      <c r="R45" s="92"/>
      <c r="S45" s="88"/>
      <c r="T45" s="88"/>
      <c r="U45" s="88"/>
      <c r="V45" s="88"/>
      <c r="W45" s="88"/>
      <c r="X45" s="88"/>
      <c r="Y45" s="88"/>
    </row>
    <row r="46" spans="1:25" ht="30" x14ac:dyDescent="0.25">
      <c r="A46" s="86" t="s">
        <v>34</v>
      </c>
      <c r="B46" s="86" t="s">
        <v>36</v>
      </c>
      <c r="C46" s="86" t="s">
        <v>29</v>
      </c>
      <c r="D46" s="87"/>
      <c r="E46" s="58" t="s">
        <v>88</v>
      </c>
      <c r="F46" s="24"/>
      <c r="G46" s="424"/>
      <c r="H46" s="313" t="str">
        <f>IFERROR(HYPERLINK("#'Appendix A'!E"&amp;ROW(INDEX(Table23[DSorder],MATCH(cyberRisk[[#This Row],[AppAref]],Table23[DSorder],0))),"GO"),"")</f>
        <v/>
      </c>
      <c r="I46" s="86" t="str">
        <f>cyberRisk[[#This Row],[Component]]&amp;cyberRisk[[#This Row],[Maturity Level]]</f>
        <v>Strategy/PoliciesIntermediate</v>
      </c>
      <c r="J46" s="86" t="str">
        <f>cyberRisk[[#This Row],[workArea]]&amp;cyberRisk[[#This Row],[Y, Y(C), N]]</f>
        <v>Strategy/PoliciesIntermediate</v>
      </c>
      <c r="K46" s="184"/>
      <c r="L46" s="184"/>
      <c r="M46" s="184" t="str">
        <f t="shared" si="1"/>
        <v>Cyber Risk Management and Oversight</v>
      </c>
      <c r="N46" s="184">
        <f>IF(cyberRisk[[#This Row],[Y, Y(C), N]]=yes,1,0)</f>
        <v>0</v>
      </c>
      <c r="O46" s="184">
        <f>IF(cyberRisk[[#This Row],[Y, Y(C), N]]=yesCC,1,0)</f>
        <v>0</v>
      </c>
      <c r="P46" s="184">
        <f>IF(cyberRisk[[#This Row],[Y, Y(C), N]]=no,1,0)</f>
        <v>0</v>
      </c>
      <c r="Q46" s="184">
        <f>IF(cyberRisk[[#This Row],[Y, Y(C), N]]=NotAvail,1,0)</f>
        <v>0</v>
      </c>
      <c r="R46" s="92"/>
      <c r="S46" s="88"/>
      <c r="T46" s="88"/>
      <c r="U46" s="88"/>
      <c r="V46" s="88"/>
      <c r="W46" s="88"/>
      <c r="X46" s="88"/>
      <c r="Y46" s="88"/>
    </row>
    <row r="47" spans="1:25" x14ac:dyDescent="0.25">
      <c r="A47" s="86" t="s">
        <v>34</v>
      </c>
      <c r="B47" s="86" t="s">
        <v>36</v>
      </c>
      <c r="C47" s="86" t="s">
        <v>29</v>
      </c>
      <c r="D47" s="87"/>
      <c r="E47" s="58" t="s">
        <v>89</v>
      </c>
      <c r="F47" s="24"/>
      <c r="G47" s="424"/>
      <c r="H47" s="313" t="str">
        <f>IFERROR(HYPERLINK("#'Appendix A'!E"&amp;ROW(INDEX(Table23[DSorder],MATCH(cyberRisk[[#This Row],[AppAref]],Table23[DSorder],0))),"GO"),"")</f>
        <v/>
      </c>
      <c r="I47" s="86" t="str">
        <f>cyberRisk[[#This Row],[Component]]&amp;cyberRisk[[#This Row],[Maturity Level]]</f>
        <v>Strategy/PoliciesIntermediate</v>
      </c>
      <c r="J47" s="86" t="str">
        <f>cyberRisk[[#This Row],[workArea]]&amp;cyberRisk[[#This Row],[Y, Y(C), N]]</f>
        <v>Strategy/PoliciesIntermediate</v>
      </c>
      <c r="K47" s="184"/>
      <c r="L47" s="184"/>
      <c r="M47" s="184" t="str">
        <f t="shared" si="1"/>
        <v>Cyber Risk Management and Oversight</v>
      </c>
      <c r="N47" s="184">
        <f>IF(cyberRisk[[#This Row],[Y, Y(C), N]]=yes,1,0)</f>
        <v>0</v>
      </c>
      <c r="O47" s="184">
        <f>IF(cyberRisk[[#This Row],[Y, Y(C), N]]=yesCC,1,0)</f>
        <v>0</v>
      </c>
      <c r="P47" s="184">
        <f>IF(cyberRisk[[#This Row],[Y, Y(C), N]]=no,1,0)</f>
        <v>0</v>
      </c>
      <c r="Q47" s="184">
        <f>IF(cyberRisk[[#This Row],[Y, Y(C), N]]=NotAvail,1,0)</f>
        <v>0</v>
      </c>
      <c r="R47" s="92"/>
      <c r="S47" s="88"/>
      <c r="T47" s="88"/>
      <c r="U47" s="88"/>
      <c r="V47" s="88"/>
      <c r="W47" s="88"/>
      <c r="X47" s="88"/>
      <c r="Y47" s="88"/>
    </row>
    <row r="48" spans="1:25" ht="30" x14ac:dyDescent="0.25">
      <c r="A48" s="86" t="s">
        <v>34</v>
      </c>
      <c r="B48" s="86" t="s">
        <v>36</v>
      </c>
      <c r="C48" s="86" t="s">
        <v>29</v>
      </c>
      <c r="D48" s="87"/>
      <c r="E48" s="58" t="s">
        <v>90</v>
      </c>
      <c r="F48" s="24"/>
      <c r="G48" s="424"/>
      <c r="H48" s="313" t="str">
        <f>IFERROR(HYPERLINK("#'Appendix A'!E"&amp;ROW(INDEX(Table23[DSorder],MATCH(cyberRisk[[#This Row],[AppAref]],Table23[DSorder],0))),"GO"),"")</f>
        <v/>
      </c>
      <c r="I48" s="86" t="str">
        <f>cyberRisk[[#This Row],[Component]]&amp;cyberRisk[[#This Row],[Maturity Level]]</f>
        <v>Strategy/PoliciesIntermediate</v>
      </c>
      <c r="J48" s="86" t="str">
        <f>cyberRisk[[#This Row],[workArea]]&amp;cyberRisk[[#This Row],[Y, Y(C), N]]</f>
        <v>Strategy/PoliciesIntermediate</v>
      </c>
      <c r="K48" s="184"/>
      <c r="L48" s="184"/>
      <c r="M48" s="184" t="str">
        <f t="shared" si="1"/>
        <v>Cyber Risk Management and Oversight</v>
      </c>
      <c r="N48" s="184">
        <f>IF(cyberRisk[[#This Row],[Y, Y(C), N]]=yes,1,0)</f>
        <v>0</v>
      </c>
      <c r="O48" s="184">
        <f>IF(cyberRisk[[#This Row],[Y, Y(C), N]]=yesCC,1,0)</f>
        <v>0</v>
      </c>
      <c r="P48" s="184">
        <f>IF(cyberRisk[[#This Row],[Y, Y(C), N]]=no,1,0)</f>
        <v>0</v>
      </c>
      <c r="Q48" s="184">
        <f>IF(cyberRisk[[#This Row],[Y, Y(C), N]]=NotAvail,1,0)</f>
        <v>0</v>
      </c>
      <c r="R48" s="92"/>
      <c r="S48" s="88"/>
      <c r="T48" s="88"/>
      <c r="U48" s="88"/>
      <c r="V48" s="88"/>
      <c r="W48" s="88"/>
      <c r="X48" s="88"/>
      <c r="Y48" s="88"/>
    </row>
    <row r="49" spans="1:25" ht="30" x14ac:dyDescent="0.25">
      <c r="A49" s="86" t="s">
        <v>34</v>
      </c>
      <c r="B49" s="86" t="s">
        <v>36</v>
      </c>
      <c r="C49" s="86" t="s">
        <v>30</v>
      </c>
      <c r="D49" s="87"/>
      <c r="E49" s="58" t="s">
        <v>91</v>
      </c>
      <c r="F49" s="24"/>
      <c r="G49" s="424"/>
      <c r="H49" s="313" t="str">
        <f>IFERROR(HYPERLINK("#'Appendix A'!E"&amp;ROW(INDEX(Table23[DSorder],MATCH(cyberRisk[[#This Row],[AppAref]],Table23[DSorder],0))),"GO"),"")</f>
        <v/>
      </c>
      <c r="I49" s="86" t="str">
        <f>cyberRisk[[#This Row],[Component]]&amp;cyberRisk[[#This Row],[Maturity Level]]</f>
        <v>Strategy/PoliciesAdvanced</v>
      </c>
      <c r="J49" s="86" t="str">
        <f>cyberRisk[[#This Row],[workArea]]&amp;cyberRisk[[#This Row],[Y, Y(C), N]]</f>
        <v>Strategy/PoliciesAdvanced</v>
      </c>
      <c r="K49" s="184"/>
      <c r="L49" s="184"/>
      <c r="M49" s="184" t="str">
        <f t="shared" si="1"/>
        <v>Cyber Risk Management and Oversight</v>
      </c>
      <c r="N49" s="184">
        <f>IF(cyberRisk[[#This Row],[Y, Y(C), N]]=yes,1,0)</f>
        <v>0</v>
      </c>
      <c r="O49" s="184">
        <f>IF(cyberRisk[[#This Row],[Y, Y(C), N]]=yesCC,1,0)</f>
        <v>0</v>
      </c>
      <c r="P49" s="184">
        <f>IF(cyberRisk[[#This Row],[Y, Y(C), N]]=no,1,0)</f>
        <v>0</v>
      </c>
      <c r="Q49" s="184">
        <f>IF(cyberRisk[[#This Row],[Y, Y(C), N]]=NotAvail,1,0)</f>
        <v>0</v>
      </c>
      <c r="R49" s="92"/>
      <c r="S49" s="88"/>
      <c r="T49" s="88"/>
      <c r="U49" s="88"/>
      <c r="V49" s="88"/>
      <c r="W49" s="88"/>
      <c r="X49" s="88"/>
      <c r="Y49" s="88"/>
    </row>
    <row r="50" spans="1:25" ht="30" x14ac:dyDescent="0.25">
      <c r="A50" s="86" t="s">
        <v>34</v>
      </c>
      <c r="B50" s="86" t="s">
        <v>36</v>
      </c>
      <c r="C50" s="86" t="s">
        <v>30</v>
      </c>
      <c r="D50" s="87"/>
      <c r="E50" s="58" t="s">
        <v>92</v>
      </c>
      <c r="F50" s="24"/>
      <c r="G50" s="424"/>
      <c r="H50" s="313" t="str">
        <f>IFERROR(HYPERLINK("#'Appendix A'!E"&amp;ROW(INDEX(Table23[DSorder],MATCH(cyberRisk[[#This Row],[AppAref]],Table23[DSorder],0))),"GO"),"")</f>
        <v/>
      </c>
      <c r="I50" s="86" t="str">
        <f>cyberRisk[[#This Row],[Component]]&amp;cyberRisk[[#This Row],[Maturity Level]]</f>
        <v>Strategy/PoliciesAdvanced</v>
      </c>
      <c r="J50" s="86" t="str">
        <f>cyberRisk[[#This Row],[workArea]]&amp;cyberRisk[[#This Row],[Y, Y(C), N]]</f>
        <v>Strategy/PoliciesAdvanced</v>
      </c>
      <c r="K50" s="184"/>
      <c r="L50" s="184"/>
      <c r="M50" s="184" t="str">
        <f t="shared" si="1"/>
        <v>Cyber Risk Management and Oversight</v>
      </c>
      <c r="N50" s="184">
        <f>IF(cyberRisk[[#This Row],[Y, Y(C), N]]=yes,1,0)</f>
        <v>0</v>
      </c>
      <c r="O50" s="184">
        <f>IF(cyberRisk[[#This Row],[Y, Y(C), N]]=yesCC,1,0)</f>
        <v>0</v>
      </c>
      <c r="P50" s="184">
        <f>IF(cyberRisk[[#This Row],[Y, Y(C), N]]=no,1,0)</f>
        <v>0</v>
      </c>
      <c r="Q50" s="184">
        <f>IF(cyberRisk[[#This Row],[Y, Y(C), N]]=NotAvail,1,0)</f>
        <v>0</v>
      </c>
      <c r="R50" s="92"/>
      <c r="S50" s="88"/>
      <c r="T50" s="88"/>
      <c r="U50" s="88"/>
      <c r="V50" s="88"/>
      <c r="W50" s="88"/>
      <c r="X50" s="88"/>
      <c r="Y50" s="88"/>
    </row>
    <row r="51" spans="1:25" ht="30" x14ac:dyDescent="0.25">
      <c r="A51" s="86" t="s">
        <v>34</v>
      </c>
      <c r="B51" s="86" t="s">
        <v>36</v>
      </c>
      <c r="C51" s="86" t="s">
        <v>30</v>
      </c>
      <c r="D51" s="87"/>
      <c r="E51" s="58" t="s">
        <v>93</v>
      </c>
      <c r="F51" s="24"/>
      <c r="G51" s="424"/>
      <c r="H51" s="313" t="str">
        <f>IFERROR(HYPERLINK("#'Appendix A'!E"&amp;ROW(INDEX(Table23[DSorder],MATCH(cyberRisk[[#This Row],[AppAref]],Table23[DSorder],0))),"GO"),"")</f>
        <v/>
      </c>
      <c r="I51" s="86" t="str">
        <f>cyberRisk[[#This Row],[Component]]&amp;cyberRisk[[#This Row],[Maturity Level]]</f>
        <v>Strategy/PoliciesAdvanced</v>
      </c>
      <c r="J51" s="86" t="str">
        <f>cyberRisk[[#This Row],[workArea]]&amp;cyberRisk[[#This Row],[Y, Y(C), N]]</f>
        <v>Strategy/PoliciesAdvanced</v>
      </c>
      <c r="K51" s="184"/>
      <c r="L51" s="184"/>
      <c r="M51" s="184" t="str">
        <f t="shared" si="1"/>
        <v>Cyber Risk Management and Oversight</v>
      </c>
      <c r="N51" s="184">
        <f>IF(cyberRisk[[#This Row],[Y, Y(C), N]]=yes,1,0)</f>
        <v>0</v>
      </c>
      <c r="O51" s="184">
        <f>IF(cyberRisk[[#This Row],[Y, Y(C), N]]=yesCC,1,0)</f>
        <v>0</v>
      </c>
      <c r="P51" s="184">
        <f>IF(cyberRisk[[#This Row],[Y, Y(C), N]]=no,1,0)</f>
        <v>0</v>
      </c>
      <c r="Q51" s="184">
        <f>IF(cyberRisk[[#This Row],[Y, Y(C), N]]=NotAvail,1,0)</f>
        <v>0</v>
      </c>
      <c r="R51" s="92"/>
      <c r="S51" s="88"/>
      <c r="T51" s="88"/>
      <c r="U51" s="88"/>
      <c r="V51" s="88"/>
      <c r="W51" s="88"/>
      <c r="X51" s="88"/>
      <c r="Y51" s="88"/>
    </row>
    <row r="52" spans="1:25" x14ac:dyDescent="0.25">
      <c r="A52" s="86" t="s">
        <v>34</v>
      </c>
      <c r="B52" s="86" t="s">
        <v>36</v>
      </c>
      <c r="C52" s="86" t="s">
        <v>30</v>
      </c>
      <c r="D52" s="87"/>
      <c r="E52" s="58" t="s">
        <v>94</v>
      </c>
      <c r="F52" s="24"/>
      <c r="G52" s="424"/>
      <c r="H52" s="313" t="str">
        <f>IFERROR(HYPERLINK("#'Appendix A'!E"&amp;ROW(INDEX(Table23[DSorder],MATCH(cyberRisk[[#This Row],[AppAref]],Table23[DSorder],0))),"GO"),"")</f>
        <v/>
      </c>
      <c r="I52" s="86" t="str">
        <f>cyberRisk[[#This Row],[Component]]&amp;cyberRisk[[#This Row],[Maturity Level]]</f>
        <v>Strategy/PoliciesAdvanced</v>
      </c>
      <c r="J52" s="86" t="str">
        <f>cyberRisk[[#This Row],[workArea]]&amp;cyberRisk[[#This Row],[Y, Y(C), N]]</f>
        <v>Strategy/PoliciesAdvanced</v>
      </c>
      <c r="K52" s="184"/>
      <c r="L52" s="184"/>
      <c r="M52" s="184" t="str">
        <f t="shared" si="1"/>
        <v>Cyber Risk Management and Oversight</v>
      </c>
      <c r="N52" s="184">
        <f>IF(cyberRisk[[#This Row],[Y, Y(C), N]]=yes,1,0)</f>
        <v>0</v>
      </c>
      <c r="O52" s="184">
        <f>IF(cyberRisk[[#This Row],[Y, Y(C), N]]=yesCC,1,0)</f>
        <v>0</v>
      </c>
      <c r="P52" s="184">
        <f>IF(cyberRisk[[#This Row],[Y, Y(C), N]]=no,1,0)</f>
        <v>0</v>
      </c>
      <c r="Q52" s="184">
        <f>IF(cyberRisk[[#This Row],[Y, Y(C), N]]=NotAvail,1,0)</f>
        <v>0</v>
      </c>
      <c r="R52" s="92"/>
      <c r="S52" s="88"/>
      <c r="T52" s="88"/>
      <c r="U52" s="88"/>
      <c r="V52" s="88"/>
      <c r="W52" s="88"/>
      <c r="X52" s="88"/>
      <c r="Y52" s="88"/>
    </row>
    <row r="53" spans="1:25" ht="30" x14ac:dyDescent="0.25">
      <c r="A53" s="86" t="s">
        <v>34</v>
      </c>
      <c r="B53" s="86" t="s">
        <v>36</v>
      </c>
      <c r="C53" s="86" t="s">
        <v>30</v>
      </c>
      <c r="D53" s="87"/>
      <c r="E53" s="58" t="s">
        <v>95</v>
      </c>
      <c r="F53" s="24"/>
      <c r="G53" s="424"/>
      <c r="H53" s="313" t="str">
        <f>IFERROR(HYPERLINK("#'Appendix A'!E"&amp;ROW(INDEX(Table23[DSorder],MATCH(cyberRisk[[#This Row],[AppAref]],Table23[DSorder],0))),"GO"),"")</f>
        <v/>
      </c>
      <c r="I53" s="86" t="str">
        <f>cyberRisk[[#This Row],[Component]]&amp;cyberRisk[[#This Row],[Maturity Level]]</f>
        <v>Strategy/PoliciesAdvanced</v>
      </c>
      <c r="J53" s="86" t="str">
        <f>cyberRisk[[#This Row],[workArea]]&amp;cyberRisk[[#This Row],[Y, Y(C), N]]</f>
        <v>Strategy/PoliciesAdvanced</v>
      </c>
      <c r="K53" s="184"/>
      <c r="L53" s="184"/>
      <c r="M53" s="184" t="str">
        <f t="shared" si="1"/>
        <v>Cyber Risk Management and Oversight</v>
      </c>
      <c r="N53" s="184">
        <f>IF(cyberRisk[[#This Row],[Y, Y(C), N]]=yes,1,0)</f>
        <v>0</v>
      </c>
      <c r="O53" s="184">
        <f>IF(cyberRisk[[#This Row],[Y, Y(C), N]]=yesCC,1,0)</f>
        <v>0</v>
      </c>
      <c r="P53" s="184">
        <f>IF(cyberRisk[[#This Row],[Y, Y(C), N]]=no,1,0)</f>
        <v>0</v>
      </c>
      <c r="Q53" s="184">
        <f>IF(cyberRisk[[#This Row],[Y, Y(C), N]]=NotAvail,1,0)</f>
        <v>0</v>
      </c>
      <c r="R53" s="92"/>
      <c r="S53" s="88"/>
      <c r="T53" s="88"/>
      <c r="U53" s="88"/>
      <c r="V53" s="88"/>
      <c r="W53" s="88"/>
      <c r="X53" s="88"/>
      <c r="Y53" s="88"/>
    </row>
    <row r="54" spans="1:25" ht="30" x14ac:dyDescent="0.25">
      <c r="A54" s="86" t="s">
        <v>34</v>
      </c>
      <c r="B54" s="86" t="s">
        <v>36</v>
      </c>
      <c r="C54" s="86" t="s">
        <v>31</v>
      </c>
      <c r="D54" s="87"/>
      <c r="E54" s="58" t="s">
        <v>96</v>
      </c>
      <c r="F54" s="24"/>
      <c r="G54" s="424"/>
      <c r="H54" s="313" t="str">
        <f>IFERROR(HYPERLINK("#'Appendix A'!E"&amp;ROW(INDEX(Table23[DSorder],MATCH(cyberRisk[[#This Row],[AppAref]],Table23[DSorder],0))),"GO"),"")</f>
        <v/>
      </c>
      <c r="I54" s="86" t="str">
        <f>cyberRisk[[#This Row],[Component]]&amp;cyberRisk[[#This Row],[Maturity Level]]</f>
        <v>Strategy/PoliciesInnovative</v>
      </c>
      <c r="J54" s="86" t="str">
        <f>cyberRisk[[#This Row],[workArea]]&amp;cyberRisk[[#This Row],[Y, Y(C), N]]</f>
        <v>Strategy/PoliciesInnovative</v>
      </c>
      <c r="K54" s="184"/>
      <c r="L54" s="184"/>
      <c r="M54" s="184" t="str">
        <f t="shared" si="1"/>
        <v>Cyber Risk Management and Oversight</v>
      </c>
      <c r="N54" s="270">
        <f>IF(cyberRisk[[#This Row],[Y, Y(C), N]]=yes,1,0)</f>
        <v>0</v>
      </c>
      <c r="O54" s="184">
        <f>IF(cyberRisk[[#This Row],[Y, Y(C), N]]=yesCC,1,0)</f>
        <v>0</v>
      </c>
      <c r="P54" s="184">
        <f>IF(cyberRisk[[#This Row],[Y, Y(C), N]]=no,1,0)</f>
        <v>0</v>
      </c>
      <c r="Q54" s="184">
        <f>IF(cyberRisk[[#This Row],[Y, Y(C), N]]=NotAvail,1,0)</f>
        <v>0</v>
      </c>
      <c r="R54" s="92"/>
      <c r="S54" s="88"/>
      <c r="T54" s="88"/>
      <c r="U54" s="88"/>
      <c r="V54" s="88"/>
      <c r="W54" s="88"/>
      <c r="X54" s="88"/>
      <c r="Y54" s="88"/>
    </row>
    <row r="55" spans="1:25" ht="30" x14ac:dyDescent="0.25">
      <c r="A55" s="86" t="s">
        <v>34</v>
      </c>
      <c r="B55" s="86" t="s">
        <v>610</v>
      </c>
      <c r="C55" s="86" t="s">
        <v>27</v>
      </c>
      <c r="D55" s="87"/>
      <c r="E55" s="58" t="s">
        <v>97</v>
      </c>
      <c r="F55"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9</v>
      </c>
      <c r="G55" s="424"/>
      <c r="H55" s="313" t="str">
        <f>IFERROR(HYPERLINK("#'Appendix A'!E"&amp;ROW(INDEX(Table23[DSorder],MATCH(cyberRisk[[#This Row],[AppAref]],Table23[DSorder],0))),"GO"),"")</f>
        <v>GO</v>
      </c>
      <c r="I55" s="86" t="str">
        <f>cyberRisk[[#This Row],[Component]]&amp;cyberRisk[[#This Row],[Maturity Level]]</f>
        <v>IT Asset ManagementBaseline</v>
      </c>
      <c r="J55" s="86" t="str">
        <f>cyberRisk[[#This Row],[workArea]]&amp;cyberRisk[[#This Row],[Y, Y(C), N]]</f>
        <v>IT Asset ManagementBaseline</v>
      </c>
      <c r="K55" s="184">
        <v>11</v>
      </c>
      <c r="L55" s="184">
        <f>IFERROR(MATCH(cyberRisk[[#This Row],[Ref No.]],hyperlinkLU[Reference No.],0),cyberRisk[[#This Row],[Ref No.]])</f>
        <v>12</v>
      </c>
      <c r="M55" s="184" t="str">
        <f t="shared" si="1"/>
        <v>Cyber Risk Management and Oversight</v>
      </c>
      <c r="N55" s="184">
        <f>IF(cyberRisk[[#This Row],[Y, Y(C), N]]=yes,1,0)</f>
        <v>0</v>
      </c>
      <c r="O55" s="184">
        <f>IF(cyberRisk[[#This Row],[Y, Y(C), N]]=yesCC,1,0)</f>
        <v>0</v>
      </c>
      <c r="P55" s="184">
        <f>IF(cyberRisk[[#This Row],[Y, Y(C), N]]=no,1,0)</f>
        <v>0</v>
      </c>
      <c r="Q55" s="184">
        <f>IF(cyberRisk[[#This Row],[Y, Y(C), N]]=NotAvail,1,0)</f>
        <v>0</v>
      </c>
      <c r="R55" s="92">
        <v>13</v>
      </c>
      <c r="S55" s="88"/>
      <c r="T55" s="88"/>
      <c r="U55" s="88"/>
      <c r="V55" s="88"/>
      <c r="W55" s="88"/>
      <c r="X55" s="88"/>
      <c r="Y55" s="88"/>
    </row>
    <row r="56" spans="1:25" ht="45" x14ac:dyDescent="0.25">
      <c r="A56" s="86" t="s">
        <v>34</v>
      </c>
      <c r="B56" s="86" t="s">
        <v>610</v>
      </c>
      <c r="C56" s="86" t="s">
        <v>27</v>
      </c>
      <c r="D56" s="87"/>
      <c r="E56" s="58" t="s">
        <v>98</v>
      </c>
      <c r="F56"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12</v>
      </c>
      <c r="G56" s="424"/>
      <c r="H56" s="313" t="str">
        <f>IFERROR(HYPERLINK("#'Appendix A'!E"&amp;ROW(INDEX(Table23[DSorder],MATCH(cyberRisk[[#This Row],[AppAref]],Table23[DSorder],0))),"GO"),"")</f>
        <v>GO</v>
      </c>
      <c r="I56" s="86" t="str">
        <f>cyberRisk[[#This Row],[Component]]&amp;cyberRisk[[#This Row],[Maturity Level]]</f>
        <v>IT Asset ManagementBaseline</v>
      </c>
      <c r="J56" s="86" t="str">
        <f>cyberRisk[[#This Row],[workArea]]&amp;cyberRisk[[#This Row],[Y, Y(C), N]]</f>
        <v>IT Asset ManagementBaseline</v>
      </c>
      <c r="K56" s="184">
        <v>12</v>
      </c>
      <c r="L56" s="184">
        <f>IFERROR(MATCH(cyberRisk[[#This Row],[Ref No.]],hyperlinkLU[Reference No.],0),cyberRisk[[#This Row],[Ref No.]])</f>
        <v>13</v>
      </c>
      <c r="M56" s="184" t="str">
        <f t="shared" si="1"/>
        <v>Cyber Risk Management and Oversight</v>
      </c>
      <c r="N56" s="184">
        <f>IF(cyberRisk[[#This Row],[Y, Y(C), N]]=yes,1,0)</f>
        <v>0</v>
      </c>
      <c r="O56" s="184">
        <f>IF(cyberRisk[[#This Row],[Y, Y(C), N]]=yesCC,1,0)</f>
        <v>0</v>
      </c>
      <c r="P56" s="184">
        <f>IF(cyberRisk[[#This Row],[Y, Y(C), N]]=no,1,0)</f>
        <v>0</v>
      </c>
      <c r="Q56" s="184">
        <f>IF(cyberRisk[[#This Row],[Y, Y(C), N]]=NotAvail,1,0)</f>
        <v>0</v>
      </c>
      <c r="R56" s="92">
        <v>14</v>
      </c>
      <c r="S56" s="88"/>
      <c r="T56" s="88"/>
      <c r="U56" s="88"/>
      <c r="V56" s="88"/>
      <c r="W56" s="88"/>
      <c r="X56" s="88"/>
      <c r="Y56" s="88"/>
    </row>
    <row r="57" spans="1:25" ht="30" x14ac:dyDescent="0.25">
      <c r="A57" s="86" t="s">
        <v>34</v>
      </c>
      <c r="B57" s="86" t="s">
        <v>610</v>
      </c>
      <c r="C57" s="86" t="s">
        <v>27</v>
      </c>
      <c r="D57" s="87"/>
      <c r="E57" s="58" t="s">
        <v>99</v>
      </c>
      <c r="F57"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9</v>
      </c>
      <c r="G57" s="424"/>
      <c r="H57" s="313" t="str">
        <f>IFERROR(HYPERLINK("#'Appendix A'!E"&amp;ROW(INDEX(Table23[DSorder],MATCH(cyberRisk[[#This Row],[AppAref]],Table23[DSorder],0))),"GO"),"")</f>
        <v>GO</v>
      </c>
      <c r="I57" s="86" t="str">
        <f>cyberRisk[[#This Row],[Component]]&amp;cyberRisk[[#This Row],[Maturity Level]]</f>
        <v>IT Asset ManagementBaseline</v>
      </c>
      <c r="J57" s="86" t="str">
        <f>cyberRisk[[#This Row],[workArea]]&amp;cyberRisk[[#This Row],[Y, Y(C), N]]</f>
        <v>IT Asset ManagementBaseline</v>
      </c>
      <c r="K57" s="184">
        <v>11</v>
      </c>
      <c r="L57" s="184">
        <f>IFERROR(MATCH(cyberRisk[[#This Row],[Ref No.]],hyperlinkLU[Reference No.],0),cyberRisk[[#This Row],[Ref No.]])</f>
        <v>12</v>
      </c>
      <c r="M57" s="184" t="str">
        <f t="shared" si="1"/>
        <v>Cyber Risk Management and Oversight</v>
      </c>
      <c r="N57" s="184">
        <f>IF(cyberRisk[[#This Row],[Y, Y(C), N]]=yes,1,0)</f>
        <v>0</v>
      </c>
      <c r="O57" s="184">
        <f>IF(cyberRisk[[#This Row],[Y, Y(C), N]]=yesCC,1,0)</f>
        <v>0</v>
      </c>
      <c r="P57" s="184">
        <f>IF(cyberRisk[[#This Row],[Y, Y(C), N]]=no,1,0)</f>
        <v>0</v>
      </c>
      <c r="Q57" s="184">
        <f>IF(cyberRisk[[#This Row],[Y, Y(C), N]]=NotAvail,1,0)</f>
        <v>0</v>
      </c>
      <c r="R57" s="92">
        <v>15</v>
      </c>
      <c r="S57" s="88"/>
      <c r="T57" s="88"/>
      <c r="U57" s="88"/>
      <c r="V57" s="88"/>
      <c r="W57" s="88"/>
      <c r="X57" s="88"/>
      <c r="Y57" s="88"/>
    </row>
    <row r="58" spans="1:25" ht="45" x14ac:dyDescent="0.25">
      <c r="A58" s="86" t="s">
        <v>34</v>
      </c>
      <c r="B58" s="86" t="s">
        <v>610</v>
      </c>
      <c r="C58" s="86" t="s">
        <v>27</v>
      </c>
      <c r="D58" s="87"/>
      <c r="E58" s="58" t="s">
        <v>100</v>
      </c>
      <c r="F58"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56</v>
      </c>
      <c r="G58" s="424"/>
      <c r="H58" s="313" t="str">
        <f>IFERROR(HYPERLINK("#'Appendix A'!E"&amp;ROW(INDEX(Table23[DSorder],MATCH(cyberRisk[[#This Row],[AppAref]],Table23[DSorder],0))),"GO"),"")</f>
        <v>GO</v>
      </c>
      <c r="I58" s="86" t="str">
        <f>cyberRisk[[#This Row],[Component]]&amp;cyberRisk[[#This Row],[Maturity Level]]</f>
        <v>IT Asset ManagementBaseline</v>
      </c>
      <c r="J58" s="86" t="str">
        <f>cyberRisk[[#This Row],[workArea]]&amp;cyberRisk[[#This Row],[Y, Y(C), N]]</f>
        <v>IT Asset ManagementBaseline</v>
      </c>
      <c r="K58" s="184">
        <v>13</v>
      </c>
      <c r="L58" s="184">
        <f>IFERROR(MATCH(cyberRisk[[#This Row],[Ref No.]],hyperlinkLU[Reference No.],0),cyberRisk[[#This Row],[Ref No.]])</f>
        <v>14</v>
      </c>
      <c r="M58" s="184" t="str">
        <f t="shared" si="1"/>
        <v>Cyber Risk Management and Oversight</v>
      </c>
      <c r="N58" s="184">
        <f>IF(cyberRisk[[#This Row],[Y, Y(C), N]]=yes,1,0)</f>
        <v>0</v>
      </c>
      <c r="O58" s="184">
        <f>IF(cyberRisk[[#This Row],[Y, Y(C), N]]=yesCC,1,0)</f>
        <v>0</v>
      </c>
      <c r="P58" s="184">
        <f>IF(cyberRisk[[#This Row],[Y, Y(C), N]]=no,1,0)</f>
        <v>0</v>
      </c>
      <c r="Q58" s="184">
        <f>IF(cyberRisk[[#This Row],[Y, Y(C), N]]=NotAvail,1,0)</f>
        <v>0</v>
      </c>
      <c r="R58" s="92">
        <v>16</v>
      </c>
      <c r="S58" s="88"/>
      <c r="T58" s="88"/>
      <c r="U58" s="88"/>
      <c r="V58" s="88"/>
      <c r="W58" s="88"/>
      <c r="X58" s="88"/>
      <c r="Y58" s="88"/>
    </row>
    <row r="59" spans="1:25" ht="30" x14ac:dyDescent="0.25">
      <c r="A59" s="86" t="s">
        <v>34</v>
      </c>
      <c r="B59" s="86" t="s">
        <v>610</v>
      </c>
      <c r="C59" s="86" t="s">
        <v>28</v>
      </c>
      <c r="D59" s="87"/>
      <c r="E59" s="58" t="s">
        <v>101</v>
      </c>
      <c r="F59" s="24"/>
      <c r="G59" s="424"/>
      <c r="H59" s="313" t="str">
        <f>IFERROR(HYPERLINK("#'Appendix A'!E"&amp;ROW(INDEX(Table23[DSorder],MATCH(cyberRisk[[#This Row],[AppAref]],Table23[DSorder],0))),"GO"),"")</f>
        <v/>
      </c>
      <c r="I59" s="86" t="str">
        <f>cyberRisk[[#This Row],[Component]]&amp;cyberRisk[[#This Row],[Maturity Level]]</f>
        <v>IT Asset ManagementEvolving</v>
      </c>
      <c r="J59" s="86" t="str">
        <f>cyberRisk[[#This Row],[workArea]]&amp;cyberRisk[[#This Row],[Y, Y(C), N]]</f>
        <v>IT Asset ManagementEvolving</v>
      </c>
      <c r="K59" s="184"/>
      <c r="L59" s="184"/>
      <c r="M59" s="184" t="str">
        <f t="shared" si="1"/>
        <v>Cyber Risk Management and Oversight</v>
      </c>
      <c r="N59" s="184">
        <f>IF(cyberRisk[[#This Row],[Y, Y(C), N]]=yes,1,0)</f>
        <v>0</v>
      </c>
      <c r="O59" s="184">
        <f>IF(cyberRisk[[#This Row],[Y, Y(C), N]]=yesCC,1,0)</f>
        <v>0</v>
      </c>
      <c r="P59" s="184">
        <f>IF(cyberRisk[[#This Row],[Y, Y(C), N]]=no,1,0)</f>
        <v>0</v>
      </c>
      <c r="Q59" s="184">
        <f>IF(cyberRisk[[#This Row],[Y, Y(C), N]]=NotAvail,1,0)</f>
        <v>0</v>
      </c>
      <c r="R59" s="92"/>
      <c r="S59" s="88"/>
      <c r="T59" s="88"/>
      <c r="U59" s="88"/>
      <c r="V59" s="88"/>
      <c r="W59" s="88"/>
      <c r="X59" s="88"/>
      <c r="Y59" s="88"/>
    </row>
    <row r="60" spans="1:25" ht="30" x14ac:dyDescent="0.25">
      <c r="A60" s="86" t="s">
        <v>34</v>
      </c>
      <c r="B60" s="86" t="s">
        <v>610</v>
      </c>
      <c r="C60" s="86" t="s">
        <v>28</v>
      </c>
      <c r="D60" s="87"/>
      <c r="E60" s="58" t="s">
        <v>102</v>
      </c>
      <c r="F60" s="24"/>
      <c r="G60" s="424"/>
      <c r="H60" s="313" t="str">
        <f>IFERROR(HYPERLINK("#'Appendix A'!E"&amp;ROW(INDEX(Table23[DSorder],MATCH(cyberRisk[[#This Row],[AppAref]],Table23[DSorder],0))),"GO"),"")</f>
        <v/>
      </c>
      <c r="I60" s="86" t="str">
        <f>cyberRisk[[#This Row],[Component]]&amp;cyberRisk[[#This Row],[Maturity Level]]</f>
        <v>IT Asset ManagementEvolving</v>
      </c>
      <c r="J60" s="86" t="str">
        <f>cyberRisk[[#This Row],[workArea]]&amp;cyberRisk[[#This Row],[Y, Y(C), N]]</f>
        <v>IT Asset ManagementEvolving</v>
      </c>
      <c r="K60" s="184"/>
      <c r="L60" s="184"/>
      <c r="M60" s="184" t="str">
        <f t="shared" si="1"/>
        <v>Cyber Risk Management and Oversight</v>
      </c>
      <c r="N60" s="184">
        <f>IF(cyberRisk[[#This Row],[Y, Y(C), N]]=yes,1,0)</f>
        <v>0</v>
      </c>
      <c r="O60" s="184">
        <f>IF(cyberRisk[[#This Row],[Y, Y(C), N]]=yesCC,1,0)</f>
        <v>0</v>
      </c>
      <c r="P60" s="184">
        <f>IF(cyberRisk[[#This Row],[Y, Y(C), N]]=no,1,0)</f>
        <v>0</v>
      </c>
      <c r="Q60" s="184">
        <f>IF(cyberRisk[[#This Row],[Y, Y(C), N]]=NotAvail,1,0)</f>
        <v>0</v>
      </c>
      <c r="R60" s="92"/>
      <c r="S60" s="88"/>
      <c r="T60" s="88"/>
      <c r="U60" s="88"/>
      <c r="V60" s="88"/>
      <c r="W60" s="88"/>
      <c r="X60" s="88"/>
      <c r="Y60" s="88"/>
    </row>
    <row r="61" spans="1:25" ht="30" x14ac:dyDescent="0.25">
      <c r="A61" s="86" t="s">
        <v>34</v>
      </c>
      <c r="B61" s="86" t="s">
        <v>610</v>
      </c>
      <c r="C61" s="86" t="s">
        <v>28</v>
      </c>
      <c r="D61" s="87"/>
      <c r="E61" s="58" t="s">
        <v>103</v>
      </c>
      <c r="F61" s="24"/>
      <c r="G61" s="424"/>
      <c r="H61" s="313" t="str">
        <f>IFERROR(HYPERLINK("#'Appendix A'!E"&amp;ROW(INDEX(Table23[DSorder],MATCH(cyberRisk[[#This Row],[AppAref]],Table23[DSorder],0))),"GO"),"")</f>
        <v/>
      </c>
      <c r="I61" s="86" t="str">
        <f>cyberRisk[[#This Row],[Component]]&amp;cyberRisk[[#This Row],[Maturity Level]]</f>
        <v>IT Asset ManagementEvolving</v>
      </c>
      <c r="J61" s="86" t="str">
        <f>cyberRisk[[#This Row],[workArea]]&amp;cyberRisk[[#This Row],[Y, Y(C), N]]</f>
        <v>IT Asset ManagementEvolving</v>
      </c>
      <c r="K61" s="184"/>
      <c r="L61" s="184"/>
      <c r="M61" s="184" t="str">
        <f t="shared" si="1"/>
        <v>Cyber Risk Management and Oversight</v>
      </c>
      <c r="N61" s="184">
        <f>IF(cyberRisk[[#This Row],[Y, Y(C), N]]=yes,1,0)</f>
        <v>0</v>
      </c>
      <c r="O61" s="184">
        <f>IF(cyberRisk[[#This Row],[Y, Y(C), N]]=yesCC,1,0)</f>
        <v>0</v>
      </c>
      <c r="P61" s="184">
        <f>IF(cyberRisk[[#This Row],[Y, Y(C), N]]=no,1,0)</f>
        <v>0</v>
      </c>
      <c r="Q61" s="184">
        <f>IF(cyberRisk[[#This Row],[Y, Y(C), N]]=NotAvail,1,0)</f>
        <v>0</v>
      </c>
      <c r="R61" s="92"/>
      <c r="S61" s="88"/>
      <c r="T61" s="88"/>
      <c r="U61" s="88"/>
      <c r="V61" s="88"/>
      <c r="W61" s="88"/>
      <c r="X61" s="88"/>
      <c r="Y61" s="88"/>
    </row>
    <row r="62" spans="1:25" ht="30" x14ac:dyDescent="0.25">
      <c r="A62" s="86" t="s">
        <v>34</v>
      </c>
      <c r="B62" s="86" t="s">
        <v>610</v>
      </c>
      <c r="C62" s="86" t="s">
        <v>28</v>
      </c>
      <c r="D62" s="87"/>
      <c r="E62" s="58" t="s">
        <v>104</v>
      </c>
      <c r="F62" s="24"/>
      <c r="G62" s="424"/>
      <c r="H62" s="313" t="str">
        <f>IFERROR(HYPERLINK("#'Appendix A'!E"&amp;ROW(INDEX(Table23[DSorder],MATCH(cyberRisk[[#This Row],[AppAref]],Table23[DSorder],0))),"GO"),"")</f>
        <v/>
      </c>
      <c r="I62" s="86" t="str">
        <f>cyberRisk[[#This Row],[Component]]&amp;cyberRisk[[#This Row],[Maturity Level]]</f>
        <v>IT Asset ManagementEvolving</v>
      </c>
      <c r="J62" s="86" t="str">
        <f>cyberRisk[[#This Row],[workArea]]&amp;cyberRisk[[#This Row],[Y, Y(C), N]]</f>
        <v>IT Asset ManagementEvolving</v>
      </c>
      <c r="K62" s="184"/>
      <c r="L62" s="184"/>
      <c r="M62" s="184" t="str">
        <f t="shared" si="1"/>
        <v>Cyber Risk Management and Oversight</v>
      </c>
      <c r="N62" s="184">
        <f>IF(cyberRisk[[#This Row],[Y, Y(C), N]]=yes,1,0)</f>
        <v>0</v>
      </c>
      <c r="O62" s="184">
        <f>IF(cyberRisk[[#This Row],[Y, Y(C), N]]=yesCC,1,0)</f>
        <v>0</v>
      </c>
      <c r="P62" s="184">
        <f>IF(cyberRisk[[#This Row],[Y, Y(C), N]]=no,1,0)</f>
        <v>0</v>
      </c>
      <c r="Q62" s="184">
        <f>IF(cyberRisk[[#This Row],[Y, Y(C), N]]=NotAvail,1,0)</f>
        <v>0</v>
      </c>
      <c r="R62" s="92"/>
      <c r="S62" s="88"/>
      <c r="T62" s="88"/>
      <c r="U62" s="88"/>
      <c r="V62" s="88"/>
      <c r="W62" s="88"/>
      <c r="X62" s="88"/>
      <c r="Y62" s="88"/>
    </row>
    <row r="63" spans="1:25" ht="30" x14ac:dyDescent="0.25">
      <c r="A63" s="86" t="s">
        <v>34</v>
      </c>
      <c r="B63" s="86" t="s">
        <v>610</v>
      </c>
      <c r="C63" s="86" t="s">
        <v>29</v>
      </c>
      <c r="D63" s="87"/>
      <c r="E63" s="58" t="s">
        <v>105</v>
      </c>
      <c r="F63" s="24"/>
      <c r="G63" s="424"/>
      <c r="H63" s="313" t="str">
        <f>IFERROR(HYPERLINK("#'Appendix A'!E"&amp;ROW(INDEX(Table23[DSorder],MATCH(cyberRisk[[#This Row],[AppAref]],Table23[DSorder],0))),"GO"),"")</f>
        <v/>
      </c>
      <c r="I63" s="86" t="str">
        <f>cyberRisk[[#This Row],[Component]]&amp;cyberRisk[[#This Row],[Maturity Level]]</f>
        <v>IT Asset ManagementIntermediate</v>
      </c>
      <c r="J63" s="86" t="str">
        <f>cyberRisk[[#This Row],[workArea]]&amp;cyberRisk[[#This Row],[Y, Y(C), N]]</f>
        <v>IT Asset ManagementIntermediate</v>
      </c>
      <c r="K63" s="184"/>
      <c r="L63" s="184"/>
      <c r="M63" s="184" t="str">
        <f t="shared" si="1"/>
        <v>Cyber Risk Management and Oversight</v>
      </c>
      <c r="N63" s="184">
        <f>IF(cyberRisk[[#This Row],[Y, Y(C), N]]=yes,1,0)</f>
        <v>0</v>
      </c>
      <c r="O63" s="184">
        <f>IF(cyberRisk[[#This Row],[Y, Y(C), N]]=yesCC,1,0)</f>
        <v>0</v>
      </c>
      <c r="P63" s="184">
        <f>IF(cyberRisk[[#This Row],[Y, Y(C), N]]=no,1,0)</f>
        <v>0</v>
      </c>
      <c r="Q63" s="184">
        <f>IF(cyberRisk[[#This Row],[Y, Y(C), N]]=NotAvail,1,0)</f>
        <v>0</v>
      </c>
      <c r="R63" s="92"/>
      <c r="S63" s="88"/>
      <c r="T63" s="88"/>
      <c r="U63" s="88"/>
      <c r="V63" s="88"/>
      <c r="W63" s="88"/>
      <c r="X63" s="88"/>
      <c r="Y63" s="88"/>
    </row>
    <row r="64" spans="1:25" ht="30" x14ac:dyDescent="0.25">
      <c r="A64" s="86" t="s">
        <v>34</v>
      </c>
      <c r="B64" s="86" t="s">
        <v>610</v>
      </c>
      <c r="C64" s="86" t="s">
        <v>29</v>
      </c>
      <c r="D64" s="87"/>
      <c r="E64" s="58" t="s">
        <v>106</v>
      </c>
      <c r="F64" s="24"/>
      <c r="G64" s="424"/>
      <c r="H64" s="313" t="str">
        <f>IFERROR(HYPERLINK("#'Appendix A'!E"&amp;ROW(INDEX(Table23[DSorder],MATCH(cyberRisk[[#This Row],[AppAref]],Table23[DSorder],0))),"GO"),"")</f>
        <v/>
      </c>
      <c r="I64" s="86" t="str">
        <f>cyberRisk[[#This Row],[Component]]&amp;cyberRisk[[#This Row],[Maturity Level]]</f>
        <v>IT Asset ManagementIntermediate</v>
      </c>
      <c r="J64" s="86" t="str">
        <f>cyberRisk[[#This Row],[workArea]]&amp;cyberRisk[[#This Row],[Y, Y(C), N]]</f>
        <v>IT Asset ManagementIntermediate</v>
      </c>
      <c r="K64" s="184"/>
      <c r="L64" s="184"/>
      <c r="M64" s="184" t="str">
        <f t="shared" si="1"/>
        <v>Cyber Risk Management and Oversight</v>
      </c>
      <c r="N64" s="184">
        <f>IF(cyberRisk[[#This Row],[Y, Y(C), N]]=yes,1,0)</f>
        <v>0</v>
      </c>
      <c r="O64" s="184">
        <f>IF(cyberRisk[[#This Row],[Y, Y(C), N]]=yesCC,1,0)</f>
        <v>0</v>
      </c>
      <c r="P64" s="184">
        <f>IF(cyberRisk[[#This Row],[Y, Y(C), N]]=no,1,0)</f>
        <v>0</v>
      </c>
      <c r="Q64" s="184">
        <f>IF(cyberRisk[[#This Row],[Y, Y(C), N]]=NotAvail,1,0)</f>
        <v>0</v>
      </c>
      <c r="R64" s="92"/>
      <c r="S64" s="88"/>
      <c r="T64" s="88"/>
      <c r="U64" s="88"/>
      <c r="V64" s="88"/>
      <c r="W64" s="88"/>
      <c r="X64" s="88"/>
      <c r="Y64" s="88"/>
    </row>
    <row r="65" spans="1:25" ht="30" x14ac:dyDescent="0.25">
      <c r="A65" s="86" t="s">
        <v>34</v>
      </c>
      <c r="B65" s="86" t="s">
        <v>610</v>
      </c>
      <c r="C65" s="86" t="s">
        <v>30</v>
      </c>
      <c r="D65" s="87"/>
      <c r="E65" s="58" t="s">
        <v>107</v>
      </c>
      <c r="F65" s="24"/>
      <c r="G65" s="424"/>
      <c r="H65" s="313" t="str">
        <f>IFERROR(HYPERLINK("#'Appendix A'!E"&amp;ROW(INDEX(Table23[DSorder],MATCH(cyberRisk[[#This Row],[AppAref]],Table23[DSorder],0))),"GO"),"")</f>
        <v/>
      </c>
      <c r="I65" s="86" t="str">
        <f>cyberRisk[[#This Row],[Component]]&amp;cyberRisk[[#This Row],[Maturity Level]]</f>
        <v>IT Asset ManagementAdvanced</v>
      </c>
      <c r="J65" s="86" t="str">
        <f>cyberRisk[[#This Row],[workArea]]&amp;cyberRisk[[#This Row],[Y, Y(C), N]]</f>
        <v>IT Asset ManagementAdvanced</v>
      </c>
      <c r="K65" s="184"/>
      <c r="L65" s="184"/>
      <c r="M65" s="184" t="str">
        <f t="shared" si="1"/>
        <v>Cyber Risk Management and Oversight</v>
      </c>
      <c r="N65" s="184">
        <f>IF(cyberRisk[[#This Row],[Y, Y(C), N]]=yes,1,0)</f>
        <v>0</v>
      </c>
      <c r="O65" s="184">
        <f>IF(cyberRisk[[#This Row],[Y, Y(C), N]]=yesCC,1,0)</f>
        <v>0</v>
      </c>
      <c r="P65" s="184">
        <f>IF(cyberRisk[[#This Row],[Y, Y(C), N]]=no,1,0)</f>
        <v>0</v>
      </c>
      <c r="Q65" s="184">
        <f>IF(cyberRisk[[#This Row],[Y, Y(C), N]]=NotAvail,1,0)</f>
        <v>0</v>
      </c>
      <c r="R65" s="92"/>
      <c r="S65" s="88"/>
      <c r="T65" s="88"/>
      <c r="U65" s="88"/>
      <c r="V65" s="88"/>
      <c r="W65" s="88"/>
      <c r="X65" s="88"/>
      <c r="Y65" s="88"/>
    </row>
    <row r="66" spans="1:25" ht="30" x14ac:dyDescent="0.25">
      <c r="A66" s="86" t="s">
        <v>34</v>
      </c>
      <c r="B66" s="86" t="s">
        <v>610</v>
      </c>
      <c r="C66" s="86" t="s">
        <v>30</v>
      </c>
      <c r="D66" s="87"/>
      <c r="E66" s="58" t="s">
        <v>108</v>
      </c>
      <c r="F66" s="24"/>
      <c r="G66" s="424"/>
      <c r="H66" s="313" t="str">
        <f>IFERROR(HYPERLINK("#'Appendix A'!E"&amp;ROW(INDEX(Table23[DSorder],MATCH(cyberRisk[[#This Row],[AppAref]],Table23[DSorder],0))),"GO"),"")</f>
        <v/>
      </c>
      <c r="I66" s="86" t="str">
        <f>cyberRisk[[#This Row],[Component]]&amp;cyberRisk[[#This Row],[Maturity Level]]</f>
        <v>IT Asset ManagementAdvanced</v>
      </c>
      <c r="J66" s="86" t="str">
        <f>cyberRisk[[#This Row],[workArea]]&amp;cyberRisk[[#This Row],[Y, Y(C), N]]</f>
        <v>IT Asset ManagementAdvanced</v>
      </c>
      <c r="K66" s="184"/>
      <c r="L66" s="184"/>
      <c r="M66" s="184" t="str">
        <f t="shared" si="1"/>
        <v>Cyber Risk Management and Oversight</v>
      </c>
      <c r="N66" s="184">
        <f>IF(cyberRisk[[#This Row],[Y, Y(C), N]]=yes,1,0)</f>
        <v>0</v>
      </c>
      <c r="O66" s="184">
        <f>IF(cyberRisk[[#This Row],[Y, Y(C), N]]=yesCC,1,0)</f>
        <v>0</v>
      </c>
      <c r="P66" s="184">
        <f>IF(cyberRisk[[#This Row],[Y, Y(C), N]]=no,1,0)</f>
        <v>0</v>
      </c>
      <c r="Q66" s="184">
        <f>IF(cyberRisk[[#This Row],[Y, Y(C), N]]=NotAvail,1,0)</f>
        <v>0</v>
      </c>
      <c r="R66" s="92"/>
      <c r="S66" s="88"/>
      <c r="T66" s="88"/>
      <c r="U66" s="88"/>
      <c r="V66" s="88"/>
      <c r="W66" s="88"/>
      <c r="X66" s="88"/>
      <c r="Y66" s="88"/>
    </row>
    <row r="67" spans="1:25" ht="30" x14ac:dyDescent="0.25">
      <c r="A67" s="86" t="s">
        <v>34</v>
      </c>
      <c r="B67" s="86" t="s">
        <v>610</v>
      </c>
      <c r="C67" s="86" t="s">
        <v>30</v>
      </c>
      <c r="D67" s="87"/>
      <c r="E67" s="58" t="s">
        <v>109</v>
      </c>
      <c r="F67" s="24"/>
      <c r="G67" s="424"/>
      <c r="H67" s="313" t="str">
        <f>IFERROR(HYPERLINK("#'Appendix A'!E"&amp;ROW(INDEX(Table23[DSorder],MATCH(cyberRisk[[#This Row],[AppAref]],Table23[DSorder],0))),"GO"),"")</f>
        <v/>
      </c>
      <c r="I67" s="86" t="str">
        <f>cyberRisk[[#This Row],[Component]]&amp;cyberRisk[[#This Row],[Maturity Level]]</f>
        <v>IT Asset ManagementAdvanced</v>
      </c>
      <c r="J67" s="86" t="str">
        <f>cyberRisk[[#This Row],[workArea]]&amp;cyberRisk[[#This Row],[Y, Y(C), N]]</f>
        <v>IT Asset ManagementAdvanced</v>
      </c>
      <c r="K67" s="184"/>
      <c r="L67" s="184"/>
      <c r="M67" s="184" t="str">
        <f t="shared" si="1"/>
        <v>Cyber Risk Management and Oversight</v>
      </c>
      <c r="N67" s="184">
        <f>IF(cyberRisk[[#This Row],[Y, Y(C), N]]=yes,1,0)</f>
        <v>0</v>
      </c>
      <c r="O67" s="184">
        <f>IF(cyberRisk[[#This Row],[Y, Y(C), N]]=yesCC,1,0)</f>
        <v>0</v>
      </c>
      <c r="P67" s="184">
        <f>IF(cyberRisk[[#This Row],[Y, Y(C), N]]=no,1,0)</f>
        <v>0</v>
      </c>
      <c r="Q67" s="184">
        <f>IF(cyberRisk[[#This Row],[Y, Y(C), N]]=NotAvail,1,0)</f>
        <v>0</v>
      </c>
      <c r="R67" s="92"/>
      <c r="S67" s="88"/>
      <c r="T67" s="88"/>
      <c r="U67" s="88"/>
      <c r="V67" s="88"/>
      <c r="W67" s="88"/>
      <c r="X67" s="88"/>
      <c r="Y67" s="88"/>
    </row>
    <row r="68" spans="1:25" ht="30" x14ac:dyDescent="0.25">
      <c r="A68" s="86" t="s">
        <v>34</v>
      </c>
      <c r="B68" s="86" t="s">
        <v>610</v>
      </c>
      <c r="C68" s="86" t="s">
        <v>30</v>
      </c>
      <c r="D68" s="87"/>
      <c r="E68" s="58" t="s">
        <v>110</v>
      </c>
      <c r="F68" s="24"/>
      <c r="G68" s="424"/>
      <c r="H68" s="313" t="str">
        <f>IFERROR(HYPERLINK("#'Appendix A'!E"&amp;ROW(INDEX(Table23[DSorder],MATCH(cyberRisk[[#This Row],[AppAref]],Table23[DSorder],0))),"GO"),"")</f>
        <v/>
      </c>
      <c r="I68" s="86" t="str">
        <f>cyberRisk[[#This Row],[Component]]&amp;cyberRisk[[#This Row],[Maturity Level]]</f>
        <v>IT Asset ManagementAdvanced</v>
      </c>
      <c r="J68" s="86" t="str">
        <f>cyberRisk[[#This Row],[workArea]]&amp;cyberRisk[[#This Row],[Y, Y(C), N]]</f>
        <v>IT Asset ManagementAdvanced</v>
      </c>
      <c r="K68" s="184"/>
      <c r="L68" s="184"/>
      <c r="M68" s="184" t="str">
        <f t="shared" si="1"/>
        <v>Cyber Risk Management and Oversight</v>
      </c>
      <c r="N68" s="184">
        <f>IF(cyberRisk[[#This Row],[Y, Y(C), N]]=yes,1,0)</f>
        <v>0</v>
      </c>
      <c r="O68" s="184">
        <f>IF(cyberRisk[[#This Row],[Y, Y(C), N]]=yesCC,1,0)</f>
        <v>0</v>
      </c>
      <c r="P68" s="184">
        <f>IF(cyberRisk[[#This Row],[Y, Y(C), N]]=no,1,0)</f>
        <v>0</v>
      </c>
      <c r="Q68" s="184">
        <f>IF(cyberRisk[[#This Row],[Y, Y(C), N]]=NotAvail,1,0)</f>
        <v>0</v>
      </c>
      <c r="R68" s="92"/>
      <c r="S68" s="88"/>
      <c r="T68" s="88"/>
      <c r="U68" s="88"/>
      <c r="V68" s="88"/>
      <c r="W68" s="88"/>
      <c r="X68" s="88"/>
      <c r="Y68" s="88"/>
    </row>
    <row r="69" spans="1:25" ht="45" x14ac:dyDescent="0.25">
      <c r="A69" s="86" t="s">
        <v>34</v>
      </c>
      <c r="B69" s="86" t="s">
        <v>610</v>
      </c>
      <c r="C69" s="86" t="s">
        <v>31</v>
      </c>
      <c r="D69" s="87"/>
      <c r="E69" s="58" t="s">
        <v>111</v>
      </c>
      <c r="F69" s="24"/>
      <c r="G69" s="424"/>
      <c r="H69" s="313" t="str">
        <f>IFERROR(HYPERLINK("#'Appendix A'!E"&amp;ROW(INDEX(Table23[DSorder],MATCH(cyberRisk[[#This Row],[AppAref]],Table23[DSorder],0))),"GO"),"")</f>
        <v/>
      </c>
      <c r="I69" s="86" t="str">
        <f>cyberRisk[[#This Row],[Component]]&amp;cyberRisk[[#This Row],[Maturity Level]]</f>
        <v>IT Asset ManagementInnovative</v>
      </c>
      <c r="J69" s="86" t="str">
        <f>cyberRisk[[#This Row],[workArea]]&amp;cyberRisk[[#This Row],[Y, Y(C), N]]</f>
        <v>IT Asset ManagementInnovative</v>
      </c>
      <c r="K69" s="184"/>
      <c r="L69" s="184"/>
      <c r="M69" s="184" t="str">
        <f t="shared" si="1"/>
        <v>Cyber Risk Management and Oversight</v>
      </c>
      <c r="N69" s="184">
        <f>IF(cyberRisk[[#This Row],[Y, Y(C), N]]=yes,1,0)</f>
        <v>0</v>
      </c>
      <c r="O69" s="184">
        <f>IF(cyberRisk[[#This Row],[Y, Y(C), N]]=yesCC,1,0)</f>
        <v>0</v>
      </c>
      <c r="P69" s="184">
        <f>IF(cyberRisk[[#This Row],[Y, Y(C), N]]=no,1,0)</f>
        <v>0</v>
      </c>
      <c r="Q69" s="184">
        <f>IF(cyberRisk[[#This Row],[Y, Y(C), N]]=NotAvail,1,0)</f>
        <v>0</v>
      </c>
      <c r="R69" s="92"/>
      <c r="S69" s="88"/>
      <c r="T69" s="88"/>
      <c r="U69" s="88"/>
      <c r="V69" s="88"/>
      <c r="W69" s="88"/>
      <c r="X69" s="88"/>
      <c r="Y69" s="88"/>
    </row>
    <row r="70" spans="1:25" ht="30" x14ac:dyDescent="0.25">
      <c r="A70" s="86" t="s">
        <v>34</v>
      </c>
      <c r="B70" s="86" t="s">
        <v>610</v>
      </c>
      <c r="C70" s="86" t="s">
        <v>31</v>
      </c>
      <c r="D70" s="87"/>
      <c r="E70" s="58" t="s">
        <v>112</v>
      </c>
      <c r="F70" s="24"/>
      <c r="G70" s="424"/>
      <c r="H70" s="313" t="str">
        <f>IFERROR(HYPERLINK("#'Appendix A'!E"&amp;ROW(INDEX(Table23[DSorder],MATCH(cyberRisk[[#This Row],[AppAref]],Table23[DSorder],0))),"GO"),"")</f>
        <v/>
      </c>
      <c r="I70" s="86" t="str">
        <f>cyberRisk[[#This Row],[Component]]&amp;cyberRisk[[#This Row],[Maturity Level]]</f>
        <v>IT Asset ManagementInnovative</v>
      </c>
      <c r="J70" s="86" t="str">
        <f>cyberRisk[[#This Row],[workArea]]&amp;cyberRisk[[#This Row],[Y, Y(C), N]]</f>
        <v>IT Asset ManagementInnovative</v>
      </c>
      <c r="K70" s="184"/>
      <c r="L70" s="184"/>
      <c r="M70" s="184" t="str">
        <f t="shared" si="1"/>
        <v>Cyber Risk Management and Oversight</v>
      </c>
      <c r="N70" s="184">
        <f>IF(cyberRisk[[#This Row],[Y, Y(C), N]]=yes,1,0)</f>
        <v>0</v>
      </c>
      <c r="O70" s="184">
        <f>IF(cyberRisk[[#This Row],[Y, Y(C), N]]=yesCC,1,0)</f>
        <v>0</v>
      </c>
      <c r="P70" s="184">
        <f>IF(cyberRisk[[#This Row],[Y, Y(C), N]]=no,1,0)</f>
        <v>0</v>
      </c>
      <c r="Q70" s="184">
        <f>IF(cyberRisk[[#This Row],[Y, Y(C), N]]=NotAvail,1,0)</f>
        <v>0</v>
      </c>
      <c r="R70" s="92"/>
      <c r="S70" s="88"/>
      <c r="T70" s="88"/>
      <c r="U70" s="88"/>
      <c r="V70" s="88"/>
      <c r="W70" s="88"/>
      <c r="X70" s="88"/>
      <c r="Y70" s="88"/>
    </row>
    <row r="71" spans="1:25" ht="30" x14ac:dyDescent="0.25">
      <c r="A71" s="86" t="s">
        <v>37</v>
      </c>
      <c r="B71" s="86" t="s">
        <v>38</v>
      </c>
      <c r="C71" s="86" t="s">
        <v>27</v>
      </c>
      <c r="D71" s="87"/>
      <c r="E71" s="58" t="s">
        <v>113</v>
      </c>
      <c r="F71"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68</v>
      </c>
      <c r="G71" s="424"/>
      <c r="H71" s="313" t="str">
        <f>IFERROR(HYPERLINK("#'Appendix A'!E"&amp;ROW(INDEX(Table23[DSorder],MATCH(cyberRisk[[#This Row],[AppAref]],Table23[DSorder],0))),"GO"),"")</f>
        <v>GO</v>
      </c>
      <c r="I71" s="86" t="str">
        <f>cyberRisk[[#This Row],[Component]]&amp;cyberRisk[[#This Row],[Maturity Level]]</f>
        <v>Risk Management ProgramBaseline</v>
      </c>
      <c r="J71" s="86" t="str">
        <f>cyberRisk[[#This Row],[workArea]]&amp;cyberRisk[[#This Row],[Y, Y(C), N]]</f>
        <v>Risk Management ProgramBaseline</v>
      </c>
      <c r="K71" s="184">
        <v>14</v>
      </c>
      <c r="L71" s="184">
        <f>IFERROR(MATCH(cyberRisk[[#This Row],[Ref No.]],hyperlinkLU[Reference No.],0),cyberRisk[[#This Row],[Ref No.]])</f>
        <v>15</v>
      </c>
      <c r="M71" s="184" t="str">
        <f t="shared" si="1"/>
        <v>Cyber Risk Management and Oversight</v>
      </c>
      <c r="N71" s="184">
        <f>IF(cyberRisk[[#This Row],[Y, Y(C), N]]=yes,1,0)</f>
        <v>0</v>
      </c>
      <c r="O71" s="184">
        <f>IF(cyberRisk[[#This Row],[Y, Y(C), N]]=yesCC,1,0)</f>
        <v>0</v>
      </c>
      <c r="P71" s="184">
        <f>IF(cyberRisk[[#This Row],[Y, Y(C), N]]=no,1,0)</f>
        <v>0</v>
      </c>
      <c r="Q71" s="184">
        <f>IF(cyberRisk[[#This Row],[Y, Y(C), N]]=NotAvail,1,0)</f>
        <v>0</v>
      </c>
      <c r="R71" s="92">
        <v>17</v>
      </c>
      <c r="S71" s="88"/>
      <c r="T71" s="88"/>
      <c r="U71" s="88"/>
      <c r="V71" s="88"/>
      <c r="W71" s="88"/>
      <c r="X71" s="88"/>
      <c r="Y71" s="88"/>
    </row>
    <row r="72" spans="1:25" ht="30" x14ac:dyDescent="0.25">
      <c r="A72" s="86" t="s">
        <v>37</v>
      </c>
      <c r="B72" s="86" t="s">
        <v>38</v>
      </c>
      <c r="C72" s="86" t="s">
        <v>28</v>
      </c>
      <c r="D72" s="87"/>
      <c r="E72" s="58" t="s">
        <v>114</v>
      </c>
      <c r="F72" s="24"/>
      <c r="G72" s="424"/>
      <c r="H72" s="313" t="str">
        <f>IFERROR(HYPERLINK("#'Appendix A'!E"&amp;ROW(INDEX(Table23[DSorder],MATCH(cyberRisk[[#This Row],[AppAref]],Table23[DSorder],0))),"GO"),"")</f>
        <v/>
      </c>
      <c r="I72" s="86" t="str">
        <f>cyberRisk[[#This Row],[Component]]&amp;cyberRisk[[#This Row],[Maturity Level]]</f>
        <v>Risk Management ProgramEvolving</v>
      </c>
      <c r="J72" s="86" t="str">
        <f>cyberRisk[[#This Row],[workArea]]&amp;cyberRisk[[#This Row],[Y, Y(C), N]]</f>
        <v>Risk Management ProgramEvolving</v>
      </c>
      <c r="K72" s="184"/>
      <c r="L72" s="184"/>
      <c r="M72" s="184" t="str">
        <f t="shared" si="1"/>
        <v>Cyber Risk Management and Oversight</v>
      </c>
      <c r="N72" s="184">
        <f>IF(cyberRisk[[#This Row],[Y, Y(C), N]]=yes,1,0)</f>
        <v>0</v>
      </c>
      <c r="O72" s="184">
        <f>IF(cyberRisk[[#This Row],[Y, Y(C), N]]=yesCC,1,0)</f>
        <v>0</v>
      </c>
      <c r="P72" s="184">
        <f>IF(cyberRisk[[#This Row],[Y, Y(C), N]]=no,1,0)</f>
        <v>0</v>
      </c>
      <c r="Q72" s="184">
        <f>IF(cyberRisk[[#This Row],[Y, Y(C), N]]=NotAvail,1,0)</f>
        <v>0</v>
      </c>
      <c r="R72" s="92"/>
      <c r="S72" s="88"/>
      <c r="T72" s="88"/>
      <c r="U72" s="88"/>
      <c r="V72" s="88"/>
      <c r="W72" s="88"/>
      <c r="X72" s="88"/>
      <c r="Y72" s="88"/>
    </row>
    <row r="73" spans="1:25" ht="30" x14ac:dyDescent="0.25">
      <c r="A73" s="86" t="s">
        <v>37</v>
      </c>
      <c r="B73" s="86" t="s">
        <v>38</v>
      </c>
      <c r="C73" s="86" t="s">
        <v>28</v>
      </c>
      <c r="D73" s="87"/>
      <c r="E73" s="58" t="s">
        <v>115</v>
      </c>
      <c r="F73" s="24"/>
      <c r="G73" s="424"/>
      <c r="H73" s="313" t="str">
        <f>IFERROR(HYPERLINK("#'Appendix A'!E"&amp;ROW(INDEX(Table23[DSorder],MATCH(cyberRisk[[#This Row],[AppAref]],Table23[DSorder],0))),"GO"),"")</f>
        <v/>
      </c>
      <c r="I73" s="86" t="str">
        <f>cyberRisk[[#This Row],[Component]]&amp;cyberRisk[[#This Row],[Maturity Level]]</f>
        <v>Risk Management ProgramEvolving</v>
      </c>
      <c r="J73" s="86" t="str">
        <f>cyberRisk[[#This Row],[workArea]]&amp;cyberRisk[[#This Row],[Y, Y(C), N]]</f>
        <v>Risk Management ProgramEvolving</v>
      </c>
      <c r="K73" s="184"/>
      <c r="L73" s="184"/>
      <c r="M73" s="184" t="str">
        <f t="shared" ref="M73:M104" si="2">TRIM(MID($A$5,FIND(":",$A$5)+2,LEN($A$5)))</f>
        <v>Cyber Risk Management and Oversight</v>
      </c>
      <c r="N73" s="184">
        <f>IF(cyberRisk[[#This Row],[Y, Y(C), N]]=yes,1,0)</f>
        <v>0</v>
      </c>
      <c r="O73" s="184">
        <f>IF(cyberRisk[[#This Row],[Y, Y(C), N]]=yesCC,1,0)</f>
        <v>0</v>
      </c>
      <c r="P73" s="184">
        <f>IF(cyberRisk[[#This Row],[Y, Y(C), N]]=no,1,0)</f>
        <v>0</v>
      </c>
      <c r="Q73" s="184">
        <f>IF(cyberRisk[[#This Row],[Y, Y(C), N]]=NotAvail,1,0)</f>
        <v>0</v>
      </c>
      <c r="R73" s="92"/>
      <c r="S73" s="88"/>
      <c r="T73" s="88"/>
      <c r="U73" s="88"/>
      <c r="V73" s="88"/>
      <c r="W73" s="88"/>
      <c r="X73" s="88"/>
      <c r="Y73" s="88"/>
    </row>
    <row r="74" spans="1:25" ht="30" x14ac:dyDescent="0.25">
      <c r="A74" s="86" t="s">
        <v>37</v>
      </c>
      <c r="B74" s="86" t="s">
        <v>38</v>
      </c>
      <c r="C74" s="86" t="s">
        <v>28</v>
      </c>
      <c r="D74" s="87"/>
      <c r="E74" s="58" t="s">
        <v>116</v>
      </c>
      <c r="F74" s="24"/>
      <c r="G74" s="424"/>
      <c r="H74" s="313" t="str">
        <f>IFERROR(HYPERLINK("#'Appendix A'!E"&amp;ROW(INDEX(Table23[DSorder],MATCH(cyberRisk[[#This Row],[AppAref]],Table23[DSorder],0))),"GO"),"")</f>
        <v/>
      </c>
      <c r="I74" s="86" t="str">
        <f>cyberRisk[[#This Row],[Component]]&amp;cyberRisk[[#This Row],[Maturity Level]]</f>
        <v>Risk Management ProgramEvolving</v>
      </c>
      <c r="J74" s="86" t="str">
        <f>cyberRisk[[#This Row],[workArea]]&amp;cyberRisk[[#This Row],[Y, Y(C), N]]</f>
        <v>Risk Management ProgramEvolving</v>
      </c>
      <c r="K74" s="184"/>
      <c r="L74" s="184"/>
      <c r="M74" s="184" t="str">
        <f t="shared" si="2"/>
        <v>Cyber Risk Management and Oversight</v>
      </c>
      <c r="N74" s="184">
        <f>IF(cyberRisk[[#This Row],[Y, Y(C), N]]=yes,1,0)</f>
        <v>0</v>
      </c>
      <c r="O74" s="184">
        <f>IF(cyberRisk[[#This Row],[Y, Y(C), N]]=yesCC,1,0)</f>
        <v>0</v>
      </c>
      <c r="P74" s="184">
        <f>IF(cyberRisk[[#This Row],[Y, Y(C), N]]=no,1,0)</f>
        <v>0</v>
      </c>
      <c r="Q74" s="184">
        <f>IF(cyberRisk[[#This Row],[Y, Y(C), N]]=NotAvail,1,0)</f>
        <v>0</v>
      </c>
      <c r="R74" s="92"/>
      <c r="S74" s="88"/>
      <c r="T74" s="88"/>
      <c r="U74" s="88"/>
      <c r="V74" s="88"/>
      <c r="W74" s="88"/>
      <c r="X74" s="88"/>
      <c r="Y74" s="88"/>
    </row>
    <row r="75" spans="1:25" ht="30" x14ac:dyDescent="0.25">
      <c r="A75" s="86" t="s">
        <v>37</v>
      </c>
      <c r="B75" s="86" t="s">
        <v>38</v>
      </c>
      <c r="C75" s="86" t="s">
        <v>29</v>
      </c>
      <c r="D75" s="87"/>
      <c r="E75" s="58" t="s">
        <v>117</v>
      </c>
      <c r="F75" s="24"/>
      <c r="G75" s="424"/>
      <c r="H75" s="313" t="str">
        <f>IFERROR(HYPERLINK("#'Appendix A'!E"&amp;ROW(INDEX(Table23[DSorder],MATCH(cyberRisk[[#This Row],[AppAref]],Table23[DSorder],0))),"GO"),"")</f>
        <v/>
      </c>
      <c r="I75" s="86" t="str">
        <f>cyberRisk[[#This Row],[Component]]&amp;cyberRisk[[#This Row],[Maturity Level]]</f>
        <v>Risk Management ProgramIntermediate</v>
      </c>
      <c r="J75" s="86" t="str">
        <f>cyberRisk[[#This Row],[workArea]]&amp;cyberRisk[[#This Row],[Y, Y(C), N]]</f>
        <v>Risk Management ProgramIntermediate</v>
      </c>
      <c r="K75" s="184"/>
      <c r="L75" s="184"/>
      <c r="M75" s="184" t="str">
        <f t="shared" si="2"/>
        <v>Cyber Risk Management and Oversight</v>
      </c>
      <c r="N75" s="184">
        <f>IF(cyberRisk[[#This Row],[Y, Y(C), N]]=yes,1,0)</f>
        <v>0</v>
      </c>
      <c r="O75" s="184">
        <f>IF(cyberRisk[[#This Row],[Y, Y(C), N]]=yesCC,1,0)</f>
        <v>0</v>
      </c>
      <c r="P75" s="184">
        <f>IF(cyberRisk[[#This Row],[Y, Y(C), N]]=no,1,0)</f>
        <v>0</v>
      </c>
      <c r="Q75" s="184">
        <f>IF(cyberRisk[[#This Row],[Y, Y(C), N]]=NotAvail,1,0)</f>
        <v>0</v>
      </c>
      <c r="R75" s="92"/>
      <c r="S75" s="88"/>
      <c r="T75" s="88"/>
      <c r="U75" s="88"/>
      <c r="V75" s="88"/>
      <c r="W75" s="88"/>
      <c r="X75" s="88"/>
      <c r="Y75" s="88"/>
    </row>
    <row r="76" spans="1:25" ht="45" x14ac:dyDescent="0.25">
      <c r="A76" s="86" t="s">
        <v>37</v>
      </c>
      <c r="B76" s="86" t="s">
        <v>38</v>
      </c>
      <c r="C76" s="86" t="s">
        <v>29</v>
      </c>
      <c r="D76" s="87"/>
      <c r="E76" s="58" t="s">
        <v>118</v>
      </c>
      <c r="F76" s="24"/>
      <c r="G76" s="424"/>
      <c r="H76" s="313" t="str">
        <f>IFERROR(HYPERLINK("#'Appendix A'!E"&amp;ROW(INDEX(Table23[DSorder],MATCH(cyberRisk[[#This Row],[AppAref]],Table23[DSorder],0))),"GO"),"")</f>
        <v/>
      </c>
      <c r="I76" s="86" t="str">
        <f>cyberRisk[[#This Row],[Component]]&amp;cyberRisk[[#This Row],[Maturity Level]]</f>
        <v>Risk Management ProgramIntermediate</v>
      </c>
      <c r="J76" s="86" t="str">
        <f>cyberRisk[[#This Row],[workArea]]&amp;cyberRisk[[#This Row],[Y, Y(C), N]]</f>
        <v>Risk Management ProgramIntermediate</v>
      </c>
      <c r="K76" s="184"/>
      <c r="L76" s="184"/>
      <c r="M76" s="184" t="str">
        <f t="shared" si="2"/>
        <v>Cyber Risk Management and Oversight</v>
      </c>
      <c r="N76" s="184">
        <f>IF(cyberRisk[[#This Row],[Y, Y(C), N]]=yes,1,0)</f>
        <v>0</v>
      </c>
      <c r="O76" s="184">
        <f>IF(cyberRisk[[#This Row],[Y, Y(C), N]]=yesCC,1,0)</f>
        <v>0</v>
      </c>
      <c r="P76" s="184">
        <f>IF(cyberRisk[[#This Row],[Y, Y(C), N]]=no,1,0)</f>
        <v>0</v>
      </c>
      <c r="Q76" s="184">
        <f>IF(cyberRisk[[#This Row],[Y, Y(C), N]]=NotAvail,1,0)</f>
        <v>0</v>
      </c>
      <c r="R76" s="92"/>
      <c r="S76" s="88"/>
      <c r="T76" s="88"/>
      <c r="U76" s="88"/>
      <c r="V76" s="88"/>
      <c r="W76" s="88"/>
      <c r="X76" s="88"/>
      <c r="Y76" s="88"/>
    </row>
    <row r="77" spans="1:25" ht="30" x14ac:dyDescent="0.25">
      <c r="A77" s="86" t="s">
        <v>37</v>
      </c>
      <c r="B77" s="86" t="s">
        <v>38</v>
      </c>
      <c r="C77" s="86" t="s">
        <v>29</v>
      </c>
      <c r="D77" s="87"/>
      <c r="E77" s="58" t="s">
        <v>119</v>
      </c>
      <c r="F77" s="24"/>
      <c r="G77" s="424"/>
      <c r="H77" s="313" t="str">
        <f>IFERROR(HYPERLINK("#'Appendix A'!E"&amp;ROW(INDEX(Table23[DSorder],MATCH(cyberRisk[[#This Row],[AppAref]],Table23[DSorder],0))),"GO"),"")</f>
        <v/>
      </c>
      <c r="I77" s="86" t="str">
        <f>cyberRisk[[#This Row],[Component]]&amp;cyberRisk[[#This Row],[Maturity Level]]</f>
        <v>Risk Management ProgramIntermediate</v>
      </c>
      <c r="J77" s="86" t="str">
        <f>cyberRisk[[#This Row],[workArea]]&amp;cyberRisk[[#This Row],[Y, Y(C), N]]</f>
        <v>Risk Management ProgramIntermediate</v>
      </c>
      <c r="K77" s="184"/>
      <c r="L77" s="184"/>
      <c r="M77" s="184" t="str">
        <f t="shared" si="2"/>
        <v>Cyber Risk Management and Oversight</v>
      </c>
      <c r="N77" s="184">
        <f>IF(cyberRisk[[#This Row],[Y, Y(C), N]]=yes,1,0)</f>
        <v>0</v>
      </c>
      <c r="O77" s="184">
        <f>IF(cyberRisk[[#This Row],[Y, Y(C), N]]=yesCC,1,0)</f>
        <v>0</v>
      </c>
      <c r="P77" s="184">
        <f>IF(cyberRisk[[#This Row],[Y, Y(C), N]]=no,1,0)</f>
        <v>0</v>
      </c>
      <c r="Q77" s="184">
        <f>IF(cyberRisk[[#This Row],[Y, Y(C), N]]=NotAvail,1,0)</f>
        <v>0</v>
      </c>
      <c r="R77" s="92"/>
      <c r="S77" s="88"/>
      <c r="T77" s="88"/>
      <c r="U77" s="88"/>
      <c r="V77" s="88"/>
      <c r="W77" s="88"/>
      <c r="X77" s="88"/>
      <c r="Y77" s="88"/>
    </row>
    <row r="78" spans="1:25" ht="30" x14ac:dyDescent="0.25">
      <c r="A78" s="86" t="s">
        <v>37</v>
      </c>
      <c r="B78" s="86" t="s">
        <v>38</v>
      </c>
      <c r="C78" s="86" t="s">
        <v>29</v>
      </c>
      <c r="D78" s="87"/>
      <c r="E78" s="58" t="s">
        <v>120</v>
      </c>
      <c r="F78" s="24"/>
      <c r="G78" s="424"/>
      <c r="H78" s="313" t="str">
        <f>IFERROR(HYPERLINK("#'Appendix A'!E"&amp;ROW(INDEX(Table23[DSorder],MATCH(cyberRisk[[#This Row],[AppAref]],Table23[DSorder],0))),"GO"),"")</f>
        <v/>
      </c>
      <c r="I78" s="86" t="str">
        <f>cyberRisk[[#This Row],[Component]]&amp;cyberRisk[[#This Row],[Maturity Level]]</f>
        <v>Risk Management ProgramIntermediate</v>
      </c>
      <c r="J78" s="86" t="str">
        <f>cyberRisk[[#This Row],[workArea]]&amp;cyberRisk[[#This Row],[Y, Y(C), N]]</f>
        <v>Risk Management ProgramIntermediate</v>
      </c>
      <c r="K78" s="184"/>
      <c r="L78" s="184"/>
      <c r="M78" s="184" t="str">
        <f t="shared" si="2"/>
        <v>Cyber Risk Management and Oversight</v>
      </c>
      <c r="N78" s="184">
        <f>IF(cyberRisk[[#This Row],[Y, Y(C), N]]=yes,1,0)</f>
        <v>0</v>
      </c>
      <c r="O78" s="184">
        <f>IF(cyberRisk[[#This Row],[Y, Y(C), N]]=yesCC,1,0)</f>
        <v>0</v>
      </c>
      <c r="P78" s="184">
        <f>IF(cyberRisk[[#This Row],[Y, Y(C), N]]=no,1,0)</f>
        <v>0</v>
      </c>
      <c r="Q78" s="184">
        <f>IF(cyberRisk[[#This Row],[Y, Y(C), N]]=NotAvail,1,0)</f>
        <v>0</v>
      </c>
      <c r="R78" s="92"/>
      <c r="S78" s="88"/>
      <c r="T78" s="88"/>
      <c r="U78" s="88"/>
      <c r="V78" s="88"/>
      <c r="W78" s="88"/>
      <c r="X78" s="88"/>
      <c r="Y78" s="88"/>
    </row>
    <row r="79" spans="1:25" ht="30" x14ac:dyDescent="0.25">
      <c r="A79" s="86" t="s">
        <v>37</v>
      </c>
      <c r="B79" s="86" t="s">
        <v>38</v>
      </c>
      <c r="C79" s="86" t="s">
        <v>29</v>
      </c>
      <c r="D79" s="87"/>
      <c r="E79" s="58" t="s">
        <v>121</v>
      </c>
      <c r="F79" s="24"/>
      <c r="G79" s="424"/>
      <c r="H79" s="313" t="str">
        <f>IFERROR(HYPERLINK("#'Appendix A'!E"&amp;ROW(INDEX(Table23[DSorder],MATCH(cyberRisk[[#This Row],[AppAref]],Table23[DSorder],0))),"GO"),"")</f>
        <v/>
      </c>
      <c r="I79" s="86" t="str">
        <f>cyberRisk[[#This Row],[Component]]&amp;cyberRisk[[#This Row],[Maturity Level]]</f>
        <v>Risk Management ProgramIntermediate</v>
      </c>
      <c r="J79" s="86" t="str">
        <f>cyberRisk[[#This Row],[workArea]]&amp;cyberRisk[[#This Row],[Y, Y(C), N]]</f>
        <v>Risk Management ProgramIntermediate</v>
      </c>
      <c r="K79" s="184"/>
      <c r="L79" s="184"/>
      <c r="M79" s="184" t="str">
        <f t="shared" si="2"/>
        <v>Cyber Risk Management and Oversight</v>
      </c>
      <c r="N79" s="184">
        <f>IF(cyberRisk[[#This Row],[Y, Y(C), N]]=yes,1,0)</f>
        <v>0</v>
      </c>
      <c r="O79" s="184">
        <f>IF(cyberRisk[[#This Row],[Y, Y(C), N]]=yesCC,1,0)</f>
        <v>0</v>
      </c>
      <c r="P79" s="184">
        <f>IF(cyberRisk[[#This Row],[Y, Y(C), N]]=no,1,0)</f>
        <v>0</v>
      </c>
      <c r="Q79" s="184">
        <f>IF(cyberRisk[[#This Row],[Y, Y(C), N]]=NotAvail,1,0)</f>
        <v>0</v>
      </c>
      <c r="R79" s="92"/>
      <c r="S79" s="88"/>
      <c r="T79" s="88"/>
      <c r="U79" s="88"/>
      <c r="V79" s="88"/>
      <c r="W79" s="88"/>
      <c r="X79" s="88"/>
      <c r="Y79" s="88"/>
    </row>
    <row r="80" spans="1:25" ht="30" x14ac:dyDescent="0.25">
      <c r="A80" s="86" t="s">
        <v>37</v>
      </c>
      <c r="B80" s="86" t="s">
        <v>38</v>
      </c>
      <c r="C80" s="86" t="s">
        <v>30</v>
      </c>
      <c r="D80" s="87"/>
      <c r="E80" s="58" t="s">
        <v>122</v>
      </c>
      <c r="F80" s="24"/>
      <c r="G80" s="424"/>
      <c r="H80" s="313" t="str">
        <f>IFERROR(HYPERLINK("#'Appendix A'!E"&amp;ROW(INDEX(Table23[DSorder],MATCH(cyberRisk[[#This Row],[AppAref]],Table23[DSorder],0))),"GO"),"")</f>
        <v/>
      </c>
      <c r="I80" s="86" t="str">
        <f>cyberRisk[[#This Row],[Component]]&amp;cyberRisk[[#This Row],[Maturity Level]]</f>
        <v>Risk Management ProgramAdvanced</v>
      </c>
      <c r="J80" s="86" t="str">
        <f>cyberRisk[[#This Row],[workArea]]&amp;cyberRisk[[#This Row],[Y, Y(C), N]]</f>
        <v>Risk Management ProgramAdvanced</v>
      </c>
      <c r="K80" s="184"/>
      <c r="L80" s="184"/>
      <c r="M80" s="184" t="str">
        <f t="shared" si="2"/>
        <v>Cyber Risk Management and Oversight</v>
      </c>
      <c r="N80" s="184">
        <f>IF(cyberRisk[[#This Row],[Y, Y(C), N]]=yes,1,0)</f>
        <v>0</v>
      </c>
      <c r="O80" s="184">
        <f>IF(cyberRisk[[#This Row],[Y, Y(C), N]]=yesCC,1,0)</f>
        <v>0</v>
      </c>
      <c r="P80" s="184">
        <f>IF(cyberRisk[[#This Row],[Y, Y(C), N]]=no,1,0)</f>
        <v>0</v>
      </c>
      <c r="Q80" s="184">
        <f>IF(cyberRisk[[#This Row],[Y, Y(C), N]]=NotAvail,1,0)</f>
        <v>0</v>
      </c>
      <c r="R80" s="92"/>
      <c r="S80" s="88"/>
      <c r="T80" s="88"/>
      <c r="U80" s="88"/>
      <c r="V80" s="88"/>
      <c r="W80" s="88"/>
      <c r="X80" s="88"/>
      <c r="Y80" s="88"/>
    </row>
    <row r="81" spans="1:25" ht="30" x14ac:dyDescent="0.25">
      <c r="A81" s="86" t="s">
        <v>37</v>
      </c>
      <c r="B81" s="86" t="s">
        <v>38</v>
      </c>
      <c r="C81" s="86" t="s">
        <v>30</v>
      </c>
      <c r="D81" s="87"/>
      <c r="E81" s="58" t="s">
        <v>123</v>
      </c>
      <c r="F81" s="24"/>
      <c r="G81" s="424"/>
      <c r="H81" s="313" t="str">
        <f>IFERROR(HYPERLINK("#'Appendix A'!E"&amp;ROW(INDEX(Table23[DSorder],MATCH(cyberRisk[[#This Row],[AppAref]],Table23[DSorder],0))),"GO"),"")</f>
        <v/>
      </c>
      <c r="I81" s="86" t="str">
        <f>cyberRisk[[#This Row],[Component]]&amp;cyberRisk[[#This Row],[Maturity Level]]</f>
        <v>Risk Management ProgramAdvanced</v>
      </c>
      <c r="J81" s="86" t="str">
        <f>cyberRisk[[#This Row],[workArea]]&amp;cyberRisk[[#This Row],[Y, Y(C), N]]</f>
        <v>Risk Management ProgramAdvanced</v>
      </c>
      <c r="K81" s="184"/>
      <c r="L81" s="184"/>
      <c r="M81" s="184" t="str">
        <f t="shared" si="2"/>
        <v>Cyber Risk Management and Oversight</v>
      </c>
      <c r="N81" s="184">
        <f>IF(cyberRisk[[#This Row],[Y, Y(C), N]]=yes,1,0)</f>
        <v>0</v>
      </c>
      <c r="O81" s="184">
        <f>IF(cyberRisk[[#This Row],[Y, Y(C), N]]=yesCC,1,0)</f>
        <v>0</v>
      </c>
      <c r="P81" s="184">
        <f>IF(cyberRisk[[#This Row],[Y, Y(C), N]]=no,1,0)</f>
        <v>0</v>
      </c>
      <c r="Q81" s="184">
        <f>IF(cyberRisk[[#This Row],[Y, Y(C), N]]=NotAvail,1,0)</f>
        <v>0</v>
      </c>
      <c r="R81" s="92"/>
      <c r="S81" s="88"/>
      <c r="T81" s="88"/>
      <c r="U81" s="88"/>
      <c r="V81" s="88"/>
      <c r="W81" s="88"/>
      <c r="X81" s="88"/>
      <c r="Y81" s="88"/>
    </row>
    <row r="82" spans="1:25" ht="45" x14ac:dyDescent="0.25">
      <c r="A82" s="86" t="s">
        <v>37</v>
      </c>
      <c r="B82" s="86" t="s">
        <v>38</v>
      </c>
      <c r="C82" s="86" t="s">
        <v>30</v>
      </c>
      <c r="D82" s="87"/>
      <c r="E82" s="58" t="s">
        <v>124</v>
      </c>
      <c r="F82" s="24"/>
      <c r="G82" s="424"/>
      <c r="H82" s="313" t="str">
        <f>IFERROR(HYPERLINK("#'Appendix A'!E"&amp;ROW(INDEX(Table23[DSorder],MATCH(cyberRisk[[#This Row],[AppAref]],Table23[DSorder],0))),"GO"),"")</f>
        <v/>
      </c>
      <c r="I82" s="86" t="str">
        <f>cyberRisk[[#This Row],[Component]]&amp;cyberRisk[[#This Row],[Maturity Level]]</f>
        <v>Risk Management ProgramAdvanced</v>
      </c>
      <c r="J82" s="86" t="str">
        <f>cyberRisk[[#This Row],[workArea]]&amp;cyberRisk[[#This Row],[Y, Y(C), N]]</f>
        <v>Risk Management ProgramAdvanced</v>
      </c>
      <c r="K82" s="184"/>
      <c r="L82" s="184"/>
      <c r="M82" s="184" t="str">
        <f t="shared" si="2"/>
        <v>Cyber Risk Management and Oversight</v>
      </c>
      <c r="N82" s="184">
        <f>IF(cyberRisk[[#This Row],[Y, Y(C), N]]=yes,1,0)</f>
        <v>0</v>
      </c>
      <c r="O82" s="184">
        <f>IF(cyberRisk[[#This Row],[Y, Y(C), N]]=yesCC,1,0)</f>
        <v>0</v>
      </c>
      <c r="P82" s="184">
        <f>IF(cyberRisk[[#This Row],[Y, Y(C), N]]=no,1,0)</f>
        <v>0</v>
      </c>
      <c r="Q82" s="184">
        <f>IF(cyberRisk[[#This Row],[Y, Y(C), N]]=NotAvail,1,0)</f>
        <v>0</v>
      </c>
      <c r="R82" s="92"/>
      <c r="S82" s="88"/>
      <c r="T82" s="88"/>
      <c r="U82" s="88"/>
      <c r="V82" s="88"/>
      <c r="W82" s="88"/>
      <c r="X82" s="88"/>
      <c r="Y82" s="88"/>
    </row>
    <row r="83" spans="1:25" ht="30" x14ac:dyDescent="0.25">
      <c r="A83" s="86" t="s">
        <v>37</v>
      </c>
      <c r="B83" s="86" t="s">
        <v>38</v>
      </c>
      <c r="C83" s="86" t="s">
        <v>30</v>
      </c>
      <c r="D83" s="87"/>
      <c r="E83" s="58" t="s">
        <v>125</v>
      </c>
      <c r="F83" s="24"/>
      <c r="G83" s="424"/>
      <c r="H83" s="313" t="str">
        <f>IFERROR(HYPERLINK("#'Appendix A'!E"&amp;ROW(INDEX(Table23[DSorder],MATCH(cyberRisk[[#This Row],[AppAref]],Table23[DSorder],0))),"GO"),"")</f>
        <v/>
      </c>
      <c r="I83" s="86" t="str">
        <f>cyberRisk[[#This Row],[Component]]&amp;cyberRisk[[#This Row],[Maturity Level]]</f>
        <v>Risk Management ProgramAdvanced</v>
      </c>
      <c r="J83" s="86" t="str">
        <f>cyberRisk[[#This Row],[workArea]]&amp;cyberRisk[[#This Row],[Y, Y(C), N]]</f>
        <v>Risk Management ProgramAdvanced</v>
      </c>
      <c r="K83" s="184"/>
      <c r="L83" s="184"/>
      <c r="M83" s="184" t="str">
        <f t="shared" si="2"/>
        <v>Cyber Risk Management and Oversight</v>
      </c>
      <c r="N83" s="184">
        <f>IF(cyberRisk[[#This Row],[Y, Y(C), N]]=yes,1,0)</f>
        <v>0</v>
      </c>
      <c r="O83" s="184">
        <f>IF(cyberRisk[[#This Row],[Y, Y(C), N]]=yesCC,1,0)</f>
        <v>0</v>
      </c>
      <c r="P83" s="184">
        <f>IF(cyberRisk[[#This Row],[Y, Y(C), N]]=no,1,0)</f>
        <v>0</v>
      </c>
      <c r="Q83" s="184">
        <f>IF(cyberRisk[[#This Row],[Y, Y(C), N]]=NotAvail,1,0)</f>
        <v>0</v>
      </c>
      <c r="R83" s="92"/>
      <c r="S83" s="88"/>
      <c r="T83" s="88"/>
      <c r="U83" s="88"/>
      <c r="V83" s="88"/>
      <c r="W83" s="88"/>
      <c r="X83" s="88"/>
      <c r="Y83" s="88"/>
    </row>
    <row r="84" spans="1:25" ht="30" x14ac:dyDescent="0.25">
      <c r="A84" s="86" t="s">
        <v>37</v>
      </c>
      <c r="B84" s="86" t="s">
        <v>38</v>
      </c>
      <c r="C84" s="86" t="s">
        <v>30</v>
      </c>
      <c r="D84" s="87"/>
      <c r="E84" s="58" t="s">
        <v>126</v>
      </c>
      <c r="F84" s="24"/>
      <c r="G84" s="424"/>
      <c r="H84" s="313" t="str">
        <f>IFERROR(HYPERLINK("#'Appendix A'!E"&amp;ROW(INDEX(Table23[DSorder],MATCH(cyberRisk[[#This Row],[AppAref]],Table23[DSorder],0))),"GO"),"")</f>
        <v/>
      </c>
      <c r="I84" s="86" t="str">
        <f>cyberRisk[[#This Row],[Component]]&amp;cyberRisk[[#This Row],[Maturity Level]]</f>
        <v>Risk Management ProgramAdvanced</v>
      </c>
      <c r="J84" s="86" t="str">
        <f>cyberRisk[[#This Row],[workArea]]&amp;cyberRisk[[#This Row],[Y, Y(C), N]]</f>
        <v>Risk Management ProgramAdvanced</v>
      </c>
      <c r="K84" s="184"/>
      <c r="L84" s="184"/>
      <c r="M84" s="184" t="str">
        <f t="shared" si="2"/>
        <v>Cyber Risk Management and Oversight</v>
      </c>
      <c r="N84" s="184">
        <f>IF(cyberRisk[[#This Row],[Y, Y(C), N]]=yes,1,0)</f>
        <v>0</v>
      </c>
      <c r="O84" s="184">
        <f>IF(cyberRisk[[#This Row],[Y, Y(C), N]]=yesCC,1,0)</f>
        <v>0</v>
      </c>
      <c r="P84" s="184">
        <f>IF(cyberRisk[[#This Row],[Y, Y(C), N]]=no,1,0)</f>
        <v>0</v>
      </c>
      <c r="Q84" s="184">
        <f>IF(cyberRisk[[#This Row],[Y, Y(C), N]]=NotAvail,1,0)</f>
        <v>0</v>
      </c>
      <c r="R84" s="92"/>
      <c r="S84" s="88"/>
      <c r="T84" s="88"/>
      <c r="U84" s="88"/>
      <c r="V84" s="88"/>
      <c r="W84" s="88"/>
      <c r="X84" s="88"/>
      <c r="Y84" s="88"/>
    </row>
    <row r="85" spans="1:25" ht="45" x14ac:dyDescent="0.25">
      <c r="A85" s="86" t="s">
        <v>37</v>
      </c>
      <c r="B85" s="86" t="s">
        <v>38</v>
      </c>
      <c r="C85" s="86" t="s">
        <v>31</v>
      </c>
      <c r="D85" s="87"/>
      <c r="E85" s="58" t="s">
        <v>127</v>
      </c>
      <c r="F85" s="24"/>
      <c r="G85" s="424"/>
      <c r="H85" s="313" t="str">
        <f>IFERROR(HYPERLINK("#'Appendix A'!E"&amp;ROW(INDEX(Table23[DSorder],MATCH(cyberRisk[[#This Row],[AppAref]],Table23[DSorder],0))),"GO"),"")</f>
        <v/>
      </c>
      <c r="I85" s="86" t="str">
        <f>cyberRisk[[#This Row],[Component]]&amp;cyberRisk[[#This Row],[Maturity Level]]</f>
        <v>Risk Management ProgramInnovative</v>
      </c>
      <c r="J85" s="86" t="str">
        <f>cyberRisk[[#This Row],[workArea]]&amp;cyberRisk[[#This Row],[Y, Y(C), N]]</f>
        <v>Risk Management ProgramInnovative</v>
      </c>
      <c r="K85" s="184"/>
      <c r="L85" s="184"/>
      <c r="M85" s="184" t="str">
        <f t="shared" si="2"/>
        <v>Cyber Risk Management and Oversight</v>
      </c>
      <c r="N85" s="184">
        <f>IF(cyberRisk[[#This Row],[Y, Y(C), N]]=yes,1,0)</f>
        <v>0</v>
      </c>
      <c r="O85" s="184">
        <f>IF(cyberRisk[[#This Row],[Y, Y(C), N]]=yesCC,1,0)</f>
        <v>0</v>
      </c>
      <c r="P85" s="184">
        <f>IF(cyberRisk[[#This Row],[Y, Y(C), N]]=no,1,0)</f>
        <v>0</v>
      </c>
      <c r="Q85" s="184">
        <f>IF(cyberRisk[[#This Row],[Y, Y(C), N]]=NotAvail,1,0)</f>
        <v>0</v>
      </c>
      <c r="R85" s="92"/>
      <c r="S85" s="88"/>
      <c r="T85" s="88"/>
      <c r="U85" s="88"/>
      <c r="V85" s="88"/>
      <c r="W85" s="88"/>
      <c r="X85" s="88"/>
      <c r="Y85" s="88"/>
    </row>
    <row r="86" spans="1:25" ht="30" x14ac:dyDescent="0.25">
      <c r="A86" s="86" t="s">
        <v>37</v>
      </c>
      <c r="B86" s="86" t="s">
        <v>38</v>
      </c>
      <c r="C86" s="86" t="s">
        <v>31</v>
      </c>
      <c r="D86" s="87"/>
      <c r="E86" s="58" t="s">
        <v>128</v>
      </c>
      <c r="F86" s="24"/>
      <c r="G86" s="424"/>
      <c r="H86" s="313" t="str">
        <f>IFERROR(HYPERLINK("#'Appendix A'!E"&amp;ROW(INDEX(Table23[DSorder],MATCH(cyberRisk[[#This Row],[AppAref]],Table23[DSorder],0))),"GO"),"")</f>
        <v/>
      </c>
      <c r="I86" s="86" t="str">
        <f>cyberRisk[[#This Row],[Component]]&amp;cyberRisk[[#This Row],[Maturity Level]]</f>
        <v>Risk Management ProgramInnovative</v>
      </c>
      <c r="J86" s="86" t="str">
        <f>cyberRisk[[#This Row],[workArea]]&amp;cyberRisk[[#This Row],[Y, Y(C), N]]</f>
        <v>Risk Management ProgramInnovative</v>
      </c>
      <c r="K86" s="184"/>
      <c r="L86" s="184"/>
      <c r="M86" s="184" t="str">
        <f t="shared" si="2"/>
        <v>Cyber Risk Management and Oversight</v>
      </c>
      <c r="N86" s="184">
        <f>IF(cyberRisk[[#This Row],[Y, Y(C), N]]=yes,1,0)</f>
        <v>0</v>
      </c>
      <c r="O86" s="184">
        <f>IF(cyberRisk[[#This Row],[Y, Y(C), N]]=yesCC,1,0)</f>
        <v>0</v>
      </c>
      <c r="P86" s="184">
        <f>IF(cyberRisk[[#This Row],[Y, Y(C), N]]=no,1,0)</f>
        <v>0</v>
      </c>
      <c r="Q86" s="184">
        <f>IF(cyberRisk[[#This Row],[Y, Y(C), N]]=NotAvail,1,0)</f>
        <v>0</v>
      </c>
      <c r="R86" s="92"/>
      <c r="S86" s="88"/>
      <c r="T86" s="88"/>
      <c r="U86" s="88"/>
      <c r="V86" s="88"/>
      <c r="W86" s="88"/>
      <c r="X86" s="88"/>
      <c r="Y86" s="88"/>
    </row>
    <row r="87" spans="1:25" ht="60" x14ac:dyDescent="0.25">
      <c r="A87" s="86" t="s">
        <v>37</v>
      </c>
      <c r="B87" s="86" t="s">
        <v>39</v>
      </c>
      <c r="C87" s="86" t="s">
        <v>27</v>
      </c>
      <c r="D87" s="87"/>
      <c r="E87" s="58" t="s">
        <v>129</v>
      </c>
      <c r="F87"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8</v>
      </c>
      <c r="G87" s="424"/>
      <c r="H87" s="313" t="str">
        <f>IFERROR(HYPERLINK("#'Appendix A'!E"&amp;ROW(INDEX(Table23[DSorder],MATCH(cyberRisk[[#This Row],[AppAref]],Table23[DSorder],0))),"GO"),"")</f>
        <v>GO</v>
      </c>
      <c r="I87" s="86" t="str">
        <f>cyberRisk[[#This Row],[Component]]&amp;cyberRisk[[#This Row],[Maturity Level]]</f>
        <v>Risk AssessmentBaseline</v>
      </c>
      <c r="J87" s="86" t="str">
        <f>cyberRisk[[#This Row],[workArea]]&amp;cyberRisk[[#This Row],[Y, Y(C), N]]</f>
        <v>Risk AssessmentBaseline</v>
      </c>
      <c r="K87" s="184">
        <v>15</v>
      </c>
      <c r="L87" s="184">
        <f>IFERROR(MATCH(cyberRisk[[#This Row],[Ref No.]],hyperlinkLU[Reference No.],0),cyberRisk[[#This Row],[Ref No.]])</f>
        <v>16</v>
      </c>
      <c r="M87" s="184" t="str">
        <f t="shared" si="2"/>
        <v>Cyber Risk Management and Oversight</v>
      </c>
      <c r="N87" s="184">
        <f>IF(cyberRisk[[#This Row],[Y, Y(C), N]]=yes,1,0)</f>
        <v>0</v>
      </c>
      <c r="O87" s="184">
        <f>IF(cyberRisk[[#This Row],[Y, Y(C), N]]=yesCC,1,0)</f>
        <v>0</v>
      </c>
      <c r="P87" s="184">
        <f>IF(cyberRisk[[#This Row],[Y, Y(C), N]]=no,1,0)</f>
        <v>0</v>
      </c>
      <c r="Q87" s="184">
        <f>IF(cyberRisk[[#This Row],[Y, Y(C), N]]=NotAvail,1,0)</f>
        <v>0</v>
      </c>
      <c r="R87" s="92">
        <v>18</v>
      </c>
      <c r="S87" s="88"/>
      <c r="T87" s="88"/>
      <c r="U87" s="88"/>
      <c r="V87" s="88"/>
      <c r="W87" s="88"/>
      <c r="X87" s="88"/>
      <c r="Y87" s="88"/>
    </row>
    <row r="88" spans="1:25" ht="45" x14ac:dyDescent="0.25">
      <c r="A88" s="86" t="s">
        <v>37</v>
      </c>
      <c r="B88" s="86" t="s">
        <v>39</v>
      </c>
      <c r="C88" s="86" t="s">
        <v>27</v>
      </c>
      <c r="D88" s="87"/>
      <c r="E88" s="58" t="s">
        <v>130</v>
      </c>
      <c r="F88"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12</v>
      </c>
      <c r="G88" s="424"/>
      <c r="H88" s="313" t="str">
        <f>IFERROR(HYPERLINK("#'Appendix A'!E"&amp;ROW(INDEX(Table23[DSorder],MATCH(cyberRisk[[#This Row],[AppAref]],Table23[DSorder],0))),"GO"),"")</f>
        <v>GO</v>
      </c>
      <c r="I88" s="86" t="str">
        <f>cyberRisk[[#This Row],[Component]]&amp;cyberRisk[[#This Row],[Maturity Level]]</f>
        <v>Risk AssessmentBaseline</v>
      </c>
      <c r="J88" s="86" t="str">
        <f>cyberRisk[[#This Row],[workArea]]&amp;cyberRisk[[#This Row],[Y, Y(C), N]]</f>
        <v>Risk AssessmentBaseline</v>
      </c>
      <c r="K88" s="184">
        <v>16</v>
      </c>
      <c r="L88" s="184">
        <f>IFERROR(MATCH(cyberRisk[[#This Row],[Ref No.]],hyperlinkLU[Reference No.],0),cyberRisk[[#This Row],[Ref No.]])</f>
        <v>17</v>
      </c>
      <c r="M88" s="184" t="str">
        <f t="shared" si="2"/>
        <v>Cyber Risk Management and Oversight</v>
      </c>
      <c r="N88" s="184">
        <f>IF(cyberRisk[[#This Row],[Y, Y(C), N]]=yes,1,0)</f>
        <v>0</v>
      </c>
      <c r="O88" s="184">
        <f>IF(cyberRisk[[#This Row],[Y, Y(C), N]]=yesCC,1,0)</f>
        <v>0</v>
      </c>
      <c r="P88" s="184">
        <f>IF(cyberRisk[[#This Row],[Y, Y(C), N]]=no,1,0)</f>
        <v>0</v>
      </c>
      <c r="Q88" s="184">
        <f>IF(cyberRisk[[#This Row],[Y, Y(C), N]]=NotAvail,1,0)</f>
        <v>0</v>
      </c>
      <c r="R88" s="92">
        <v>19</v>
      </c>
      <c r="S88" s="88"/>
      <c r="T88" s="88"/>
      <c r="U88" s="88"/>
      <c r="V88" s="88"/>
      <c r="W88" s="88"/>
      <c r="X88" s="88"/>
      <c r="Y88" s="88"/>
    </row>
    <row r="89" spans="1:25" ht="45" x14ac:dyDescent="0.25">
      <c r="A89" s="86" t="s">
        <v>37</v>
      </c>
      <c r="B89" s="86" t="s">
        <v>39</v>
      </c>
      <c r="C89" s="86" t="s">
        <v>27</v>
      </c>
      <c r="D89" s="87"/>
      <c r="E89" s="58" t="s">
        <v>131</v>
      </c>
      <c r="F89"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13</v>
      </c>
      <c r="G89" s="424"/>
      <c r="H89" s="313" t="str">
        <f>IFERROR(HYPERLINK("#'Appendix A'!E"&amp;ROW(INDEX(Table23[DSorder],MATCH(cyberRisk[[#This Row],[AppAref]],Table23[DSorder],0))),"GO"),"")</f>
        <v>GO</v>
      </c>
      <c r="I89" s="86" t="str">
        <f>cyberRisk[[#This Row],[Component]]&amp;cyberRisk[[#This Row],[Maturity Level]]</f>
        <v>Risk AssessmentBaseline</v>
      </c>
      <c r="J89" s="86" t="str">
        <f>cyberRisk[[#This Row],[workArea]]&amp;cyberRisk[[#This Row],[Y, Y(C), N]]</f>
        <v>Risk AssessmentBaseline</v>
      </c>
      <c r="K89" s="184">
        <v>17</v>
      </c>
      <c r="L89" s="184">
        <f>IFERROR(MATCH(cyberRisk[[#This Row],[Ref No.]],hyperlinkLU[Reference No.],0),cyberRisk[[#This Row],[Ref No.]])</f>
        <v>18</v>
      </c>
      <c r="M89" s="184" t="str">
        <f t="shared" si="2"/>
        <v>Cyber Risk Management and Oversight</v>
      </c>
      <c r="N89" s="184">
        <f>IF(cyberRisk[[#This Row],[Y, Y(C), N]]=yes,1,0)</f>
        <v>0</v>
      </c>
      <c r="O89" s="184">
        <f>IF(cyberRisk[[#This Row],[Y, Y(C), N]]=yesCC,1,0)</f>
        <v>0</v>
      </c>
      <c r="P89" s="184">
        <f>IF(cyberRisk[[#This Row],[Y, Y(C), N]]=no,1,0)</f>
        <v>0</v>
      </c>
      <c r="Q89" s="184">
        <f>IF(cyberRisk[[#This Row],[Y, Y(C), N]]=NotAvail,1,0)</f>
        <v>0</v>
      </c>
      <c r="R89" s="92">
        <v>20</v>
      </c>
      <c r="S89" s="88"/>
      <c r="T89" s="88"/>
      <c r="U89" s="88"/>
      <c r="V89" s="88"/>
      <c r="W89" s="88"/>
      <c r="X89" s="88"/>
      <c r="Y89" s="88"/>
    </row>
    <row r="90" spans="1:25" ht="30" x14ac:dyDescent="0.25">
      <c r="A90" s="86" t="s">
        <v>37</v>
      </c>
      <c r="B90" s="86" t="s">
        <v>39</v>
      </c>
      <c r="C90" s="86" t="s">
        <v>28</v>
      </c>
      <c r="D90" s="87"/>
      <c r="E90" s="58" t="s">
        <v>132</v>
      </c>
      <c r="F90" s="24"/>
      <c r="G90" s="424"/>
      <c r="H90" s="313" t="str">
        <f>IFERROR(HYPERLINK("#'Appendix A'!E"&amp;ROW(INDEX(Table23[DSorder],MATCH(cyberRisk[[#This Row],[AppAref]],Table23[DSorder],0))),"GO"),"")</f>
        <v/>
      </c>
      <c r="I90" s="86" t="str">
        <f>cyberRisk[[#This Row],[Component]]&amp;cyberRisk[[#This Row],[Maturity Level]]</f>
        <v>Risk AssessmentEvolving</v>
      </c>
      <c r="J90" s="86" t="str">
        <f>cyberRisk[[#This Row],[workArea]]&amp;cyberRisk[[#This Row],[Y, Y(C), N]]</f>
        <v>Risk AssessmentEvolving</v>
      </c>
      <c r="K90" s="184"/>
      <c r="L90" s="184"/>
      <c r="M90" s="184" t="str">
        <f t="shared" si="2"/>
        <v>Cyber Risk Management and Oversight</v>
      </c>
      <c r="N90" s="184">
        <f>IF(cyberRisk[[#This Row],[Y, Y(C), N]]=yes,1,0)</f>
        <v>0</v>
      </c>
      <c r="O90" s="184">
        <f>IF(cyberRisk[[#This Row],[Y, Y(C), N]]=yesCC,1,0)</f>
        <v>0</v>
      </c>
      <c r="P90" s="184">
        <f>IF(cyberRisk[[#This Row],[Y, Y(C), N]]=no,1,0)</f>
        <v>0</v>
      </c>
      <c r="Q90" s="184">
        <f>IF(cyberRisk[[#This Row],[Y, Y(C), N]]=NotAvail,1,0)</f>
        <v>0</v>
      </c>
      <c r="R90" s="92"/>
      <c r="S90" s="88"/>
      <c r="T90" s="88"/>
      <c r="U90" s="88"/>
      <c r="V90" s="88"/>
      <c r="W90" s="88"/>
      <c r="X90" s="88"/>
      <c r="Y90" s="88"/>
    </row>
    <row r="91" spans="1:25" ht="30" x14ac:dyDescent="0.25">
      <c r="A91" s="86" t="s">
        <v>37</v>
      </c>
      <c r="B91" s="86" t="s">
        <v>39</v>
      </c>
      <c r="C91" s="86" t="s">
        <v>28</v>
      </c>
      <c r="D91" s="87"/>
      <c r="E91" s="58" t="s">
        <v>133</v>
      </c>
      <c r="F91" s="24"/>
      <c r="G91" s="424"/>
      <c r="H91" s="313" t="str">
        <f>IFERROR(HYPERLINK("#'Appendix A'!E"&amp;ROW(INDEX(Table23[DSorder],MATCH(cyberRisk[[#This Row],[AppAref]],Table23[DSorder],0))),"GO"),"")</f>
        <v/>
      </c>
      <c r="I91" s="86" t="str">
        <f>cyberRisk[[#This Row],[Component]]&amp;cyberRisk[[#This Row],[Maturity Level]]</f>
        <v>Risk AssessmentEvolving</v>
      </c>
      <c r="J91" s="86" t="str">
        <f>cyberRisk[[#This Row],[workArea]]&amp;cyberRisk[[#This Row],[Y, Y(C), N]]</f>
        <v>Risk AssessmentEvolving</v>
      </c>
      <c r="K91" s="184"/>
      <c r="L91" s="184"/>
      <c r="M91" s="184" t="str">
        <f t="shared" si="2"/>
        <v>Cyber Risk Management and Oversight</v>
      </c>
      <c r="N91" s="184">
        <f>IF(cyberRisk[[#This Row],[Y, Y(C), N]]=yes,1,0)</f>
        <v>0</v>
      </c>
      <c r="O91" s="184">
        <f>IF(cyberRisk[[#This Row],[Y, Y(C), N]]=yesCC,1,0)</f>
        <v>0</v>
      </c>
      <c r="P91" s="184">
        <f>IF(cyberRisk[[#This Row],[Y, Y(C), N]]=no,1,0)</f>
        <v>0</v>
      </c>
      <c r="Q91" s="184">
        <f>IF(cyberRisk[[#This Row],[Y, Y(C), N]]=NotAvail,1,0)</f>
        <v>0</v>
      </c>
      <c r="R91" s="92"/>
      <c r="S91" s="88"/>
      <c r="T91" s="88"/>
      <c r="U91" s="88"/>
      <c r="V91" s="88"/>
      <c r="W91" s="88"/>
      <c r="X91" s="88"/>
      <c r="Y91" s="88"/>
    </row>
    <row r="92" spans="1:25" ht="30" x14ac:dyDescent="0.25">
      <c r="A92" s="86" t="s">
        <v>37</v>
      </c>
      <c r="B92" s="86" t="s">
        <v>39</v>
      </c>
      <c r="C92" s="86" t="s">
        <v>28</v>
      </c>
      <c r="D92" s="87"/>
      <c r="E92" s="58" t="s">
        <v>134</v>
      </c>
      <c r="F92" s="24"/>
      <c r="G92" s="424"/>
      <c r="H92" s="313" t="str">
        <f>IFERROR(HYPERLINK("#'Appendix A'!E"&amp;ROW(INDEX(Table23[DSorder],MATCH(cyberRisk[[#This Row],[AppAref]],Table23[DSorder],0))),"GO"),"")</f>
        <v/>
      </c>
      <c r="I92" s="86" t="str">
        <f>cyberRisk[[#This Row],[Component]]&amp;cyberRisk[[#This Row],[Maturity Level]]</f>
        <v>Risk AssessmentEvolving</v>
      </c>
      <c r="J92" s="86" t="str">
        <f>cyberRisk[[#This Row],[workArea]]&amp;cyberRisk[[#This Row],[Y, Y(C), N]]</f>
        <v>Risk AssessmentEvolving</v>
      </c>
      <c r="K92" s="184"/>
      <c r="L92" s="184"/>
      <c r="M92" s="184" t="str">
        <f t="shared" si="2"/>
        <v>Cyber Risk Management and Oversight</v>
      </c>
      <c r="N92" s="184">
        <f>IF(cyberRisk[[#This Row],[Y, Y(C), N]]=yes,1,0)</f>
        <v>0</v>
      </c>
      <c r="O92" s="184">
        <f>IF(cyberRisk[[#This Row],[Y, Y(C), N]]=yesCC,1,0)</f>
        <v>0</v>
      </c>
      <c r="P92" s="184">
        <f>IF(cyberRisk[[#This Row],[Y, Y(C), N]]=no,1,0)</f>
        <v>0</v>
      </c>
      <c r="Q92" s="184">
        <f>IF(cyberRisk[[#This Row],[Y, Y(C), N]]=NotAvail,1,0)</f>
        <v>0</v>
      </c>
      <c r="R92" s="92"/>
      <c r="S92" s="88"/>
      <c r="T92" s="88"/>
      <c r="U92" s="88"/>
      <c r="V92" s="88"/>
      <c r="W92" s="88"/>
      <c r="X92" s="88"/>
      <c r="Y92" s="88"/>
    </row>
    <row r="93" spans="1:25" ht="30" x14ac:dyDescent="0.25">
      <c r="A93" s="86" t="s">
        <v>37</v>
      </c>
      <c r="B93" s="86" t="s">
        <v>39</v>
      </c>
      <c r="C93" s="86" t="s">
        <v>29</v>
      </c>
      <c r="D93" s="87"/>
      <c r="E93" s="58" t="s">
        <v>135</v>
      </c>
      <c r="F93" s="24"/>
      <c r="G93" s="424"/>
      <c r="H93" s="313" t="str">
        <f>IFERROR(HYPERLINK("#'Appendix A'!E"&amp;ROW(INDEX(Table23[DSorder],MATCH(cyberRisk[[#This Row],[AppAref]],Table23[DSorder],0))),"GO"),"")</f>
        <v/>
      </c>
      <c r="I93" s="86" t="str">
        <f>cyberRisk[[#This Row],[Component]]&amp;cyberRisk[[#This Row],[Maturity Level]]</f>
        <v>Risk AssessmentIntermediate</v>
      </c>
      <c r="J93" s="86" t="str">
        <f>cyberRisk[[#This Row],[workArea]]&amp;cyberRisk[[#This Row],[Y, Y(C), N]]</f>
        <v>Risk AssessmentIntermediate</v>
      </c>
      <c r="K93" s="184"/>
      <c r="L93" s="184"/>
      <c r="M93" s="184" t="str">
        <f t="shared" si="2"/>
        <v>Cyber Risk Management and Oversight</v>
      </c>
      <c r="N93" s="184">
        <f>IF(cyberRisk[[#This Row],[Y, Y(C), N]]=yes,1,0)</f>
        <v>0</v>
      </c>
      <c r="O93" s="184">
        <f>IF(cyberRisk[[#This Row],[Y, Y(C), N]]=yesCC,1,0)</f>
        <v>0</v>
      </c>
      <c r="P93" s="184">
        <f>IF(cyberRisk[[#This Row],[Y, Y(C), N]]=no,1,0)</f>
        <v>0</v>
      </c>
      <c r="Q93" s="184">
        <f>IF(cyberRisk[[#This Row],[Y, Y(C), N]]=NotAvail,1,0)</f>
        <v>0</v>
      </c>
      <c r="R93" s="92"/>
      <c r="S93" s="88"/>
      <c r="T93" s="88"/>
      <c r="U93" s="88"/>
      <c r="V93" s="88"/>
      <c r="W93" s="88"/>
      <c r="X93" s="88"/>
      <c r="Y93" s="88"/>
    </row>
    <row r="94" spans="1:25" ht="30" x14ac:dyDescent="0.25">
      <c r="A94" s="86" t="s">
        <v>37</v>
      </c>
      <c r="B94" s="86" t="s">
        <v>39</v>
      </c>
      <c r="C94" s="86" t="s">
        <v>30</v>
      </c>
      <c r="D94" s="87"/>
      <c r="E94" s="58" t="s">
        <v>136</v>
      </c>
      <c r="F94" s="24"/>
      <c r="G94" s="424"/>
      <c r="H94" s="313" t="str">
        <f>IFERROR(HYPERLINK("#'Appendix A'!E"&amp;ROW(INDEX(Table23[DSorder],MATCH(cyberRisk[[#This Row],[AppAref]],Table23[DSorder],0))),"GO"),"")</f>
        <v/>
      </c>
      <c r="I94" s="86" t="str">
        <f>cyberRisk[[#This Row],[Component]]&amp;cyberRisk[[#This Row],[Maturity Level]]</f>
        <v>Risk AssessmentAdvanced</v>
      </c>
      <c r="J94" s="86" t="str">
        <f>cyberRisk[[#This Row],[workArea]]&amp;cyberRisk[[#This Row],[Y, Y(C), N]]</f>
        <v>Risk AssessmentAdvanced</v>
      </c>
      <c r="K94" s="184"/>
      <c r="L94" s="184"/>
      <c r="M94" s="184" t="str">
        <f t="shared" si="2"/>
        <v>Cyber Risk Management and Oversight</v>
      </c>
      <c r="N94" s="184">
        <f>IF(cyberRisk[[#This Row],[Y, Y(C), N]]=yes,1,0)</f>
        <v>0</v>
      </c>
      <c r="O94" s="184">
        <f>IF(cyberRisk[[#This Row],[Y, Y(C), N]]=yesCC,1,0)</f>
        <v>0</v>
      </c>
      <c r="P94" s="184">
        <f>IF(cyberRisk[[#This Row],[Y, Y(C), N]]=no,1,0)</f>
        <v>0</v>
      </c>
      <c r="Q94" s="184">
        <f>IF(cyberRisk[[#This Row],[Y, Y(C), N]]=NotAvail,1,0)</f>
        <v>0</v>
      </c>
      <c r="R94" s="92"/>
      <c r="S94" s="88"/>
      <c r="T94" s="88"/>
      <c r="U94" s="88"/>
      <c r="V94" s="88"/>
      <c r="W94" s="88"/>
      <c r="X94" s="88"/>
      <c r="Y94" s="88"/>
    </row>
    <row r="95" spans="1:25" ht="45" x14ac:dyDescent="0.25">
      <c r="A95" s="86" t="s">
        <v>37</v>
      </c>
      <c r="B95" s="86" t="s">
        <v>39</v>
      </c>
      <c r="C95" s="86" t="s">
        <v>31</v>
      </c>
      <c r="D95" s="87"/>
      <c r="E95" s="58" t="s">
        <v>137</v>
      </c>
      <c r="F95" s="24"/>
      <c r="G95" s="424"/>
      <c r="H95" s="313" t="str">
        <f>IFERROR(HYPERLINK("#'Appendix A'!E"&amp;ROW(INDEX(Table23[DSorder],MATCH(cyberRisk[[#This Row],[AppAref]],Table23[DSorder],0))),"GO"),"")</f>
        <v/>
      </c>
      <c r="I95" s="86" t="str">
        <f>cyberRisk[[#This Row],[Component]]&amp;cyberRisk[[#This Row],[Maturity Level]]</f>
        <v>Risk AssessmentInnovative</v>
      </c>
      <c r="J95" s="86" t="str">
        <f>cyberRisk[[#This Row],[workArea]]&amp;cyberRisk[[#This Row],[Y, Y(C), N]]</f>
        <v>Risk AssessmentInnovative</v>
      </c>
      <c r="K95" s="184"/>
      <c r="L95" s="184"/>
      <c r="M95" s="184" t="str">
        <f t="shared" si="2"/>
        <v>Cyber Risk Management and Oversight</v>
      </c>
      <c r="N95" s="184">
        <f>IF(cyberRisk[[#This Row],[Y, Y(C), N]]=yes,1,0)</f>
        <v>0</v>
      </c>
      <c r="O95" s="184">
        <f>IF(cyberRisk[[#This Row],[Y, Y(C), N]]=yesCC,1,0)</f>
        <v>0</v>
      </c>
      <c r="P95" s="184">
        <f>IF(cyberRisk[[#This Row],[Y, Y(C), N]]=no,1,0)</f>
        <v>0</v>
      </c>
      <c r="Q95" s="184">
        <f>IF(cyberRisk[[#This Row],[Y, Y(C), N]]=NotAvail,1,0)</f>
        <v>0</v>
      </c>
      <c r="R95" s="92"/>
      <c r="S95" s="88"/>
      <c r="T95" s="88"/>
      <c r="U95" s="88"/>
      <c r="V95" s="88"/>
      <c r="W95" s="88"/>
      <c r="X95" s="88"/>
      <c r="Y95" s="88"/>
    </row>
    <row r="96" spans="1:25" ht="30" x14ac:dyDescent="0.25">
      <c r="A96" s="86" t="s">
        <v>37</v>
      </c>
      <c r="B96" s="86" t="s">
        <v>39</v>
      </c>
      <c r="C96" s="86" t="s">
        <v>31</v>
      </c>
      <c r="D96" s="87"/>
      <c r="E96" s="58" t="s">
        <v>138</v>
      </c>
      <c r="F96" s="24"/>
      <c r="G96" s="424"/>
      <c r="H96" s="313" t="str">
        <f>IFERROR(HYPERLINK("#'Appendix A'!E"&amp;ROW(INDEX(Table23[DSorder],MATCH(cyberRisk[[#This Row],[AppAref]],Table23[DSorder],0))),"GO"),"")</f>
        <v/>
      </c>
      <c r="I96" s="86" t="str">
        <f>cyberRisk[[#This Row],[Component]]&amp;cyberRisk[[#This Row],[Maturity Level]]</f>
        <v>Risk AssessmentInnovative</v>
      </c>
      <c r="J96" s="86" t="str">
        <f>cyberRisk[[#This Row],[workArea]]&amp;cyberRisk[[#This Row],[Y, Y(C), N]]</f>
        <v>Risk AssessmentInnovative</v>
      </c>
      <c r="K96" s="184"/>
      <c r="L96" s="184"/>
      <c r="M96" s="184" t="str">
        <f t="shared" si="2"/>
        <v>Cyber Risk Management and Oversight</v>
      </c>
      <c r="N96" s="184">
        <f>IF(cyberRisk[[#This Row],[Y, Y(C), N]]=yes,1,0)</f>
        <v>0</v>
      </c>
      <c r="O96" s="184">
        <f>IF(cyberRisk[[#This Row],[Y, Y(C), N]]=yesCC,1,0)</f>
        <v>0</v>
      </c>
      <c r="P96" s="184">
        <f>IF(cyberRisk[[#This Row],[Y, Y(C), N]]=no,1,0)</f>
        <v>0</v>
      </c>
      <c r="Q96" s="184">
        <f>IF(cyberRisk[[#This Row],[Y, Y(C), N]]=NotAvail,1,0)</f>
        <v>0</v>
      </c>
      <c r="R96" s="92"/>
      <c r="S96" s="88"/>
      <c r="T96" s="88"/>
      <c r="U96" s="88"/>
      <c r="V96" s="88"/>
      <c r="W96" s="88"/>
      <c r="X96" s="88"/>
      <c r="Y96" s="88"/>
    </row>
    <row r="97" spans="1:25" ht="30" x14ac:dyDescent="0.25">
      <c r="A97" s="86" t="s">
        <v>37</v>
      </c>
      <c r="B97" s="86" t="s">
        <v>39</v>
      </c>
      <c r="C97" s="86" t="s">
        <v>31</v>
      </c>
      <c r="D97" s="87"/>
      <c r="E97" s="58" t="s">
        <v>139</v>
      </c>
      <c r="F97" s="24"/>
      <c r="G97" s="424"/>
      <c r="H97" s="313" t="str">
        <f>IFERROR(HYPERLINK("#'Appendix A'!E"&amp;ROW(INDEX(Table23[DSorder],MATCH(cyberRisk[[#This Row],[AppAref]],Table23[DSorder],0))),"GO"),"")</f>
        <v/>
      </c>
      <c r="I97" s="86" t="str">
        <f>cyberRisk[[#This Row],[Component]]&amp;cyberRisk[[#This Row],[Maturity Level]]</f>
        <v>Risk AssessmentInnovative</v>
      </c>
      <c r="J97" s="86" t="str">
        <f>cyberRisk[[#This Row],[workArea]]&amp;cyberRisk[[#This Row],[Y, Y(C), N]]</f>
        <v>Risk AssessmentInnovative</v>
      </c>
      <c r="K97" s="184"/>
      <c r="L97" s="184"/>
      <c r="M97" s="184" t="str">
        <f t="shared" si="2"/>
        <v>Cyber Risk Management and Oversight</v>
      </c>
      <c r="N97" s="184">
        <f>IF(cyberRisk[[#This Row],[Y, Y(C), N]]=yes,1,0)</f>
        <v>0</v>
      </c>
      <c r="O97" s="184">
        <f>IF(cyberRisk[[#This Row],[Y, Y(C), N]]=yesCC,1,0)</f>
        <v>0</v>
      </c>
      <c r="P97" s="184">
        <f>IF(cyberRisk[[#This Row],[Y, Y(C), N]]=no,1,0)</f>
        <v>0</v>
      </c>
      <c r="Q97" s="184">
        <f>IF(cyberRisk[[#This Row],[Y, Y(C), N]]=NotAvail,1,0)</f>
        <v>0</v>
      </c>
      <c r="R97" s="92"/>
      <c r="S97" s="88"/>
      <c r="T97" s="88"/>
      <c r="U97" s="88"/>
      <c r="V97" s="88"/>
      <c r="W97" s="88"/>
      <c r="X97" s="88"/>
      <c r="Y97" s="88"/>
    </row>
    <row r="98" spans="1:25" ht="60" x14ac:dyDescent="0.25">
      <c r="A98" s="86" t="s">
        <v>37</v>
      </c>
      <c r="B98" s="86" t="s">
        <v>40</v>
      </c>
      <c r="C98" s="86" t="s">
        <v>27</v>
      </c>
      <c r="D98" s="87"/>
      <c r="E98" s="58" t="s">
        <v>140</v>
      </c>
      <c r="F98"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Audit Booklet, page 4</v>
      </c>
      <c r="G98" s="424"/>
      <c r="H98" s="313" t="str">
        <f>IFERROR(HYPERLINK("#'Appendix A'!E"&amp;ROW(INDEX(Table23[DSorder],MATCH(cyberRisk[[#This Row],[AppAref]],Table23[DSorder],0))),"GO"),"")</f>
        <v>GO</v>
      </c>
      <c r="I98" s="86" t="str">
        <f>cyberRisk[[#This Row],[Component]]&amp;cyberRisk[[#This Row],[Maturity Level]]</f>
        <v>AuditBaseline</v>
      </c>
      <c r="J98" s="86" t="str">
        <f>cyberRisk[[#This Row],[workArea]]&amp;cyberRisk[[#This Row],[Y, Y(C), N]]</f>
        <v>AuditBaseline</v>
      </c>
      <c r="K98" s="184">
        <v>18</v>
      </c>
      <c r="L98" s="184">
        <f>IFERROR(MATCH(cyberRisk[[#This Row],[Ref No.]],hyperlinkLU[Reference No.],0),cyberRisk[[#This Row],[Ref No.]])</f>
        <v>19</v>
      </c>
      <c r="M98" s="184" t="str">
        <f t="shared" si="2"/>
        <v>Cyber Risk Management and Oversight</v>
      </c>
      <c r="N98" s="184">
        <f>IF(cyberRisk[[#This Row],[Y, Y(C), N]]=yes,1,0)</f>
        <v>0</v>
      </c>
      <c r="O98" s="184">
        <f>IF(cyberRisk[[#This Row],[Y, Y(C), N]]=yesCC,1,0)</f>
        <v>0</v>
      </c>
      <c r="P98" s="184">
        <f>IF(cyberRisk[[#This Row],[Y, Y(C), N]]=no,1,0)</f>
        <v>0</v>
      </c>
      <c r="Q98" s="184">
        <f>IF(cyberRisk[[#This Row],[Y, Y(C), N]]=NotAvail,1,0)</f>
        <v>0</v>
      </c>
      <c r="R98" s="92">
        <v>21</v>
      </c>
      <c r="S98" s="88"/>
      <c r="T98" s="88"/>
      <c r="U98" s="88"/>
      <c r="V98" s="88"/>
      <c r="W98" s="88"/>
      <c r="X98" s="88"/>
      <c r="Y98" s="88"/>
    </row>
    <row r="99" spans="1:25" ht="30" x14ac:dyDescent="0.25">
      <c r="A99" s="86" t="s">
        <v>37</v>
      </c>
      <c r="B99" s="86" t="s">
        <v>40</v>
      </c>
      <c r="C99" s="86" t="s">
        <v>27</v>
      </c>
      <c r="D99" s="87"/>
      <c r="E99" s="58" t="s">
        <v>141</v>
      </c>
      <c r="F99"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Audit Booklet, page 1</v>
      </c>
      <c r="G99" s="424"/>
      <c r="H99" s="313" t="str">
        <f>IFERROR(HYPERLINK("#'Appendix A'!E"&amp;ROW(INDEX(Table23[DSorder],MATCH(cyberRisk[[#This Row],[AppAref]],Table23[DSorder],0))),"GO"),"")</f>
        <v>GO</v>
      </c>
      <c r="I99" s="86" t="str">
        <f>cyberRisk[[#This Row],[Component]]&amp;cyberRisk[[#This Row],[Maturity Level]]</f>
        <v>AuditBaseline</v>
      </c>
      <c r="J99" s="86" t="str">
        <f>cyberRisk[[#This Row],[workArea]]&amp;cyberRisk[[#This Row],[Y, Y(C), N]]</f>
        <v>AuditBaseline</v>
      </c>
      <c r="K99" s="184">
        <v>19</v>
      </c>
      <c r="L99" s="184">
        <f>IFERROR(MATCH(cyberRisk[[#This Row],[Ref No.]],hyperlinkLU[Reference No.],0),cyberRisk[[#This Row],[Ref No.]])</f>
        <v>20</v>
      </c>
      <c r="M99" s="184" t="str">
        <f t="shared" si="2"/>
        <v>Cyber Risk Management and Oversight</v>
      </c>
      <c r="N99" s="184">
        <f>IF(cyberRisk[[#This Row],[Y, Y(C), N]]=yes,1,0)</f>
        <v>0</v>
      </c>
      <c r="O99" s="184">
        <f>IF(cyberRisk[[#This Row],[Y, Y(C), N]]=yesCC,1,0)</f>
        <v>0</v>
      </c>
      <c r="P99" s="184">
        <f>IF(cyberRisk[[#This Row],[Y, Y(C), N]]=no,1,0)</f>
        <v>0</v>
      </c>
      <c r="Q99" s="184">
        <f>IF(cyberRisk[[#This Row],[Y, Y(C), N]]=NotAvail,1,0)</f>
        <v>0</v>
      </c>
      <c r="R99" s="92">
        <v>22</v>
      </c>
      <c r="S99" s="88"/>
      <c r="T99" s="88"/>
      <c r="U99" s="88"/>
      <c r="V99" s="88"/>
      <c r="W99" s="88"/>
      <c r="X99" s="88"/>
      <c r="Y99" s="88"/>
    </row>
    <row r="100" spans="1:25" ht="45" x14ac:dyDescent="0.25">
      <c r="A100" s="86" t="s">
        <v>37</v>
      </c>
      <c r="B100" s="86" t="s">
        <v>40</v>
      </c>
      <c r="C100" s="86" t="s">
        <v>27</v>
      </c>
      <c r="D100" s="87"/>
      <c r="E100" s="58" t="s">
        <v>142</v>
      </c>
      <c r="F100"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Operations Booklet, page 29</v>
      </c>
      <c r="G100" s="424"/>
      <c r="H100" s="313" t="str">
        <f>IFERROR(HYPERLINK("#'Appendix A'!E"&amp;ROW(INDEX(Table23[DSorder],MATCH(cyberRisk[[#This Row],[AppAref]],Table23[DSorder],0))),"GO"),"")</f>
        <v>GO</v>
      </c>
      <c r="I100" s="86" t="str">
        <f>cyberRisk[[#This Row],[Component]]&amp;cyberRisk[[#This Row],[Maturity Level]]</f>
        <v>AuditBaseline</v>
      </c>
      <c r="J100" s="86" t="str">
        <f>cyberRisk[[#This Row],[workArea]]&amp;cyberRisk[[#This Row],[Y, Y(C), N]]</f>
        <v>AuditBaseline</v>
      </c>
      <c r="K100" s="184">
        <v>20</v>
      </c>
      <c r="L100" s="184">
        <f>IFERROR(MATCH(cyberRisk[[#This Row],[Ref No.]],hyperlinkLU[Reference No.],0),cyberRisk[[#This Row],[Ref No.]])</f>
        <v>21</v>
      </c>
      <c r="M100" s="184" t="str">
        <f t="shared" si="2"/>
        <v>Cyber Risk Management and Oversight</v>
      </c>
      <c r="N100" s="184">
        <f>IF(cyberRisk[[#This Row],[Y, Y(C), N]]=yes,1,0)</f>
        <v>0</v>
      </c>
      <c r="O100" s="184">
        <f>IF(cyberRisk[[#This Row],[Y, Y(C), N]]=yesCC,1,0)</f>
        <v>0</v>
      </c>
      <c r="P100" s="184">
        <f>IF(cyberRisk[[#This Row],[Y, Y(C), N]]=no,1,0)</f>
        <v>0</v>
      </c>
      <c r="Q100" s="184">
        <f>IF(cyberRisk[[#This Row],[Y, Y(C), N]]=NotAvail,1,0)</f>
        <v>0</v>
      </c>
      <c r="R100" s="92">
        <v>23</v>
      </c>
      <c r="S100" s="88"/>
      <c r="T100" s="88"/>
      <c r="U100" s="88"/>
      <c r="V100" s="88"/>
      <c r="W100" s="88"/>
      <c r="X100" s="88"/>
      <c r="Y100" s="88"/>
    </row>
    <row r="101" spans="1:25" ht="45" x14ac:dyDescent="0.25">
      <c r="A101" s="86" t="s">
        <v>37</v>
      </c>
      <c r="B101" s="86" t="s">
        <v>40</v>
      </c>
      <c r="C101" s="86" t="s">
        <v>27</v>
      </c>
      <c r="D101" s="87"/>
      <c r="E101" s="58" t="s">
        <v>143</v>
      </c>
      <c r="F101"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v>
      </c>
      <c r="G101" s="424"/>
      <c r="H101" s="313" t="str">
        <f>IFERROR(HYPERLINK("#'Appendix A'!E"&amp;ROW(INDEX(Table23[DSorder],MATCH(cyberRisk[[#This Row],[AppAref]],Table23[DSorder],0))),"GO"),"")</f>
        <v>GO</v>
      </c>
      <c r="I101" s="86" t="str">
        <f>cyberRisk[[#This Row],[Component]]&amp;cyberRisk[[#This Row],[Maturity Level]]</f>
        <v>AuditBaseline</v>
      </c>
      <c r="J101" s="86" t="str">
        <f>cyberRisk[[#This Row],[workArea]]&amp;cyberRisk[[#This Row],[Y, Y(C), N]]</f>
        <v>AuditBaseline</v>
      </c>
      <c r="K101" s="184">
        <v>21</v>
      </c>
      <c r="L101" s="184">
        <f>IFERROR(MATCH(cyberRisk[[#This Row],[Ref No.]],hyperlinkLU[Reference No.],0),cyberRisk[[#This Row],[Ref No.]])</f>
        <v>22</v>
      </c>
      <c r="M101" s="184" t="str">
        <f t="shared" si="2"/>
        <v>Cyber Risk Management and Oversight</v>
      </c>
      <c r="N101" s="184">
        <f>IF(cyberRisk[[#This Row],[Y, Y(C), N]]=yes,1,0)</f>
        <v>0</v>
      </c>
      <c r="O101" s="184">
        <f>IF(cyberRisk[[#This Row],[Y, Y(C), N]]=yesCC,1,0)</f>
        <v>0</v>
      </c>
      <c r="P101" s="184">
        <f>IF(cyberRisk[[#This Row],[Y, Y(C), N]]=no,1,0)</f>
        <v>0</v>
      </c>
      <c r="Q101" s="184">
        <f>IF(cyberRisk[[#This Row],[Y, Y(C), N]]=NotAvail,1,0)</f>
        <v>0</v>
      </c>
      <c r="R101" s="92">
        <v>24</v>
      </c>
      <c r="S101" s="88"/>
      <c r="T101" s="88"/>
      <c r="U101" s="88"/>
      <c r="V101" s="88"/>
      <c r="W101" s="88"/>
      <c r="X101" s="88"/>
      <c r="Y101" s="88"/>
    </row>
    <row r="102" spans="1:25" ht="30" x14ac:dyDescent="0.25">
      <c r="A102" s="86" t="s">
        <v>37</v>
      </c>
      <c r="B102" s="86" t="s">
        <v>40</v>
      </c>
      <c r="C102" s="86" t="s">
        <v>28</v>
      </c>
      <c r="D102" s="87"/>
      <c r="E102" s="58" t="s">
        <v>144</v>
      </c>
      <c r="F102" s="24"/>
      <c r="G102" s="424"/>
      <c r="H102" s="313" t="str">
        <f>IFERROR(HYPERLINK("#'Appendix A'!E"&amp;ROW(INDEX(Table23[DSorder],MATCH(cyberRisk[[#This Row],[AppAref]],Table23[DSorder],0))),"GO"),"")</f>
        <v/>
      </c>
      <c r="I102" s="86" t="str">
        <f>cyberRisk[[#This Row],[Component]]&amp;cyberRisk[[#This Row],[Maturity Level]]</f>
        <v>AuditEvolving</v>
      </c>
      <c r="J102" s="86" t="str">
        <f>cyberRisk[[#This Row],[workArea]]&amp;cyberRisk[[#This Row],[Y, Y(C), N]]</f>
        <v>AuditEvolving</v>
      </c>
      <c r="K102" s="184"/>
      <c r="L102" s="184"/>
      <c r="M102" s="184" t="str">
        <f t="shared" si="2"/>
        <v>Cyber Risk Management and Oversight</v>
      </c>
      <c r="N102" s="184">
        <f>IF(cyberRisk[[#This Row],[Y, Y(C), N]]=yes,1,0)</f>
        <v>0</v>
      </c>
      <c r="O102" s="184">
        <f>IF(cyberRisk[[#This Row],[Y, Y(C), N]]=yesCC,1,0)</f>
        <v>0</v>
      </c>
      <c r="P102" s="184">
        <f>IF(cyberRisk[[#This Row],[Y, Y(C), N]]=no,1,0)</f>
        <v>0</v>
      </c>
      <c r="Q102" s="184">
        <f>IF(cyberRisk[[#This Row],[Y, Y(C), N]]=NotAvail,1,0)</f>
        <v>0</v>
      </c>
      <c r="R102" s="92"/>
      <c r="S102" s="88"/>
      <c r="T102" s="88"/>
      <c r="U102" s="88"/>
      <c r="V102" s="88"/>
      <c r="W102" s="88"/>
      <c r="X102" s="88"/>
      <c r="Y102" s="88"/>
    </row>
    <row r="103" spans="1:25" ht="30" x14ac:dyDescent="0.25">
      <c r="A103" s="86" t="s">
        <v>37</v>
      </c>
      <c r="B103" s="86" t="s">
        <v>40</v>
      </c>
      <c r="C103" s="86" t="s">
        <v>28</v>
      </c>
      <c r="D103" s="87"/>
      <c r="E103" s="58" t="s">
        <v>145</v>
      </c>
      <c r="F103" s="24"/>
      <c r="G103" s="424"/>
      <c r="H103" s="313" t="str">
        <f>IFERROR(HYPERLINK("#'Appendix A'!E"&amp;ROW(INDEX(Table23[DSorder],MATCH(cyberRisk[[#This Row],[AppAref]],Table23[DSorder],0))),"GO"),"")</f>
        <v/>
      </c>
      <c r="I103" s="86" t="str">
        <f>cyberRisk[[#This Row],[Component]]&amp;cyberRisk[[#This Row],[Maturity Level]]</f>
        <v>AuditEvolving</v>
      </c>
      <c r="J103" s="86" t="str">
        <f>cyberRisk[[#This Row],[workArea]]&amp;cyberRisk[[#This Row],[Y, Y(C), N]]</f>
        <v>AuditEvolving</v>
      </c>
      <c r="K103" s="184"/>
      <c r="L103" s="184"/>
      <c r="M103" s="184" t="str">
        <f t="shared" si="2"/>
        <v>Cyber Risk Management and Oversight</v>
      </c>
      <c r="N103" s="184">
        <f>IF(cyberRisk[[#This Row],[Y, Y(C), N]]=yes,1,0)</f>
        <v>0</v>
      </c>
      <c r="O103" s="184">
        <f>IF(cyberRisk[[#This Row],[Y, Y(C), N]]=yesCC,1,0)</f>
        <v>0</v>
      </c>
      <c r="P103" s="184">
        <f>IF(cyberRisk[[#This Row],[Y, Y(C), N]]=no,1,0)</f>
        <v>0</v>
      </c>
      <c r="Q103" s="184">
        <f>IF(cyberRisk[[#This Row],[Y, Y(C), N]]=NotAvail,1,0)</f>
        <v>0</v>
      </c>
      <c r="R103" s="92"/>
      <c r="S103" s="88"/>
      <c r="T103" s="88"/>
      <c r="U103" s="88"/>
      <c r="V103" s="88"/>
      <c r="W103" s="88"/>
      <c r="X103" s="88"/>
      <c r="Y103" s="88"/>
    </row>
    <row r="104" spans="1:25" ht="30" x14ac:dyDescent="0.25">
      <c r="A104" s="86" t="s">
        <v>37</v>
      </c>
      <c r="B104" s="86" t="s">
        <v>40</v>
      </c>
      <c r="C104" s="86" t="s">
        <v>28</v>
      </c>
      <c r="D104" s="87"/>
      <c r="E104" s="58" t="s">
        <v>146</v>
      </c>
      <c r="F104" s="24"/>
      <c r="G104" s="424"/>
      <c r="H104" s="313" t="str">
        <f>IFERROR(HYPERLINK("#'Appendix A'!E"&amp;ROW(INDEX(Table23[DSorder],MATCH(cyberRisk[[#This Row],[AppAref]],Table23[DSorder],0))),"GO"),"")</f>
        <v/>
      </c>
      <c r="I104" s="86" t="str">
        <f>cyberRisk[[#This Row],[Component]]&amp;cyberRisk[[#This Row],[Maturity Level]]</f>
        <v>AuditEvolving</v>
      </c>
      <c r="J104" s="86" t="str">
        <f>cyberRisk[[#This Row],[workArea]]&amp;cyberRisk[[#This Row],[Y, Y(C), N]]</f>
        <v>AuditEvolving</v>
      </c>
      <c r="K104" s="184"/>
      <c r="L104" s="184"/>
      <c r="M104" s="184" t="str">
        <f t="shared" si="2"/>
        <v>Cyber Risk Management and Oversight</v>
      </c>
      <c r="N104" s="184">
        <f>IF(cyberRisk[[#This Row],[Y, Y(C), N]]=yes,1,0)</f>
        <v>0</v>
      </c>
      <c r="O104" s="184">
        <f>IF(cyberRisk[[#This Row],[Y, Y(C), N]]=yesCC,1,0)</f>
        <v>0</v>
      </c>
      <c r="P104" s="184">
        <f>IF(cyberRisk[[#This Row],[Y, Y(C), N]]=no,1,0)</f>
        <v>0</v>
      </c>
      <c r="Q104" s="184">
        <f>IF(cyberRisk[[#This Row],[Y, Y(C), N]]=NotAvail,1,0)</f>
        <v>0</v>
      </c>
      <c r="R104" s="92"/>
      <c r="S104" s="88"/>
      <c r="T104" s="88"/>
      <c r="U104" s="88"/>
      <c r="V104" s="88"/>
      <c r="W104" s="88"/>
      <c r="X104" s="88"/>
      <c r="Y104" s="88"/>
    </row>
    <row r="105" spans="1:25" ht="45" x14ac:dyDescent="0.25">
      <c r="A105" s="86" t="s">
        <v>37</v>
      </c>
      <c r="B105" s="86" t="s">
        <v>40</v>
      </c>
      <c r="C105" s="86" t="s">
        <v>28</v>
      </c>
      <c r="D105" s="87"/>
      <c r="E105" s="58" t="s">
        <v>147</v>
      </c>
      <c r="F105" s="24"/>
      <c r="G105" s="424"/>
      <c r="H105" s="313" t="str">
        <f>IFERROR(HYPERLINK("#'Appendix A'!E"&amp;ROW(INDEX(Table23[DSorder],MATCH(cyberRisk[[#This Row],[AppAref]],Table23[DSorder],0))),"GO"),"")</f>
        <v/>
      </c>
      <c r="I105" s="86" t="str">
        <f>cyberRisk[[#This Row],[Component]]&amp;cyberRisk[[#This Row],[Maturity Level]]</f>
        <v>AuditEvolving</v>
      </c>
      <c r="J105" s="86" t="str">
        <f>cyberRisk[[#This Row],[workArea]]&amp;cyberRisk[[#This Row],[Y, Y(C), N]]</f>
        <v>AuditEvolving</v>
      </c>
      <c r="K105" s="184"/>
      <c r="L105" s="184"/>
      <c r="M105" s="184" t="str">
        <f t="shared" ref="M105:M136" si="3">TRIM(MID($A$5,FIND(":",$A$5)+2,LEN($A$5)))</f>
        <v>Cyber Risk Management and Oversight</v>
      </c>
      <c r="N105" s="184">
        <f>IF(cyberRisk[[#This Row],[Y, Y(C), N]]=yes,1,0)</f>
        <v>0</v>
      </c>
      <c r="O105" s="184">
        <f>IF(cyberRisk[[#This Row],[Y, Y(C), N]]=yesCC,1,0)</f>
        <v>0</v>
      </c>
      <c r="P105" s="184">
        <f>IF(cyberRisk[[#This Row],[Y, Y(C), N]]=no,1,0)</f>
        <v>0</v>
      </c>
      <c r="Q105" s="184">
        <f>IF(cyberRisk[[#This Row],[Y, Y(C), N]]=NotAvail,1,0)</f>
        <v>0</v>
      </c>
      <c r="R105" s="92"/>
      <c r="S105" s="88"/>
      <c r="T105" s="88"/>
      <c r="U105" s="88"/>
      <c r="V105" s="88"/>
      <c r="W105" s="88"/>
      <c r="X105" s="88"/>
      <c r="Y105" s="88"/>
    </row>
    <row r="106" spans="1:25" ht="45" x14ac:dyDescent="0.25">
      <c r="A106" s="86" t="s">
        <v>37</v>
      </c>
      <c r="B106" s="86" t="s">
        <v>40</v>
      </c>
      <c r="C106" s="86" t="s">
        <v>28</v>
      </c>
      <c r="D106" s="87"/>
      <c r="E106" s="58" t="s">
        <v>148</v>
      </c>
      <c r="F106" s="24"/>
      <c r="G106" s="424"/>
      <c r="H106" s="313" t="str">
        <f>IFERROR(HYPERLINK("#'Appendix A'!E"&amp;ROW(INDEX(Table23[DSorder],MATCH(cyberRisk[[#This Row],[AppAref]],Table23[DSorder],0))),"GO"),"")</f>
        <v/>
      </c>
      <c r="I106" s="86" t="str">
        <f>cyberRisk[[#This Row],[Component]]&amp;cyberRisk[[#This Row],[Maturity Level]]</f>
        <v>AuditEvolving</v>
      </c>
      <c r="J106" s="86" t="str">
        <f>cyberRisk[[#This Row],[workArea]]&amp;cyberRisk[[#This Row],[Y, Y(C), N]]</f>
        <v>AuditEvolving</v>
      </c>
      <c r="K106" s="184"/>
      <c r="L106" s="184"/>
      <c r="M106" s="184" t="str">
        <f t="shared" si="3"/>
        <v>Cyber Risk Management and Oversight</v>
      </c>
      <c r="N106" s="184">
        <f>IF(cyberRisk[[#This Row],[Y, Y(C), N]]=yes,1,0)</f>
        <v>0</v>
      </c>
      <c r="O106" s="184">
        <f>IF(cyberRisk[[#This Row],[Y, Y(C), N]]=yesCC,1,0)</f>
        <v>0</v>
      </c>
      <c r="P106" s="184">
        <f>IF(cyberRisk[[#This Row],[Y, Y(C), N]]=no,1,0)</f>
        <v>0</v>
      </c>
      <c r="Q106" s="184">
        <f>IF(cyberRisk[[#This Row],[Y, Y(C), N]]=NotAvail,1,0)</f>
        <v>0</v>
      </c>
      <c r="R106" s="92"/>
      <c r="S106" s="88"/>
      <c r="T106" s="88"/>
      <c r="U106" s="88"/>
      <c r="V106" s="88"/>
      <c r="W106" s="88"/>
      <c r="X106" s="88"/>
      <c r="Y106" s="88"/>
    </row>
    <row r="107" spans="1:25" ht="30" x14ac:dyDescent="0.25">
      <c r="A107" s="86" t="s">
        <v>37</v>
      </c>
      <c r="B107" s="86" t="s">
        <v>40</v>
      </c>
      <c r="C107" s="86" t="s">
        <v>29</v>
      </c>
      <c r="D107" s="87"/>
      <c r="E107" s="58" t="s">
        <v>149</v>
      </c>
      <c r="F107" s="24"/>
      <c r="G107" s="424"/>
      <c r="H107" s="313" t="str">
        <f>IFERROR(HYPERLINK("#'Appendix A'!E"&amp;ROW(INDEX(Table23[DSorder],MATCH(cyberRisk[[#This Row],[AppAref]],Table23[DSorder],0))),"GO"),"")</f>
        <v/>
      </c>
      <c r="I107" s="86" t="str">
        <f>cyberRisk[[#This Row],[Component]]&amp;cyberRisk[[#This Row],[Maturity Level]]</f>
        <v>AuditIntermediate</v>
      </c>
      <c r="J107" s="86" t="str">
        <f>cyberRisk[[#This Row],[workArea]]&amp;cyberRisk[[#This Row],[Y, Y(C), N]]</f>
        <v>AuditIntermediate</v>
      </c>
      <c r="K107" s="184"/>
      <c r="L107" s="184"/>
      <c r="M107" s="184" t="str">
        <f t="shared" si="3"/>
        <v>Cyber Risk Management and Oversight</v>
      </c>
      <c r="N107" s="184">
        <f>IF(cyberRisk[[#This Row],[Y, Y(C), N]]=yes,1,0)</f>
        <v>0</v>
      </c>
      <c r="O107" s="184">
        <f>IF(cyberRisk[[#This Row],[Y, Y(C), N]]=yesCC,1,0)</f>
        <v>0</v>
      </c>
      <c r="P107" s="184">
        <f>IF(cyberRisk[[#This Row],[Y, Y(C), N]]=no,1,0)</f>
        <v>0</v>
      </c>
      <c r="Q107" s="184">
        <f>IF(cyberRisk[[#This Row],[Y, Y(C), N]]=NotAvail,1,0)</f>
        <v>0</v>
      </c>
      <c r="R107" s="92"/>
      <c r="S107" s="88"/>
      <c r="T107" s="88"/>
      <c r="U107" s="88"/>
      <c r="V107" s="88"/>
      <c r="W107" s="88"/>
      <c r="X107" s="88"/>
      <c r="Y107" s="88"/>
    </row>
    <row r="108" spans="1:25" ht="30" x14ac:dyDescent="0.25">
      <c r="A108" s="86" t="s">
        <v>37</v>
      </c>
      <c r="B108" s="86" t="s">
        <v>40</v>
      </c>
      <c r="C108" s="86" t="s">
        <v>29</v>
      </c>
      <c r="D108" s="87"/>
      <c r="E108" s="58" t="s">
        <v>150</v>
      </c>
      <c r="F108" s="24"/>
      <c r="G108" s="424"/>
      <c r="H108" s="313" t="str">
        <f>IFERROR(HYPERLINK("#'Appendix A'!E"&amp;ROW(INDEX(Table23[DSorder],MATCH(cyberRisk[[#This Row],[AppAref]],Table23[DSorder],0))),"GO"),"")</f>
        <v/>
      </c>
      <c r="I108" s="86" t="str">
        <f>cyberRisk[[#This Row],[Component]]&amp;cyberRisk[[#This Row],[Maturity Level]]</f>
        <v>AuditIntermediate</v>
      </c>
      <c r="J108" s="86" t="str">
        <f>cyberRisk[[#This Row],[workArea]]&amp;cyberRisk[[#This Row],[Y, Y(C), N]]</f>
        <v>AuditIntermediate</v>
      </c>
      <c r="K108" s="184"/>
      <c r="L108" s="184"/>
      <c r="M108" s="184" t="str">
        <f t="shared" si="3"/>
        <v>Cyber Risk Management and Oversight</v>
      </c>
      <c r="N108" s="184">
        <f>IF(cyberRisk[[#This Row],[Y, Y(C), N]]=yes,1,0)</f>
        <v>0</v>
      </c>
      <c r="O108" s="184">
        <f>IF(cyberRisk[[#This Row],[Y, Y(C), N]]=yesCC,1,0)</f>
        <v>0</v>
      </c>
      <c r="P108" s="184">
        <f>IF(cyberRisk[[#This Row],[Y, Y(C), N]]=no,1,0)</f>
        <v>0</v>
      </c>
      <c r="Q108" s="184">
        <f>IF(cyberRisk[[#This Row],[Y, Y(C), N]]=NotAvail,1,0)</f>
        <v>0</v>
      </c>
      <c r="R108" s="92"/>
      <c r="S108" s="88"/>
      <c r="T108" s="88"/>
      <c r="U108" s="88"/>
      <c r="V108" s="88"/>
      <c r="W108" s="88"/>
      <c r="X108" s="88"/>
      <c r="Y108" s="88"/>
    </row>
    <row r="109" spans="1:25" ht="30" x14ac:dyDescent="0.25">
      <c r="A109" s="86" t="s">
        <v>37</v>
      </c>
      <c r="B109" s="86" t="s">
        <v>40</v>
      </c>
      <c r="C109" s="86" t="s">
        <v>29</v>
      </c>
      <c r="D109" s="87"/>
      <c r="E109" s="58" t="s">
        <v>151</v>
      </c>
      <c r="F109" s="24"/>
      <c r="G109" s="424"/>
      <c r="H109" s="313" t="str">
        <f>IFERROR(HYPERLINK("#'Appendix A'!E"&amp;ROW(INDEX(Table23[DSorder],MATCH(cyberRisk[[#This Row],[AppAref]],Table23[DSorder],0))),"GO"),"")</f>
        <v/>
      </c>
      <c r="I109" s="86" t="str">
        <f>cyberRisk[[#This Row],[Component]]&amp;cyberRisk[[#This Row],[Maturity Level]]</f>
        <v>AuditIntermediate</v>
      </c>
      <c r="J109" s="86" t="str">
        <f>cyberRisk[[#This Row],[workArea]]&amp;cyberRisk[[#This Row],[Y, Y(C), N]]</f>
        <v>AuditIntermediate</v>
      </c>
      <c r="K109" s="184"/>
      <c r="L109" s="184"/>
      <c r="M109" s="184" t="str">
        <f t="shared" si="3"/>
        <v>Cyber Risk Management and Oversight</v>
      </c>
      <c r="N109" s="184">
        <f>IF(cyberRisk[[#This Row],[Y, Y(C), N]]=yes,1,0)</f>
        <v>0</v>
      </c>
      <c r="O109" s="184">
        <f>IF(cyberRisk[[#This Row],[Y, Y(C), N]]=yesCC,1,0)</f>
        <v>0</v>
      </c>
      <c r="P109" s="184">
        <f>IF(cyberRisk[[#This Row],[Y, Y(C), N]]=no,1,0)</f>
        <v>0</v>
      </c>
      <c r="Q109" s="184">
        <f>IF(cyberRisk[[#This Row],[Y, Y(C), N]]=NotAvail,1,0)</f>
        <v>0</v>
      </c>
      <c r="R109" s="92"/>
      <c r="S109" s="88"/>
      <c r="T109" s="88"/>
      <c r="U109" s="88"/>
      <c r="V109" s="88"/>
      <c r="W109" s="88"/>
      <c r="X109" s="88"/>
      <c r="Y109" s="88"/>
    </row>
    <row r="110" spans="1:25" ht="30" x14ac:dyDescent="0.25">
      <c r="A110" s="86" t="s">
        <v>37</v>
      </c>
      <c r="B110" s="86" t="s">
        <v>40</v>
      </c>
      <c r="C110" s="86" t="s">
        <v>29</v>
      </c>
      <c r="D110" s="87"/>
      <c r="E110" s="58" t="s">
        <v>152</v>
      </c>
      <c r="F110" s="24"/>
      <c r="G110" s="424"/>
      <c r="H110" s="313" t="str">
        <f>IFERROR(HYPERLINK("#'Appendix A'!E"&amp;ROW(INDEX(Table23[DSorder],MATCH(cyberRisk[[#This Row],[AppAref]],Table23[DSorder],0))),"GO"),"")</f>
        <v/>
      </c>
      <c r="I110" s="86" t="str">
        <f>cyberRisk[[#This Row],[Component]]&amp;cyberRisk[[#This Row],[Maturity Level]]</f>
        <v>AuditIntermediate</v>
      </c>
      <c r="J110" s="86" t="str">
        <f>cyberRisk[[#This Row],[workArea]]&amp;cyberRisk[[#This Row],[Y, Y(C), N]]</f>
        <v>AuditIntermediate</v>
      </c>
      <c r="K110" s="184"/>
      <c r="L110" s="184"/>
      <c r="M110" s="184" t="str">
        <f t="shared" si="3"/>
        <v>Cyber Risk Management and Oversight</v>
      </c>
      <c r="N110" s="184">
        <f>IF(cyberRisk[[#This Row],[Y, Y(C), N]]=yes,1,0)</f>
        <v>0</v>
      </c>
      <c r="O110" s="184">
        <f>IF(cyberRisk[[#This Row],[Y, Y(C), N]]=yesCC,1,0)</f>
        <v>0</v>
      </c>
      <c r="P110" s="184">
        <f>IF(cyberRisk[[#This Row],[Y, Y(C), N]]=no,1,0)</f>
        <v>0</v>
      </c>
      <c r="Q110" s="184">
        <f>IF(cyberRisk[[#This Row],[Y, Y(C), N]]=NotAvail,1,0)</f>
        <v>0</v>
      </c>
      <c r="R110" s="92"/>
      <c r="S110" s="88"/>
      <c r="T110" s="88"/>
      <c r="U110" s="88"/>
      <c r="V110" s="88"/>
      <c r="W110" s="88"/>
      <c r="X110" s="88"/>
      <c r="Y110" s="88"/>
    </row>
    <row r="111" spans="1:25" ht="30" x14ac:dyDescent="0.25">
      <c r="A111" s="86" t="s">
        <v>37</v>
      </c>
      <c r="B111" s="86" t="s">
        <v>40</v>
      </c>
      <c r="C111" s="86" t="s">
        <v>30</v>
      </c>
      <c r="D111" s="87"/>
      <c r="E111" s="58" t="s">
        <v>153</v>
      </c>
      <c r="F111" s="24"/>
      <c r="G111" s="424"/>
      <c r="H111" s="313" t="str">
        <f>IFERROR(HYPERLINK("#'Appendix A'!E"&amp;ROW(INDEX(Table23[DSorder],MATCH(cyberRisk[[#This Row],[AppAref]],Table23[DSorder],0))),"GO"),"")</f>
        <v/>
      </c>
      <c r="I111" s="86" t="str">
        <f>cyberRisk[[#This Row],[Component]]&amp;cyberRisk[[#This Row],[Maturity Level]]</f>
        <v>AuditAdvanced</v>
      </c>
      <c r="J111" s="86" t="str">
        <f>cyberRisk[[#This Row],[workArea]]&amp;cyberRisk[[#This Row],[Y, Y(C), N]]</f>
        <v>AuditAdvanced</v>
      </c>
      <c r="K111" s="184"/>
      <c r="L111" s="184"/>
      <c r="M111" s="184" t="str">
        <f t="shared" si="3"/>
        <v>Cyber Risk Management and Oversight</v>
      </c>
      <c r="N111" s="184">
        <f>IF(cyberRisk[[#This Row],[Y, Y(C), N]]=yes,1,0)</f>
        <v>0</v>
      </c>
      <c r="O111" s="184">
        <f>IF(cyberRisk[[#This Row],[Y, Y(C), N]]=yesCC,1,0)</f>
        <v>0</v>
      </c>
      <c r="P111" s="184">
        <f>IF(cyberRisk[[#This Row],[Y, Y(C), N]]=no,1,0)</f>
        <v>0</v>
      </c>
      <c r="Q111" s="184">
        <f>IF(cyberRisk[[#This Row],[Y, Y(C), N]]=NotAvail,1,0)</f>
        <v>0</v>
      </c>
      <c r="R111" s="92"/>
      <c r="S111" s="88"/>
      <c r="T111" s="88"/>
      <c r="U111" s="88"/>
      <c r="V111" s="88"/>
      <c r="W111" s="88"/>
      <c r="X111" s="88"/>
      <c r="Y111" s="88"/>
    </row>
    <row r="112" spans="1:25" ht="45" x14ac:dyDescent="0.25">
      <c r="A112" s="86" t="s">
        <v>37</v>
      </c>
      <c r="B112" s="86" t="s">
        <v>40</v>
      </c>
      <c r="C112" s="86" t="s">
        <v>30</v>
      </c>
      <c r="D112" s="87"/>
      <c r="E112" s="58" t="s">
        <v>154</v>
      </c>
      <c r="F112" s="24"/>
      <c r="G112" s="424"/>
      <c r="H112" s="313" t="str">
        <f>IFERROR(HYPERLINK("#'Appendix A'!E"&amp;ROW(INDEX(Table23[DSorder],MATCH(cyberRisk[[#This Row],[AppAref]],Table23[DSorder],0))),"GO"),"")</f>
        <v/>
      </c>
      <c r="I112" s="86" t="str">
        <f>cyberRisk[[#This Row],[Component]]&amp;cyberRisk[[#This Row],[Maturity Level]]</f>
        <v>AuditAdvanced</v>
      </c>
      <c r="J112" s="86" t="str">
        <f>cyberRisk[[#This Row],[workArea]]&amp;cyberRisk[[#This Row],[Y, Y(C), N]]</f>
        <v>AuditAdvanced</v>
      </c>
      <c r="K112" s="184"/>
      <c r="L112" s="184"/>
      <c r="M112" s="184" t="str">
        <f t="shared" si="3"/>
        <v>Cyber Risk Management and Oversight</v>
      </c>
      <c r="N112" s="184">
        <f>IF(cyberRisk[[#This Row],[Y, Y(C), N]]=yes,1,0)</f>
        <v>0</v>
      </c>
      <c r="O112" s="184">
        <f>IF(cyberRisk[[#This Row],[Y, Y(C), N]]=yesCC,1,0)</f>
        <v>0</v>
      </c>
      <c r="P112" s="184">
        <f>IF(cyberRisk[[#This Row],[Y, Y(C), N]]=no,1,0)</f>
        <v>0</v>
      </c>
      <c r="Q112" s="184">
        <f>IF(cyberRisk[[#This Row],[Y, Y(C), N]]=NotAvail,1,0)</f>
        <v>0</v>
      </c>
      <c r="R112" s="92"/>
      <c r="S112" s="88"/>
      <c r="T112" s="88"/>
      <c r="U112" s="88"/>
      <c r="V112" s="88"/>
      <c r="W112" s="88"/>
      <c r="X112" s="88"/>
      <c r="Y112" s="88"/>
    </row>
    <row r="113" spans="1:25" ht="30" x14ac:dyDescent="0.25">
      <c r="A113" s="86" t="s">
        <v>37</v>
      </c>
      <c r="B113" s="86" t="s">
        <v>40</v>
      </c>
      <c r="C113" s="86" t="s">
        <v>30</v>
      </c>
      <c r="D113" s="87"/>
      <c r="E113" s="58" t="s">
        <v>155</v>
      </c>
      <c r="F113" s="24"/>
      <c r="G113" s="424"/>
      <c r="H113" s="313" t="str">
        <f>IFERROR(HYPERLINK("#'Appendix A'!E"&amp;ROW(INDEX(Table23[DSorder],MATCH(cyberRisk[[#This Row],[AppAref]],Table23[DSorder],0))),"GO"),"")</f>
        <v/>
      </c>
      <c r="I113" s="86" t="str">
        <f>cyberRisk[[#This Row],[Component]]&amp;cyberRisk[[#This Row],[Maturity Level]]</f>
        <v>AuditAdvanced</v>
      </c>
      <c r="J113" s="86" t="str">
        <f>cyberRisk[[#This Row],[workArea]]&amp;cyberRisk[[#This Row],[Y, Y(C), N]]</f>
        <v>AuditAdvanced</v>
      </c>
      <c r="K113" s="184"/>
      <c r="L113" s="184"/>
      <c r="M113" s="184" t="str">
        <f t="shared" si="3"/>
        <v>Cyber Risk Management and Oversight</v>
      </c>
      <c r="N113" s="184">
        <f>IF(cyberRisk[[#This Row],[Y, Y(C), N]]=yes,1,0)</f>
        <v>0</v>
      </c>
      <c r="O113" s="184">
        <f>IF(cyberRisk[[#This Row],[Y, Y(C), N]]=yesCC,1,0)</f>
        <v>0</v>
      </c>
      <c r="P113" s="184">
        <f>IF(cyberRisk[[#This Row],[Y, Y(C), N]]=no,1,0)</f>
        <v>0</v>
      </c>
      <c r="Q113" s="184">
        <f>IF(cyberRisk[[#This Row],[Y, Y(C), N]]=NotAvail,1,0)</f>
        <v>0</v>
      </c>
      <c r="R113" s="92"/>
      <c r="S113" s="88"/>
      <c r="T113" s="88"/>
      <c r="U113" s="88"/>
      <c r="V113" s="88"/>
      <c r="W113" s="88"/>
      <c r="X113" s="88"/>
      <c r="Y113" s="88"/>
    </row>
    <row r="114" spans="1:25" ht="45" x14ac:dyDescent="0.25">
      <c r="A114" s="86" t="s">
        <v>37</v>
      </c>
      <c r="B114" s="86" t="s">
        <v>40</v>
      </c>
      <c r="C114" s="86" t="s">
        <v>31</v>
      </c>
      <c r="D114" s="87"/>
      <c r="E114" s="58" t="s">
        <v>156</v>
      </c>
      <c r="F114" s="24"/>
      <c r="G114" s="424"/>
      <c r="H114" s="313" t="str">
        <f>IFERROR(HYPERLINK("#'Appendix A'!E"&amp;ROW(INDEX(Table23[DSorder],MATCH(cyberRisk[[#This Row],[AppAref]],Table23[DSorder],0))),"GO"),"")</f>
        <v/>
      </c>
      <c r="I114" s="86" t="str">
        <f>cyberRisk[[#This Row],[Component]]&amp;cyberRisk[[#This Row],[Maturity Level]]</f>
        <v>AuditInnovative</v>
      </c>
      <c r="J114" s="86" t="str">
        <f>cyberRisk[[#This Row],[workArea]]&amp;cyberRisk[[#This Row],[Y, Y(C), N]]</f>
        <v>AuditInnovative</v>
      </c>
      <c r="K114" s="184"/>
      <c r="L114" s="184"/>
      <c r="M114" s="184" t="str">
        <f t="shared" si="3"/>
        <v>Cyber Risk Management and Oversight</v>
      </c>
      <c r="N114" s="184">
        <f>IF(cyberRisk[[#This Row],[Y, Y(C), N]]=yes,1,0)</f>
        <v>0</v>
      </c>
      <c r="O114" s="184">
        <f>IF(cyberRisk[[#This Row],[Y, Y(C), N]]=yesCC,1,0)</f>
        <v>0</v>
      </c>
      <c r="P114" s="184">
        <f>IF(cyberRisk[[#This Row],[Y, Y(C), N]]=no,1,0)</f>
        <v>0</v>
      </c>
      <c r="Q114" s="184">
        <f>IF(cyberRisk[[#This Row],[Y, Y(C), N]]=NotAvail,1,0)</f>
        <v>0</v>
      </c>
      <c r="R114" s="92"/>
      <c r="S114" s="88"/>
      <c r="T114" s="88"/>
      <c r="U114" s="88"/>
      <c r="V114" s="88"/>
      <c r="W114" s="88"/>
      <c r="X114" s="88"/>
      <c r="Y114" s="88"/>
    </row>
    <row r="115" spans="1:25" ht="30" x14ac:dyDescent="0.25">
      <c r="A115" s="86" t="s">
        <v>37</v>
      </c>
      <c r="B115" s="86" t="s">
        <v>40</v>
      </c>
      <c r="C115" s="86" t="s">
        <v>31</v>
      </c>
      <c r="D115" s="87"/>
      <c r="E115" s="58" t="s">
        <v>157</v>
      </c>
      <c r="F115" s="24"/>
      <c r="G115" s="424"/>
      <c r="H115" s="313" t="str">
        <f>IFERROR(HYPERLINK("#'Appendix A'!E"&amp;ROW(INDEX(Table23[DSorder],MATCH(cyberRisk[[#This Row],[AppAref]],Table23[DSorder],0))),"GO"),"")</f>
        <v/>
      </c>
      <c r="I115" s="86" t="str">
        <f>cyberRisk[[#This Row],[Component]]&amp;cyberRisk[[#This Row],[Maturity Level]]</f>
        <v>AuditInnovative</v>
      </c>
      <c r="J115" s="86" t="str">
        <f>cyberRisk[[#This Row],[workArea]]&amp;cyberRisk[[#This Row],[Y, Y(C), N]]</f>
        <v>AuditInnovative</v>
      </c>
      <c r="K115" s="184"/>
      <c r="L115" s="184"/>
      <c r="M115" s="184" t="str">
        <f t="shared" si="3"/>
        <v>Cyber Risk Management and Oversight</v>
      </c>
      <c r="N115" s="184">
        <f>IF(cyberRisk[[#This Row],[Y, Y(C), N]]=yes,1,0)</f>
        <v>0</v>
      </c>
      <c r="O115" s="184">
        <f>IF(cyberRisk[[#This Row],[Y, Y(C), N]]=yesCC,1,0)</f>
        <v>0</v>
      </c>
      <c r="P115" s="184">
        <f>IF(cyberRisk[[#This Row],[Y, Y(C), N]]=no,1,0)</f>
        <v>0</v>
      </c>
      <c r="Q115" s="184">
        <f>IF(cyberRisk[[#This Row],[Y, Y(C), N]]=NotAvail,1,0)</f>
        <v>0</v>
      </c>
      <c r="R115" s="92"/>
      <c r="S115" s="88"/>
      <c r="T115" s="88"/>
      <c r="U115" s="88"/>
      <c r="V115" s="88"/>
      <c r="W115" s="88"/>
      <c r="X115" s="88"/>
      <c r="Y115" s="88"/>
    </row>
    <row r="116" spans="1:25" ht="30" x14ac:dyDescent="0.25">
      <c r="A116" s="86" t="s">
        <v>871</v>
      </c>
      <c r="B116" s="86" t="s">
        <v>42</v>
      </c>
      <c r="C116" s="86" t="s">
        <v>27</v>
      </c>
      <c r="D116" s="87"/>
      <c r="E116" s="58" t="s">
        <v>158</v>
      </c>
      <c r="F116"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7</v>
      </c>
      <c r="G116" s="424"/>
      <c r="H116" s="313" t="str">
        <f>IFERROR(HYPERLINK("#'Appendix A'!E"&amp;ROW(INDEX(Table23[DSorder],MATCH(cyberRisk[[#This Row],[AppAref]],Table23[DSorder],0))),"GO"),"")</f>
        <v>GO</v>
      </c>
      <c r="I116" s="86" t="str">
        <f>cyberRisk[[#This Row],[Component]]&amp;cyberRisk[[#This Row],[Maturity Level]]</f>
        <v>StaffingBaseline</v>
      </c>
      <c r="J116" s="86" t="str">
        <f>cyberRisk[[#This Row],[workArea]]&amp;cyberRisk[[#This Row],[Y, Y(C), N]]</f>
        <v>StaffingBaseline</v>
      </c>
      <c r="K116" s="184">
        <v>22</v>
      </c>
      <c r="L116" s="184">
        <f>IFERROR(MATCH(cyberRisk[[#This Row],[Ref No.]],hyperlinkLU[Reference No.],0),cyberRisk[[#This Row],[Ref No.]])</f>
        <v>23</v>
      </c>
      <c r="M116" s="184" t="str">
        <f t="shared" si="3"/>
        <v>Cyber Risk Management and Oversight</v>
      </c>
      <c r="N116" s="184">
        <f>IF(cyberRisk[[#This Row],[Y, Y(C), N]]=yes,1,0)</f>
        <v>0</v>
      </c>
      <c r="O116" s="184">
        <f>IF(cyberRisk[[#This Row],[Y, Y(C), N]]=yesCC,1,0)</f>
        <v>0</v>
      </c>
      <c r="P116" s="184">
        <f>IF(cyberRisk[[#This Row],[Y, Y(C), N]]=no,1,0)</f>
        <v>0</v>
      </c>
      <c r="Q116" s="184">
        <f>IF(cyberRisk[[#This Row],[Y, Y(C), N]]=NotAvail,1,0)</f>
        <v>0</v>
      </c>
      <c r="R116" s="92">
        <v>25</v>
      </c>
      <c r="S116" s="88"/>
      <c r="T116" s="88"/>
      <c r="U116" s="88"/>
      <c r="V116" s="88"/>
      <c r="W116" s="88"/>
      <c r="X116" s="88"/>
      <c r="Y116" s="88"/>
    </row>
    <row r="117" spans="1:25" ht="45" x14ac:dyDescent="0.25">
      <c r="A117" s="86" t="s">
        <v>871</v>
      </c>
      <c r="B117" s="86" t="s">
        <v>42</v>
      </c>
      <c r="C117" s="86" t="s">
        <v>27</v>
      </c>
      <c r="D117" s="87"/>
      <c r="E117" s="58" t="s">
        <v>159</v>
      </c>
      <c r="F117"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Work Program, Objective I: 2-8</v>
      </c>
      <c r="G117" s="424"/>
      <c r="H117" s="313" t="str">
        <f>IFERROR(HYPERLINK("#'Appendix A'!E"&amp;ROW(INDEX(Table23[DSorder],MATCH(cyberRisk[[#This Row],[AppAref]],Table23[DSorder],0))),"GO"),"")</f>
        <v>GO</v>
      </c>
      <c r="I117" s="86" t="str">
        <f>cyberRisk[[#This Row],[Component]]&amp;cyberRisk[[#This Row],[Maturity Level]]</f>
        <v>StaffingBaseline</v>
      </c>
      <c r="J117" s="86" t="str">
        <f>cyberRisk[[#This Row],[workArea]]&amp;cyberRisk[[#This Row],[Y, Y(C), N]]</f>
        <v>StaffingBaseline</v>
      </c>
      <c r="K117" s="184">
        <v>23</v>
      </c>
      <c r="L117" s="184">
        <f>IFERROR(MATCH(cyberRisk[[#This Row],[Ref No.]],hyperlinkLU[Reference No.],0),cyberRisk[[#This Row],[Ref No.]])</f>
        <v>24</v>
      </c>
      <c r="M117" s="184" t="str">
        <f t="shared" si="3"/>
        <v>Cyber Risk Management and Oversight</v>
      </c>
      <c r="N117" s="184">
        <f>IF(cyberRisk[[#This Row],[Y, Y(C), N]]=yes,1,0)</f>
        <v>0</v>
      </c>
      <c r="O117" s="184">
        <f>IF(cyberRisk[[#This Row],[Y, Y(C), N]]=yesCC,1,0)</f>
        <v>0</v>
      </c>
      <c r="P117" s="184">
        <f>IF(cyberRisk[[#This Row],[Y, Y(C), N]]=no,1,0)</f>
        <v>0</v>
      </c>
      <c r="Q117" s="184">
        <f>IF(cyberRisk[[#This Row],[Y, Y(C), N]]=NotAvail,1,0)</f>
        <v>0</v>
      </c>
      <c r="R117" s="92">
        <v>26</v>
      </c>
      <c r="S117" s="88"/>
      <c r="T117" s="88"/>
      <c r="U117" s="88"/>
      <c r="V117" s="88"/>
      <c r="W117" s="88"/>
      <c r="X117" s="88"/>
      <c r="Y117" s="88"/>
    </row>
    <row r="118" spans="1:25" ht="30" x14ac:dyDescent="0.25">
      <c r="A118" s="86" t="s">
        <v>871</v>
      </c>
      <c r="B118" s="86" t="s">
        <v>42</v>
      </c>
      <c r="C118" s="86" t="s">
        <v>28</v>
      </c>
      <c r="D118" s="87"/>
      <c r="E118" s="58" t="s">
        <v>161</v>
      </c>
      <c r="F118" s="24"/>
      <c r="G118" s="424"/>
      <c r="H118" s="313" t="str">
        <f>IFERROR(HYPERLINK("#'Appendix A'!E"&amp;ROW(INDEX(Table23[DSorder],MATCH(cyberRisk[[#This Row],[AppAref]],Table23[DSorder],0))),"GO"),"")</f>
        <v/>
      </c>
      <c r="I118" s="86" t="str">
        <f>cyberRisk[[#This Row],[Component]]&amp;cyberRisk[[#This Row],[Maturity Level]]</f>
        <v>StaffingEvolving</v>
      </c>
      <c r="J118" s="86" t="str">
        <f>cyberRisk[[#This Row],[workArea]]&amp;cyberRisk[[#This Row],[Y, Y(C), N]]</f>
        <v>StaffingEvolving</v>
      </c>
      <c r="K118" s="184"/>
      <c r="L118" s="184"/>
      <c r="M118" s="184" t="str">
        <f t="shared" si="3"/>
        <v>Cyber Risk Management and Oversight</v>
      </c>
      <c r="N118" s="184">
        <f>IF(cyberRisk[[#This Row],[Y, Y(C), N]]=yes,1,0)</f>
        <v>0</v>
      </c>
      <c r="O118" s="184">
        <f>IF(cyberRisk[[#This Row],[Y, Y(C), N]]=yesCC,1,0)</f>
        <v>0</v>
      </c>
      <c r="P118" s="184">
        <f>IF(cyberRisk[[#This Row],[Y, Y(C), N]]=no,1,0)</f>
        <v>0</v>
      </c>
      <c r="Q118" s="184">
        <f>IF(cyberRisk[[#This Row],[Y, Y(C), N]]=NotAvail,1,0)</f>
        <v>0</v>
      </c>
      <c r="R118" s="92"/>
      <c r="S118" s="88"/>
      <c r="T118" s="88"/>
      <c r="U118" s="88"/>
      <c r="V118" s="88"/>
      <c r="W118" s="88"/>
      <c r="X118" s="88"/>
      <c r="Y118" s="88"/>
    </row>
    <row r="119" spans="1:25" ht="30" x14ac:dyDescent="0.25">
      <c r="A119" s="86" t="s">
        <v>871</v>
      </c>
      <c r="B119" s="86" t="s">
        <v>42</v>
      </c>
      <c r="C119" s="86" t="s">
        <v>28</v>
      </c>
      <c r="D119" s="87"/>
      <c r="E119" s="58" t="s">
        <v>162</v>
      </c>
      <c r="F119" s="24"/>
      <c r="G119" s="424"/>
      <c r="H119" s="313" t="str">
        <f>IFERROR(HYPERLINK("#'Appendix A'!E"&amp;ROW(INDEX(Table23[DSorder],MATCH(cyberRisk[[#This Row],[AppAref]],Table23[DSorder],0))),"GO"),"")</f>
        <v/>
      </c>
      <c r="I119" s="86" t="str">
        <f>cyberRisk[[#This Row],[Component]]&amp;cyberRisk[[#This Row],[Maturity Level]]</f>
        <v>StaffingEvolving</v>
      </c>
      <c r="J119" s="86" t="str">
        <f>cyberRisk[[#This Row],[workArea]]&amp;cyberRisk[[#This Row],[Y, Y(C), N]]</f>
        <v>StaffingEvolving</v>
      </c>
      <c r="K119" s="184"/>
      <c r="L119" s="184"/>
      <c r="M119" s="184" t="str">
        <f t="shared" si="3"/>
        <v>Cyber Risk Management and Oversight</v>
      </c>
      <c r="N119" s="184">
        <f>IF(cyberRisk[[#This Row],[Y, Y(C), N]]=yes,1,0)</f>
        <v>0</v>
      </c>
      <c r="O119" s="184">
        <f>IF(cyberRisk[[#This Row],[Y, Y(C), N]]=yesCC,1,0)</f>
        <v>0</v>
      </c>
      <c r="P119" s="184">
        <f>IF(cyberRisk[[#This Row],[Y, Y(C), N]]=no,1,0)</f>
        <v>0</v>
      </c>
      <c r="Q119" s="184">
        <f>IF(cyberRisk[[#This Row],[Y, Y(C), N]]=NotAvail,1,0)</f>
        <v>0</v>
      </c>
      <c r="R119" s="92"/>
      <c r="S119" s="88"/>
      <c r="T119" s="88"/>
      <c r="U119" s="88"/>
      <c r="V119" s="88"/>
      <c r="W119" s="88"/>
      <c r="X119" s="88"/>
      <c r="Y119" s="88"/>
    </row>
    <row r="120" spans="1:25" ht="30" x14ac:dyDescent="0.25">
      <c r="A120" s="86" t="s">
        <v>871</v>
      </c>
      <c r="B120" s="86" t="s">
        <v>42</v>
      </c>
      <c r="C120" s="86" t="s">
        <v>28</v>
      </c>
      <c r="D120" s="87"/>
      <c r="E120" s="58" t="s">
        <v>163</v>
      </c>
      <c r="F120" s="24"/>
      <c r="G120" s="424"/>
      <c r="H120" s="313" t="str">
        <f>IFERROR(HYPERLINK("#'Appendix A'!E"&amp;ROW(INDEX(Table23[DSorder],MATCH(cyberRisk[[#This Row],[AppAref]],Table23[DSorder],0))),"GO"),"")</f>
        <v/>
      </c>
      <c r="I120" s="86" t="str">
        <f>cyberRisk[[#This Row],[Component]]&amp;cyberRisk[[#This Row],[Maturity Level]]</f>
        <v>StaffingEvolving</v>
      </c>
      <c r="J120" s="86" t="str">
        <f>cyberRisk[[#This Row],[workArea]]&amp;cyberRisk[[#This Row],[Y, Y(C), N]]</f>
        <v>StaffingEvolving</v>
      </c>
      <c r="K120" s="184"/>
      <c r="L120" s="184"/>
      <c r="M120" s="184" t="str">
        <f t="shared" si="3"/>
        <v>Cyber Risk Management and Oversight</v>
      </c>
      <c r="N120" s="184">
        <f>IF(cyberRisk[[#This Row],[Y, Y(C), N]]=yes,1,0)</f>
        <v>0</v>
      </c>
      <c r="O120" s="184">
        <f>IF(cyberRisk[[#This Row],[Y, Y(C), N]]=yesCC,1,0)</f>
        <v>0</v>
      </c>
      <c r="P120" s="184">
        <f>IF(cyberRisk[[#This Row],[Y, Y(C), N]]=no,1,0)</f>
        <v>0</v>
      </c>
      <c r="Q120" s="184">
        <f>IF(cyberRisk[[#This Row],[Y, Y(C), N]]=NotAvail,1,0)</f>
        <v>0</v>
      </c>
      <c r="R120" s="92"/>
      <c r="S120" s="88"/>
      <c r="T120" s="88"/>
      <c r="U120" s="88"/>
      <c r="V120" s="88"/>
      <c r="W120" s="88"/>
      <c r="X120" s="88"/>
      <c r="Y120" s="88"/>
    </row>
    <row r="121" spans="1:25" ht="45" x14ac:dyDescent="0.25">
      <c r="A121" s="86" t="s">
        <v>871</v>
      </c>
      <c r="B121" s="86" t="s">
        <v>42</v>
      </c>
      <c r="C121" s="86" t="s">
        <v>28</v>
      </c>
      <c r="D121" s="87"/>
      <c r="E121" s="58" t="s">
        <v>164</v>
      </c>
      <c r="F121" s="24"/>
      <c r="G121" s="424"/>
      <c r="H121" s="313" t="str">
        <f>IFERROR(HYPERLINK("#'Appendix A'!E"&amp;ROW(INDEX(Table23[DSorder],MATCH(cyberRisk[[#This Row],[AppAref]],Table23[DSorder],0))),"GO"),"")</f>
        <v/>
      </c>
      <c r="I121" s="86" t="str">
        <f>cyberRisk[[#This Row],[Component]]&amp;cyberRisk[[#This Row],[Maturity Level]]</f>
        <v>StaffingEvolving</v>
      </c>
      <c r="J121" s="86" t="str">
        <f>cyberRisk[[#This Row],[workArea]]&amp;cyberRisk[[#This Row],[Y, Y(C), N]]</f>
        <v>StaffingEvolving</v>
      </c>
      <c r="K121" s="184"/>
      <c r="L121" s="184"/>
      <c r="M121" s="184" t="str">
        <f t="shared" si="3"/>
        <v>Cyber Risk Management and Oversight</v>
      </c>
      <c r="N121" s="184">
        <f>IF(cyberRisk[[#This Row],[Y, Y(C), N]]=yes,1,0)</f>
        <v>0</v>
      </c>
      <c r="O121" s="184">
        <f>IF(cyberRisk[[#This Row],[Y, Y(C), N]]=yesCC,1,0)</f>
        <v>0</v>
      </c>
      <c r="P121" s="184">
        <f>IF(cyberRisk[[#This Row],[Y, Y(C), N]]=no,1,0)</f>
        <v>0</v>
      </c>
      <c r="Q121" s="184">
        <f>IF(cyberRisk[[#This Row],[Y, Y(C), N]]=NotAvail,1,0)</f>
        <v>0</v>
      </c>
      <c r="R121" s="92"/>
      <c r="S121" s="88"/>
      <c r="T121" s="88"/>
      <c r="U121" s="88"/>
      <c r="V121" s="88"/>
      <c r="W121" s="88"/>
      <c r="X121" s="88"/>
      <c r="Y121" s="88"/>
    </row>
    <row r="122" spans="1:25" ht="30" x14ac:dyDescent="0.25">
      <c r="A122" s="86" t="s">
        <v>871</v>
      </c>
      <c r="B122" s="86" t="s">
        <v>42</v>
      </c>
      <c r="C122" s="86" t="s">
        <v>29</v>
      </c>
      <c r="D122" s="87"/>
      <c r="E122" s="58" t="s">
        <v>165</v>
      </c>
      <c r="F122" s="24"/>
      <c r="G122" s="424"/>
      <c r="H122" s="313" t="str">
        <f>IFERROR(HYPERLINK("#'Appendix A'!E"&amp;ROW(INDEX(Table23[DSorder],MATCH(cyberRisk[[#This Row],[AppAref]],Table23[DSorder],0))),"GO"),"")</f>
        <v/>
      </c>
      <c r="I122" s="86" t="str">
        <f>cyberRisk[[#This Row],[Component]]&amp;cyberRisk[[#This Row],[Maturity Level]]</f>
        <v>StaffingIntermediate</v>
      </c>
      <c r="J122" s="86" t="str">
        <f>cyberRisk[[#This Row],[workArea]]&amp;cyberRisk[[#This Row],[Y, Y(C), N]]</f>
        <v>StaffingIntermediate</v>
      </c>
      <c r="K122" s="184"/>
      <c r="L122" s="184"/>
      <c r="M122" s="184" t="str">
        <f t="shared" si="3"/>
        <v>Cyber Risk Management and Oversight</v>
      </c>
      <c r="N122" s="184">
        <f>IF(cyberRisk[[#This Row],[Y, Y(C), N]]=yes,1,0)</f>
        <v>0</v>
      </c>
      <c r="O122" s="184">
        <f>IF(cyberRisk[[#This Row],[Y, Y(C), N]]=yesCC,1,0)</f>
        <v>0</v>
      </c>
      <c r="P122" s="184">
        <f>IF(cyberRisk[[#This Row],[Y, Y(C), N]]=no,1,0)</f>
        <v>0</v>
      </c>
      <c r="Q122" s="184">
        <f>IF(cyberRisk[[#This Row],[Y, Y(C), N]]=NotAvail,1,0)</f>
        <v>0</v>
      </c>
      <c r="R122" s="92"/>
      <c r="S122" s="88"/>
      <c r="T122" s="88"/>
      <c r="U122" s="88"/>
      <c r="V122" s="88"/>
      <c r="W122" s="88"/>
      <c r="X122" s="88"/>
      <c r="Y122" s="88"/>
    </row>
    <row r="123" spans="1:25" ht="30" x14ac:dyDescent="0.25">
      <c r="A123" s="86" t="s">
        <v>871</v>
      </c>
      <c r="B123" s="86" t="s">
        <v>42</v>
      </c>
      <c r="C123" s="86" t="s">
        <v>30</v>
      </c>
      <c r="D123" s="87"/>
      <c r="E123" s="58" t="s">
        <v>166</v>
      </c>
      <c r="F123" s="24"/>
      <c r="G123" s="424"/>
      <c r="H123" s="313" t="str">
        <f>IFERROR(HYPERLINK("#'Appendix A'!E"&amp;ROW(INDEX(Table23[DSorder],MATCH(cyberRisk[[#This Row],[AppAref]],Table23[DSorder],0))),"GO"),"")</f>
        <v/>
      </c>
      <c r="I123" s="86" t="str">
        <f>cyberRisk[[#This Row],[Component]]&amp;cyberRisk[[#This Row],[Maturity Level]]</f>
        <v>StaffingAdvanced</v>
      </c>
      <c r="J123" s="86" t="str">
        <f>cyberRisk[[#This Row],[workArea]]&amp;cyberRisk[[#This Row],[Y, Y(C), N]]</f>
        <v>StaffingAdvanced</v>
      </c>
      <c r="K123" s="184"/>
      <c r="L123" s="184"/>
      <c r="M123" s="184" t="str">
        <f t="shared" si="3"/>
        <v>Cyber Risk Management and Oversight</v>
      </c>
      <c r="N123" s="184">
        <f>IF(cyberRisk[[#This Row],[Y, Y(C), N]]=yes,1,0)</f>
        <v>0</v>
      </c>
      <c r="O123" s="184">
        <f>IF(cyberRisk[[#This Row],[Y, Y(C), N]]=yesCC,1,0)</f>
        <v>0</v>
      </c>
      <c r="P123" s="184">
        <f>IF(cyberRisk[[#This Row],[Y, Y(C), N]]=no,1,0)</f>
        <v>0</v>
      </c>
      <c r="Q123" s="184">
        <f>IF(cyberRisk[[#This Row],[Y, Y(C), N]]=NotAvail,1,0)</f>
        <v>0</v>
      </c>
      <c r="R123" s="92"/>
      <c r="S123" s="88"/>
      <c r="T123" s="88"/>
      <c r="U123" s="88"/>
      <c r="V123" s="88"/>
      <c r="W123" s="88"/>
      <c r="X123" s="88"/>
      <c r="Y123" s="88"/>
    </row>
    <row r="124" spans="1:25" ht="30" x14ac:dyDescent="0.25">
      <c r="A124" s="86" t="s">
        <v>871</v>
      </c>
      <c r="B124" s="86" t="s">
        <v>42</v>
      </c>
      <c r="C124" s="86" t="s">
        <v>30</v>
      </c>
      <c r="D124" s="87"/>
      <c r="E124" s="58" t="s">
        <v>167</v>
      </c>
      <c r="F124" s="24"/>
      <c r="G124" s="424"/>
      <c r="H124" s="313" t="str">
        <f>IFERROR(HYPERLINK("#'Appendix A'!E"&amp;ROW(INDEX(Table23[DSorder],MATCH(cyberRisk[[#This Row],[AppAref]],Table23[DSorder],0))),"GO"),"")</f>
        <v/>
      </c>
      <c r="I124" s="86" t="str">
        <f>cyberRisk[[#This Row],[Component]]&amp;cyberRisk[[#This Row],[Maturity Level]]</f>
        <v>StaffingAdvanced</v>
      </c>
      <c r="J124" s="86" t="str">
        <f>cyberRisk[[#This Row],[workArea]]&amp;cyberRisk[[#This Row],[Y, Y(C), N]]</f>
        <v>StaffingAdvanced</v>
      </c>
      <c r="K124" s="184"/>
      <c r="L124" s="184"/>
      <c r="M124" s="184" t="str">
        <f t="shared" si="3"/>
        <v>Cyber Risk Management and Oversight</v>
      </c>
      <c r="N124" s="184">
        <f>IF(cyberRisk[[#This Row],[Y, Y(C), N]]=yes,1,0)</f>
        <v>0</v>
      </c>
      <c r="O124" s="184">
        <f>IF(cyberRisk[[#This Row],[Y, Y(C), N]]=yesCC,1,0)</f>
        <v>0</v>
      </c>
      <c r="P124" s="184">
        <f>IF(cyberRisk[[#This Row],[Y, Y(C), N]]=no,1,0)</f>
        <v>0</v>
      </c>
      <c r="Q124" s="184">
        <f>IF(cyberRisk[[#This Row],[Y, Y(C), N]]=NotAvail,1,0)</f>
        <v>0</v>
      </c>
      <c r="R124" s="92"/>
      <c r="S124" s="88"/>
      <c r="T124" s="88"/>
      <c r="U124" s="88"/>
      <c r="V124" s="88"/>
      <c r="W124" s="88"/>
      <c r="X124" s="88"/>
      <c r="Y124" s="88"/>
    </row>
    <row r="125" spans="1:25" ht="30" x14ac:dyDescent="0.25">
      <c r="A125" s="86" t="s">
        <v>871</v>
      </c>
      <c r="B125" s="86" t="s">
        <v>42</v>
      </c>
      <c r="C125" s="86" t="s">
        <v>31</v>
      </c>
      <c r="D125" s="87"/>
      <c r="E125" s="58" t="s">
        <v>168</v>
      </c>
      <c r="F125" s="24"/>
      <c r="G125" s="424"/>
      <c r="H125" s="313" t="str">
        <f>IFERROR(HYPERLINK("#'Appendix A'!E"&amp;ROW(INDEX(Table23[DSorder],MATCH(cyberRisk[[#This Row],[AppAref]],Table23[DSorder],0))),"GO"),"")</f>
        <v/>
      </c>
      <c r="I125" s="86" t="str">
        <f>cyberRisk[[#This Row],[Component]]&amp;cyberRisk[[#This Row],[Maturity Level]]</f>
        <v>StaffingInnovative</v>
      </c>
      <c r="J125" s="86" t="str">
        <f>cyberRisk[[#This Row],[workArea]]&amp;cyberRisk[[#This Row],[Y, Y(C), N]]</f>
        <v>StaffingInnovative</v>
      </c>
      <c r="K125" s="184"/>
      <c r="L125" s="184"/>
      <c r="M125" s="184" t="str">
        <f t="shared" si="3"/>
        <v>Cyber Risk Management and Oversight</v>
      </c>
      <c r="N125" s="184">
        <f>IF(cyberRisk[[#This Row],[Y, Y(C), N]]=yes,1,0)</f>
        <v>0</v>
      </c>
      <c r="O125" s="184">
        <f>IF(cyberRisk[[#This Row],[Y, Y(C), N]]=yesCC,1,0)</f>
        <v>0</v>
      </c>
      <c r="P125" s="184">
        <f>IF(cyberRisk[[#This Row],[Y, Y(C), N]]=no,1,0)</f>
        <v>0</v>
      </c>
      <c r="Q125" s="184">
        <f>IF(cyberRisk[[#This Row],[Y, Y(C), N]]=NotAvail,1,0)</f>
        <v>0</v>
      </c>
      <c r="R125" s="92"/>
      <c r="S125" s="88"/>
      <c r="T125" s="88"/>
      <c r="U125" s="88"/>
      <c r="V125" s="88"/>
      <c r="W125" s="88"/>
      <c r="X125" s="88"/>
      <c r="Y125" s="88"/>
    </row>
    <row r="126" spans="1:25" ht="30" x14ac:dyDescent="0.25">
      <c r="A126" s="86" t="s">
        <v>43</v>
      </c>
      <c r="B126" s="86" t="s">
        <v>44</v>
      </c>
      <c r="C126" s="86" t="s">
        <v>27</v>
      </c>
      <c r="D126" s="87"/>
      <c r="E126" s="58" t="s">
        <v>867</v>
      </c>
      <c r="F126"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66</v>
      </c>
      <c r="G126" s="424"/>
      <c r="H126" s="313" t="str">
        <f>IFERROR(HYPERLINK("#'Appendix A'!E"&amp;ROW(INDEX(Table23[DSorder],MATCH(cyberRisk[[#This Row],[AppAref]],Table23[DSorder],0))),"GO"),"")</f>
        <v>GO</v>
      </c>
      <c r="I126" s="86" t="str">
        <f>cyberRisk[[#This Row],[Component]]&amp;cyberRisk[[#This Row],[Maturity Level]]</f>
        <v>TrainingBaseline</v>
      </c>
      <c r="J126" s="86" t="str">
        <f>cyberRisk[[#This Row],[workArea]]&amp;cyberRisk[[#This Row],[Y, Y(C), N]]</f>
        <v>TrainingBaseline</v>
      </c>
      <c r="K126" s="184">
        <v>24</v>
      </c>
      <c r="L126" s="184">
        <f>IFERROR(MATCH(cyberRisk[[#This Row],[Ref No.]],hyperlinkLU[Reference No.],0),cyberRisk[[#This Row],[Ref No.]])</f>
        <v>25</v>
      </c>
      <c r="M126" s="184" t="str">
        <f t="shared" si="3"/>
        <v>Cyber Risk Management and Oversight</v>
      </c>
      <c r="N126" s="184">
        <f>IF(cyberRisk[[#This Row],[Y, Y(C), N]]=yes,1,0)</f>
        <v>0</v>
      </c>
      <c r="O126" s="184">
        <f>IF(cyberRisk[[#This Row],[Y, Y(C), N]]=yesCC,1,0)</f>
        <v>0</v>
      </c>
      <c r="P126" s="184">
        <f>IF(cyberRisk[[#This Row],[Y, Y(C), N]]=no,1,0)</f>
        <v>0</v>
      </c>
      <c r="Q126" s="184">
        <f>IF(cyberRisk[[#This Row],[Y, Y(C), N]]=NotAvail,1,0)</f>
        <v>0</v>
      </c>
      <c r="R126" s="92">
        <v>27</v>
      </c>
      <c r="S126" s="88"/>
      <c r="T126" s="88"/>
      <c r="U126" s="88"/>
      <c r="V126" s="88"/>
      <c r="W126" s="88"/>
      <c r="X126" s="88"/>
      <c r="Y126" s="88"/>
    </row>
    <row r="127" spans="1:25" ht="45" x14ac:dyDescent="0.25">
      <c r="A127" s="86" t="s">
        <v>43</v>
      </c>
      <c r="B127" s="86" t="s">
        <v>44</v>
      </c>
      <c r="C127" s="86" t="s">
        <v>27</v>
      </c>
      <c r="D127" s="87"/>
      <c r="E127" s="58" t="s">
        <v>169</v>
      </c>
      <c r="F127"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66</v>
      </c>
      <c r="G127" s="424"/>
      <c r="H127" s="313" t="str">
        <f>IFERROR(HYPERLINK("#'Appendix A'!E"&amp;ROW(INDEX(Table23[DSorder],MATCH(cyberRisk[[#This Row],[AppAref]],Table23[DSorder],0))),"GO"),"")</f>
        <v>GO</v>
      </c>
      <c r="I127" s="86" t="str">
        <f>cyberRisk[[#This Row],[Component]]&amp;cyberRisk[[#This Row],[Maturity Level]]</f>
        <v>TrainingBaseline</v>
      </c>
      <c r="J127" s="86" t="str">
        <f>cyberRisk[[#This Row],[workArea]]&amp;cyberRisk[[#This Row],[Y, Y(C), N]]</f>
        <v>TrainingBaseline</v>
      </c>
      <c r="K127" s="184">
        <v>25</v>
      </c>
      <c r="L127" s="184">
        <f>IFERROR(MATCH(cyberRisk[[#This Row],[Ref No.]],hyperlinkLU[Reference No.],0),cyberRisk[[#This Row],[Ref No.]])</f>
        <v>26</v>
      </c>
      <c r="M127" s="184" t="str">
        <f t="shared" si="3"/>
        <v>Cyber Risk Management and Oversight</v>
      </c>
      <c r="N127" s="184">
        <f>IF(cyberRisk[[#This Row],[Y, Y(C), N]]=yes,1,0)</f>
        <v>0</v>
      </c>
      <c r="O127" s="184">
        <f>IF(cyberRisk[[#This Row],[Y, Y(C), N]]=yesCC,1,0)</f>
        <v>0</v>
      </c>
      <c r="P127" s="184">
        <f>IF(cyberRisk[[#This Row],[Y, Y(C), N]]=no,1,0)</f>
        <v>0</v>
      </c>
      <c r="Q127" s="184">
        <f>IF(cyberRisk[[#This Row],[Y, Y(C), N]]=NotAvail,1,0)</f>
        <v>0</v>
      </c>
      <c r="R127" s="92">
        <v>28</v>
      </c>
      <c r="S127" s="88"/>
      <c r="T127" s="88"/>
      <c r="U127" s="88"/>
      <c r="V127" s="88"/>
      <c r="W127" s="88"/>
      <c r="X127" s="88"/>
      <c r="Y127" s="88"/>
    </row>
    <row r="128" spans="1:25" ht="45" x14ac:dyDescent="0.25">
      <c r="A128" s="86" t="s">
        <v>43</v>
      </c>
      <c r="B128" s="86" t="s">
        <v>44</v>
      </c>
      <c r="C128" s="86" t="s">
        <v>27</v>
      </c>
      <c r="D128" s="87"/>
      <c r="E128" s="58" t="s">
        <v>170</v>
      </c>
      <c r="F128"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66</v>
      </c>
      <c r="G128" s="423"/>
      <c r="H128" s="29" t="str">
        <f>IFERROR(HYPERLINK("#'Appendix A'!E"&amp;ROW(INDEX(Table23[DSorder],MATCH(cyberRisk[[#This Row],[AppAref]],Table23[DSorder],0))),"GO"),"")</f>
        <v>GO</v>
      </c>
      <c r="I128" s="86" t="str">
        <f>cyberRisk[[#This Row],[Component]]&amp;cyberRisk[[#This Row],[Maturity Level]]</f>
        <v>TrainingBaseline</v>
      </c>
      <c r="J128" s="86" t="str">
        <f>cyberRisk[[#This Row],[workArea]]&amp;cyberRisk[[#This Row],[Y, Y(C), N]]</f>
        <v>TrainingBaseline</v>
      </c>
      <c r="K128" s="184">
        <v>25</v>
      </c>
      <c r="L128" s="184">
        <f>IFERROR(MATCH(cyberRisk[[#This Row],[Ref No.]],hyperlinkLU[Reference No.],0),cyberRisk[[#This Row],[Ref No.]])</f>
        <v>26</v>
      </c>
      <c r="M128" s="184" t="str">
        <f t="shared" si="3"/>
        <v>Cyber Risk Management and Oversight</v>
      </c>
      <c r="N128" s="184">
        <f>IF(cyberRisk[[#This Row],[Y, Y(C), N]]=yes,1,0)</f>
        <v>0</v>
      </c>
      <c r="O128" s="184">
        <f>IF(cyberRisk[[#This Row],[Y, Y(C), N]]=yesCC,1,0)</f>
        <v>0</v>
      </c>
      <c r="P128" s="184">
        <f>IF(cyberRisk[[#This Row],[Y, Y(C), N]]=no,1,0)</f>
        <v>0</v>
      </c>
      <c r="Q128" s="184">
        <f>IF(cyberRisk[[#This Row],[Y, Y(C), N]]=NotAvail,1,0)</f>
        <v>0</v>
      </c>
      <c r="R128" s="92">
        <v>29</v>
      </c>
      <c r="S128" s="88"/>
      <c r="T128" s="88"/>
      <c r="U128" s="88"/>
      <c r="V128" s="88"/>
      <c r="W128" s="88"/>
      <c r="X128" s="88"/>
      <c r="Y128" s="88"/>
    </row>
    <row r="129" spans="1:25" ht="30" x14ac:dyDescent="0.25">
      <c r="A129" s="86" t="s">
        <v>43</v>
      </c>
      <c r="B129" s="86" t="s">
        <v>44</v>
      </c>
      <c r="C129" s="86" t="s">
        <v>27</v>
      </c>
      <c r="D129" s="87"/>
      <c r="E129" s="58" t="s">
        <v>171</v>
      </c>
      <c r="F129"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E-Banking Work Program, Objective 6-3</v>
      </c>
      <c r="G129" s="424"/>
      <c r="H129" s="313" t="str">
        <f>IFERROR(HYPERLINK("#'Appendix A'!E"&amp;ROW(INDEX(Table23[DSorder],MATCH(cyberRisk[[#This Row],[AppAref]],Table23[DSorder],0))),"GO"),"")</f>
        <v>GO</v>
      </c>
      <c r="I129" s="86" t="str">
        <f>cyberRisk[[#This Row],[Component]]&amp;cyberRisk[[#This Row],[Maturity Level]]</f>
        <v>TrainingBaseline</v>
      </c>
      <c r="J129" s="86" t="str">
        <f>cyberRisk[[#This Row],[workArea]]&amp;cyberRisk[[#This Row],[Y, Y(C), N]]</f>
        <v>TrainingBaseline</v>
      </c>
      <c r="K129" s="184">
        <v>27</v>
      </c>
      <c r="L129" s="184">
        <f>IFERROR(MATCH(cyberRisk[[#This Row],[Ref No.]],hyperlinkLU[Reference No.],0),cyberRisk[[#This Row],[Ref No.]])</f>
        <v>28</v>
      </c>
      <c r="M129" s="184" t="str">
        <f t="shared" si="3"/>
        <v>Cyber Risk Management and Oversight</v>
      </c>
      <c r="N129" s="184">
        <f>IF(cyberRisk[[#This Row],[Y, Y(C), N]]=yes,1,0)</f>
        <v>0</v>
      </c>
      <c r="O129" s="184">
        <f>IF(cyberRisk[[#This Row],[Y, Y(C), N]]=yesCC,1,0)</f>
        <v>0</v>
      </c>
      <c r="P129" s="184">
        <f>IF(cyberRisk[[#This Row],[Y, Y(C), N]]=no,1,0)</f>
        <v>0</v>
      </c>
      <c r="Q129" s="184">
        <f>IF(cyberRisk[[#This Row],[Y, Y(C), N]]=NotAvail,1,0)</f>
        <v>0</v>
      </c>
      <c r="R129" s="92">
        <v>30</v>
      </c>
      <c r="S129" s="88"/>
      <c r="T129" s="88"/>
      <c r="U129" s="88"/>
      <c r="V129" s="88"/>
      <c r="W129" s="88"/>
      <c r="X129" s="88"/>
      <c r="Y129" s="88"/>
    </row>
    <row r="130" spans="1:25" ht="30" x14ac:dyDescent="0.25">
      <c r="A130" s="86" t="s">
        <v>43</v>
      </c>
      <c r="B130" s="86" t="s">
        <v>44</v>
      </c>
      <c r="C130" s="86" t="s">
        <v>28</v>
      </c>
      <c r="D130" s="87"/>
      <c r="E130" s="58" t="s">
        <v>172</v>
      </c>
      <c r="F130" s="24"/>
      <c r="G130" s="424"/>
      <c r="H130" s="313" t="str">
        <f>IFERROR(HYPERLINK("#'Appendix A'!E"&amp;ROW(INDEX(Table23[DSorder],MATCH(cyberRisk[[#This Row],[AppAref]],Table23[DSorder],0))),"GO"),"")</f>
        <v/>
      </c>
      <c r="I130" s="86" t="str">
        <f>cyberRisk[[#This Row],[Component]]&amp;cyberRisk[[#This Row],[Maturity Level]]</f>
        <v>TrainingEvolving</v>
      </c>
      <c r="J130" s="86" t="str">
        <f>cyberRisk[[#This Row],[workArea]]&amp;cyberRisk[[#This Row],[Y, Y(C), N]]</f>
        <v>TrainingEvolving</v>
      </c>
      <c r="K130" s="184"/>
      <c r="L130" s="184"/>
      <c r="M130" s="184" t="str">
        <f t="shared" si="3"/>
        <v>Cyber Risk Management and Oversight</v>
      </c>
      <c r="N130" s="184">
        <f>IF(cyberRisk[[#This Row],[Y, Y(C), N]]=yes,1,0)</f>
        <v>0</v>
      </c>
      <c r="O130" s="184">
        <f>IF(cyberRisk[[#This Row],[Y, Y(C), N]]=yesCC,1,0)</f>
        <v>0</v>
      </c>
      <c r="P130" s="184">
        <f>IF(cyberRisk[[#This Row],[Y, Y(C), N]]=no,1,0)</f>
        <v>0</v>
      </c>
      <c r="Q130" s="184">
        <f>IF(cyberRisk[[#This Row],[Y, Y(C), N]]=NotAvail,1,0)</f>
        <v>0</v>
      </c>
      <c r="R130" s="92"/>
      <c r="S130" s="88"/>
      <c r="T130" s="88"/>
      <c r="U130" s="88"/>
      <c r="V130" s="88"/>
      <c r="W130" s="88"/>
      <c r="X130" s="88"/>
      <c r="Y130" s="88"/>
    </row>
    <row r="131" spans="1:25" ht="30" x14ac:dyDescent="0.25">
      <c r="A131" s="86" t="s">
        <v>43</v>
      </c>
      <c r="B131" s="86" t="s">
        <v>44</v>
      </c>
      <c r="C131" s="86" t="s">
        <v>28</v>
      </c>
      <c r="D131" s="87"/>
      <c r="E131" s="58" t="s">
        <v>173</v>
      </c>
      <c r="F131" s="24"/>
      <c r="G131" s="424"/>
      <c r="H131" s="313" t="str">
        <f>IFERROR(HYPERLINK("#'Appendix A'!E"&amp;ROW(INDEX(Table23[DSorder],MATCH(cyberRisk[[#This Row],[AppAref]],Table23[DSorder],0))),"GO"),"")</f>
        <v/>
      </c>
      <c r="I131" s="86" t="str">
        <f>cyberRisk[[#This Row],[Component]]&amp;cyberRisk[[#This Row],[Maturity Level]]</f>
        <v>TrainingEvolving</v>
      </c>
      <c r="J131" s="86" t="str">
        <f>cyberRisk[[#This Row],[workArea]]&amp;cyberRisk[[#This Row],[Y, Y(C), N]]</f>
        <v>TrainingEvolving</v>
      </c>
      <c r="K131" s="184"/>
      <c r="L131" s="184"/>
      <c r="M131" s="184" t="str">
        <f t="shared" si="3"/>
        <v>Cyber Risk Management and Oversight</v>
      </c>
      <c r="N131" s="184">
        <f>IF(cyberRisk[[#This Row],[Y, Y(C), N]]=yes,1,0)</f>
        <v>0</v>
      </c>
      <c r="O131" s="184">
        <f>IF(cyberRisk[[#This Row],[Y, Y(C), N]]=yesCC,1,0)</f>
        <v>0</v>
      </c>
      <c r="P131" s="184">
        <f>IF(cyberRisk[[#This Row],[Y, Y(C), N]]=no,1,0)</f>
        <v>0</v>
      </c>
      <c r="Q131" s="184">
        <f>IF(cyberRisk[[#This Row],[Y, Y(C), N]]=NotAvail,1,0)</f>
        <v>0</v>
      </c>
      <c r="R131" s="92"/>
      <c r="S131" s="88"/>
      <c r="T131" s="88"/>
      <c r="U131" s="88"/>
      <c r="V131" s="88"/>
      <c r="W131" s="88"/>
      <c r="X131" s="88"/>
      <c r="Y131" s="88"/>
    </row>
    <row r="132" spans="1:25" ht="30" x14ac:dyDescent="0.25">
      <c r="A132" s="86" t="s">
        <v>43</v>
      </c>
      <c r="B132" s="86" t="s">
        <v>44</v>
      </c>
      <c r="C132" s="86" t="s">
        <v>28</v>
      </c>
      <c r="D132" s="87"/>
      <c r="E132" s="58" t="s">
        <v>174</v>
      </c>
      <c r="F132" s="24"/>
      <c r="G132" s="424"/>
      <c r="H132" s="313" t="str">
        <f>IFERROR(HYPERLINK("#'Appendix A'!E"&amp;ROW(INDEX(Table23[DSorder],MATCH(cyberRisk[[#This Row],[AppAref]],Table23[DSorder],0))),"GO"),"")</f>
        <v/>
      </c>
      <c r="I132" s="86" t="str">
        <f>cyberRisk[[#This Row],[Component]]&amp;cyberRisk[[#This Row],[Maturity Level]]</f>
        <v>TrainingEvolving</v>
      </c>
      <c r="J132" s="86" t="str">
        <f>cyberRisk[[#This Row],[workArea]]&amp;cyberRisk[[#This Row],[Y, Y(C), N]]</f>
        <v>TrainingEvolving</v>
      </c>
      <c r="K132" s="184"/>
      <c r="L132" s="184"/>
      <c r="M132" s="184" t="str">
        <f t="shared" si="3"/>
        <v>Cyber Risk Management and Oversight</v>
      </c>
      <c r="N132" s="184">
        <f>IF(cyberRisk[[#This Row],[Y, Y(C), N]]=yes,1,0)</f>
        <v>0</v>
      </c>
      <c r="O132" s="184">
        <f>IF(cyberRisk[[#This Row],[Y, Y(C), N]]=yesCC,1,0)</f>
        <v>0</v>
      </c>
      <c r="P132" s="184">
        <f>IF(cyberRisk[[#This Row],[Y, Y(C), N]]=no,1,0)</f>
        <v>0</v>
      </c>
      <c r="Q132" s="184">
        <f>IF(cyberRisk[[#This Row],[Y, Y(C), N]]=NotAvail,1,0)</f>
        <v>0</v>
      </c>
      <c r="R132" s="92"/>
      <c r="S132" s="88"/>
      <c r="T132" s="88"/>
      <c r="U132" s="88"/>
      <c r="V132" s="88"/>
      <c r="W132" s="88"/>
      <c r="X132" s="88"/>
      <c r="Y132" s="88"/>
    </row>
    <row r="133" spans="1:25" ht="30" x14ac:dyDescent="0.25">
      <c r="A133" s="86" t="s">
        <v>43</v>
      </c>
      <c r="B133" s="86" t="s">
        <v>44</v>
      </c>
      <c r="C133" s="86" t="s">
        <v>28</v>
      </c>
      <c r="D133" s="87"/>
      <c r="E133" s="58" t="s">
        <v>175</v>
      </c>
      <c r="F133" s="24"/>
      <c r="G133" s="424"/>
      <c r="H133" s="313" t="str">
        <f>IFERROR(HYPERLINK("#'Appendix A'!E"&amp;ROW(INDEX(Table23[DSorder],MATCH(cyberRisk[[#This Row],[AppAref]],Table23[DSorder],0))),"GO"),"")</f>
        <v/>
      </c>
      <c r="I133" s="86" t="str">
        <f>cyberRisk[[#This Row],[Component]]&amp;cyberRisk[[#This Row],[Maturity Level]]</f>
        <v>TrainingEvolving</v>
      </c>
      <c r="J133" s="86" t="str">
        <f>cyberRisk[[#This Row],[workArea]]&amp;cyberRisk[[#This Row],[Y, Y(C), N]]</f>
        <v>TrainingEvolving</v>
      </c>
      <c r="K133" s="184"/>
      <c r="L133" s="184"/>
      <c r="M133" s="184" t="str">
        <f t="shared" si="3"/>
        <v>Cyber Risk Management and Oversight</v>
      </c>
      <c r="N133" s="184">
        <f>IF(cyberRisk[[#This Row],[Y, Y(C), N]]=yes,1,0)</f>
        <v>0</v>
      </c>
      <c r="O133" s="184">
        <f>IF(cyberRisk[[#This Row],[Y, Y(C), N]]=yesCC,1,0)</f>
        <v>0</v>
      </c>
      <c r="P133" s="184">
        <f>IF(cyberRisk[[#This Row],[Y, Y(C), N]]=no,1,0)</f>
        <v>0</v>
      </c>
      <c r="Q133" s="184">
        <f>IF(cyberRisk[[#This Row],[Y, Y(C), N]]=NotAvail,1,0)</f>
        <v>0</v>
      </c>
      <c r="R133" s="92"/>
      <c r="S133" s="88"/>
      <c r="T133" s="88"/>
      <c r="U133" s="88"/>
      <c r="V133" s="88"/>
      <c r="W133" s="88"/>
      <c r="X133" s="88"/>
      <c r="Y133" s="88"/>
    </row>
    <row r="134" spans="1:25" ht="30" x14ac:dyDescent="0.25">
      <c r="A134" s="86" t="s">
        <v>43</v>
      </c>
      <c r="B134" s="86" t="s">
        <v>44</v>
      </c>
      <c r="C134" s="86" t="s">
        <v>28</v>
      </c>
      <c r="D134" s="87"/>
      <c r="E134" s="58" t="s">
        <v>176</v>
      </c>
      <c r="F134" s="24"/>
      <c r="G134" s="424"/>
      <c r="H134" s="313" t="str">
        <f>IFERROR(HYPERLINK("#'Appendix A'!E"&amp;ROW(INDEX(Table23[DSorder],MATCH(cyberRisk[[#This Row],[AppAref]],Table23[DSorder],0))),"GO"),"")</f>
        <v/>
      </c>
      <c r="I134" s="86" t="str">
        <f>cyberRisk[[#This Row],[Component]]&amp;cyberRisk[[#This Row],[Maturity Level]]</f>
        <v>TrainingEvolving</v>
      </c>
      <c r="J134" s="86" t="str">
        <f>cyberRisk[[#This Row],[workArea]]&amp;cyberRisk[[#This Row],[Y, Y(C), N]]</f>
        <v>TrainingEvolving</v>
      </c>
      <c r="K134" s="184"/>
      <c r="L134" s="184"/>
      <c r="M134" s="184" t="str">
        <f t="shared" si="3"/>
        <v>Cyber Risk Management and Oversight</v>
      </c>
      <c r="N134" s="184">
        <f>IF(cyberRisk[[#This Row],[Y, Y(C), N]]=yes,1,0)</f>
        <v>0</v>
      </c>
      <c r="O134" s="184">
        <f>IF(cyberRisk[[#This Row],[Y, Y(C), N]]=yesCC,1,0)</f>
        <v>0</v>
      </c>
      <c r="P134" s="184">
        <f>IF(cyberRisk[[#This Row],[Y, Y(C), N]]=no,1,0)</f>
        <v>0</v>
      </c>
      <c r="Q134" s="184">
        <f>IF(cyberRisk[[#This Row],[Y, Y(C), N]]=NotAvail,1,0)</f>
        <v>0</v>
      </c>
      <c r="R134" s="92"/>
      <c r="S134" s="88"/>
      <c r="T134" s="88"/>
      <c r="U134" s="88"/>
      <c r="V134" s="88"/>
      <c r="W134" s="88"/>
      <c r="X134" s="88"/>
      <c r="Y134" s="88"/>
    </row>
    <row r="135" spans="1:25" ht="30" x14ac:dyDescent="0.25">
      <c r="A135" s="86" t="s">
        <v>43</v>
      </c>
      <c r="B135" s="86" t="s">
        <v>44</v>
      </c>
      <c r="C135" s="86" t="s">
        <v>29</v>
      </c>
      <c r="D135" s="87"/>
      <c r="E135" s="58" t="s">
        <v>177</v>
      </c>
      <c r="F135" s="24"/>
      <c r="G135" s="424"/>
      <c r="H135" s="313" t="str">
        <f>IFERROR(HYPERLINK("#'Appendix A'!E"&amp;ROW(INDEX(Table23[DSorder],MATCH(cyberRisk[[#This Row],[AppAref]],Table23[DSorder],0))),"GO"),"")</f>
        <v/>
      </c>
      <c r="I135" s="86" t="str">
        <f>cyberRisk[[#This Row],[Component]]&amp;cyberRisk[[#This Row],[Maturity Level]]</f>
        <v>TrainingIntermediate</v>
      </c>
      <c r="J135" s="86" t="str">
        <f>cyberRisk[[#This Row],[workArea]]&amp;cyberRisk[[#This Row],[Y, Y(C), N]]</f>
        <v>TrainingIntermediate</v>
      </c>
      <c r="K135" s="184"/>
      <c r="L135" s="184"/>
      <c r="M135" s="184" t="str">
        <f t="shared" si="3"/>
        <v>Cyber Risk Management and Oversight</v>
      </c>
      <c r="N135" s="184">
        <f>IF(cyberRisk[[#This Row],[Y, Y(C), N]]=yes,1,0)</f>
        <v>0</v>
      </c>
      <c r="O135" s="184">
        <f>IF(cyberRisk[[#This Row],[Y, Y(C), N]]=yesCC,1,0)</f>
        <v>0</v>
      </c>
      <c r="P135" s="184">
        <f>IF(cyberRisk[[#This Row],[Y, Y(C), N]]=no,1,0)</f>
        <v>0</v>
      </c>
      <c r="Q135" s="184">
        <f>IF(cyberRisk[[#This Row],[Y, Y(C), N]]=NotAvail,1,0)</f>
        <v>0</v>
      </c>
      <c r="R135" s="92"/>
      <c r="S135" s="88"/>
      <c r="T135" s="88"/>
      <c r="U135" s="88"/>
      <c r="V135" s="88"/>
      <c r="W135" s="88"/>
      <c r="X135" s="88"/>
      <c r="Y135" s="88"/>
    </row>
    <row r="136" spans="1:25" ht="30" x14ac:dyDescent="0.25">
      <c r="A136" s="86" t="s">
        <v>43</v>
      </c>
      <c r="B136" s="86" t="s">
        <v>44</v>
      </c>
      <c r="C136" s="86" t="s">
        <v>29</v>
      </c>
      <c r="D136" s="87"/>
      <c r="E136" s="58" t="s">
        <v>178</v>
      </c>
      <c r="F136" s="24"/>
      <c r="G136" s="424"/>
      <c r="H136" s="313" t="str">
        <f>IFERROR(HYPERLINK("#'Appendix A'!E"&amp;ROW(INDEX(Table23[DSorder],MATCH(cyberRisk[[#This Row],[AppAref]],Table23[DSorder],0))),"GO"),"")</f>
        <v/>
      </c>
      <c r="I136" s="86" t="str">
        <f>cyberRisk[[#This Row],[Component]]&amp;cyberRisk[[#This Row],[Maturity Level]]</f>
        <v>TrainingIntermediate</v>
      </c>
      <c r="J136" s="86" t="str">
        <f>cyberRisk[[#This Row],[workArea]]&amp;cyberRisk[[#This Row],[Y, Y(C), N]]</f>
        <v>TrainingIntermediate</v>
      </c>
      <c r="K136" s="184"/>
      <c r="L136" s="184"/>
      <c r="M136" s="184" t="str">
        <f t="shared" si="3"/>
        <v>Cyber Risk Management and Oversight</v>
      </c>
      <c r="N136" s="184">
        <f>IF(cyberRisk[[#This Row],[Y, Y(C), N]]=yes,1,0)</f>
        <v>0</v>
      </c>
      <c r="O136" s="184">
        <f>IF(cyberRisk[[#This Row],[Y, Y(C), N]]=yesCC,1,0)</f>
        <v>0</v>
      </c>
      <c r="P136" s="184">
        <f>IF(cyberRisk[[#This Row],[Y, Y(C), N]]=no,1,0)</f>
        <v>0</v>
      </c>
      <c r="Q136" s="184">
        <f>IF(cyberRisk[[#This Row],[Y, Y(C), N]]=NotAvail,1,0)</f>
        <v>0</v>
      </c>
      <c r="R136" s="92"/>
      <c r="S136" s="88"/>
      <c r="T136" s="88"/>
      <c r="U136" s="88"/>
      <c r="V136" s="88"/>
      <c r="W136" s="88"/>
      <c r="X136" s="88"/>
      <c r="Y136" s="88"/>
    </row>
    <row r="137" spans="1:25" ht="30" x14ac:dyDescent="0.25">
      <c r="A137" s="86" t="s">
        <v>43</v>
      </c>
      <c r="B137" s="86" t="s">
        <v>44</v>
      </c>
      <c r="C137" s="86" t="s">
        <v>29</v>
      </c>
      <c r="D137" s="87"/>
      <c r="E137" s="58" t="s">
        <v>179</v>
      </c>
      <c r="F137" s="24"/>
      <c r="G137" s="424"/>
      <c r="H137" s="313" t="str">
        <f>IFERROR(HYPERLINK("#'Appendix A'!E"&amp;ROW(INDEX(Table23[DSorder],MATCH(cyberRisk[[#This Row],[AppAref]],Table23[DSorder],0))),"GO"),"")</f>
        <v/>
      </c>
      <c r="I137" s="86" t="str">
        <f>cyberRisk[[#This Row],[Component]]&amp;cyberRisk[[#This Row],[Maturity Level]]</f>
        <v>TrainingIntermediate</v>
      </c>
      <c r="J137" s="86" t="str">
        <f>cyberRisk[[#This Row],[workArea]]&amp;cyberRisk[[#This Row],[Y, Y(C), N]]</f>
        <v>TrainingIntermediate</v>
      </c>
      <c r="K137" s="184"/>
      <c r="L137" s="184"/>
      <c r="M137" s="184" t="str">
        <f t="shared" ref="M137:M149" si="4">TRIM(MID($A$5,FIND(":",$A$5)+2,LEN($A$5)))</f>
        <v>Cyber Risk Management and Oversight</v>
      </c>
      <c r="N137" s="184">
        <f>IF(cyberRisk[[#This Row],[Y, Y(C), N]]=yes,1,0)</f>
        <v>0</v>
      </c>
      <c r="O137" s="184">
        <f>IF(cyberRisk[[#This Row],[Y, Y(C), N]]=yesCC,1,0)</f>
        <v>0</v>
      </c>
      <c r="P137" s="184">
        <f>IF(cyberRisk[[#This Row],[Y, Y(C), N]]=no,1,0)</f>
        <v>0</v>
      </c>
      <c r="Q137" s="184">
        <f>IF(cyberRisk[[#This Row],[Y, Y(C), N]]=NotAvail,1,0)</f>
        <v>0</v>
      </c>
      <c r="R137" s="92"/>
      <c r="S137" s="88"/>
      <c r="T137" s="88"/>
      <c r="U137" s="88"/>
      <c r="V137" s="88"/>
      <c r="W137" s="88"/>
      <c r="X137" s="88"/>
      <c r="Y137" s="88"/>
    </row>
    <row r="138" spans="1:25" ht="30" x14ac:dyDescent="0.25">
      <c r="A138" s="86" t="s">
        <v>43</v>
      </c>
      <c r="B138" s="86" t="s">
        <v>44</v>
      </c>
      <c r="C138" s="86" t="s">
        <v>29</v>
      </c>
      <c r="D138" s="87"/>
      <c r="E138" s="58" t="s">
        <v>180</v>
      </c>
      <c r="F138" s="24"/>
      <c r="G138" s="424"/>
      <c r="H138" s="313" t="str">
        <f>IFERROR(HYPERLINK("#'Appendix A'!E"&amp;ROW(INDEX(Table23[DSorder],MATCH(cyberRisk[[#This Row],[AppAref]],Table23[DSorder],0))),"GO"),"")</f>
        <v/>
      </c>
      <c r="I138" s="86" t="str">
        <f>cyberRisk[[#This Row],[Component]]&amp;cyberRisk[[#This Row],[Maturity Level]]</f>
        <v>TrainingIntermediate</v>
      </c>
      <c r="J138" s="86" t="str">
        <f>cyberRisk[[#This Row],[workArea]]&amp;cyberRisk[[#This Row],[Y, Y(C), N]]</f>
        <v>TrainingIntermediate</v>
      </c>
      <c r="K138" s="184"/>
      <c r="L138" s="184"/>
      <c r="M138" s="184" t="str">
        <f t="shared" si="4"/>
        <v>Cyber Risk Management and Oversight</v>
      </c>
      <c r="N138" s="184">
        <f>IF(cyberRisk[[#This Row],[Y, Y(C), N]]=yes,1,0)</f>
        <v>0</v>
      </c>
      <c r="O138" s="184">
        <f>IF(cyberRisk[[#This Row],[Y, Y(C), N]]=yesCC,1,0)</f>
        <v>0</v>
      </c>
      <c r="P138" s="184">
        <f>IF(cyberRisk[[#This Row],[Y, Y(C), N]]=no,1,0)</f>
        <v>0</v>
      </c>
      <c r="Q138" s="184">
        <f>IF(cyberRisk[[#This Row],[Y, Y(C), N]]=NotAvail,1,0)</f>
        <v>0</v>
      </c>
      <c r="R138" s="92"/>
      <c r="S138" s="88"/>
      <c r="T138" s="88"/>
      <c r="U138" s="88"/>
      <c r="V138" s="88"/>
      <c r="W138" s="88"/>
      <c r="X138" s="88"/>
      <c r="Y138" s="88"/>
    </row>
    <row r="139" spans="1:25" ht="45" x14ac:dyDescent="0.25">
      <c r="A139" s="86" t="s">
        <v>43</v>
      </c>
      <c r="B139" s="86" t="s">
        <v>44</v>
      </c>
      <c r="C139" s="86" t="s">
        <v>30</v>
      </c>
      <c r="D139" s="87"/>
      <c r="E139" s="58" t="s">
        <v>181</v>
      </c>
      <c r="F139" s="24"/>
      <c r="G139" s="424"/>
      <c r="H139" s="313" t="str">
        <f>IFERROR(HYPERLINK("#'Appendix A'!E"&amp;ROW(INDEX(Table23[DSorder],MATCH(cyberRisk[[#This Row],[AppAref]],Table23[DSorder],0))),"GO"),"")</f>
        <v/>
      </c>
      <c r="I139" s="86" t="str">
        <f>cyberRisk[[#This Row],[Component]]&amp;cyberRisk[[#This Row],[Maturity Level]]</f>
        <v>TrainingAdvanced</v>
      </c>
      <c r="J139" s="86" t="str">
        <f>cyberRisk[[#This Row],[workArea]]&amp;cyberRisk[[#This Row],[Y, Y(C), N]]</f>
        <v>TrainingAdvanced</v>
      </c>
      <c r="K139" s="184"/>
      <c r="L139" s="184"/>
      <c r="M139" s="184" t="str">
        <f t="shared" si="4"/>
        <v>Cyber Risk Management and Oversight</v>
      </c>
      <c r="N139" s="184">
        <f>IF(cyberRisk[[#This Row],[Y, Y(C), N]]=yes,1,0)</f>
        <v>0</v>
      </c>
      <c r="O139" s="184">
        <f>IF(cyberRisk[[#This Row],[Y, Y(C), N]]=yesCC,1,0)</f>
        <v>0</v>
      </c>
      <c r="P139" s="184">
        <f>IF(cyberRisk[[#This Row],[Y, Y(C), N]]=no,1,0)</f>
        <v>0</v>
      </c>
      <c r="Q139" s="184">
        <f>IF(cyberRisk[[#This Row],[Y, Y(C), N]]=NotAvail,1,0)</f>
        <v>0</v>
      </c>
      <c r="R139" s="92"/>
      <c r="S139" s="88"/>
      <c r="T139" s="88"/>
      <c r="U139" s="88"/>
      <c r="V139" s="88"/>
      <c r="W139" s="88"/>
      <c r="X139" s="88"/>
      <c r="Y139" s="88"/>
    </row>
    <row r="140" spans="1:25" ht="30" x14ac:dyDescent="0.25">
      <c r="A140" s="86" t="s">
        <v>43</v>
      </c>
      <c r="B140" s="86" t="s">
        <v>44</v>
      </c>
      <c r="C140" s="86" t="s">
        <v>31</v>
      </c>
      <c r="D140" s="87"/>
      <c r="E140" s="58" t="s">
        <v>182</v>
      </c>
      <c r="F140" s="24"/>
      <c r="G140" s="424"/>
      <c r="H140" s="313" t="str">
        <f>IFERROR(HYPERLINK("#'Appendix A'!E"&amp;ROW(INDEX(Table23[DSorder],MATCH(cyberRisk[[#This Row],[AppAref]],Table23[DSorder],0))),"GO"),"")</f>
        <v/>
      </c>
      <c r="I140" s="86" t="str">
        <f>cyberRisk[[#This Row],[Component]]&amp;cyberRisk[[#This Row],[Maturity Level]]</f>
        <v>TrainingInnovative</v>
      </c>
      <c r="J140" s="86" t="str">
        <f>cyberRisk[[#This Row],[workArea]]&amp;cyberRisk[[#This Row],[Y, Y(C), N]]</f>
        <v>TrainingInnovative</v>
      </c>
      <c r="K140" s="184"/>
      <c r="L140" s="184"/>
      <c r="M140" s="184" t="str">
        <f t="shared" si="4"/>
        <v>Cyber Risk Management and Oversight</v>
      </c>
      <c r="N140" s="184">
        <f>IF(cyberRisk[[#This Row],[Y, Y(C), N]]=yes,1,0)</f>
        <v>0</v>
      </c>
      <c r="O140" s="184">
        <f>IF(cyberRisk[[#This Row],[Y, Y(C), N]]=yesCC,1,0)</f>
        <v>0</v>
      </c>
      <c r="P140" s="184">
        <f>IF(cyberRisk[[#This Row],[Y, Y(C), N]]=no,1,0)</f>
        <v>0</v>
      </c>
      <c r="Q140" s="184">
        <f>IF(cyberRisk[[#This Row],[Y, Y(C), N]]=NotAvail,1,0)</f>
        <v>0</v>
      </c>
      <c r="R140" s="92"/>
      <c r="S140" s="88"/>
      <c r="T140" s="88"/>
      <c r="U140" s="88"/>
      <c r="V140" s="88"/>
      <c r="W140" s="88"/>
      <c r="X140" s="88"/>
      <c r="Y140" s="88"/>
    </row>
    <row r="141" spans="1:25" ht="30" x14ac:dyDescent="0.25">
      <c r="A141" s="86" t="s">
        <v>43</v>
      </c>
      <c r="B141" s="86" t="s">
        <v>45</v>
      </c>
      <c r="C141" s="86" t="s">
        <v>27</v>
      </c>
      <c r="D141" s="87"/>
      <c r="E141" s="58" t="s">
        <v>183</v>
      </c>
      <c r="F141" s="188"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7</v>
      </c>
      <c r="G141" s="424"/>
      <c r="H141" s="313" t="str">
        <f>IFERROR(HYPERLINK("#'Appendix A'!E"&amp;ROW(INDEX(Table23[DSorder],MATCH(cyberRisk[[#This Row],[AppAref]],Table23[DSorder],0))),"GO"),"")</f>
        <v>GO</v>
      </c>
      <c r="I141" s="86" t="str">
        <f>cyberRisk[[#This Row],[Component]]&amp;cyberRisk[[#This Row],[Maturity Level]]</f>
        <v>CultureBaseline</v>
      </c>
      <c r="J141" s="86" t="str">
        <f>cyberRisk[[#This Row],[workArea]]&amp;cyberRisk[[#This Row],[Y, Y(C), N]]</f>
        <v>CultureBaseline</v>
      </c>
      <c r="K141" s="184">
        <v>28</v>
      </c>
      <c r="L141" s="184">
        <f>IFERROR(MATCH(cyberRisk[[#This Row],[Ref No.]],hyperlinkLU[Reference No.],0),cyberRisk[[#This Row],[Ref No.]])</f>
        <v>29</v>
      </c>
      <c r="M141" s="184" t="str">
        <f t="shared" si="4"/>
        <v>Cyber Risk Management and Oversight</v>
      </c>
      <c r="N141" s="184">
        <f>IF(cyberRisk[[#This Row],[Y, Y(C), N]]=yes,1,0)</f>
        <v>0</v>
      </c>
      <c r="O141" s="184">
        <f>IF(cyberRisk[[#This Row],[Y, Y(C), N]]=yesCC,1,0)</f>
        <v>0</v>
      </c>
      <c r="P141" s="184">
        <f>IF(cyberRisk[[#This Row],[Y, Y(C), N]]=no,1,0)</f>
        <v>0</v>
      </c>
      <c r="Q141" s="184">
        <f>IF(cyberRisk[[#This Row],[Y, Y(C), N]]=NotAvail,1,0)</f>
        <v>0</v>
      </c>
      <c r="R141" s="92">
        <v>31</v>
      </c>
      <c r="S141" s="88"/>
      <c r="T141" s="88"/>
      <c r="U141" s="88"/>
      <c r="V141" s="88"/>
      <c r="W141" s="88"/>
      <c r="X141" s="88"/>
      <c r="Y141" s="88"/>
    </row>
    <row r="142" spans="1:25" ht="30" x14ac:dyDescent="0.25">
      <c r="A142" s="86" t="s">
        <v>43</v>
      </c>
      <c r="B142" s="86" t="s">
        <v>45</v>
      </c>
      <c r="C142" s="86" t="s">
        <v>28</v>
      </c>
      <c r="D142" s="87"/>
      <c r="E142" s="58" t="s">
        <v>868</v>
      </c>
      <c r="F142" s="24"/>
      <c r="G142" s="424"/>
      <c r="H142" s="313" t="str">
        <f>IFERROR(HYPERLINK("#'Appendix A'!E"&amp;ROW(INDEX(Table23[DSorder],MATCH(cyberRisk[[#This Row],[AppAref]],Table23[DSorder],0))),"GO"),"")</f>
        <v/>
      </c>
      <c r="I142" s="86" t="str">
        <f>cyberRisk[[#This Row],[Component]]&amp;cyberRisk[[#This Row],[Maturity Level]]</f>
        <v>CultureEvolving</v>
      </c>
      <c r="J142" s="86" t="str">
        <f>cyberRisk[[#This Row],[workArea]]&amp;cyberRisk[[#This Row],[Y, Y(C), N]]</f>
        <v>CultureEvolving</v>
      </c>
      <c r="K142" s="184"/>
      <c r="L142" s="184"/>
      <c r="M142" s="184" t="str">
        <f t="shared" si="4"/>
        <v>Cyber Risk Management and Oversight</v>
      </c>
      <c r="N142" s="184">
        <f>IF(cyberRisk[[#This Row],[Y, Y(C), N]]=yes,1,0)</f>
        <v>0</v>
      </c>
      <c r="O142" s="184">
        <f>IF(cyberRisk[[#This Row],[Y, Y(C), N]]=yesCC,1,0)</f>
        <v>0</v>
      </c>
      <c r="P142" s="184">
        <f>IF(cyberRisk[[#This Row],[Y, Y(C), N]]=no,1,0)</f>
        <v>0</v>
      </c>
      <c r="Q142" s="184">
        <f>IF(cyberRisk[[#This Row],[Y, Y(C), N]]=NotAvail,1,0)</f>
        <v>0</v>
      </c>
      <c r="R142" s="92"/>
      <c r="S142" s="88"/>
      <c r="T142" s="88"/>
      <c r="U142" s="88"/>
      <c r="V142" s="88"/>
      <c r="W142" s="88"/>
      <c r="X142" s="88"/>
      <c r="Y142" s="88"/>
    </row>
    <row r="143" spans="1:25" x14ac:dyDescent="0.25">
      <c r="A143" s="86" t="s">
        <v>43</v>
      </c>
      <c r="B143" s="86" t="s">
        <v>45</v>
      </c>
      <c r="C143" s="86" t="s">
        <v>28</v>
      </c>
      <c r="D143" s="89"/>
      <c r="E143" s="171" t="s">
        <v>869</v>
      </c>
      <c r="F143" s="24"/>
      <c r="G143" s="425"/>
      <c r="H143" s="314" t="str">
        <f>IFERROR(HYPERLINK("#'Appendix A'!E"&amp;ROW(INDEX(Table23[DSorder],MATCH(cyberRisk[[#This Row],[AppAref]],Table23[DSorder],0))),"GO"),"")</f>
        <v/>
      </c>
      <c r="I143" s="92" t="str">
        <f>cyberRisk[[#This Row],[Component]]&amp;cyberRisk[[#This Row],[Maturity Level]]</f>
        <v>CultureEvolving</v>
      </c>
      <c r="J143" s="92" t="str">
        <f>cyberRisk[[#This Row],[workArea]]&amp;cyberRisk[[#This Row],[Y, Y(C), N]]</f>
        <v>CultureEvolving</v>
      </c>
      <c r="K143" s="184"/>
      <c r="L143" s="184"/>
      <c r="M143" s="184" t="str">
        <f t="shared" si="4"/>
        <v>Cyber Risk Management and Oversight</v>
      </c>
      <c r="N143" s="184">
        <f>IF(cyberRisk[[#This Row],[Y, Y(C), N]]=yes,1,0)</f>
        <v>0</v>
      </c>
      <c r="O143" s="184">
        <f>IF(cyberRisk[[#This Row],[Y, Y(C), N]]=yesCC,1,0)</f>
        <v>0</v>
      </c>
      <c r="P143" s="184">
        <f>IF(cyberRisk[[#This Row],[Y, Y(C), N]]=no,1,0)</f>
        <v>0</v>
      </c>
      <c r="Q143" s="184">
        <f>IF(cyberRisk[[#This Row],[Y, Y(C), N]]=NotAvail,1,0)</f>
        <v>0</v>
      </c>
      <c r="R143" s="92"/>
      <c r="S143" s="88"/>
      <c r="T143" s="88"/>
      <c r="U143" s="88"/>
      <c r="V143" s="88"/>
      <c r="W143" s="88"/>
      <c r="X143" s="88"/>
      <c r="Y143" s="88"/>
    </row>
    <row r="144" spans="1:25" ht="30" x14ac:dyDescent="0.25">
      <c r="A144" s="86" t="s">
        <v>43</v>
      </c>
      <c r="B144" s="86" t="s">
        <v>45</v>
      </c>
      <c r="C144" s="86" t="s">
        <v>28</v>
      </c>
      <c r="D144" s="89"/>
      <c r="E144" s="171" t="s">
        <v>870</v>
      </c>
      <c r="F144" s="24"/>
      <c r="G144" s="425"/>
      <c r="H144" s="314" t="str">
        <f>IFERROR(HYPERLINK("#'Appendix A'!E"&amp;ROW(INDEX(Table23[DSorder],MATCH(cyberRisk[[#This Row],[AppAref]],Table23[DSorder],0))),"GO"),"")</f>
        <v/>
      </c>
      <c r="I144" s="92" t="str">
        <f>cyberRisk[[#This Row],[Component]]&amp;cyberRisk[[#This Row],[Maturity Level]]</f>
        <v>CultureEvolving</v>
      </c>
      <c r="J144" s="92" t="str">
        <f>cyberRisk[[#This Row],[workArea]]&amp;cyberRisk[[#This Row],[Y, Y(C), N]]</f>
        <v>CultureEvolving</v>
      </c>
      <c r="K144" s="184"/>
      <c r="L144" s="184"/>
      <c r="M144" s="184" t="str">
        <f t="shared" si="4"/>
        <v>Cyber Risk Management and Oversight</v>
      </c>
      <c r="N144" s="184">
        <f>IF(cyberRisk[[#This Row],[Y, Y(C), N]]=yes,1,0)</f>
        <v>0</v>
      </c>
      <c r="O144" s="184">
        <f>IF(cyberRisk[[#This Row],[Y, Y(C), N]]=yesCC,1,0)</f>
        <v>0</v>
      </c>
      <c r="P144" s="184">
        <f>IF(cyberRisk[[#This Row],[Y, Y(C), N]]=no,1,0)</f>
        <v>0</v>
      </c>
      <c r="Q144" s="184">
        <f>IF(cyberRisk[[#This Row],[Y, Y(C), N]]=NotAvail,1,0)</f>
        <v>0</v>
      </c>
      <c r="R144" s="92"/>
      <c r="S144" s="88"/>
      <c r="T144" s="88"/>
      <c r="U144" s="88"/>
      <c r="V144" s="88"/>
      <c r="W144" s="88"/>
      <c r="X144" s="88"/>
      <c r="Y144" s="88"/>
    </row>
    <row r="145" spans="1:25" ht="30" x14ac:dyDescent="0.25">
      <c r="A145" s="86" t="s">
        <v>43</v>
      </c>
      <c r="B145" s="86" t="s">
        <v>45</v>
      </c>
      <c r="C145" s="86" t="s">
        <v>29</v>
      </c>
      <c r="D145" s="87"/>
      <c r="E145" s="58" t="s">
        <v>184</v>
      </c>
      <c r="F145" s="24"/>
      <c r="G145" s="424"/>
      <c r="H145" s="313" t="str">
        <f>IFERROR(HYPERLINK("#'Appendix A'!E"&amp;ROW(INDEX(Table23[DSorder],MATCH(cyberRisk[[#This Row],[AppAref]],Table23[DSorder],0))),"GO"),"")</f>
        <v/>
      </c>
      <c r="I145" s="86" t="str">
        <f>cyberRisk[[#This Row],[Component]]&amp;cyberRisk[[#This Row],[Maturity Level]]</f>
        <v>CultureIntermediate</v>
      </c>
      <c r="J145" s="86" t="str">
        <f>cyberRisk[[#This Row],[workArea]]&amp;cyberRisk[[#This Row],[Y, Y(C), N]]</f>
        <v>CultureIntermediate</v>
      </c>
      <c r="K145" s="184"/>
      <c r="L145" s="184"/>
      <c r="M145" s="184" t="str">
        <f t="shared" si="4"/>
        <v>Cyber Risk Management and Oversight</v>
      </c>
      <c r="N145" s="184">
        <f>IF(cyberRisk[[#This Row],[Y, Y(C), N]]=yes,1,0)</f>
        <v>0</v>
      </c>
      <c r="O145" s="184">
        <f>IF(cyberRisk[[#This Row],[Y, Y(C), N]]=yesCC,1,0)</f>
        <v>0</v>
      </c>
      <c r="P145" s="184">
        <f>IF(cyberRisk[[#This Row],[Y, Y(C), N]]=no,1,0)</f>
        <v>0</v>
      </c>
      <c r="Q145" s="184">
        <f>IF(cyberRisk[[#This Row],[Y, Y(C), N]]=NotAvail,1,0)</f>
        <v>0</v>
      </c>
      <c r="R145" s="92"/>
      <c r="S145" s="88"/>
      <c r="T145" s="88"/>
      <c r="U145" s="88"/>
      <c r="V145" s="88"/>
      <c r="W145" s="88"/>
      <c r="X145" s="88"/>
      <c r="Y145" s="88"/>
    </row>
    <row r="146" spans="1:25" ht="30" x14ac:dyDescent="0.25">
      <c r="A146" s="86" t="s">
        <v>43</v>
      </c>
      <c r="B146" s="86" t="s">
        <v>45</v>
      </c>
      <c r="C146" s="86" t="s">
        <v>29</v>
      </c>
      <c r="D146" s="87"/>
      <c r="E146" s="58" t="s">
        <v>185</v>
      </c>
      <c r="F146" s="24"/>
      <c r="G146" s="424"/>
      <c r="H146" s="313" t="str">
        <f>IFERROR(HYPERLINK("#'Appendix A'!E"&amp;ROW(INDEX(Table23[DSorder],MATCH(cyberRisk[[#This Row],[AppAref]],Table23[DSorder],0))),"GO"),"")</f>
        <v/>
      </c>
      <c r="I146" s="86" t="str">
        <f>cyberRisk[[#This Row],[Component]]&amp;cyberRisk[[#This Row],[Maturity Level]]</f>
        <v>CultureIntermediate</v>
      </c>
      <c r="J146" s="86" t="str">
        <f>cyberRisk[[#This Row],[workArea]]&amp;cyberRisk[[#This Row],[Y, Y(C), N]]</f>
        <v>CultureIntermediate</v>
      </c>
      <c r="K146" s="184"/>
      <c r="L146" s="184"/>
      <c r="M146" s="184" t="str">
        <f t="shared" si="4"/>
        <v>Cyber Risk Management and Oversight</v>
      </c>
      <c r="N146" s="184">
        <f>IF(cyberRisk[[#This Row],[Y, Y(C), N]]=yes,1,0)</f>
        <v>0</v>
      </c>
      <c r="O146" s="184">
        <f>IF(cyberRisk[[#This Row],[Y, Y(C), N]]=yesCC,1,0)</f>
        <v>0</v>
      </c>
      <c r="P146" s="184">
        <f>IF(cyberRisk[[#This Row],[Y, Y(C), N]]=no,1,0)</f>
        <v>0</v>
      </c>
      <c r="Q146" s="184">
        <f>IF(cyberRisk[[#This Row],[Y, Y(C), N]]=NotAvail,1,0)</f>
        <v>0</v>
      </c>
      <c r="R146" s="92"/>
      <c r="S146" s="88"/>
      <c r="T146" s="88"/>
      <c r="U146" s="88"/>
      <c r="V146" s="88"/>
      <c r="W146" s="88"/>
      <c r="X146" s="88"/>
      <c r="Y146" s="88"/>
    </row>
    <row r="147" spans="1:25" ht="30" x14ac:dyDescent="0.25">
      <c r="A147" s="86" t="s">
        <v>43</v>
      </c>
      <c r="B147" s="86" t="s">
        <v>45</v>
      </c>
      <c r="C147" s="86" t="s">
        <v>29</v>
      </c>
      <c r="D147" s="87"/>
      <c r="E147" s="58" t="s">
        <v>186</v>
      </c>
      <c r="F147" s="24"/>
      <c r="G147" s="424"/>
      <c r="H147" s="313" t="str">
        <f>IFERROR(HYPERLINK("#'Appendix A'!E"&amp;ROW(INDEX(Table23[DSorder],MATCH(cyberRisk[[#This Row],[AppAref]],Table23[DSorder],0))),"GO"),"")</f>
        <v/>
      </c>
      <c r="I147" s="86" t="str">
        <f>cyberRisk[[#This Row],[Component]]&amp;cyberRisk[[#This Row],[Maturity Level]]</f>
        <v>CultureIntermediate</v>
      </c>
      <c r="J147" s="86" t="str">
        <f>cyberRisk[[#This Row],[workArea]]&amp;cyberRisk[[#This Row],[Y, Y(C), N]]</f>
        <v>CultureIntermediate</v>
      </c>
      <c r="K147" s="184"/>
      <c r="L147" s="184"/>
      <c r="M147" s="184" t="str">
        <f t="shared" si="4"/>
        <v>Cyber Risk Management and Oversight</v>
      </c>
      <c r="N147" s="184">
        <f>IF(cyberRisk[[#This Row],[Y, Y(C), N]]=yes,1,0)</f>
        <v>0</v>
      </c>
      <c r="O147" s="184">
        <f>IF(cyberRisk[[#This Row],[Y, Y(C), N]]=yesCC,1,0)</f>
        <v>0</v>
      </c>
      <c r="P147" s="184">
        <f>IF(cyberRisk[[#This Row],[Y, Y(C), N]]=no,1,0)</f>
        <v>0</v>
      </c>
      <c r="Q147" s="184">
        <f>IF(cyberRisk[[#This Row],[Y, Y(C), N]]=NotAvail,1,0)</f>
        <v>0</v>
      </c>
      <c r="R147" s="92"/>
      <c r="S147" s="88"/>
      <c r="T147" s="88"/>
      <c r="U147" s="88"/>
      <c r="V147" s="88"/>
      <c r="W147" s="88"/>
      <c r="X147" s="88"/>
      <c r="Y147" s="88"/>
    </row>
    <row r="148" spans="1:25" x14ac:dyDescent="0.25">
      <c r="A148" s="86" t="s">
        <v>43</v>
      </c>
      <c r="B148" s="86" t="s">
        <v>45</v>
      </c>
      <c r="C148" s="86" t="s">
        <v>30</v>
      </c>
      <c r="D148" s="87"/>
      <c r="E148" s="58" t="s">
        <v>187</v>
      </c>
      <c r="F148" s="24"/>
      <c r="G148" s="424"/>
      <c r="H148" s="313" t="str">
        <f>IFERROR(HYPERLINK("#'Appendix A'!E"&amp;ROW(INDEX(Table23[DSorder],MATCH(cyberRisk[[#This Row],[AppAref]],Table23[DSorder],0))),"GO"),"")</f>
        <v/>
      </c>
      <c r="I148" s="86" t="str">
        <f>cyberRisk[[#This Row],[Component]]&amp;cyberRisk[[#This Row],[Maturity Level]]</f>
        <v>CultureAdvanced</v>
      </c>
      <c r="J148" s="86" t="str">
        <f>cyberRisk[[#This Row],[workArea]]&amp;cyberRisk[[#This Row],[Y, Y(C), N]]</f>
        <v>CultureAdvanced</v>
      </c>
      <c r="K148" s="184"/>
      <c r="L148" s="184"/>
      <c r="M148" s="184" t="str">
        <f t="shared" si="4"/>
        <v>Cyber Risk Management and Oversight</v>
      </c>
      <c r="N148" s="184">
        <f>IF(cyberRisk[[#This Row],[Y, Y(C), N]]=yes,1,0)</f>
        <v>0</v>
      </c>
      <c r="O148" s="184">
        <f>IF(cyberRisk[[#This Row],[Y, Y(C), N]]=yesCC,1,0)</f>
        <v>0</v>
      </c>
      <c r="P148" s="184">
        <f>IF(cyberRisk[[#This Row],[Y, Y(C), N]]=no,1,0)</f>
        <v>0</v>
      </c>
      <c r="Q148" s="184">
        <f>IF(cyberRisk[[#This Row],[Y, Y(C), N]]=NotAvail,1,0)</f>
        <v>0</v>
      </c>
      <c r="R148" s="92"/>
      <c r="S148" s="88"/>
      <c r="T148" s="88"/>
      <c r="U148" s="88"/>
      <c r="V148" s="88"/>
      <c r="W148" s="88"/>
      <c r="X148" s="88"/>
      <c r="Y148" s="88"/>
    </row>
    <row r="149" spans="1:25" ht="30" x14ac:dyDescent="0.25">
      <c r="A149" s="86" t="s">
        <v>43</v>
      </c>
      <c r="B149" s="86" t="s">
        <v>45</v>
      </c>
      <c r="C149" s="86" t="s">
        <v>31</v>
      </c>
      <c r="D149" s="87"/>
      <c r="E149" s="58" t="s">
        <v>188</v>
      </c>
      <c r="F149" s="24"/>
      <c r="G149" s="424"/>
      <c r="H149" s="313" t="str">
        <f>IFERROR(HYPERLINK("#'Appendix A'!E"&amp;ROW(INDEX(Table23[DSorder],MATCH(cyberRisk[[#This Row],[AppAref]],Table23[DSorder],0))),"GO"),"")</f>
        <v/>
      </c>
      <c r="I149" s="86" t="str">
        <f>cyberRisk[[#This Row],[Component]]&amp;cyberRisk[[#This Row],[Maturity Level]]</f>
        <v>CultureInnovative</v>
      </c>
      <c r="J149" s="86" t="str">
        <f>cyberRisk[[#This Row],[workArea]]&amp;cyberRisk[[#This Row],[Y, Y(C), N]]</f>
        <v>CultureInnovative</v>
      </c>
      <c r="K149" s="184"/>
      <c r="L149" s="184"/>
      <c r="M149" s="184" t="str">
        <f t="shared" si="4"/>
        <v>Cyber Risk Management and Oversight</v>
      </c>
      <c r="N149" s="184">
        <f>IF(cyberRisk[[#This Row],[Y, Y(C), N]]=yes,1,0)</f>
        <v>0</v>
      </c>
      <c r="O149" s="184">
        <f>IF(cyberRisk[[#This Row],[Y, Y(C), N]]=yesCC,1,0)</f>
        <v>0</v>
      </c>
      <c r="P149" s="184">
        <f>IF(cyberRisk[[#This Row],[Y, Y(C), N]]=no,1,0)</f>
        <v>0</v>
      </c>
      <c r="Q149" s="184">
        <f>IF(cyberRisk[[#This Row],[Y, Y(C), N]]=NotAvail,1,0)</f>
        <v>0</v>
      </c>
      <c r="R149" s="92"/>
      <c r="S149" s="88"/>
      <c r="T149" s="88"/>
      <c r="U149" s="88"/>
      <c r="V149" s="88"/>
      <c r="W149" s="88"/>
      <c r="X149" s="88"/>
      <c r="Y149" s="88"/>
    </row>
    <row r="161" spans="18:18" x14ac:dyDescent="0.25">
      <c r="R161" s="295"/>
    </row>
    <row r="162" spans="18:18" x14ac:dyDescent="0.25">
      <c r="R162" s="295"/>
    </row>
    <row r="163" spans="18:18" x14ac:dyDescent="0.25">
      <c r="R163" s="295"/>
    </row>
    <row r="164" spans="18:18" x14ac:dyDescent="0.25">
      <c r="R164" s="295"/>
    </row>
    <row r="165" spans="18:18" x14ac:dyDescent="0.25">
      <c r="R165" s="295"/>
    </row>
    <row r="166" spans="18:18" x14ac:dyDescent="0.25">
      <c r="R166" s="295"/>
    </row>
    <row r="167" spans="18:18" x14ac:dyDescent="0.25">
      <c r="R167" s="295"/>
    </row>
    <row r="168" spans="18:18" x14ac:dyDescent="0.25">
      <c r="R168" s="295"/>
    </row>
    <row r="169" spans="18:18" x14ac:dyDescent="0.25">
      <c r="R169" s="295"/>
    </row>
    <row r="170" spans="18:18" x14ac:dyDescent="0.25">
      <c r="R170" s="295"/>
    </row>
    <row r="171" spans="18:18" x14ac:dyDescent="0.25">
      <c r="R171" s="295"/>
    </row>
    <row r="172" spans="18:18" x14ac:dyDescent="0.25">
      <c r="R172" s="295"/>
    </row>
    <row r="173" spans="18:18" x14ac:dyDescent="0.25">
      <c r="R173" s="295"/>
    </row>
    <row r="174" spans="18:18" x14ac:dyDescent="0.25">
      <c r="R174" s="295"/>
    </row>
    <row r="175" spans="18:18" x14ac:dyDescent="0.25">
      <c r="R175" s="295"/>
    </row>
    <row r="176" spans="18:18" x14ac:dyDescent="0.25">
      <c r="R176" s="295"/>
    </row>
    <row r="177" spans="18:18" x14ac:dyDescent="0.25">
      <c r="R177" s="295"/>
    </row>
    <row r="178" spans="18:18" x14ac:dyDescent="0.25">
      <c r="R178" s="295"/>
    </row>
    <row r="179" spans="18:18" x14ac:dyDescent="0.25">
      <c r="R179" s="295"/>
    </row>
    <row r="180" spans="18:18" x14ac:dyDescent="0.25">
      <c r="R180" s="295"/>
    </row>
    <row r="181" spans="18:18" x14ac:dyDescent="0.25">
      <c r="R181" s="295"/>
    </row>
    <row r="182" spans="18:18" x14ac:dyDescent="0.25">
      <c r="R182" s="295"/>
    </row>
    <row r="183" spans="18:18" x14ac:dyDescent="0.25">
      <c r="R183" s="295"/>
    </row>
    <row r="184" spans="18:18" x14ac:dyDescent="0.25">
      <c r="R184" s="295"/>
    </row>
    <row r="185" spans="18:18" x14ac:dyDescent="0.25">
      <c r="R185" s="295"/>
    </row>
    <row r="186" spans="18:18" x14ac:dyDescent="0.25">
      <c r="R186" s="295"/>
    </row>
    <row r="187" spans="18:18" x14ac:dyDescent="0.25">
      <c r="R187" s="295"/>
    </row>
  </sheetData>
  <sheetProtection algorithmName="SHA-512" hashValue="PI1dJL3j7INuVzZEvacRJW0JjaZwaayAGUn0k+udEXmpxZR/wxrsclD9fHYPAL9aqGOMw6S//EoVYJcKWGsybA==" saltValue="8PR9BGgMiELrxeha2/7rhA==" spinCount="100000" sheet="1" objects="1" scenarios="1" formatCells="0" formatColumns="0" formatRows="0" sort="0" autoFilter="0"/>
  <mergeCells count="2">
    <mergeCell ref="A6:H7"/>
    <mergeCell ref="A5:H5"/>
  </mergeCells>
  <conditionalFormatting sqref="T1:T1048576 V1:V1048576 Y1:Y1048576 S8 U8 W8:X8 R1:R1048576">
    <cfRule type="cellIs" dxfId="24" priority="1" operator="equal">
      <formula>"Not OK"</formula>
    </cfRule>
  </conditionalFormatting>
  <dataValidations count="2">
    <dataValidation type="list" allowBlank="1" showInputMessage="1" showErrorMessage="1" sqref="D9:D149" xr:uid="{00000000-0002-0000-0C00-000000000000}">
      <formula1>yesNo</formula1>
    </dataValidation>
    <dataValidation type="list" allowBlank="1" showInputMessage="1" showErrorMessage="1" sqref="F4" xr:uid="{00000000-0002-0000-0C00-000001000000}">
      <formula1>prefLink</formula1>
    </dataValidation>
  </dataValidations>
  <hyperlinks>
    <hyperlink ref="G3" location="disclaimer" display="disclaimer" xr:uid="{00000000-0004-0000-0C00-000000000000}"/>
    <hyperlink ref="G2" location="workbookInfo" display="Workbook Information" xr:uid="{00000000-0004-0000-0C00-000001000000}"/>
  </hyperlinks>
  <pageMargins left="0.25" right="0.25" top="0.75" bottom="0.75" header="0.3" footer="0.3"/>
  <pageSetup scale="56" fitToHeight="0" orientation="landscape" r:id="rId1"/>
  <headerFooter>
    <oddHeader>&amp;C&amp;A</oddHeader>
    <oddFooter>&amp;L&amp;"-,Bold"Confidential-Authorized Use Only&amp;C&amp;D&amp;RPage &amp;P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5" tint="0.59999389629810485"/>
    <pageSetUpPr fitToPage="1"/>
  </sheetPr>
  <dimension ref="A1:AA55"/>
  <sheetViews>
    <sheetView zoomScaleNormal="100" workbookViewId="0">
      <pane ySplit="8" topLeftCell="A9" activePane="bottomLeft" state="frozen"/>
      <selection pane="bottomLeft" activeCell="D9" sqref="D9"/>
    </sheetView>
  </sheetViews>
  <sheetFormatPr defaultColWidth="8.85546875" defaultRowHeight="15" x14ac:dyDescent="0.25"/>
  <cols>
    <col min="1" max="2" width="25.7109375" style="10" customWidth="1"/>
    <col min="3" max="3" width="18.7109375" style="10" customWidth="1"/>
    <col min="4" max="4" width="12.7109375" style="10" customWidth="1"/>
    <col min="5" max="5" width="75.7109375" style="10" customWidth="1"/>
    <col min="6" max="6" width="30.7109375" style="46" customWidth="1"/>
    <col min="7" max="7" width="65.7109375" style="10" customWidth="1"/>
    <col min="8" max="8" width="13.7109375" style="295" customWidth="1"/>
    <col min="9" max="9" width="57.140625" style="10" hidden="1" customWidth="1"/>
    <col min="10" max="10" width="49.7109375" style="10" hidden="1" customWidth="1"/>
    <col min="11" max="12" width="8.7109375" style="193" hidden="1" customWidth="1"/>
    <col min="13" max="13" width="8.7109375" style="251" hidden="1" customWidth="1"/>
    <col min="14" max="18" width="8.85546875" style="10" hidden="1" customWidth="1"/>
    <col min="19" max="19" width="8.85546875" style="10" customWidth="1"/>
    <col min="20" max="20" width="8.85546875" style="169" customWidth="1"/>
    <col min="21" max="21" width="8.85546875" style="10" customWidth="1"/>
    <col min="22" max="22" width="8.85546875" style="169" customWidth="1"/>
    <col min="23" max="23" width="8.85546875" style="10" customWidth="1"/>
    <col min="24" max="24" width="8.85546875" style="169" customWidth="1"/>
    <col min="25" max="25" width="8.85546875" style="10" customWidth="1"/>
    <col min="26" max="27" width="8.85546875" style="169" customWidth="1"/>
    <col min="28" max="29" width="8.85546875" style="10" customWidth="1"/>
    <col min="30" max="16384" width="8.85546875" style="10"/>
  </cols>
  <sheetData>
    <row r="1" spans="1:27" s="112" customFormat="1" ht="20.100000000000001" customHeight="1" x14ac:dyDescent="0.25">
      <c r="A1" s="6" t="str">
        <f>HYPERLINK(websiteHTTP&amp;webSiteURL,"Watkins Consulting")</f>
        <v>Watkins Consulting</v>
      </c>
      <c r="B1" s="132"/>
      <c r="C1" s="132"/>
      <c r="D1" s="132"/>
      <c r="E1" s="136" t="str">
        <f>IF(firmName&gt;0,firmName,"")</f>
        <v/>
      </c>
      <c r="F1" s="132"/>
      <c r="G1" s="8" t="str">
        <f>HYPERLINK(websiteHTTP&amp;webSiteURL&amp;userManualrURL,"User Manual")</f>
        <v>User Manual</v>
      </c>
      <c r="H1" s="8"/>
      <c r="K1" s="194"/>
      <c r="L1" s="194"/>
      <c r="M1" s="252"/>
      <c r="T1" s="170"/>
      <c r="V1" s="170"/>
      <c r="X1" s="170"/>
      <c r="Z1" s="170"/>
      <c r="AA1" s="170"/>
    </row>
    <row r="2" spans="1:27" s="112" customFormat="1" ht="20.100000000000001" customHeight="1" x14ac:dyDescent="0.25">
      <c r="A2" s="256" t="str">
        <f ca="1">workbookVersionLabel</f>
        <v xml:space="preserve"> Excel Workbook Version: 3.4.2</v>
      </c>
      <c r="B2" s="132"/>
      <c r="C2" s="132"/>
      <c r="D2" s="132"/>
      <c r="E2" s="133" t="str">
        <f>Information</f>
        <v>FFIEC Cybersecurity Assessment Tool (May 2017)</v>
      </c>
      <c r="F2" s="137"/>
      <c r="G2" s="8" t="s">
        <v>1094</v>
      </c>
      <c r="H2" s="8"/>
      <c r="K2" s="194"/>
      <c r="L2" s="194"/>
      <c r="M2" s="252"/>
      <c r="T2" s="170"/>
      <c r="V2" s="170"/>
      <c r="X2" s="170"/>
      <c r="Z2" s="170"/>
      <c r="AA2" s="170"/>
    </row>
    <row r="3" spans="1:27" s="112" customFormat="1" ht="20.100000000000001" customHeight="1" thickBot="1" x14ac:dyDescent="0.3">
      <c r="A3" s="139" t="str">
        <f ca="1">MID(CELL("filename",A1),FIND("]",CELL("filename",A1))+1,256)</f>
        <v>Threat Intel and Collaboration</v>
      </c>
      <c r="B3" s="140"/>
      <c r="C3" s="140"/>
      <c r="D3" s="141"/>
      <c r="E3" s="142" t="str">
        <f>IF(assessmentDate&gt;0,assessmentDate,"")</f>
        <v/>
      </c>
      <c r="F3" s="141"/>
      <c r="G3" s="155" t="s">
        <v>620</v>
      </c>
      <c r="H3" s="140"/>
      <c r="K3" s="194"/>
      <c r="L3" s="194"/>
      <c r="M3" s="252"/>
      <c r="T3" s="170"/>
      <c r="V3" s="170"/>
      <c r="X3" s="170"/>
      <c r="Z3" s="170"/>
      <c r="AA3" s="170"/>
    </row>
    <row r="4" spans="1:27" ht="15.75" thickTop="1" x14ac:dyDescent="0.25">
      <c r="A4" s="283" t="str">
        <f>IF('Maturity Roll Up'!S16&gt;0,warn1&amp;'Maturity Roll Up'!S16&amp;warn2,"")</f>
        <v/>
      </c>
      <c r="F4" s="317" t="s">
        <v>925</v>
      </c>
      <c r="G4" s="179" t="s">
        <v>927</v>
      </c>
      <c r="H4" s="179"/>
    </row>
    <row r="5" spans="1:27" ht="20.25" thickBot="1" x14ac:dyDescent="0.35">
      <c r="A5" s="408" t="s">
        <v>189</v>
      </c>
      <c r="B5" s="408"/>
      <c r="C5" s="408"/>
      <c r="D5" s="408"/>
      <c r="E5" s="408"/>
      <c r="F5" s="408"/>
      <c r="G5" s="408"/>
      <c r="H5" s="408"/>
      <c r="I5" s="90"/>
    </row>
    <row r="6" spans="1:27" ht="15" customHeight="1" x14ac:dyDescent="0.25">
      <c r="A6" s="401" t="s">
        <v>190</v>
      </c>
      <c r="B6" s="402"/>
      <c r="C6" s="402"/>
      <c r="D6" s="402"/>
      <c r="E6" s="402"/>
      <c r="F6" s="402"/>
      <c r="G6" s="402"/>
      <c r="H6" s="403"/>
      <c r="I6" s="77"/>
    </row>
    <row r="7" spans="1:27" ht="15" customHeight="1" thickBot="1" x14ac:dyDescent="0.3">
      <c r="A7" s="404"/>
      <c r="B7" s="405"/>
      <c r="C7" s="405"/>
      <c r="D7" s="405"/>
      <c r="E7" s="405"/>
      <c r="F7" s="405"/>
      <c r="G7" s="405"/>
      <c r="H7" s="406"/>
    </row>
    <row r="8" spans="1:27" x14ac:dyDescent="0.25">
      <c r="A8" s="46" t="s">
        <v>25</v>
      </c>
      <c r="B8" s="46" t="s">
        <v>26</v>
      </c>
      <c r="C8" s="46" t="s">
        <v>23</v>
      </c>
      <c r="D8" s="57" t="s">
        <v>878</v>
      </c>
      <c r="E8" s="46" t="s">
        <v>48</v>
      </c>
      <c r="F8" s="46" t="s">
        <v>49</v>
      </c>
      <c r="G8" s="91" t="s">
        <v>10</v>
      </c>
      <c r="H8" s="296" t="s">
        <v>2076</v>
      </c>
      <c r="I8" s="46" t="s">
        <v>50</v>
      </c>
      <c r="J8" s="46" t="s">
        <v>51</v>
      </c>
      <c r="K8" s="180" t="s">
        <v>956</v>
      </c>
      <c r="L8" s="180" t="s">
        <v>957</v>
      </c>
      <c r="M8" s="180" t="s">
        <v>24</v>
      </c>
      <c r="N8" s="180" t="s">
        <v>1281</v>
      </c>
      <c r="O8" s="180" t="s">
        <v>1282</v>
      </c>
      <c r="P8" s="180" t="s">
        <v>1283</v>
      </c>
      <c r="Q8" s="180" t="s">
        <v>1284</v>
      </c>
      <c r="R8" s="180" t="s">
        <v>2077</v>
      </c>
      <c r="S8" s="169"/>
      <c r="U8" s="169"/>
      <c r="W8" s="169"/>
      <c r="Y8" s="169"/>
    </row>
    <row r="9" spans="1:27" ht="60" x14ac:dyDescent="0.25">
      <c r="A9" s="86" t="s">
        <v>191</v>
      </c>
      <c r="B9" s="58" t="s">
        <v>611</v>
      </c>
      <c r="C9" s="86" t="s">
        <v>27</v>
      </c>
      <c r="D9" s="87"/>
      <c r="E9" s="58" t="s">
        <v>192</v>
      </c>
      <c r="F9"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E-Banking Work Program, page 28</v>
      </c>
      <c r="G9" s="240"/>
      <c r="H9" s="255" t="str">
        <f>IFERROR(HYPERLINK("#'Appendix A'!E"&amp;ROW(INDEX(Table23[DSorder],MATCH(IntelNColab[[#This Row],[AppAref]],Table23[DSorder],0))),"GO"),"")</f>
        <v>GO</v>
      </c>
      <c r="I9" s="86" t="str">
        <f>IntelNColab[[#This Row],[Component]]&amp;IntelNColab[[#This Row],[Maturity Level]]</f>
        <v>Threat Intelligence and InformationBaseline</v>
      </c>
      <c r="J9" s="86" t="str">
        <f>IntelNColab[[#This Row],[workArea]]&amp;IntelNColab[[#This Row],[Y, Y(C), N]]</f>
        <v>Threat Intelligence and InformationBaseline</v>
      </c>
      <c r="K9" s="184">
        <v>29</v>
      </c>
      <c r="L9" s="184">
        <f>IFERROR(MATCH(IntelNColab[[#This Row],[Ref No.]],hyperlinkLU[Reference No.],0),IntelNColab[[#This Row],[Ref No.]])</f>
        <v>30</v>
      </c>
      <c r="M9" s="184" t="str">
        <f t="shared" ref="M9:M53" si="0">TRIM(MID($A$5,FIND(":",$A$5)+2,LEN($A$5)))</f>
        <v>Threat Intelligence and Collaboration</v>
      </c>
      <c r="N9" s="184">
        <f>IF(IntelNColab[[#This Row],[Y, Y(C), N]]=yes,1,0)</f>
        <v>0</v>
      </c>
      <c r="O9" s="184">
        <f>IF(IntelNColab[[#This Row],[Y, Y(C), N]]=yesCC,1,0)</f>
        <v>0</v>
      </c>
      <c r="P9" s="184">
        <f>IF(IntelNColab[[#This Row],[Y, Y(C), N]]=no,1,0)</f>
        <v>0</v>
      </c>
      <c r="Q9" s="184">
        <f>IF(IntelNColab[[#This Row],[Y, Y(C), N]]=NotAvail,1,0)</f>
        <v>0</v>
      </c>
      <c r="R9" s="92">
        <v>32</v>
      </c>
      <c r="S9" s="88"/>
      <c r="T9" s="88"/>
      <c r="U9" s="88"/>
      <c r="V9" s="88"/>
      <c r="W9" s="88"/>
      <c r="X9" s="88"/>
      <c r="Y9" s="88"/>
      <c r="Z9" s="88"/>
      <c r="AA9" s="88"/>
    </row>
    <row r="10" spans="1:27" ht="30" x14ac:dyDescent="0.25">
      <c r="A10" s="86" t="s">
        <v>191</v>
      </c>
      <c r="B10" s="58" t="s">
        <v>611</v>
      </c>
      <c r="C10" s="86" t="s">
        <v>27</v>
      </c>
      <c r="D10" s="87"/>
      <c r="E10" s="58" t="s">
        <v>193</v>
      </c>
      <c r="F10"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83</v>
      </c>
      <c r="G10" s="240"/>
      <c r="H10" s="255" t="str">
        <f>IFERROR(HYPERLINK("#'Appendix A'!E"&amp;ROW(INDEX(Table23[DSorder],MATCH(IntelNColab[[#This Row],[AppAref]],Table23[DSorder],0))),"GO"),"")</f>
        <v>GO</v>
      </c>
      <c r="I10" s="86" t="str">
        <f>IntelNColab[[#This Row],[Component]]&amp;IntelNColab[[#This Row],[Maturity Level]]</f>
        <v>Threat Intelligence and InformationBaseline</v>
      </c>
      <c r="J10" s="86" t="str">
        <f>IntelNColab[[#This Row],[workArea]]&amp;IntelNColab[[#This Row],[Y, Y(C), N]]</f>
        <v>Threat Intelligence and InformationBaseline</v>
      </c>
      <c r="K10" s="184">
        <v>30</v>
      </c>
      <c r="L10" s="184">
        <f>IFERROR(MATCH(IntelNColab[[#This Row],[Ref No.]],hyperlinkLU[Reference No.],0),IntelNColab[[#This Row],[Ref No.]])</f>
        <v>31</v>
      </c>
      <c r="M10" s="184" t="str">
        <f t="shared" si="0"/>
        <v>Threat Intelligence and Collaboration</v>
      </c>
      <c r="N10" s="184">
        <f>IF(IntelNColab[[#This Row],[Y, Y(C), N]]=yes,1,0)</f>
        <v>0</v>
      </c>
      <c r="O10" s="184">
        <f>IF(IntelNColab[[#This Row],[Y, Y(C), N]]=yesCC,1,0)</f>
        <v>0</v>
      </c>
      <c r="P10" s="184">
        <f>IF(IntelNColab[[#This Row],[Y, Y(C), N]]=no,1,0)</f>
        <v>0</v>
      </c>
      <c r="Q10" s="184">
        <f>IF(IntelNColab[[#This Row],[Y, Y(C), N]]=NotAvail,1,0)</f>
        <v>0</v>
      </c>
      <c r="R10" s="92">
        <v>33</v>
      </c>
      <c r="S10" s="88"/>
      <c r="T10" s="88"/>
      <c r="U10" s="88"/>
      <c r="V10" s="88"/>
      <c r="W10" s="88"/>
      <c r="X10" s="88"/>
      <c r="Y10" s="88"/>
      <c r="Z10" s="88"/>
      <c r="AA10" s="88"/>
    </row>
    <row r="11" spans="1:27" ht="30" x14ac:dyDescent="0.25">
      <c r="A11" s="86" t="s">
        <v>191</v>
      </c>
      <c r="B11" s="58" t="s">
        <v>611</v>
      </c>
      <c r="C11" s="86" t="s">
        <v>27</v>
      </c>
      <c r="D11" s="87"/>
      <c r="E11" s="58" t="s">
        <v>194</v>
      </c>
      <c r="F11"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4</v>
      </c>
      <c r="G11" s="240"/>
      <c r="H11" s="255" t="str">
        <f>IFERROR(HYPERLINK("#'Appendix A'!E"&amp;ROW(INDEX(Table23[DSorder],MATCH(IntelNColab[[#This Row],[AppAref]],Table23[DSorder],0))),"GO"),"")</f>
        <v>GO</v>
      </c>
      <c r="I11" s="86" t="str">
        <f>IntelNColab[[#This Row],[Component]]&amp;IntelNColab[[#This Row],[Maturity Level]]</f>
        <v>Threat Intelligence and InformationBaseline</v>
      </c>
      <c r="J11" s="86" t="str">
        <f>IntelNColab[[#This Row],[workArea]]&amp;IntelNColab[[#This Row],[Y, Y(C), N]]</f>
        <v>Threat Intelligence and InformationBaseline</v>
      </c>
      <c r="K11" s="184">
        <v>31</v>
      </c>
      <c r="L11" s="184">
        <f>IFERROR(MATCH(IntelNColab[[#This Row],[Ref No.]],hyperlinkLU[Reference No.],0),IntelNColab[[#This Row],[Ref No.]])</f>
        <v>32</v>
      </c>
      <c r="M11" s="184" t="str">
        <f t="shared" si="0"/>
        <v>Threat Intelligence and Collaboration</v>
      </c>
      <c r="N11" s="184">
        <f>IF(IntelNColab[[#This Row],[Y, Y(C), N]]=yes,1,0)</f>
        <v>0</v>
      </c>
      <c r="O11" s="184">
        <f>IF(IntelNColab[[#This Row],[Y, Y(C), N]]=yesCC,1,0)</f>
        <v>0</v>
      </c>
      <c r="P11" s="184">
        <f>IF(IntelNColab[[#This Row],[Y, Y(C), N]]=no,1,0)</f>
        <v>0</v>
      </c>
      <c r="Q11" s="184">
        <f>IF(IntelNColab[[#This Row],[Y, Y(C), N]]=NotAvail,1,0)</f>
        <v>0</v>
      </c>
      <c r="R11" s="92">
        <v>34</v>
      </c>
      <c r="S11" s="88"/>
      <c r="T11" s="88"/>
      <c r="U11" s="88"/>
      <c r="V11" s="88"/>
      <c r="W11" s="88"/>
      <c r="X11" s="88"/>
      <c r="Y11" s="88"/>
      <c r="Z11" s="88"/>
      <c r="AA11" s="88"/>
    </row>
    <row r="12" spans="1:27" ht="30" x14ac:dyDescent="0.25">
      <c r="A12" s="86" t="s">
        <v>191</v>
      </c>
      <c r="B12" s="58" t="s">
        <v>611</v>
      </c>
      <c r="C12" s="86" t="s">
        <v>28</v>
      </c>
      <c r="D12" s="87"/>
      <c r="E12" s="58" t="s">
        <v>195</v>
      </c>
      <c r="F12" s="24"/>
      <c r="G12" s="237"/>
      <c r="H12" s="255" t="str">
        <f>IFERROR(HYPERLINK("#'Appendix A'!E"&amp;ROW(INDEX(Table23[DSorder],MATCH(IntelNColab[[#This Row],[AppAref]],Table23[DSorder],0))),"GO"),"")</f>
        <v/>
      </c>
      <c r="I12" s="86" t="str">
        <f>IntelNColab[[#This Row],[Component]]&amp;IntelNColab[[#This Row],[Maturity Level]]</f>
        <v>Threat Intelligence and InformationEvolving</v>
      </c>
      <c r="J12" s="86" t="str">
        <f>IntelNColab[[#This Row],[workArea]]&amp;IntelNColab[[#This Row],[Y, Y(C), N]]</f>
        <v>Threat Intelligence and InformationEvolving</v>
      </c>
      <c r="K12" s="184"/>
      <c r="L12" s="184"/>
      <c r="M12" s="184" t="str">
        <f t="shared" si="0"/>
        <v>Threat Intelligence and Collaboration</v>
      </c>
      <c r="N12" s="184">
        <f>IF(IntelNColab[[#This Row],[Y, Y(C), N]]=yes,1,0)</f>
        <v>0</v>
      </c>
      <c r="O12" s="184">
        <f>IF(IntelNColab[[#This Row],[Y, Y(C), N]]=yesCC,1,0)</f>
        <v>0</v>
      </c>
      <c r="P12" s="184">
        <f>IF(IntelNColab[[#This Row],[Y, Y(C), N]]=no,1,0)</f>
        <v>0</v>
      </c>
      <c r="Q12" s="184">
        <f>IF(IntelNColab[[#This Row],[Y, Y(C), N]]=NotAvail,1,0)</f>
        <v>0</v>
      </c>
      <c r="R12" s="92"/>
      <c r="S12" s="88"/>
      <c r="T12" s="88"/>
      <c r="U12" s="88"/>
      <c r="V12" s="88"/>
      <c r="W12" s="88"/>
      <c r="X12" s="88"/>
      <c r="Y12" s="88"/>
      <c r="Z12" s="88"/>
      <c r="AA12" s="88"/>
    </row>
    <row r="13" spans="1:27" s="46" customFormat="1" ht="30" x14ac:dyDescent="0.25">
      <c r="A13" s="86" t="s">
        <v>191</v>
      </c>
      <c r="B13" s="58" t="s">
        <v>611</v>
      </c>
      <c r="C13" s="86" t="s">
        <v>29</v>
      </c>
      <c r="D13" s="87"/>
      <c r="E13" s="58" t="s">
        <v>196</v>
      </c>
      <c r="F13" s="24"/>
      <c r="G13" s="237"/>
      <c r="H13" s="255" t="str">
        <f>IFERROR(HYPERLINK("#'Appendix A'!E"&amp;ROW(INDEX(Table23[DSorder],MATCH(IntelNColab[[#This Row],[AppAref]],Table23[DSorder],0))),"GO"),"")</f>
        <v/>
      </c>
      <c r="I13" s="86" t="str">
        <f>IntelNColab[[#This Row],[Component]]&amp;IntelNColab[[#This Row],[Maturity Level]]</f>
        <v>Threat Intelligence and InformationIntermediate</v>
      </c>
      <c r="J13" s="86" t="str">
        <f>IntelNColab[[#This Row],[workArea]]&amp;IntelNColab[[#This Row],[Y, Y(C), N]]</f>
        <v>Threat Intelligence and InformationIntermediate</v>
      </c>
      <c r="K13" s="184"/>
      <c r="L13" s="184"/>
      <c r="M13" s="184" t="str">
        <f t="shared" si="0"/>
        <v>Threat Intelligence and Collaboration</v>
      </c>
      <c r="N13" s="250">
        <f>IF(IntelNColab[[#This Row],[Y, Y(C), N]]=yes,1,0)</f>
        <v>0</v>
      </c>
      <c r="O13" s="184">
        <f>IF(IntelNColab[[#This Row],[Y, Y(C), N]]=yesCC,1,0)</f>
        <v>0</v>
      </c>
      <c r="P13" s="184">
        <f>IF(IntelNColab[[#This Row],[Y, Y(C), N]]=no,1,0)</f>
        <v>0</v>
      </c>
      <c r="Q13" s="250">
        <f>IF(IntelNColab[[#This Row],[Y, Y(C), N]]=NotAvail,1,0)</f>
        <v>0</v>
      </c>
      <c r="R13" s="92"/>
      <c r="S13" s="88"/>
      <c r="T13" s="88"/>
      <c r="U13" s="88"/>
      <c r="V13" s="88"/>
      <c r="W13" s="88"/>
      <c r="X13" s="88"/>
      <c r="Y13" s="88"/>
      <c r="Z13" s="88"/>
      <c r="AA13" s="88"/>
    </row>
    <row r="14" spans="1:27" ht="30" x14ac:dyDescent="0.25">
      <c r="A14" s="86" t="s">
        <v>191</v>
      </c>
      <c r="B14" s="58" t="s">
        <v>611</v>
      </c>
      <c r="C14" s="86" t="s">
        <v>29</v>
      </c>
      <c r="D14" s="87"/>
      <c r="E14" s="58" t="s">
        <v>197</v>
      </c>
      <c r="F14" s="24"/>
      <c r="G14" s="237"/>
      <c r="H14" s="255" t="str">
        <f>IFERROR(HYPERLINK("#'Appendix A'!E"&amp;ROW(INDEX(Table23[DSorder],MATCH(IntelNColab[[#This Row],[AppAref]],Table23[DSorder],0))),"GO"),"")</f>
        <v/>
      </c>
      <c r="I14" s="86" t="str">
        <f>IntelNColab[[#This Row],[Component]]&amp;IntelNColab[[#This Row],[Maturity Level]]</f>
        <v>Threat Intelligence and InformationIntermediate</v>
      </c>
      <c r="J14" s="86" t="str">
        <f>IntelNColab[[#This Row],[workArea]]&amp;IntelNColab[[#This Row],[Y, Y(C), N]]</f>
        <v>Threat Intelligence and InformationIntermediate</v>
      </c>
      <c r="K14" s="184"/>
      <c r="L14" s="184"/>
      <c r="M14" s="184" t="str">
        <f t="shared" si="0"/>
        <v>Threat Intelligence and Collaboration</v>
      </c>
      <c r="N14" s="184">
        <f>IF(IntelNColab[[#This Row],[Y, Y(C), N]]=yes,1,0)</f>
        <v>0</v>
      </c>
      <c r="O14" s="184">
        <f>IF(IntelNColab[[#This Row],[Y, Y(C), N]]=yesCC,1,0)</f>
        <v>0</v>
      </c>
      <c r="P14" s="184">
        <f>IF(IntelNColab[[#This Row],[Y, Y(C), N]]=no,1,0)</f>
        <v>0</v>
      </c>
      <c r="Q14" s="184">
        <f>IF(IntelNColab[[#This Row],[Y, Y(C), N]]=NotAvail,1,0)</f>
        <v>0</v>
      </c>
      <c r="R14" s="92"/>
      <c r="S14" s="88"/>
      <c r="T14" s="88"/>
      <c r="U14" s="88"/>
      <c r="V14" s="88"/>
      <c r="W14" s="88"/>
      <c r="X14" s="88"/>
      <c r="Y14" s="88"/>
      <c r="Z14" s="88"/>
      <c r="AA14" s="88"/>
    </row>
    <row r="15" spans="1:27" ht="45" customHeight="1" x14ac:dyDescent="0.25">
      <c r="A15" s="86" t="s">
        <v>191</v>
      </c>
      <c r="B15" s="58" t="s">
        <v>611</v>
      </c>
      <c r="C15" s="86" t="s">
        <v>29</v>
      </c>
      <c r="D15" s="87"/>
      <c r="E15" s="58" t="s">
        <v>198</v>
      </c>
      <c r="F15" s="24"/>
      <c r="G15" s="237"/>
      <c r="H15" s="255" t="str">
        <f>IFERROR(HYPERLINK("#'Appendix A'!E"&amp;ROW(INDEX(Table23[DSorder],MATCH(IntelNColab[[#This Row],[AppAref]],Table23[DSorder],0))),"GO"),"")</f>
        <v/>
      </c>
      <c r="I15" s="58" t="str">
        <f>IntelNColab[[#This Row],[Component]]&amp;IntelNColab[[#This Row],[Maturity Level]]</f>
        <v>Threat Intelligence and InformationIntermediate</v>
      </c>
      <c r="J15" s="58" t="str">
        <f>IntelNColab[[#This Row],[workArea]]&amp;IntelNColab[[#This Row],[Y, Y(C), N]]</f>
        <v>Threat Intelligence and InformationIntermediate</v>
      </c>
      <c r="K15" s="192"/>
      <c r="L15" s="192"/>
      <c r="M15" s="250" t="str">
        <f t="shared" si="0"/>
        <v>Threat Intelligence and Collaboration</v>
      </c>
      <c r="N15" s="184">
        <f>IF(IntelNColab[[#This Row],[Y, Y(C), N]]=yes,1,0)</f>
        <v>0</v>
      </c>
      <c r="O15" s="184">
        <f>IF(IntelNColab[[#This Row],[Y, Y(C), N]]=yesCC,1,0)</f>
        <v>0</v>
      </c>
      <c r="P15" s="184">
        <f>IF(IntelNColab[[#This Row],[Y, Y(C), N]]=no,1,0)</f>
        <v>0</v>
      </c>
      <c r="Q15" s="184">
        <f>IF(IntelNColab[[#This Row],[Y, Y(C), N]]=NotAvail,1,0)</f>
        <v>0</v>
      </c>
      <c r="R15" s="92"/>
      <c r="S15" s="88"/>
      <c r="T15" s="88"/>
      <c r="U15" s="88"/>
      <c r="V15" s="88"/>
      <c r="W15" s="88"/>
      <c r="X15" s="88"/>
      <c r="Y15" s="88"/>
      <c r="Z15" s="88"/>
      <c r="AA15" s="88"/>
    </row>
    <row r="16" spans="1:27" ht="30" x14ac:dyDescent="0.25">
      <c r="A16" s="86" t="s">
        <v>191</v>
      </c>
      <c r="B16" s="58" t="s">
        <v>611</v>
      </c>
      <c r="C16" s="86" t="s">
        <v>30</v>
      </c>
      <c r="D16" s="87"/>
      <c r="E16" s="58" t="s">
        <v>199</v>
      </c>
      <c r="F16" s="24"/>
      <c r="G16" s="237"/>
      <c r="H16" s="255" t="str">
        <f>IFERROR(HYPERLINK("#'Appendix A'!E"&amp;ROW(INDEX(Table23[DSorder],MATCH(IntelNColab[[#This Row],[AppAref]],Table23[DSorder],0))),"GO"),"")</f>
        <v/>
      </c>
      <c r="I16" s="86" t="str">
        <f>IntelNColab[[#This Row],[Component]]&amp;IntelNColab[[#This Row],[Maturity Level]]</f>
        <v>Threat Intelligence and InformationAdvanced</v>
      </c>
      <c r="J16" s="86" t="str">
        <f>IntelNColab[[#This Row],[workArea]]&amp;IntelNColab[[#This Row],[Y, Y(C), N]]</f>
        <v>Threat Intelligence and InformationAdvanced</v>
      </c>
      <c r="K16" s="184"/>
      <c r="L16" s="184"/>
      <c r="M16" s="184" t="str">
        <f t="shared" si="0"/>
        <v>Threat Intelligence and Collaboration</v>
      </c>
      <c r="N16" s="184">
        <f>IF(IntelNColab[[#This Row],[Y, Y(C), N]]=yes,1,0)</f>
        <v>0</v>
      </c>
      <c r="O16" s="184">
        <f>IF(IntelNColab[[#This Row],[Y, Y(C), N]]=yesCC,1,0)</f>
        <v>0</v>
      </c>
      <c r="P16" s="184">
        <f>IF(IntelNColab[[#This Row],[Y, Y(C), N]]=no,1,0)</f>
        <v>0</v>
      </c>
      <c r="Q16" s="184">
        <f>IF(IntelNColab[[#This Row],[Y, Y(C), N]]=NotAvail,1,0)</f>
        <v>0</v>
      </c>
      <c r="R16" s="92"/>
      <c r="S16" s="88"/>
      <c r="T16" s="88"/>
      <c r="U16" s="88"/>
      <c r="V16" s="88"/>
      <c r="W16" s="88"/>
      <c r="X16" s="88"/>
      <c r="Y16" s="88"/>
      <c r="Z16" s="88"/>
      <c r="AA16" s="88"/>
    </row>
    <row r="17" spans="1:27" ht="30" x14ac:dyDescent="0.25">
      <c r="A17" s="86" t="s">
        <v>191</v>
      </c>
      <c r="B17" s="58" t="s">
        <v>611</v>
      </c>
      <c r="C17" s="86" t="s">
        <v>30</v>
      </c>
      <c r="D17" s="87"/>
      <c r="E17" s="58" t="s">
        <v>200</v>
      </c>
      <c r="F17" s="24"/>
      <c r="G17" s="237"/>
      <c r="H17" s="255" t="str">
        <f>IFERROR(HYPERLINK("#'Appendix A'!E"&amp;ROW(INDEX(Table23[DSorder],MATCH(IntelNColab[[#This Row],[AppAref]],Table23[DSorder],0))),"GO"),"")</f>
        <v/>
      </c>
      <c r="I17" s="86" t="str">
        <f>IntelNColab[[#This Row],[Component]]&amp;IntelNColab[[#This Row],[Maturity Level]]</f>
        <v>Threat Intelligence and InformationAdvanced</v>
      </c>
      <c r="J17" s="86" t="str">
        <f>IntelNColab[[#This Row],[workArea]]&amp;IntelNColab[[#This Row],[Y, Y(C), N]]</f>
        <v>Threat Intelligence and InformationAdvanced</v>
      </c>
      <c r="K17" s="184"/>
      <c r="L17" s="184"/>
      <c r="M17" s="184" t="str">
        <f t="shared" si="0"/>
        <v>Threat Intelligence and Collaboration</v>
      </c>
      <c r="N17" s="184">
        <f>IF(IntelNColab[[#This Row],[Y, Y(C), N]]=yes,1,0)</f>
        <v>0</v>
      </c>
      <c r="O17" s="184">
        <f>IF(IntelNColab[[#This Row],[Y, Y(C), N]]=yesCC,1,0)</f>
        <v>0</v>
      </c>
      <c r="P17" s="184">
        <f>IF(IntelNColab[[#This Row],[Y, Y(C), N]]=no,1,0)</f>
        <v>0</v>
      </c>
      <c r="Q17" s="184">
        <f>IF(IntelNColab[[#This Row],[Y, Y(C), N]]=NotAvail,1,0)</f>
        <v>0</v>
      </c>
      <c r="R17" s="92"/>
      <c r="S17" s="88"/>
      <c r="T17" s="88"/>
      <c r="U17" s="88"/>
      <c r="V17" s="88"/>
      <c r="W17" s="88"/>
      <c r="X17" s="88"/>
      <c r="Y17" s="88"/>
      <c r="Z17" s="88"/>
      <c r="AA17" s="88"/>
    </row>
    <row r="18" spans="1:27" ht="30" x14ac:dyDescent="0.25">
      <c r="A18" s="86" t="s">
        <v>191</v>
      </c>
      <c r="B18" s="58" t="s">
        <v>611</v>
      </c>
      <c r="C18" s="86" t="s">
        <v>30</v>
      </c>
      <c r="D18" s="87"/>
      <c r="E18" s="58" t="s">
        <v>201</v>
      </c>
      <c r="F18" s="24"/>
      <c r="G18" s="237"/>
      <c r="H18" s="255" t="str">
        <f>IFERROR(HYPERLINK("#'Appendix A'!E"&amp;ROW(INDEX(Table23[DSorder],MATCH(IntelNColab[[#This Row],[AppAref]],Table23[DSorder],0))),"GO"),"")</f>
        <v/>
      </c>
      <c r="I18" s="86" t="str">
        <f>IntelNColab[[#This Row],[Component]]&amp;IntelNColab[[#This Row],[Maturity Level]]</f>
        <v>Threat Intelligence and InformationAdvanced</v>
      </c>
      <c r="J18" s="86" t="str">
        <f>IntelNColab[[#This Row],[workArea]]&amp;IntelNColab[[#This Row],[Y, Y(C), N]]</f>
        <v>Threat Intelligence and InformationAdvanced</v>
      </c>
      <c r="K18" s="184"/>
      <c r="L18" s="184"/>
      <c r="M18" s="184" t="str">
        <f t="shared" si="0"/>
        <v>Threat Intelligence and Collaboration</v>
      </c>
      <c r="N18" s="184">
        <f>IF(IntelNColab[[#This Row],[Y, Y(C), N]]=yes,1,0)</f>
        <v>0</v>
      </c>
      <c r="O18" s="184">
        <f>IF(IntelNColab[[#This Row],[Y, Y(C), N]]=yesCC,1,0)</f>
        <v>0</v>
      </c>
      <c r="P18" s="184">
        <f>IF(IntelNColab[[#This Row],[Y, Y(C), N]]=no,1,0)</f>
        <v>0</v>
      </c>
      <c r="Q18" s="184">
        <f>IF(IntelNColab[[#This Row],[Y, Y(C), N]]=NotAvail,1,0)</f>
        <v>0</v>
      </c>
      <c r="R18" s="92"/>
      <c r="S18" s="88"/>
      <c r="T18" s="88"/>
      <c r="U18" s="88"/>
      <c r="V18" s="88"/>
      <c r="W18" s="88"/>
      <c r="X18" s="88"/>
      <c r="Y18" s="88"/>
      <c r="Z18" s="88"/>
      <c r="AA18" s="88"/>
    </row>
    <row r="19" spans="1:27" ht="30" x14ac:dyDescent="0.25">
      <c r="A19" s="86" t="s">
        <v>191</v>
      </c>
      <c r="B19" s="58" t="s">
        <v>611</v>
      </c>
      <c r="C19" s="86" t="s">
        <v>31</v>
      </c>
      <c r="D19" s="87"/>
      <c r="E19" s="58" t="s">
        <v>202</v>
      </c>
      <c r="F19" s="24"/>
      <c r="G19" s="237"/>
      <c r="H19" s="255" t="str">
        <f>IFERROR(HYPERLINK("#'Appendix A'!E"&amp;ROW(INDEX(Table23[DSorder],MATCH(IntelNColab[[#This Row],[AppAref]],Table23[DSorder],0))),"GO"),"")</f>
        <v/>
      </c>
      <c r="I19" s="86" t="str">
        <f>IntelNColab[[#This Row],[Component]]&amp;IntelNColab[[#This Row],[Maturity Level]]</f>
        <v>Threat Intelligence and InformationInnovative</v>
      </c>
      <c r="J19" s="86" t="str">
        <f>IntelNColab[[#This Row],[workArea]]&amp;IntelNColab[[#This Row],[Y, Y(C), N]]</f>
        <v>Threat Intelligence and InformationInnovative</v>
      </c>
      <c r="K19" s="184"/>
      <c r="L19" s="184"/>
      <c r="M19" s="184" t="str">
        <f t="shared" si="0"/>
        <v>Threat Intelligence and Collaboration</v>
      </c>
      <c r="N19" s="184">
        <f>IF(IntelNColab[[#This Row],[Y, Y(C), N]]=yes,1,0)</f>
        <v>0</v>
      </c>
      <c r="O19" s="184">
        <f>IF(IntelNColab[[#This Row],[Y, Y(C), N]]=yesCC,1,0)</f>
        <v>0</v>
      </c>
      <c r="P19" s="184">
        <f>IF(IntelNColab[[#This Row],[Y, Y(C), N]]=no,1,0)</f>
        <v>0</v>
      </c>
      <c r="Q19" s="184">
        <f>IF(IntelNColab[[#This Row],[Y, Y(C), N]]=NotAvail,1,0)</f>
        <v>0</v>
      </c>
      <c r="R19" s="92"/>
      <c r="S19" s="88"/>
      <c r="T19" s="88"/>
      <c r="U19" s="88"/>
      <c r="V19" s="88"/>
      <c r="W19" s="88"/>
      <c r="X19" s="88"/>
      <c r="Y19" s="88"/>
      <c r="Z19" s="88"/>
      <c r="AA19" s="88"/>
    </row>
    <row r="20" spans="1:27" ht="45" x14ac:dyDescent="0.25">
      <c r="A20" s="86" t="s">
        <v>191</v>
      </c>
      <c r="B20" s="58" t="s">
        <v>611</v>
      </c>
      <c r="C20" s="86" t="s">
        <v>31</v>
      </c>
      <c r="D20" s="87"/>
      <c r="E20" s="58" t="s">
        <v>203</v>
      </c>
      <c r="F20" s="24"/>
      <c r="G20" s="237"/>
      <c r="H20" s="255" t="str">
        <f>IFERROR(HYPERLINK("#'Appendix A'!E"&amp;ROW(INDEX(Table23[DSorder],MATCH(IntelNColab[[#This Row],[AppAref]],Table23[DSorder],0))),"GO"),"")</f>
        <v/>
      </c>
      <c r="I20" s="86" t="str">
        <f>IntelNColab[[#This Row],[Component]]&amp;IntelNColab[[#This Row],[Maturity Level]]</f>
        <v>Threat Intelligence and InformationInnovative</v>
      </c>
      <c r="J20" s="86" t="str">
        <f>IntelNColab[[#This Row],[workArea]]&amp;IntelNColab[[#This Row],[Y, Y(C), N]]</f>
        <v>Threat Intelligence and InformationInnovative</v>
      </c>
      <c r="K20" s="184"/>
      <c r="L20" s="184"/>
      <c r="M20" s="184" t="str">
        <f t="shared" si="0"/>
        <v>Threat Intelligence and Collaboration</v>
      </c>
      <c r="N20" s="184">
        <f>IF(IntelNColab[[#This Row],[Y, Y(C), N]]=yes,1,0)</f>
        <v>0</v>
      </c>
      <c r="O20" s="184">
        <f>IF(IntelNColab[[#This Row],[Y, Y(C), N]]=yesCC,1,0)</f>
        <v>0</v>
      </c>
      <c r="P20" s="184">
        <f>IF(IntelNColab[[#This Row],[Y, Y(C), N]]=no,1,0)</f>
        <v>0</v>
      </c>
      <c r="Q20" s="184">
        <f>IF(IntelNColab[[#This Row],[Y, Y(C), N]]=NotAvail,1,0)</f>
        <v>0</v>
      </c>
      <c r="R20" s="92"/>
      <c r="S20" s="88"/>
      <c r="T20" s="88"/>
      <c r="U20" s="88"/>
      <c r="V20" s="88"/>
      <c r="W20" s="88"/>
      <c r="X20" s="88"/>
      <c r="Y20" s="88"/>
      <c r="Z20" s="88"/>
      <c r="AA20" s="88"/>
    </row>
    <row r="21" spans="1:27" ht="30" x14ac:dyDescent="0.25">
      <c r="A21" s="58" t="s">
        <v>609</v>
      </c>
      <c r="B21" s="58" t="s">
        <v>609</v>
      </c>
      <c r="C21" s="86" t="s">
        <v>27</v>
      </c>
      <c r="D21" s="87"/>
      <c r="E21" s="58" t="s">
        <v>204</v>
      </c>
      <c r="F21"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79</v>
      </c>
      <c r="G21" s="240"/>
      <c r="H21" s="255" t="str">
        <f>IFERROR(HYPERLINK("#'Appendix A'!E"&amp;ROW(INDEX(Table23[DSorder],MATCH(IntelNColab[[#This Row],[AppAref]],Table23[DSorder],0))),"GO"),"")</f>
        <v>GO</v>
      </c>
      <c r="I21" s="86" t="str">
        <f>IntelNColab[[#This Row],[Component]]&amp;IntelNColab[[#This Row],[Maturity Level]]</f>
        <v>Monitoring and AnalyzingBaseline</v>
      </c>
      <c r="J21" s="86" t="str">
        <f>IntelNColab[[#This Row],[workArea]]&amp;IntelNColab[[#This Row],[Y, Y(C), N]]</f>
        <v>Monitoring and AnalyzingBaseline</v>
      </c>
      <c r="K21" s="184">
        <v>32</v>
      </c>
      <c r="L21" s="184">
        <f>IFERROR(MATCH(IntelNColab[[#This Row],[Ref No.]],hyperlinkLU[Reference No.],0),IntelNColab[[#This Row],[Ref No.]])</f>
        <v>33</v>
      </c>
      <c r="M21" s="184" t="str">
        <f t="shared" si="0"/>
        <v>Threat Intelligence and Collaboration</v>
      </c>
      <c r="N21" s="184">
        <f>IF(IntelNColab[[#This Row],[Y, Y(C), N]]=yes,1,0)</f>
        <v>0</v>
      </c>
      <c r="O21" s="184">
        <f>IF(IntelNColab[[#This Row],[Y, Y(C), N]]=yesCC,1,0)</f>
        <v>0</v>
      </c>
      <c r="P21" s="184">
        <f>IF(IntelNColab[[#This Row],[Y, Y(C), N]]=no,1,0)</f>
        <v>0</v>
      </c>
      <c r="Q21" s="184">
        <f>IF(IntelNColab[[#This Row],[Y, Y(C), N]]=NotAvail,1,0)</f>
        <v>0</v>
      </c>
      <c r="R21" s="92">
        <v>35</v>
      </c>
      <c r="S21" s="88"/>
      <c r="T21" s="88"/>
      <c r="U21" s="88"/>
      <c r="V21" s="88"/>
      <c r="W21" s="88"/>
      <c r="X21" s="88"/>
      <c r="Y21" s="88"/>
      <c r="Z21" s="88"/>
      <c r="AA21" s="88"/>
    </row>
    <row r="22" spans="1:27" ht="30" x14ac:dyDescent="0.25">
      <c r="A22" s="58" t="s">
        <v>609</v>
      </c>
      <c r="B22" s="58" t="s">
        <v>609</v>
      </c>
      <c r="C22" s="86" t="s">
        <v>27</v>
      </c>
      <c r="D22" s="87"/>
      <c r="E22" s="58" t="s">
        <v>205</v>
      </c>
      <c r="F22"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83</v>
      </c>
      <c r="G22" s="240"/>
      <c r="H22" s="255" t="str">
        <f>IFERROR(HYPERLINK("#'Appendix A'!E"&amp;ROW(INDEX(Table23[DSorder],MATCH(IntelNColab[[#This Row],[AppAref]],Table23[DSorder],0))),"GO"),"")</f>
        <v>GO</v>
      </c>
      <c r="I22" s="86" t="str">
        <f>IntelNColab[[#This Row],[Component]]&amp;IntelNColab[[#This Row],[Maturity Level]]</f>
        <v>Monitoring and AnalyzingBaseline</v>
      </c>
      <c r="J22" s="86" t="str">
        <f>IntelNColab[[#This Row],[workArea]]&amp;IntelNColab[[#This Row],[Y, Y(C), N]]</f>
        <v>Monitoring and AnalyzingBaseline</v>
      </c>
      <c r="K22" s="184">
        <v>33</v>
      </c>
      <c r="L22" s="184">
        <f>IFERROR(MATCH(IntelNColab[[#This Row],[Ref No.]],hyperlinkLU[Reference No.],0),IntelNColab[[#This Row],[Ref No.]])</f>
        <v>34</v>
      </c>
      <c r="M22" s="184" t="str">
        <f t="shared" si="0"/>
        <v>Threat Intelligence and Collaboration</v>
      </c>
      <c r="N22" s="184">
        <f>IF(IntelNColab[[#This Row],[Y, Y(C), N]]=yes,1,0)</f>
        <v>0</v>
      </c>
      <c r="O22" s="184">
        <f>IF(IntelNColab[[#This Row],[Y, Y(C), N]]=yesCC,1,0)</f>
        <v>0</v>
      </c>
      <c r="P22" s="184">
        <f>IF(IntelNColab[[#This Row],[Y, Y(C), N]]=no,1,0)</f>
        <v>0</v>
      </c>
      <c r="Q22" s="184">
        <f>IF(IntelNColab[[#This Row],[Y, Y(C), N]]=NotAvail,1,0)</f>
        <v>0</v>
      </c>
      <c r="R22" s="92">
        <v>36</v>
      </c>
      <c r="S22" s="88"/>
      <c r="T22" s="88"/>
      <c r="U22" s="88"/>
      <c r="V22" s="88"/>
      <c r="W22" s="88"/>
      <c r="X22" s="88"/>
      <c r="Y22" s="88"/>
      <c r="Z22" s="88"/>
      <c r="AA22" s="88"/>
    </row>
    <row r="23" spans="1:27" ht="30" x14ac:dyDescent="0.25">
      <c r="A23" s="58" t="s">
        <v>609</v>
      </c>
      <c r="B23" s="58" t="s">
        <v>609</v>
      </c>
      <c r="C23" s="86" t="s">
        <v>28</v>
      </c>
      <c r="D23" s="87"/>
      <c r="E23" s="58" t="s">
        <v>231</v>
      </c>
      <c r="F23" s="24"/>
      <c r="G23" s="237"/>
      <c r="H23" s="255" t="str">
        <f>IFERROR(HYPERLINK("#'Appendix A'!E"&amp;ROW(INDEX(Table23[DSorder],MATCH(IntelNColab[[#This Row],[AppAref]],Table23[DSorder],0))),"GO"),"")</f>
        <v/>
      </c>
      <c r="I23" s="86" t="str">
        <f>IntelNColab[[#This Row],[Component]]&amp;IntelNColab[[#This Row],[Maturity Level]]</f>
        <v>Monitoring and AnalyzingEvolving</v>
      </c>
      <c r="J23" s="86" t="str">
        <f>IntelNColab[[#This Row],[workArea]]&amp;IntelNColab[[#This Row],[Y, Y(C), N]]</f>
        <v>Monitoring and AnalyzingEvolving</v>
      </c>
      <c r="K23" s="184"/>
      <c r="L23" s="184"/>
      <c r="M23" s="184" t="str">
        <f t="shared" si="0"/>
        <v>Threat Intelligence and Collaboration</v>
      </c>
      <c r="N23" s="184">
        <f>IF(IntelNColab[[#This Row],[Y, Y(C), N]]=yes,1,0)</f>
        <v>0</v>
      </c>
      <c r="O23" s="184">
        <f>IF(IntelNColab[[#This Row],[Y, Y(C), N]]=yesCC,1,0)</f>
        <v>0</v>
      </c>
      <c r="P23" s="184">
        <f>IF(IntelNColab[[#This Row],[Y, Y(C), N]]=no,1,0)</f>
        <v>0</v>
      </c>
      <c r="Q23" s="184">
        <f>IF(IntelNColab[[#This Row],[Y, Y(C), N]]=NotAvail,1,0)</f>
        <v>0</v>
      </c>
      <c r="R23" s="92"/>
      <c r="S23" s="88"/>
      <c r="T23" s="88"/>
      <c r="U23" s="88"/>
      <c r="V23" s="88"/>
      <c r="W23" s="88"/>
      <c r="X23" s="88"/>
      <c r="Y23" s="88"/>
      <c r="Z23" s="88"/>
      <c r="AA23" s="88"/>
    </row>
    <row r="24" spans="1:27" ht="30" x14ac:dyDescent="0.25">
      <c r="A24" s="58" t="s">
        <v>609</v>
      </c>
      <c r="B24" s="58" t="s">
        <v>609</v>
      </c>
      <c r="C24" s="86" t="s">
        <v>28</v>
      </c>
      <c r="D24" s="87"/>
      <c r="E24" s="58" t="s">
        <v>232</v>
      </c>
      <c r="F24" s="24"/>
      <c r="G24" s="237"/>
      <c r="H24" s="255" t="str">
        <f>IFERROR(HYPERLINK("#'Appendix A'!E"&amp;ROW(INDEX(Table23[DSorder],MATCH(IntelNColab[[#This Row],[AppAref]],Table23[DSorder],0))),"GO"),"")</f>
        <v/>
      </c>
      <c r="I24" s="86" t="str">
        <f>IntelNColab[[#This Row],[Component]]&amp;IntelNColab[[#This Row],[Maturity Level]]</f>
        <v>Monitoring and AnalyzingEvolving</v>
      </c>
      <c r="J24" s="86" t="str">
        <f>IntelNColab[[#This Row],[workArea]]&amp;IntelNColab[[#This Row],[Y, Y(C), N]]</f>
        <v>Monitoring and AnalyzingEvolving</v>
      </c>
      <c r="K24" s="184"/>
      <c r="L24" s="184"/>
      <c r="M24" s="184" t="str">
        <f t="shared" si="0"/>
        <v>Threat Intelligence and Collaboration</v>
      </c>
      <c r="N24" s="184">
        <f>IF(IntelNColab[[#This Row],[Y, Y(C), N]]=yes,1,0)</f>
        <v>0</v>
      </c>
      <c r="O24" s="184">
        <f>IF(IntelNColab[[#This Row],[Y, Y(C), N]]=yesCC,1,0)</f>
        <v>0</v>
      </c>
      <c r="P24" s="184">
        <f>IF(IntelNColab[[#This Row],[Y, Y(C), N]]=no,1,0)</f>
        <v>0</v>
      </c>
      <c r="Q24" s="184">
        <f>IF(IntelNColab[[#This Row],[Y, Y(C), N]]=NotAvail,1,0)</f>
        <v>0</v>
      </c>
      <c r="R24" s="92"/>
      <c r="S24" s="88"/>
      <c r="T24" s="88"/>
      <c r="U24" s="88"/>
      <c r="V24" s="88"/>
      <c r="W24" s="88"/>
      <c r="X24" s="88"/>
      <c r="Y24" s="88"/>
      <c r="Z24" s="88"/>
      <c r="AA24" s="88"/>
    </row>
    <row r="25" spans="1:27" ht="30" x14ac:dyDescent="0.25">
      <c r="A25" s="58" t="s">
        <v>609</v>
      </c>
      <c r="B25" s="58" t="s">
        <v>609</v>
      </c>
      <c r="C25" s="86" t="s">
        <v>28</v>
      </c>
      <c r="D25" s="87"/>
      <c r="E25" s="58" t="s">
        <v>877</v>
      </c>
      <c r="F25" s="24"/>
      <c r="G25" s="237"/>
      <c r="H25" s="255" t="str">
        <f>IFERROR(HYPERLINK("#'Appendix A'!E"&amp;ROW(INDEX(Table23[DSorder],MATCH(IntelNColab[[#This Row],[AppAref]],Table23[DSorder],0))),"GO"),"")</f>
        <v/>
      </c>
      <c r="I25" s="86" t="str">
        <f>IntelNColab[[#This Row],[Component]]&amp;IntelNColab[[#This Row],[Maturity Level]]</f>
        <v>Monitoring and AnalyzingEvolving</v>
      </c>
      <c r="J25" s="86" t="str">
        <f>IntelNColab[[#This Row],[workArea]]&amp;IntelNColab[[#This Row],[Y, Y(C), N]]</f>
        <v>Monitoring and AnalyzingEvolving</v>
      </c>
      <c r="K25" s="184"/>
      <c r="L25" s="184"/>
      <c r="M25" s="184" t="str">
        <f t="shared" si="0"/>
        <v>Threat Intelligence and Collaboration</v>
      </c>
      <c r="N25" s="184">
        <f>IF(IntelNColab[[#This Row],[Y, Y(C), N]]=yes,1,0)</f>
        <v>0</v>
      </c>
      <c r="O25" s="184">
        <f>IF(IntelNColab[[#This Row],[Y, Y(C), N]]=yesCC,1,0)</f>
        <v>0</v>
      </c>
      <c r="P25" s="184">
        <f>IF(IntelNColab[[#This Row],[Y, Y(C), N]]=no,1,0)</f>
        <v>0</v>
      </c>
      <c r="Q25" s="184">
        <f>IF(IntelNColab[[#This Row],[Y, Y(C), N]]=NotAvail,1,0)</f>
        <v>0</v>
      </c>
      <c r="R25" s="92"/>
      <c r="S25" s="88"/>
      <c r="T25" s="88"/>
      <c r="U25" s="88"/>
      <c r="V25" s="88"/>
      <c r="W25" s="88"/>
      <c r="X25" s="88"/>
      <c r="Y25" s="88"/>
      <c r="Z25" s="88"/>
      <c r="AA25" s="88"/>
    </row>
    <row r="26" spans="1:27" ht="30" x14ac:dyDescent="0.25">
      <c r="A26" s="58" t="s">
        <v>609</v>
      </c>
      <c r="B26" s="58" t="s">
        <v>609</v>
      </c>
      <c r="C26" s="86" t="s">
        <v>28</v>
      </c>
      <c r="D26" s="87"/>
      <c r="E26" s="58" t="s">
        <v>233</v>
      </c>
      <c r="F26" s="24"/>
      <c r="G26" s="237"/>
      <c r="H26" s="255" t="str">
        <f>IFERROR(HYPERLINK("#'Appendix A'!E"&amp;ROW(INDEX(Table23[DSorder],MATCH(IntelNColab[[#This Row],[AppAref]],Table23[DSorder],0))),"GO"),"")</f>
        <v/>
      </c>
      <c r="I26" s="86" t="str">
        <f>IntelNColab[[#This Row],[Component]]&amp;IntelNColab[[#This Row],[Maturity Level]]</f>
        <v>Monitoring and AnalyzingEvolving</v>
      </c>
      <c r="J26" s="86" t="str">
        <f>IntelNColab[[#This Row],[workArea]]&amp;IntelNColab[[#This Row],[Y, Y(C), N]]</f>
        <v>Monitoring and AnalyzingEvolving</v>
      </c>
      <c r="K26" s="184"/>
      <c r="L26" s="184"/>
      <c r="M26" s="184" t="str">
        <f t="shared" si="0"/>
        <v>Threat Intelligence and Collaboration</v>
      </c>
      <c r="N26" s="184">
        <f>IF(IntelNColab[[#This Row],[Y, Y(C), N]]=yes,1,0)</f>
        <v>0</v>
      </c>
      <c r="O26" s="184">
        <f>IF(IntelNColab[[#This Row],[Y, Y(C), N]]=yesCC,1,0)</f>
        <v>0</v>
      </c>
      <c r="P26" s="184">
        <f>IF(IntelNColab[[#This Row],[Y, Y(C), N]]=no,1,0)</f>
        <v>0</v>
      </c>
      <c r="Q26" s="184">
        <f>IF(IntelNColab[[#This Row],[Y, Y(C), N]]=NotAvail,1,0)</f>
        <v>0</v>
      </c>
      <c r="R26" s="92"/>
      <c r="S26" s="88"/>
      <c r="T26" s="88"/>
      <c r="U26" s="88"/>
      <c r="V26" s="88"/>
      <c r="W26" s="88"/>
      <c r="X26" s="88"/>
      <c r="Y26" s="88"/>
      <c r="Z26" s="88"/>
      <c r="AA26" s="88"/>
    </row>
    <row r="27" spans="1:27" ht="30" customHeight="1" x14ac:dyDescent="0.25">
      <c r="A27" s="58" t="s">
        <v>609</v>
      </c>
      <c r="B27" s="58" t="s">
        <v>609</v>
      </c>
      <c r="C27" s="86" t="s">
        <v>29</v>
      </c>
      <c r="D27" s="87"/>
      <c r="E27" s="58" t="s">
        <v>234</v>
      </c>
      <c r="F27" s="24"/>
      <c r="G27" s="237"/>
      <c r="H27" s="255" t="str">
        <f>IFERROR(HYPERLINK("#'Appendix A'!E"&amp;ROW(INDEX(Table23[DSorder],MATCH(IntelNColab[[#This Row],[AppAref]],Table23[DSorder],0))),"GO"),"")</f>
        <v/>
      </c>
      <c r="I27" s="86" t="str">
        <f>IntelNColab[[#This Row],[Component]]&amp;IntelNColab[[#This Row],[Maturity Level]]</f>
        <v>Monitoring and AnalyzingIntermediate</v>
      </c>
      <c r="J27" s="86" t="str">
        <f>IntelNColab[[#This Row],[workArea]]&amp;IntelNColab[[#This Row],[Y, Y(C), N]]</f>
        <v>Monitoring and AnalyzingIntermediate</v>
      </c>
      <c r="K27" s="184"/>
      <c r="L27" s="184"/>
      <c r="M27" s="184" t="str">
        <f t="shared" si="0"/>
        <v>Threat Intelligence and Collaboration</v>
      </c>
      <c r="N27" s="184">
        <f>IF(IntelNColab[[#This Row],[Y, Y(C), N]]=yes,1,0)</f>
        <v>0</v>
      </c>
      <c r="O27" s="184">
        <f>IF(IntelNColab[[#This Row],[Y, Y(C), N]]=yesCC,1,0)</f>
        <v>0</v>
      </c>
      <c r="P27" s="184">
        <f>IF(IntelNColab[[#This Row],[Y, Y(C), N]]=no,1,0)</f>
        <v>0</v>
      </c>
      <c r="Q27" s="184">
        <f>IF(IntelNColab[[#This Row],[Y, Y(C), N]]=NotAvail,1,0)</f>
        <v>0</v>
      </c>
      <c r="R27" s="92"/>
      <c r="S27" s="88"/>
      <c r="T27" s="88"/>
      <c r="U27" s="88"/>
      <c r="V27" s="88"/>
      <c r="W27" s="88"/>
      <c r="X27" s="88"/>
      <c r="Y27" s="88"/>
      <c r="Z27" s="88"/>
      <c r="AA27" s="88"/>
    </row>
    <row r="28" spans="1:27" ht="30" customHeight="1" x14ac:dyDescent="0.25">
      <c r="A28" s="58" t="s">
        <v>609</v>
      </c>
      <c r="B28" s="58" t="s">
        <v>609</v>
      </c>
      <c r="C28" s="86" t="s">
        <v>29</v>
      </c>
      <c r="D28" s="87"/>
      <c r="E28" s="58" t="s">
        <v>235</v>
      </c>
      <c r="F28" s="24"/>
      <c r="G28" s="237"/>
      <c r="H28" s="255" t="str">
        <f>IFERROR(HYPERLINK("#'Appendix A'!E"&amp;ROW(INDEX(Table23[DSorder],MATCH(IntelNColab[[#This Row],[AppAref]],Table23[DSorder],0))),"GO"),"")</f>
        <v/>
      </c>
      <c r="I28" s="86" t="str">
        <f>IntelNColab[[#This Row],[Component]]&amp;IntelNColab[[#This Row],[Maturity Level]]</f>
        <v>Monitoring and AnalyzingIntermediate</v>
      </c>
      <c r="J28" s="86" t="str">
        <f>IntelNColab[[#This Row],[workArea]]&amp;IntelNColab[[#This Row],[Y, Y(C), N]]</f>
        <v>Monitoring and AnalyzingIntermediate</v>
      </c>
      <c r="K28" s="184"/>
      <c r="L28" s="184"/>
      <c r="M28" s="184" t="str">
        <f t="shared" si="0"/>
        <v>Threat Intelligence and Collaboration</v>
      </c>
      <c r="N28" s="184">
        <f>IF(IntelNColab[[#This Row],[Y, Y(C), N]]=yes,1,0)</f>
        <v>0</v>
      </c>
      <c r="O28" s="184">
        <f>IF(IntelNColab[[#This Row],[Y, Y(C), N]]=yesCC,1,0)</f>
        <v>0</v>
      </c>
      <c r="P28" s="184">
        <f>IF(IntelNColab[[#This Row],[Y, Y(C), N]]=no,1,0)</f>
        <v>0</v>
      </c>
      <c r="Q28" s="184">
        <f>IF(IntelNColab[[#This Row],[Y, Y(C), N]]=NotAvail,1,0)</f>
        <v>0</v>
      </c>
      <c r="R28" s="92"/>
      <c r="S28" s="88"/>
      <c r="T28" s="88"/>
      <c r="U28" s="88"/>
      <c r="V28" s="88"/>
      <c r="W28" s="88"/>
      <c r="X28" s="88"/>
      <c r="Y28" s="88"/>
      <c r="Z28" s="88"/>
      <c r="AA28" s="88"/>
    </row>
    <row r="29" spans="1:27" ht="30" customHeight="1" x14ac:dyDescent="0.25">
      <c r="A29" s="58" t="s">
        <v>609</v>
      </c>
      <c r="B29" s="58" t="s">
        <v>609</v>
      </c>
      <c r="C29" s="86" t="s">
        <v>29</v>
      </c>
      <c r="D29" s="87"/>
      <c r="E29" s="58" t="s">
        <v>236</v>
      </c>
      <c r="F29" s="24"/>
      <c r="G29" s="237"/>
      <c r="H29" s="255" t="str">
        <f>IFERROR(HYPERLINK("#'Appendix A'!E"&amp;ROW(INDEX(Table23[DSorder],MATCH(IntelNColab[[#This Row],[AppAref]],Table23[DSorder],0))),"GO"),"")</f>
        <v/>
      </c>
      <c r="I29" s="86" t="str">
        <f>IntelNColab[[#This Row],[Component]]&amp;IntelNColab[[#This Row],[Maturity Level]]</f>
        <v>Monitoring and AnalyzingIntermediate</v>
      </c>
      <c r="J29" s="86" t="str">
        <f>IntelNColab[[#This Row],[workArea]]&amp;IntelNColab[[#This Row],[Y, Y(C), N]]</f>
        <v>Monitoring and AnalyzingIntermediate</v>
      </c>
      <c r="K29" s="184"/>
      <c r="L29" s="184"/>
      <c r="M29" s="184" t="str">
        <f t="shared" si="0"/>
        <v>Threat Intelligence and Collaboration</v>
      </c>
      <c r="N29" s="184">
        <f>IF(IntelNColab[[#This Row],[Y, Y(C), N]]=yes,1,0)</f>
        <v>0</v>
      </c>
      <c r="O29" s="184">
        <f>IF(IntelNColab[[#This Row],[Y, Y(C), N]]=yesCC,1,0)</f>
        <v>0</v>
      </c>
      <c r="P29" s="184">
        <f>IF(IntelNColab[[#This Row],[Y, Y(C), N]]=no,1,0)</f>
        <v>0</v>
      </c>
      <c r="Q29" s="184">
        <f>IF(IntelNColab[[#This Row],[Y, Y(C), N]]=NotAvail,1,0)</f>
        <v>0</v>
      </c>
      <c r="R29" s="92"/>
      <c r="S29" s="88"/>
      <c r="T29" s="88"/>
      <c r="U29" s="88"/>
      <c r="V29" s="88"/>
      <c r="W29" s="88"/>
      <c r="X29" s="88"/>
      <c r="Y29" s="88"/>
      <c r="Z29" s="88"/>
      <c r="AA29" s="88"/>
    </row>
    <row r="30" spans="1:27" ht="30" x14ac:dyDescent="0.25">
      <c r="A30" s="58" t="s">
        <v>609</v>
      </c>
      <c r="B30" s="58" t="s">
        <v>609</v>
      </c>
      <c r="C30" s="86" t="s">
        <v>29</v>
      </c>
      <c r="D30" s="87"/>
      <c r="E30" s="58" t="s">
        <v>237</v>
      </c>
      <c r="F30" s="24"/>
      <c r="G30" s="237"/>
      <c r="H30" s="255" t="str">
        <f>IFERROR(HYPERLINK("#'Appendix A'!E"&amp;ROW(INDEX(Table23[DSorder],MATCH(IntelNColab[[#This Row],[AppAref]],Table23[DSorder],0))),"GO"),"")</f>
        <v/>
      </c>
      <c r="I30" s="86" t="str">
        <f>IntelNColab[[#This Row],[Component]]&amp;IntelNColab[[#This Row],[Maturity Level]]</f>
        <v>Monitoring and AnalyzingIntermediate</v>
      </c>
      <c r="J30" s="86" t="str">
        <f>IntelNColab[[#This Row],[workArea]]&amp;IntelNColab[[#This Row],[Y, Y(C), N]]</f>
        <v>Monitoring and AnalyzingIntermediate</v>
      </c>
      <c r="K30" s="184"/>
      <c r="L30" s="184"/>
      <c r="M30" s="184" t="str">
        <f t="shared" si="0"/>
        <v>Threat Intelligence and Collaboration</v>
      </c>
      <c r="N30" s="184">
        <f>IF(IntelNColab[[#This Row],[Y, Y(C), N]]=yes,1,0)</f>
        <v>0</v>
      </c>
      <c r="O30" s="184">
        <f>IF(IntelNColab[[#This Row],[Y, Y(C), N]]=yesCC,1,0)</f>
        <v>0</v>
      </c>
      <c r="P30" s="184">
        <f>IF(IntelNColab[[#This Row],[Y, Y(C), N]]=no,1,0)</f>
        <v>0</v>
      </c>
      <c r="Q30" s="184">
        <f>IF(IntelNColab[[#This Row],[Y, Y(C), N]]=NotAvail,1,0)</f>
        <v>0</v>
      </c>
      <c r="R30" s="92"/>
      <c r="S30" s="88"/>
      <c r="T30" s="88"/>
      <c r="U30" s="88"/>
      <c r="V30" s="88"/>
      <c r="W30" s="88"/>
      <c r="X30" s="88"/>
      <c r="Y30" s="88"/>
      <c r="Z30" s="88"/>
      <c r="AA30" s="88"/>
    </row>
    <row r="31" spans="1:27" ht="30" x14ac:dyDescent="0.25">
      <c r="A31" s="58" t="s">
        <v>609</v>
      </c>
      <c r="B31" s="58" t="s">
        <v>609</v>
      </c>
      <c r="C31" s="86" t="s">
        <v>30</v>
      </c>
      <c r="D31" s="87"/>
      <c r="E31" s="58" t="s">
        <v>238</v>
      </c>
      <c r="F31" s="24"/>
      <c r="G31" s="237"/>
      <c r="H31" s="255" t="str">
        <f>IFERROR(HYPERLINK("#'Appendix A'!E"&amp;ROW(INDEX(Table23[DSorder],MATCH(IntelNColab[[#This Row],[AppAref]],Table23[DSorder],0))),"GO"),"")</f>
        <v/>
      </c>
      <c r="I31" s="86" t="str">
        <f>IntelNColab[[#This Row],[Component]]&amp;IntelNColab[[#This Row],[Maturity Level]]</f>
        <v>Monitoring and AnalyzingAdvanced</v>
      </c>
      <c r="J31" s="86" t="str">
        <f>IntelNColab[[#This Row],[workArea]]&amp;IntelNColab[[#This Row],[Y, Y(C), N]]</f>
        <v>Monitoring and AnalyzingAdvanced</v>
      </c>
      <c r="K31" s="184"/>
      <c r="L31" s="184"/>
      <c r="M31" s="184" t="str">
        <f t="shared" si="0"/>
        <v>Threat Intelligence and Collaboration</v>
      </c>
      <c r="N31" s="184">
        <f>IF(IntelNColab[[#This Row],[Y, Y(C), N]]=yes,1,0)</f>
        <v>0</v>
      </c>
      <c r="O31" s="184">
        <f>IF(IntelNColab[[#This Row],[Y, Y(C), N]]=yesCC,1,0)</f>
        <v>0</v>
      </c>
      <c r="P31" s="184">
        <f>IF(IntelNColab[[#This Row],[Y, Y(C), N]]=no,1,0)</f>
        <v>0</v>
      </c>
      <c r="Q31" s="184">
        <f>IF(IntelNColab[[#This Row],[Y, Y(C), N]]=NotAvail,1,0)</f>
        <v>0</v>
      </c>
      <c r="R31" s="92"/>
      <c r="S31" s="88"/>
      <c r="T31" s="88"/>
      <c r="U31" s="88"/>
      <c r="V31" s="88"/>
      <c r="W31" s="88"/>
      <c r="X31" s="88"/>
      <c r="Y31" s="88"/>
      <c r="Z31" s="88"/>
      <c r="AA31" s="88"/>
    </row>
    <row r="32" spans="1:27" ht="30" x14ac:dyDescent="0.25">
      <c r="A32" s="58" t="s">
        <v>609</v>
      </c>
      <c r="B32" s="58" t="s">
        <v>609</v>
      </c>
      <c r="C32" s="86" t="s">
        <v>30</v>
      </c>
      <c r="D32" s="87"/>
      <c r="E32" s="58" t="s">
        <v>239</v>
      </c>
      <c r="F32" s="24"/>
      <c r="G32" s="237"/>
      <c r="H32" s="255" t="str">
        <f>IFERROR(HYPERLINK("#'Appendix A'!E"&amp;ROW(INDEX(Table23[DSorder],MATCH(IntelNColab[[#This Row],[AppAref]],Table23[DSorder],0))),"GO"),"")</f>
        <v/>
      </c>
      <c r="I32" s="86" t="str">
        <f>IntelNColab[[#This Row],[Component]]&amp;IntelNColab[[#This Row],[Maturity Level]]</f>
        <v>Monitoring and AnalyzingAdvanced</v>
      </c>
      <c r="J32" s="86" t="str">
        <f>IntelNColab[[#This Row],[workArea]]&amp;IntelNColab[[#This Row],[Y, Y(C), N]]</f>
        <v>Monitoring and AnalyzingAdvanced</v>
      </c>
      <c r="K32" s="184"/>
      <c r="L32" s="184"/>
      <c r="M32" s="184" t="str">
        <f t="shared" si="0"/>
        <v>Threat Intelligence and Collaboration</v>
      </c>
      <c r="N32" s="184">
        <f>IF(IntelNColab[[#This Row],[Y, Y(C), N]]=yes,1,0)</f>
        <v>0</v>
      </c>
      <c r="O32" s="184">
        <f>IF(IntelNColab[[#This Row],[Y, Y(C), N]]=yesCC,1,0)</f>
        <v>0</v>
      </c>
      <c r="P32" s="184">
        <f>IF(IntelNColab[[#This Row],[Y, Y(C), N]]=no,1,0)</f>
        <v>0</v>
      </c>
      <c r="Q32" s="184">
        <f>IF(IntelNColab[[#This Row],[Y, Y(C), N]]=NotAvail,1,0)</f>
        <v>0</v>
      </c>
      <c r="R32" s="92"/>
      <c r="S32" s="88"/>
      <c r="T32" s="88"/>
      <c r="U32" s="88"/>
      <c r="V32" s="88"/>
      <c r="W32" s="88"/>
      <c r="X32" s="88"/>
      <c r="Y32" s="88"/>
      <c r="Z32" s="88"/>
      <c r="AA32" s="88"/>
    </row>
    <row r="33" spans="1:27" ht="30" x14ac:dyDescent="0.25">
      <c r="A33" s="58" t="s">
        <v>609</v>
      </c>
      <c r="B33" s="58" t="s">
        <v>609</v>
      </c>
      <c r="C33" s="86" t="s">
        <v>30</v>
      </c>
      <c r="D33" s="87"/>
      <c r="E33" s="58" t="s">
        <v>240</v>
      </c>
      <c r="F33" s="24"/>
      <c r="G33" s="237"/>
      <c r="H33" s="255" t="str">
        <f>IFERROR(HYPERLINK("#'Appendix A'!E"&amp;ROW(INDEX(Table23[DSorder],MATCH(IntelNColab[[#This Row],[AppAref]],Table23[DSorder],0))),"GO"),"")</f>
        <v/>
      </c>
      <c r="I33" s="86" t="str">
        <f>IntelNColab[[#This Row],[Component]]&amp;IntelNColab[[#This Row],[Maturity Level]]</f>
        <v>Monitoring and AnalyzingAdvanced</v>
      </c>
      <c r="J33" s="86" t="str">
        <f>IntelNColab[[#This Row],[workArea]]&amp;IntelNColab[[#This Row],[Y, Y(C), N]]</f>
        <v>Monitoring and AnalyzingAdvanced</v>
      </c>
      <c r="K33" s="184"/>
      <c r="L33" s="184"/>
      <c r="M33" s="184" t="str">
        <f t="shared" si="0"/>
        <v>Threat Intelligence and Collaboration</v>
      </c>
      <c r="N33" s="184">
        <f>IF(IntelNColab[[#This Row],[Y, Y(C), N]]=yes,1,0)</f>
        <v>0</v>
      </c>
      <c r="O33" s="184">
        <f>IF(IntelNColab[[#This Row],[Y, Y(C), N]]=yesCC,1,0)</f>
        <v>0</v>
      </c>
      <c r="P33" s="184">
        <f>IF(IntelNColab[[#This Row],[Y, Y(C), N]]=no,1,0)</f>
        <v>0</v>
      </c>
      <c r="Q33" s="184">
        <f>IF(IntelNColab[[#This Row],[Y, Y(C), N]]=NotAvail,1,0)</f>
        <v>0</v>
      </c>
      <c r="R33" s="92"/>
      <c r="S33" s="88"/>
      <c r="T33" s="88"/>
      <c r="U33" s="88"/>
      <c r="V33" s="88"/>
      <c r="W33" s="88"/>
      <c r="X33" s="88"/>
      <c r="Y33" s="88"/>
      <c r="Z33" s="88"/>
      <c r="AA33" s="88"/>
    </row>
    <row r="34" spans="1:27" ht="30" x14ac:dyDescent="0.25">
      <c r="A34" s="58" t="s">
        <v>609</v>
      </c>
      <c r="B34" s="58" t="s">
        <v>609</v>
      </c>
      <c r="C34" s="86" t="s">
        <v>30</v>
      </c>
      <c r="D34" s="87"/>
      <c r="E34" s="58" t="s">
        <v>241</v>
      </c>
      <c r="F34" s="24"/>
      <c r="G34" s="237"/>
      <c r="H34" s="255" t="str">
        <f>IFERROR(HYPERLINK("#'Appendix A'!E"&amp;ROW(INDEX(Table23[DSorder],MATCH(IntelNColab[[#This Row],[AppAref]],Table23[DSorder],0))),"GO"),"")</f>
        <v/>
      </c>
      <c r="I34" s="92" t="str">
        <f>IntelNColab[[#This Row],[Component]]&amp;IntelNColab[[#This Row],[Maturity Level]]</f>
        <v>Monitoring and AnalyzingAdvanced</v>
      </c>
      <c r="J34" s="92" t="str">
        <f>IntelNColab[[#This Row],[workArea]]&amp;IntelNColab[[#This Row],[Y, Y(C), N]]</f>
        <v>Monitoring and AnalyzingAdvanced</v>
      </c>
      <c r="K34" s="92"/>
      <c r="L34" s="92"/>
      <c r="M34" s="92" t="str">
        <f t="shared" si="0"/>
        <v>Threat Intelligence and Collaboration</v>
      </c>
      <c r="N34" s="184">
        <f>IF(IntelNColab[[#This Row],[Y, Y(C), N]]=yes,1,0)</f>
        <v>0</v>
      </c>
      <c r="O34" s="184">
        <f>IF(IntelNColab[[#This Row],[Y, Y(C), N]]=yesCC,1,0)</f>
        <v>0</v>
      </c>
      <c r="P34" s="184">
        <f>IF(IntelNColab[[#This Row],[Y, Y(C), N]]=no,1,0)</f>
        <v>0</v>
      </c>
      <c r="Q34" s="184">
        <f>IF(IntelNColab[[#This Row],[Y, Y(C), N]]=NotAvail,1,0)</f>
        <v>0</v>
      </c>
      <c r="R34" s="92"/>
      <c r="S34" s="88"/>
      <c r="T34" s="88"/>
      <c r="U34" s="88"/>
      <c r="V34" s="88"/>
      <c r="W34" s="88"/>
      <c r="X34" s="88"/>
      <c r="Y34" s="88"/>
      <c r="Z34" s="88"/>
      <c r="AA34" s="88"/>
    </row>
    <row r="35" spans="1:27" x14ac:dyDescent="0.25">
      <c r="A35" s="58" t="s">
        <v>609</v>
      </c>
      <c r="B35" s="58" t="s">
        <v>609</v>
      </c>
      <c r="C35" s="86" t="s">
        <v>30</v>
      </c>
      <c r="D35" s="87"/>
      <c r="E35" s="58" t="s">
        <v>242</v>
      </c>
      <c r="F35" s="24"/>
      <c r="G35" s="237"/>
      <c r="H35" s="255" t="str">
        <f>IFERROR(HYPERLINK("#'Appendix A'!E"&amp;ROW(INDEX(Table23[DSorder],MATCH(IntelNColab[[#This Row],[AppAref]],Table23[DSorder],0))),"GO"),"")</f>
        <v/>
      </c>
      <c r="I35" s="92" t="str">
        <f>IntelNColab[[#This Row],[Component]]&amp;IntelNColab[[#This Row],[Maturity Level]]</f>
        <v>Monitoring and AnalyzingAdvanced</v>
      </c>
      <c r="J35" s="92" t="str">
        <f>IntelNColab[[#This Row],[workArea]]&amp;IntelNColab[[#This Row],[Y, Y(C), N]]</f>
        <v>Monitoring and AnalyzingAdvanced</v>
      </c>
      <c r="K35" s="92"/>
      <c r="L35" s="92"/>
      <c r="M35" s="92" t="str">
        <f t="shared" si="0"/>
        <v>Threat Intelligence and Collaboration</v>
      </c>
      <c r="N35" s="184">
        <f>IF(IntelNColab[[#This Row],[Y, Y(C), N]]=yes,1,0)</f>
        <v>0</v>
      </c>
      <c r="O35" s="184">
        <f>IF(IntelNColab[[#This Row],[Y, Y(C), N]]=yesCC,1,0)</f>
        <v>0</v>
      </c>
      <c r="P35" s="184">
        <f>IF(IntelNColab[[#This Row],[Y, Y(C), N]]=no,1,0)</f>
        <v>0</v>
      </c>
      <c r="Q35" s="184">
        <f>IF(IntelNColab[[#This Row],[Y, Y(C), N]]=NotAvail,1,0)</f>
        <v>0</v>
      </c>
      <c r="R35" s="92"/>
      <c r="S35" s="88"/>
      <c r="T35" s="88"/>
      <c r="U35" s="88"/>
      <c r="V35" s="88"/>
      <c r="W35" s="88"/>
      <c r="X35" s="88"/>
      <c r="Y35" s="88"/>
      <c r="Z35" s="88"/>
      <c r="AA35" s="88"/>
    </row>
    <row r="36" spans="1:27" ht="45" x14ac:dyDescent="0.25">
      <c r="A36" s="58" t="s">
        <v>609</v>
      </c>
      <c r="B36" s="58" t="s">
        <v>609</v>
      </c>
      <c r="C36" s="86" t="s">
        <v>31</v>
      </c>
      <c r="D36" s="87"/>
      <c r="E36" s="58" t="s">
        <v>243</v>
      </c>
      <c r="F36" s="24"/>
      <c r="G36" s="237"/>
      <c r="H36" s="255" t="str">
        <f>IFERROR(HYPERLINK("#'Appendix A'!E"&amp;ROW(INDEX(Table23[DSorder],MATCH(IntelNColab[[#This Row],[AppAref]],Table23[DSorder],0))),"GO"),"")</f>
        <v/>
      </c>
      <c r="I36" s="92" t="str">
        <f>IntelNColab[[#This Row],[Component]]&amp;IntelNColab[[#This Row],[Maturity Level]]</f>
        <v>Monitoring and AnalyzingInnovative</v>
      </c>
      <c r="J36" s="92" t="str">
        <f>IntelNColab[[#This Row],[workArea]]&amp;IntelNColab[[#This Row],[Y, Y(C), N]]</f>
        <v>Monitoring and AnalyzingInnovative</v>
      </c>
      <c r="K36" s="92"/>
      <c r="L36" s="92"/>
      <c r="M36" s="92" t="str">
        <f t="shared" si="0"/>
        <v>Threat Intelligence and Collaboration</v>
      </c>
      <c r="N36" s="184">
        <f>IF(IntelNColab[[#This Row],[Y, Y(C), N]]=yes,1,0)</f>
        <v>0</v>
      </c>
      <c r="O36" s="184">
        <f>IF(IntelNColab[[#This Row],[Y, Y(C), N]]=yesCC,1,0)</f>
        <v>0</v>
      </c>
      <c r="P36" s="184">
        <f>IF(IntelNColab[[#This Row],[Y, Y(C), N]]=no,1,0)</f>
        <v>0</v>
      </c>
      <c r="Q36" s="184">
        <f>IF(IntelNColab[[#This Row],[Y, Y(C), N]]=NotAvail,1,0)</f>
        <v>0</v>
      </c>
      <c r="R36" s="92"/>
      <c r="S36" s="88"/>
      <c r="T36" s="88"/>
      <c r="U36" s="88"/>
      <c r="V36" s="88"/>
      <c r="W36" s="88"/>
      <c r="X36" s="88"/>
      <c r="Y36" s="88"/>
      <c r="Z36" s="88"/>
      <c r="AA36" s="88"/>
    </row>
    <row r="37" spans="1:27" x14ac:dyDescent="0.25">
      <c r="A37" s="58" t="s">
        <v>609</v>
      </c>
      <c r="B37" s="58" t="s">
        <v>609</v>
      </c>
      <c r="C37" s="86" t="s">
        <v>31</v>
      </c>
      <c r="D37" s="87"/>
      <c r="E37" s="58" t="s">
        <v>244</v>
      </c>
      <c r="F37" s="24"/>
      <c r="G37" s="237"/>
      <c r="H37" s="255" t="str">
        <f>IFERROR(HYPERLINK("#'Appendix A'!E"&amp;ROW(INDEX(Table23[DSorder],MATCH(IntelNColab[[#This Row],[AppAref]],Table23[DSorder],0))),"GO"),"")</f>
        <v/>
      </c>
      <c r="I37" s="92" t="str">
        <f>IntelNColab[[#This Row],[Component]]&amp;IntelNColab[[#This Row],[Maturity Level]]</f>
        <v>Monitoring and AnalyzingInnovative</v>
      </c>
      <c r="J37" s="92" t="str">
        <f>IntelNColab[[#This Row],[workArea]]&amp;IntelNColab[[#This Row],[Y, Y(C), N]]</f>
        <v>Monitoring and AnalyzingInnovative</v>
      </c>
      <c r="K37" s="92"/>
      <c r="L37" s="92"/>
      <c r="M37" s="92" t="str">
        <f t="shared" si="0"/>
        <v>Threat Intelligence and Collaboration</v>
      </c>
      <c r="N37" s="184">
        <f>IF(IntelNColab[[#This Row],[Y, Y(C), N]]=yes,1,0)</f>
        <v>0</v>
      </c>
      <c r="O37" s="184">
        <f>IF(IntelNColab[[#This Row],[Y, Y(C), N]]=yesCC,1,0)</f>
        <v>0</v>
      </c>
      <c r="P37" s="184">
        <f>IF(IntelNColab[[#This Row],[Y, Y(C), N]]=no,1,0)</f>
        <v>0</v>
      </c>
      <c r="Q37" s="184">
        <f>IF(IntelNColab[[#This Row],[Y, Y(C), N]]=NotAvail,1,0)</f>
        <v>0</v>
      </c>
      <c r="R37" s="92"/>
      <c r="S37" s="88"/>
      <c r="T37" s="88"/>
      <c r="U37" s="88"/>
      <c r="V37" s="88"/>
      <c r="W37" s="88"/>
      <c r="X37" s="88"/>
      <c r="Y37" s="88"/>
      <c r="Z37" s="88"/>
      <c r="AA37" s="88"/>
    </row>
    <row r="38" spans="1:27" ht="30" x14ac:dyDescent="0.25">
      <c r="A38" s="58" t="s">
        <v>609</v>
      </c>
      <c r="B38" s="58" t="s">
        <v>609</v>
      </c>
      <c r="C38" s="86" t="s">
        <v>31</v>
      </c>
      <c r="D38" s="87"/>
      <c r="E38" s="58" t="s">
        <v>245</v>
      </c>
      <c r="F38" s="24"/>
      <c r="G38" s="237"/>
      <c r="H38" s="255" t="str">
        <f>IFERROR(HYPERLINK("#'Appendix A'!E"&amp;ROW(INDEX(Table23[DSorder],MATCH(IntelNColab[[#This Row],[AppAref]],Table23[DSorder],0))),"GO"),"")</f>
        <v/>
      </c>
      <c r="I38" s="92" t="str">
        <f>IntelNColab[[#This Row],[Component]]&amp;IntelNColab[[#This Row],[Maturity Level]]</f>
        <v>Monitoring and AnalyzingInnovative</v>
      </c>
      <c r="J38" s="92" t="str">
        <f>IntelNColab[[#This Row],[workArea]]&amp;IntelNColab[[#This Row],[Y, Y(C), N]]</f>
        <v>Monitoring and AnalyzingInnovative</v>
      </c>
      <c r="K38" s="92"/>
      <c r="L38" s="92"/>
      <c r="M38" s="92" t="str">
        <f t="shared" si="0"/>
        <v>Threat Intelligence and Collaboration</v>
      </c>
      <c r="N38" s="184">
        <f>IF(IntelNColab[[#This Row],[Y, Y(C), N]]=yes,1,0)</f>
        <v>0</v>
      </c>
      <c r="O38" s="184">
        <f>IF(IntelNColab[[#This Row],[Y, Y(C), N]]=yesCC,1,0)</f>
        <v>0</v>
      </c>
      <c r="P38" s="184">
        <f>IF(IntelNColab[[#This Row],[Y, Y(C), N]]=no,1,0)</f>
        <v>0</v>
      </c>
      <c r="Q38" s="184">
        <f>IF(IntelNColab[[#This Row],[Y, Y(C), N]]=NotAvail,1,0)</f>
        <v>0</v>
      </c>
      <c r="R38" s="92"/>
      <c r="S38" s="88"/>
      <c r="T38" s="88"/>
      <c r="U38" s="88"/>
      <c r="V38" s="88"/>
      <c r="W38" s="88"/>
      <c r="X38" s="88"/>
      <c r="Y38" s="88"/>
      <c r="Z38" s="88"/>
      <c r="AA38" s="88"/>
    </row>
    <row r="39" spans="1:27" ht="30" x14ac:dyDescent="0.25">
      <c r="A39" s="58" t="s">
        <v>246</v>
      </c>
      <c r="B39" s="58" t="s">
        <v>246</v>
      </c>
      <c r="C39" s="86" t="s">
        <v>27</v>
      </c>
      <c r="D39" s="87"/>
      <c r="E39" s="58" t="s">
        <v>872</v>
      </c>
      <c r="F39"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83</v>
      </c>
      <c r="G39" s="240"/>
      <c r="H39" s="255" t="str">
        <f>IFERROR(HYPERLINK("#'Appendix A'!E"&amp;ROW(INDEX(Table23[DSorder],MATCH(IntelNColab[[#This Row],[AppAref]],Table23[DSorder],0))),"GO"),"")</f>
        <v>GO</v>
      </c>
      <c r="I39" s="92" t="str">
        <f>IntelNColab[[#This Row],[Component]]&amp;IntelNColab[[#This Row],[Maturity Level]]</f>
        <v>Information SharingBaseline</v>
      </c>
      <c r="J39" s="92" t="str">
        <f>IntelNColab[[#This Row],[workArea]]&amp;IntelNColab[[#This Row],[Y, Y(C), N]]</f>
        <v>Information SharingBaseline</v>
      </c>
      <c r="K39" s="184">
        <v>34</v>
      </c>
      <c r="L39" s="184">
        <f>IFERROR(MATCH(IntelNColab[[#This Row],[Ref No.]],hyperlinkLU[Reference No.],0),IntelNColab[[#This Row],[Ref No.]])</f>
        <v>35</v>
      </c>
      <c r="M39" s="184" t="str">
        <f t="shared" si="0"/>
        <v>Threat Intelligence and Collaboration</v>
      </c>
      <c r="N39" s="184">
        <f>IF(IntelNColab[[#This Row],[Y, Y(C), N]]=yes,1,0)</f>
        <v>0</v>
      </c>
      <c r="O39" s="184">
        <f>IF(IntelNColab[[#This Row],[Y, Y(C), N]]=yesCC,1,0)</f>
        <v>0</v>
      </c>
      <c r="P39" s="184">
        <f>IF(IntelNColab[[#This Row],[Y, Y(C), N]]=no,1,0)</f>
        <v>0</v>
      </c>
      <c r="Q39" s="184">
        <f>IF(IntelNColab[[#This Row],[Y, Y(C), N]]=NotAvail,1,0)</f>
        <v>0</v>
      </c>
      <c r="R39" s="92">
        <v>37</v>
      </c>
      <c r="S39" s="88"/>
      <c r="T39" s="88"/>
      <c r="U39" s="88"/>
      <c r="V39" s="88"/>
      <c r="W39" s="88"/>
      <c r="X39" s="88"/>
      <c r="Y39" s="88"/>
      <c r="Z39" s="88"/>
      <c r="AA39" s="88"/>
    </row>
    <row r="40" spans="1:27" s="180" customFormat="1" ht="45" customHeight="1" x14ac:dyDescent="0.25">
      <c r="A40" s="235" t="s">
        <v>246</v>
      </c>
      <c r="B40" s="235" t="s">
        <v>246</v>
      </c>
      <c r="C40" s="235" t="s">
        <v>27</v>
      </c>
      <c r="D40" s="241"/>
      <c r="E40" s="235" t="s">
        <v>873</v>
      </c>
      <c r="F40"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Business Continuity Planning Work Program, Objective I: 5-1</v>
      </c>
      <c r="G40" s="240"/>
      <c r="H40" s="255" t="str">
        <f>IFERROR(HYPERLINK("#'Appendix A'!E"&amp;ROW(INDEX(Table23[DSorder],MATCH(IntelNColab[[#This Row],[AppAref]],Table23[DSorder],0))),"GO"),"")</f>
        <v>GO</v>
      </c>
      <c r="I40" s="242" t="str">
        <f>IntelNColab[[#This Row],[Component]]&amp;IntelNColab[[#This Row],[Maturity Level]]</f>
        <v>Information SharingBaseline</v>
      </c>
      <c r="J40" s="242" t="str">
        <f>IntelNColab[[#This Row],[workArea]]&amp;IntelNColab[[#This Row],[Y, Y(C), N]]</f>
        <v>Information SharingBaseline</v>
      </c>
      <c r="K40" s="235">
        <v>35</v>
      </c>
      <c r="L40" s="235">
        <f>IFERROR(MATCH(IntelNColab[[#This Row],[Ref No.]],hyperlinkLU[Reference No.],0),IntelNColab[[#This Row],[Ref No.]])</f>
        <v>36</v>
      </c>
      <c r="M40" s="250" t="str">
        <f t="shared" si="0"/>
        <v>Threat Intelligence and Collaboration</v>
      </c>
      <c r="N40" s="250">
        <f>IF(IntelNColab[[#This Row],[Y, Y(C), N]]=yes,1,0)</f>
        <v>0</v>
      </c>
      <c r="O40" s="250">
        <f>IF(IntelNColab[[#This Row],[Y, Y(C), N]]=yesCC,1,0)</f>
        <v>0</v>
      </c>
      <c r="P40" s="250">
        <f>IF(IntelNColab[[#This Row],[Y, Y(C), N]]=no,1,0)</f>
        <v>0</v>
      </c>
      <c r="Q40" s="250">
        <f>IF(IntelNColab[[#This Row],[Y, Y(C), N]]=NotAvail,1,0)</f>
        <v>0</v>
      </c>
      <c r="R40" s="242">
        <v>38</v>
      </c>
    </row>
    <row r="41" spans="1:27" ht="30" x14ac:dyDescent="0.25">
      <c r="A41" s="86" t="s">
        <v>246</v>
      </c>
      <c r="B41" s="86" t="s">
        <v>246</v>
      </c>
      <c r="C41" s="86" t="s">
        <v>27</v>
      </c>
      <c r="D41" s="87"/>
      <c r="E41" s="58" t="s">
        <v>874</v>
      </c>
      <c r="F41" s="188"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84</v>
      </c>
      <c r="G41" s="240"/>
      <c r="H41" s="255" t="str">
        <f>IFERROR(HYPERLINK("#'Appendix A'!E"&amp;ROW(INDEX(Table23[DSorder],MATCH(IntelNColab[[#This Row],[AppAref]],Table23[DSorder],0))),"GO"),"")</f>
        <v>GO</v>
      </c>
      <c r="I41" s="92" t="str">
        <f>IntelNColab[[#This Row],[Component]]&amp;IntelNColab[[#This Row],[Maturity Level]]</f>
        <v>Information SharingBaseline</v>
      </c>
      <c r="J41" s="92" t="str">
        <f>IntelNColab[[#This Row],[workArea]]&amp;IntelNColab[[#This Row],[Y, Y(C), N]]</f>
        <v>Information SharingBaseline</v>
      </c>
      <c r="K41" s="184">
        <v>36</v>
      </c>
      <c r="L41" s="184">
        <f>IFERROR(MATCH(IntelNColab[[#This Row],[Ref No.]],hyperlinkLU[Reference No.],0),IntelNColab[[#This Row],[Ref No.]])</f>
        <v>37</v>
      </c>
      <c r="M41" s="184" t="str">
        <f t="shared" si="0"/>
        <v>Threat Intelligence and Collaboration</v>
      </c>
      <c r="N41" s="184">
        <f>IF(IntelNColab[[#This Row],[Y, Y(C), N]]=yes,1,0)</f>
        <v>0</v>
      </c>
      <c r="O41" s="184">
        <f>IF(IntelNColab[[#This Row],[Y, Y(C), N]]=yesCC,1,0)</f>
        <v>0</v>
      </c>
      <c r="P41" s="184">
        <f>IF(IntelNColab[[#This Row],[Y, Y(C), N]]=no,1,0)</f>
        <v>0</v>
      </c>
      <c r="Q41" s="184">
        <f>IF(IntelNColab[[#This Row],[Y, Y(C), N]]=NotAvail,1,0)</f>
        <v>0</v>
      </c>
      <c r="R41" s="92">
        <v>39</v>
      </c>
      <c r="S41" s="88"/>
      <c r="T41" s="88"/>
      <c r="U41" s="88"/>
      <c r="V41" s="88"/>
      <c r="W41" s="88"/>
      <c r="X41" s="88"/>
      <c r="Y41" s="88"/>
      <c r="Z41" s="88"/>
      <c r="AA41" s="88"/>
    </row>
    <row r="42" spans="1:27" ht="30" x14ac:dyDescent="0.25">
      <c r="A42" s="86" t="s">
        <v>246</v>
      </c>
      <c r="B42" s="86" t="s">
        <v>246</v>
      </c>
      <c r="C42" s="86" t="s">
        <v>28</v>
      </c>
      <c r="D42" s="87"/>
      <c r="E42" s="58" t="s">
        <v>875</v>
      </c>
      <c r="F42" s="24"/>
      <c r="G42" s="237"/>
      <c r="H42" s="255" t="str">
        <f>IFERROR(HYPERLINK("#'Appendix A'!E"&amp;ROW(INDEX(Table23[DSorder],MATCH(IntelNColab[[#This Row],[AppAref]],Table23[DSorder],0))),"GO"),"")</f>
        <v/>
      </c>
      <c r="I42" s="92" t="str">
        <f>IntelNColab[[#This Row],[Component]]&amp;IntelNColab[[#This Row],[Maturity Level]]</f>
        <v>Information SharingEvolving</v>
      </c>
      <c r="J42" s="92" t="str">
        <f>IntelNColab[[#This Row],[workArea]]&amp;IntelNColab[[#This Row],[Y, Y(C), N]]</f>
        <v>Information SharingEvolving</v>
      </c>
      <c r="K42" s="92"/>
      <c r="L42" s="92"/>
      <c r="M42" s="92" t="str">
        <f t="shared" si="0"/>
        <v>Threat Intelligence and Collaboration</v>
      </c>
      <c r="N42" s="184">
        <f>IF(IntelNColab[[#This Row],[Y, Y(C), N]]=yes,1,0)</f>
        <v>0</v>
      </c>
      <c r="O42" s="184">
        <f>IF(IntelNColab[[#This Row],[Y, Y(C), N]]=yesCC,1,0)</f>
        <v>0</v>
      </c>
      <c r="P42" s="184">
        <f>IF(IntelNColab[[#This Row],[Y, Y(C), N]]=no,1,0)</f>
        <v>0</v>
      </c>
      <c r="Q42" s="184">
        <f>IF(IntelNColab[[#This Row],[Y, Y(C), N]]=NotAvail,1,0)</f>
        <v>0</v>
      </c>
      <c r="R42" s="92"/>
      <c r="S42" s="88"/>
      <c r="T42" s="88"/>
      <c r="U42" s="88"/>
      <c r="V42" s="88"/>
      <c r="W42" s="88"/>
      <c r="X42" s="88"/>
      <c r="Y42" s="88"/>
      <c r="Z42" s="88"/>
      <c r="AA42" s="88"/>
    </row>
    <row r="43" spans="1:27" ht="30" x14ac:dyDescent="0.25">
      <c r="A43" s="86" t="s">
        <v>246</v>
      </c>
      <c r="B43" s="86" t="s">
        <v>246</v>
      </c>
      <c r="C43" s="86" t="s">
        <v>28</v>
      </c>
      <c r="D43" s="87"/>
      <c r="E43" s="58" t="s">
        <v>876</v>
      </c>
      <c r="F43" s="24"/>
      <c r="G43" s="237"/>
      <c r="H43" s="255" t="str">
        <f>IFERROR(HYPERLINK("#'Appendix A'!E"&amp;ROW(INDEX(Table23[DSorder],MATCH(IntelNColab[[#This Row],[AppAref]],Table23[DSorder],0))),"GO"),"")</f>
        <v/>
      </c>
      <c r="I43" s="92" t="str">
        <f>IntelNColab[[#This Row],[Component]]&amp;IntelNColab[[#This Row],[Maturity Level]]</f>
        <v>Information SharingEvolving</v>
      </c>
      <c r="J43" s="92" t="str">
        <f>IntelNColab[[#This Row],[workArea]]&amp;IntelNColab[[#This Row],[Y, Y(C), N]]</f>
        <v>Information SharingEvolving</v>
      </c>
      <c r="K43" s="92"/>
      <c r="L43" s="92"/>
      <c r="M43" s="92" t="str">
        <f t="shared" si="0"/>
        <v>Threat Intelligence and Collaboration</v>
      </c>
      <c r="N43" s="184">
        <f>IF(IntelNColab[[#This Row],[Y, Y(C), N]]=yes,1,0)</f>
        <v>0</v>
      </c>
      <c r="O43" s="184">
        <f>IF(IntelNColab[[#This Row],[Y, Y(C), N]]=yesCC,1,0)</f>
        <v>0</v>
      </c>
      <c r="P43" s="184">
        <f>IF(IntelNColab[[#This Row],[Y, Y(C), N]]=no,1,0)</f>
        <v>0</v>
      </c>
      <c r="Q43" s="184">
        <f>IF(IntelNColab[[#This Row],[Y, Y(C), N]]=NotAvail,1,0)</f>
        <v>0</v>
      </c>
      <c r="R43" s="92"/>
      <c r="S43" s="88"/>
      <c r="T43" s="88"/>
      <c r="U43" s="88"/>
      <c r="V43" s="88"/>
      <c r="W43" s="88"/>
      <c r="X43" s="88"/>
      <c r="Y43" s="88"/>
      <c r="Z43" s="88"/>
      <c r="AA43" s="88"/>
    </row>
    <row r="44" spans="1:27" ht="30" x14ac:dyDescent="0.25">
      <c r="A44" s="86" t="s">
        <v>246</v>
      </c>
      <c r="B44" s="86" t="s">
        <v>246</v>
      </c>
      <c r="C44" s="86" t="s">
        <v>29</v>
      </c>
      <c r="D44" s="87"/>
      <c r="E44" s="58" t="s">
        <v>247</v>
      </c>
      <c r="F44" s="24"/>
      <c r="G44" s="237"/>
      <c r="H44" s="255" t="str">
        <f>IFERROR(HYPERLINK("#'Appendix A'!E"&amp;ROW(INDEX(Table23[DSorder],MATCH(IntelNColab[[#This Row],[AppAref]],Table23[DSorder],0))),"GO"),"")</f>
        <v/>
      </c>
      <c r="I44" s="92" t="str">
        <f>IntelNColab[[#This Row],[Component]]&amp;IntelNColab[[#This Row],[Maturity Level]]</f>
        <v>Information SharingIntermediate</v>
      </c>
      <c r="J44" s="92" t="str">
        <f>IntelNColab[[#This Row],[workArea]]&amp;IntelNColab[[#This Row],[Y, Y(C), N]]</f>
        <v>Information SharingIntermediate</v>
      </c>
      <c r="K44" s="92"/>
      <c r="L44" s="92"/>
      <c r="M44" s="92" t="str">
        <f t="shared" si="0"/>
        <v>Threat Intelligence and Collaboration</v>
      </c>
      <c r="N44" s="184">
        <f>IF(IntelNColab[[#This Row],[Y, Y(C), N]]=yes,1,0)</f>
        <v>0</v>
      </c>
      <c r="O44" s="184">
        <f>IF(IntelNColab[[#This Row],[Y, Y(C), N]]=yesCC,1,0)</f>
        <v>0</v>
      </c>
      <c r="P44" s="184">
        <f>IF(IntelNColab[[#This Row],[Y, Y(C), N]]=no,1,0)</f>
        <v>0</v>
      </c>
      <c r="Q44" s="184">
        <f>IF(IntelNColab[[#This Row],[Y, Y(C), N]]=NotAvail,1,0)</f>
        <v>0</v>
      </c>
      <c r="R44" s="92"/>
      <c r="S44" s="88"/>
      <c r="T44" s="88"/>
      <c r="U44" s="88"/>
      <c r="V44" s="88"/>
      <c r="W44" s="88"/>
      <c r="X44" s="88"/>
      <c r="Y44" s="88"/>
      <c r="Z44" s="88"/>
      <c r="AA44" s="88"/>
    </row>
    <row r="45" spans="1:27" ht="45" x14ac:dyDescent="0.25">
      <c r="A45" s="86" t="s">
        <v>246</v>
      </c>
      <c r="B45" s="86" t="s">
        <v>246</v>
      </c>
      <c r="C45" s="86" t="s">
        <v>29</v>
      </c>
      <c r="D45" s="87"/>
      <c r="E45" s="58" t="s">
        <v>248</v>
      </c>
      <c r="F45" s="24"/>
      <c r="G45" s="237"/>
      <c r="H45" s="255" t="str">
        <f>IFERROR(HYPERLINK("#'Appendix A'!E"&amp;ROW(INDEX(Table23[DSorder],MATCH(IntelNColab[[#This Row],[AppAref]],Table23[DSorder],0))),"GO"),"")</f>
        <v/>
      </c>
      <c r="I45" s="92" t="str">
        <f>IntelNColab[[#This Row],[Component]]&amp;IntelNColab[[#This Row],[Maturity Level]]</f>
        <v>Information SharingIntermediate</v>
      </c>
      <c r="J45" s="92" t="str">
        <f>IntelNColab[[#This Row],[workArea]]&amp;IntelNColab[[#This Row],[Y, Y(C), N]]</f>
        <v>Information SharingIntermediate</v>
      </c>
      <c r="K45" s="92"/>
      <c r="L45" s="92"/>
      <c r="M45" s="92" t="str">
        <f t="shared" si="0"/>
        <v>Threat Intelligence and Collaboration</v>
      </c>
      <c r="N45" s="184">
        <f>IF(IntelNColab[[#This Row],[Y, Y(C), N]]=yes,1,0)</f>
        <v>0</v>
      </c>
      <c r="O45" s="184">
        <f>IF(IntelNColab[[#This Row],[Y, Y(C), N]]=yesCC,1,0)</f>
        <v>0</v>
      </c>
      <c r="P45" s="184">
        <f>IF(IntelNColab[[#This Row],[Y, Y(C), N]]=no,1,0)</f>
        <v>0</v>
      </c>
      <c r="Q45" s="184">
        <f>IF(IntelNColab[[#This Row],[Y, Y(C), N]]=NotAvail,1,0)</f>
        <v>0</v>
      </c>
      <c r="R45" s="92"/>
      <c r="S45" s="88"/>
      <c r="T45" s="88"/>
      <c r="U45" s="88"/>
      <c r="V45" s="88"/>
      <c r="W45" s="88"/>
      <c r="X45" s="88"/>
      <c r="Y45" s="88"/>
      <c r="Z45" s="88"/>
      <c r="AA45" s="88"/>
    </row>
    <row r="46" spans="1:27" ht="30" x14ac:dyDescent="0.25">
      <c r="A46" s="86" t="s">
        <v>246</v>
      </c>
      <c r="B46" s="86" t="s">
        <v>246</v>
      </c>
      <c r="C46" s="86" t="s">
        <v>29</v>
      </c>
      <c r="D46" s="87"/>
      <c r="E46" s="58" t="s">
        <v>249</v>
      </c>
      <c r="F46" s="24"/>
      <c r="G46" s="237"/>
      <c r="H46" s="255" t="str">
        <f>IFERROR(HYPERLINK("#'Appendix A'!E"&amp;ROW(INDEX(Table23[DSorder],MATCH(IntelNColab[[#This Row],[AppAref]],Table23[DSorder],0))),"GO"),"")</f>
        <v/>
      </c>
      <c r="I46" s="92" t="str">
        <f>IntelNColab[[#This Row],[Component]]&amp;IntelNColab[[#This Row],[Maturity Level]]</f>
        <v>Information SharingIntermediate</v>
      </c>
      <c r="J46" s="92" t="str">
        <f>IntelNColab[[#This Row],[workArea]]&amp;IntelNColab[[#This Row],[Y, Y(C), N]]</f>
        <v>Information SharingIntermediate</v>
      </c>
      <c r="K46" s="92"/>
      <c r="L46" s="92"/>
      <c r="M46" s="92" t="str">
        <f t="shared" si="0"/>
        <v>Threat Intelligence and Collaboration</v>
      </c>
      <c r="N46" s="184">
        <f>IF(IntelNColab[[#This Row],[Y, Y(C), N]]=yes,1,0)</f>
        <v>0</v>
      </c>
      <c r="O46" s="184">
        <f>IF(IntelNColab[[#This Row],[Y, Y(C), N]]=yesCC,1,0)</f>
        <v>0</v>
      </c>
      <c r="P46" s="184">
        <f>IF(IntelNColab[[#This Row],[Y, Y(C), N]]=no,1,0)</f>
        <v>0</v>
      </c>
      <c r="Q46" s="184">
        <f>IF(IntelNColab[[#This Row],[Y, Y(C), N]]=NotAvail,1,0)</f>
        <v>0</v>
      </c>
      <c r="R46" s="92"/>
      <c r="S46" s="88"/>
      <c r="T46" s="88"/>
      <c r="U46" s="88"/>
      <c r="V46" s="88"/>
      <c r="W46" s="88"/>
      <c r="X46" s="88"/>
      <c r="Y46" s="88"/>
      <c r="Z46" s="88"/>
      <c r="AA46" s="88"/>
    </row>
    <row r="47" spans="1:27" ht="30" x14ac:dyDescent="0.25">
      <c r="A47" s="86" t="s">
        <v>246</v>
      </c>
      <c r="B47" s="86" t="s">
        <v>246</v>
      </c>
      <c r="C47" s="86" t="s">
        <v>29</v>
      </c>
      <c r="D47" s="87"/>
      <c r="E47" s="58" t="s">
        <v>250</v>
      </c>
      <c r="F47" s="24"/>
      <c r="G47" s="237"/>
      <c r="H47" s="255" t="str">
        <f>IFERROR(HYPERLINK("#'Appendix A'!E"&amp;ROW(INDEX(Table23[DSorder],MATCH(IntelNColab[[#This Row],[AppAref]],Table23[DSorder],0))),"GO"),"")</f>
        <v/>
      </c>
      <c r="I47" s="92" t="str">
        <f>IntelNColab[[#This Row],[Component]]&amp;IntelNColab[[#This Row],[Maturity Level]]</f>
        <v>Information SharingIntermediate</v>
      </c>
      <c r="J47" s="92" t="str">
        <f>IntelNColab[[#This Row],[workArea]]&amp;IntelNColab[[#This Row],[Y, Y(C), N]]</f>
        <v>Information SharingIntermediate</v>
      </c>
      <c r="K47" s="92"/>
      <c r="L47" s="92"/>
      <c r="M47" s="92" t="str">
        <f t="shared" si="0"/>
        <v>Threat Intelligence and Collaboration</v>
      </c>
      <c r="N47" s="184">
        <f>IF(IntelNColab[[#This Row],[Y, Y(C), N]]=yes,1,0)</f>
        <v>0</v>
      </c>
      <c r="O47" s="184">
        <f>IF(IntelNColab[[#This Row],[Y, Y(C), N]]=yesCC,1,0)</f>
        <v>0</v>
      </c>
      <c r="P47" s="184">
        <f>IF(IntelNColab[[#This Row],[Y, Y(C), N]]=no,1,0)</f>
        <v>0</v>
      </c>
      <c r="Q47" s="184">
        <f>IF(IntelNColab[[#This Row],[Y, Y(C), N]]=NotAvail,1,0)</f>
        <v>0</v>
      </c>
      <c r="R47" s="92"/>
      <c r="S47" s="88"/>
      <c r="T47" s="88"/>
      <c r="U47" s="88"/>
      <c r="V47" s="88"/>
      <c r="W47" s="88"/>
      <c r="X47" s="88"/>
      <c r="Y47" s="88"/>
      <c r="Z47" s="88"/>
      <c r="AA47" s="88"/>
    </row>
    <row r="48" spans="1:27" ht="30" x14ac:dyDescent="0.25">
      <c r="A48" s="86" t="s">
        <v>246</v>
      </c>
      <c r="B48" s="86" t="s">
        <v>246</v>
      </c>
      <c r="C48" s="86" t="s">
        <v>30</v>
      </c>
      <c r="D48" s="87"/>
      <c r="E48" s="58" t="s">
        <v>251</v>
      </c>
      <c r="F48" s="24"/>
      <c r="G48" s="237"/>
      <c r="H48" s="255" t="str">
        <f>IFERROR(HYPERLINK("#'Appendix A'!E"&amp;ROW(INDEX(Table23[DSorder],MATCH(IntelNColab[[#This Row],[AppAref]],Table23[DSorder],0))),"GO"),"")</f>
        <v/>
      </c>
      <c r="I48" s="92" t="str">
        <f>IntelNColab[[#This Row],[Component]]&amp;IntelNColab[[#This Row],[Maturity Level]]</f>
        <v>Information SharingAdvanced</v>
      </c>
      <c r="J48" s="92" t="str">
        <f>IntelNColab[[#This Row],[workArea]]&amp;IntelNColab[[#This Row],[Y, Y(C), N]]</f>
        <v>Information SharingAdvanced</v>
      </c>
      <c r="K48" s="92"/>
      <c r="L48" s="92"/>
      <c r="M48" s="92" t="str">
        <f t="shared" si="0"/>
        <v>Threat Intelligence and Collaboration</v>
      </c>
      <c r="N48" s="184">
        <f>IF(IntelNColab[[#This Row],[Y, Y(C), N]]=yes,1,0)</f>
        <v>0</v>
      </c>
      <c r="O48" s="184">
        <f>IF(IntelNColab[[#This Row],[Y, Y(C), N]]=yesCC,1,0)</f>
        <v>0</v>
      </c>
      <c r="P48" s="184">
        <f>IF(IntelNColab[[#This Row],[Y, Y(C), N]]=no,1,0)</f>
        <v>0</v>
      </c>
      <c r="Q48" s="184">
        <f>IF(IntelNColab[[#This Row],[Y, Y(C), N]]=NotAvail,1,0)</f>
        <v>0</v>
      </c>
      <c r="R48" s="92"/>
      <c r="S48" s="88"/>
      <c r="T48" s="88"/>
      <c r="U48" s="88"/>
      <c r="V48" s="88"/>
      <c r="W48" s="88"/>
      <c r="X48" s="88"/>
      <c r="Y48" s="88"/>
      <c r="Z48" s="88"/>
      <c r="AA48" s="88"/>
    </row>
    <row r="49" spans="1:27" ht="30" x14ac:dyDescent="0.25">
      <c r="A49" s="86" t="s">
        <v>246</v>
      </c>
      <c r="B49" s="86" t="s">
        <v>246</v>
      </c>
      <c r="C49" s="86" t="s">
        <v>30</v>
      </c>
      <c r="D49" s="87"/>
      <c r="E49" s="58" t="s">
        <v>252</v>
      </c>
      <c r="F49" s="24"/>
      <c r="G49" s="237"/>
      <c r="H49" s="255" t="str">
        <f>IFERROR(HYPERLINK("#'Appendix A'!E"&amp;ROW(INDEX(Table23[DSorder],MATCH(IntelNColab[[#This Row],[AppAref]],Table23[DSorder],0))),"GO"),"")</f>
        <v/>
      </c>
      <c r="I49" s="92" t="str">
        <f>IntelNColab[[#This Row],[Component]]&amp;IntelNColab[[#This Row],[Maturity Level]]</f>
        <v>Information SharingAdvanced</v>
      </c>
      <c r="J49" s="92" t="str">
        <f>IntelNColab[[#This Row],[workArea]]&amp;IntelNColab[[#This Row],[Y, Y(C), N]]</f>
        <v>Information SharingAdvanced</v>
      </c>
      <c r="K49" s="92"/>
      <c r="L49" s="92"/>
      <c r="M49" s="92" t="str">
        <f t="shared" si="0"/>
        <v>Threat Intelligence and Collaboration</v>
      </c>
      <c r="N49" s="184">
        <f>IF(IntelNColab[[#This Row],[Y, Y(C), N]]=yes,1,0)</f>
        <v>0</v>
      </c>
      <c r="O49" s="184">
        <f>IF(IntelNColab[[#This Row],[Y, Y(C), N]]=yesCC,1,0)</f>
        <v>0</v>
      </c>
      <c r="P49" s="184">
        <f>IF(IntelNColab[[#This Row],[Y, Y(C), N]]=no,1,0)</f>
        <v>0</v>
      </c>
      <c r="Q49" s="184">
        <f>IF(IntelNColab[[#This Row],[Y, Y(C), N]]=NotAvail,1,0)</f>
        <v>0</v>
      </c>
      <c r="R49" s="92"/>
      <c r="S49" s="88"/>
      <c r="T49" s="88"/>
      <c r="U49" s="88"/>
      <c r="V49" s="88"/>
      <c r="W49" s="88"/>
      <c r="X49" s="88"/>
      <c r="Y49" s="88"/>
      <c r="Z49" s="88"/>
      <c r="AA49" s="88"/>
    </row>
    <row r="50" spans="1:27" ht="30" x14ac:dyDescent="0.25">
      <c r="A50" s="86" t="s">
        <v>246</v>
      </c>
      <c r="B50" s="86" t="s">
        <v>246</v>
      </c>
      <c r="C50" s="86" t="s">
        <v>30</v>
      </c>
      <c r="D50" s="87"/>
      <c r="E50" s="58" t="s">
        <v>253</v>
      </c>
      <c r="F50" s="24"/>
      <c r="G50" s="237"/>
      <c r="H50" s="255" t="str">
        <f>IFERROR(HYPERLINK("#'Appendix A'!E"&amp;ROW(INDEX(Table23[DSorder],MATCH(IntelNColab[[#This Row],[AppAref]],Table23[DSorder],0))),"GO"),"")</f>
        <v/>
      </c>
      <c r="I50" s="92" t="str">
        <f>IntelNColab[[#This Row],[Component]]&amp;IntelNColab[[#This Row],[Maturity Level]]</f>
        <v>Information SharingAdvanced</v>
      </c>
      <c r="J50" s="92" t="str">
        <f>IntelNColab[[#This Row],[workArea]]&amp;IntelNColab[[#This Row],[Y, Y(C), N]]</f>
        <v>Information SharingAdvanced</v>
      </c>
      <c r="K50" s="92"/>
      <c r="L50" s="92"/>
      <c r="M50" s="92" t="str">
        <f t="shared" si="0"/>
        <v>Threat Intelligence and Collaboration</v>
      </c>
      <c r="N50" s="184">
        <f>IF(IntelNColab[[#This Row],[Y, Y(C), N]]=yes,1,0)</f>
        <v>0</v>
      </c>
      <c r="O50" s="184">
        <f>IF(IntelNColab[[#This Row],[Y, Y(C), N]]=yesCC,1,0)</f>
        <v>0</v>
      </c>
      <c r="P50" s="184">
        <f>IF(IntelNColab[[#This Row],[Y, Y(C), N]]=no,1,0)</f>
        <v>0</v>
      </c>
      <c r="Q50" s="184">
        <f>IF(IntelNColab[[#This Row],[Y, Y(C), N]]=NotAvail,1,0)</f>
        <v>0</v>
      </c>
      <c r="R50" s="92"/>
      <c r="S50" s="88"/>
      <c r="T50" s="88"/>
      <c r="U50" s="88"/>
      <c r="V50" s="88"/>
      <c r="W50" s="88"/>
      <c r="X50" s="88"/>
      <c r="Y50" s="88"/>
      <c r="Z50" s="88"/>
      <c r="AA50" s="88"/>
    </row>
    <row r="51" spans="1:27" ht="30" x14ac:dyDescent="0.25">
      <c r="A51" s="86" t="s">
        <v>246</v>
      </c>
      <c r="B51" s="86" t="s">
        <v>246</v>
      </c>
      <c r="C51" s="86" t="s">
        <v>31</v>
      </c>
      <c r="D51" s="87"/>
      <c r="E51" s="58" t="s">
        <v>254</v>
      </c>
      <c r="F51" s="24"/>
      <c r="G51" s="237"/>
      <c r="H51" s="255" t="str">
        <f>IFERROR(HYPERLINK("#'Appendix A'!E"&amp;ROW(INDEX(Table23[DSorder],MATCH(IntelNColab[[#This Row],[AppAref]],Table23[DSorder],0))),"GO"),"")</f>
        <v/>
      </c>
      <c r="I51" s="92" t="str">
        <f>IntelNColab[[#This Row],[Component]]&amp;IntelNColab[[#This Row],[Maturity Level]]</f>
        <v>Information SharingInnovative</v>
      </c>
      <c r="J51" s="92" t="str">
        <f>IntelNColab[[#This Row],[workArea]]&amp;IntelNColab[[#This Row],[Y, Y(C), N]]</f>
        <v>Information SharingInnovative</v>
      </c>
      <c r="K51" s="92"/>
      <c r="L51" s="92"/>
      <c r="M51" s="92" t="str">
        <f t="shared" si="0"/>
        <v>Threat Intelligence and Collaboration</v>
      </c>
      <c r="N51" s="184">
        <f>IF(IntelNColab[[#This Row],[Y, Y(C), N]]=yes,1,0)</f>
        <v>0</v>
      </c>
      <c r="O51" s="184">
        <f>IF(IntelNColab[[#This Row],[Y, Y(C), N]]=yesCC,1,0)</f>
        <v>0</v>
      </c>
      <c r="P51" s="184">
        <f>IF(IntelNColab[[#This Row],[Y, Y(C), N]]=no,1,0)</f>
        <v>0</v>
      </c>
      <c r="Q51" s="184">
        <f>IF(IntelNColab[[#This Row],[Y, Y(C), N]]=NotAvail,1,0)</f>
        <v>0</v>
      </c>
      <c r="R51" s="92"/>
      <c r="S51" s="88"/>
      <c r="T51" s="88"/>
      <c r="U51" s="88"/>
      <c r="V51" s="88"/>
      <c r="W51" s="88"/>
      <c r="X51" s="88"/>
      <c r="Y51" s="88"/>
      <c r="Z51" s="88"/>
      <c r="AA51" s="88"/>
    </row>
    <row r="52" spans="1:27" ht="45" x14ac:dyDescent="0.25">
      <c r="A52" s="86" t="s">
        <v>246</v>
      </c>
      <c r="B52" s="86" t="s">
        <v>246</v>
      </c>
      <c r="C52" s="86" t="s">
        <v>31</v>
      </c>
      <c r="D52" s="87"/>
      <c r="E52" s="58" t="s">
        <v>255</v>
      </c>
      <c r="F52" s="24"/>
      <c r="G52" s="237"/>
      <c r="H52" s="255" t="str">
        <f>IFERROR(HYPERLINK("#'Appendix A'!E"&amp;ROW(INDEX(Table23[DSorder],MATCH(IntelNColab[[#This Row],[AppAref]],Table23[DSorder],0))),"GO"),"")</f>
        <v/>
      </c>
      <c r="I52" s="92" t="str">
        <f>IntelNColab[[#This Row],[Component]]&amp;IntelNColab[[#This Row],[Maturity Level]]</f>
        <v>Information SharingInnovative</v>
      </c>
      <c r="J52" s="92" t="str">
        <f>IntelNColab[[#This Row],[workArea]]&amp;IntelNColab[[#This Row],[Y, Y(C), N]]</f>
        <v>Information SharingInnovative</v>
      </c>
      <c r="K52" s="92"/>
      <c r="L52" s="92"/>
      <c r="M52" s="92" t="str">
        <f t="shared" si="0"/>
        <v>Threat Intelligence and Collaboration</v>
      </c>
      <c r="N52" s="184">
        <f>IF(IntelNColab[[#This Row],[Y, Y(C), N]]=yes,1,0)</f>
        <v>0</v>
      </c>
      <c r="O52" s="184">
        <f>IF(IntelNColab[[#This Row],[Y, Y(C), N]]=yesCC,1,0)</f>
        <v>0</v>
      </c>
      <c r="P52" s="184">
        <f>IF(IntelNColab[[#This Row],[Y, Y(C), N]]=no,1,0)</f>
        <v>0</v>
      </c>
      <c r="Q52" s="184">
        <f>IF(IntelNColab[[#This Row],[Y, Y(C), N]]=NotAvail,1,0)</f>
        <v>0</v>
      </c>
      <c r="R52" s="92"/>
      <c r="S52" s="88"/>
      <c r="T52" s="88"/>
      <c r="U52" s="88"/>
      <c r="V52" s="88"/>
      <c r="W52" s="88"/>
      <c r="X52" s="88"/>
      <c r="Y52" s="88"/>
      <c r="Z52" s="88"/>
      <c r="AA52" s="88"/>
    </row>
    <row r="53" spans="1:27" ht="30" x14ac:dyDescent="0.25">
      <c r="A53" s="86" t="s">
        <v>246</v>
      </c>
      <c r="B53" s="86" t="s">
        <v>246</v>
      </c>
      <c r="C53" s="86" t="s">
        <v>31</v>
      </c>
      <c r="D53" s="87"/>
      <c r="E53" s="58" t="s">
        <v>256</v>
      </c>
      <c r="F53" s="24"/>
      <c r="G53" s="237"/>
      <c r="H53" s="255" t="str">
        <f>IFERROR(HYPERLINK("#'Appendix A'!E"&amp;ROW(INDEX(Table23[DSorder],MATCH(IntelNColab[[#This Row],[AppAref]],Table23[DSorder],0))),"GO"),"")</f>
        <v/>
      </c>
      <c r="I53" s="92" t="str">
        <f>IntelNColab[[#This Row],[Component]]&amp;IntelNColab[[#This Row],[Maturity Level]]</f>
        <v>Information SharingInnovative</v>
      </c>
      <c r="J53" s="92" t="str">
        <f>IntelNColab[[#This Row],[workArea]]&amp;IntelNColab[[#This Row],[Y, Y(C), N]]</f>
        <v>Information SharingInnovative</v>
      </c>
      <c r="K53" s="92"/>
      <c r="L53" s="92"/>
      <c r="M53" s="92" t="str">
        <f t="shared" si="0"/>
        <v>Threat Intelligence and Collaboration</v>
      </c>
      <c r="N53" s="184">
        <f>IF(IntelNColab[[#This Row],[Y, Y(C), N]]=yes,1,0)</f>
        <v>0</v>
      </c>
      <c r="O53" s="184">
        <f>IF(IntelNColab[[#This Row],[Y, Y(C), N]]=yesCC,1,0)</f>
        <v>0</v>
      </c>
      <c r="P53" s="184">
        <f>IF(IntelNColab[[#This Row],[Y, Y(C), N]]=no,1,0)</f>
        <v>0</v>
      </c>
      <c r="Q53" s="184">
        <f>IF(IntelNColab[[#This Row],[Y, Y(C), N]]=NotAvail,1,0)</f>
        <v>0</v>
      </c>
      <c r="R53" s="92"/>
      <c r="S53" s="88"/>
      <c r="T53" s="88"/>
      <c r="U53" s="88"/>
      <c r="V53" s="88"/>
      <c r="W53" s="88"/>
      <c r="X53" s="88"/>
      <c r="Y53" s="88"/>
      <c r="Z53" s="88"/>
      <c r="AA53" s="88"/>
    </row>
    <row r="54" spans="1:27" x14ac:dyDescent="0.25">
      <c r="R54" s="88"/>
      <c r="S54" s="88"/>
      <c r="T54" s="88"/>
      <c r="U54" s="88"/>
      <c r="V54" s="88"/>
      <c r="W54" s="88"/>
      <c r="X54" s="88"/>
      <c r="Y54" s="88"/>
      <c r="Z54" s="88"/>
      <c r="AA54" s="88"/>
    </row>
    <row r="55" spans="1:27" x14ac:dyDescent="0.25">
      <c r="R55" s="88"/>
      <c r="S55" s="88"/>
      <c r="T55" s="88"/>
      <c r="U55" s="88"/>
      <c r="V55" s="88"/>
      <c r="W55" s="88"/>
      <c r="X55" s="88"/>
      <c r="Y55" s="88"/>
      <c r="Z55" s="88"/>
      <c r="AA55" s="88"/>
    </row>
  </sheetData>
  <sheetProtection algorithmName="SHA-512" hashValue="G/Wq20FwWHl9NON6n0B1zSkgE9i08V37PwNSHWBCHTkutMrVyWnn4Obnu4KG4kXeqEj3eqLnsbAJsFXxoGvv+Q==" saltValue="yLq1k1pYBqyg4CX9kP5dSg==" spinCount="100000" sheet="1" objects="1" scenarios="1" formatCells="0" formatColumns="0" formatRows="0" sort="0" autoFilter="0"/>
  <mergeCells count="2">
    <mergeCell ref="A6:H7"/>
    <mergeCell ref="A5:H5"/>
  </mergeCells>
  <conditionalFormatting sqref="D53 T1:T7 V1:V7 X1:X7 Z1:AA7 Z9:AA1048576 X9:X1048576 V9:V1048576 T9:T1048576">
    <cfRule type="cellIs" dxfId="23" priority="2" operator="equal">
      <formula>"Not OK"</formula>
    </cfRule>
  </conditionalFormatting>
  <conditionalFormatting sqref="T8:AA8">
    <cfRule type="cellIs" dxfId="22" priority="1" operator="equal">
      <formula>"Not OK"</formula>
    </cfRule>
  </conditionalFormatting>
  <dataValidations count="2">
    <dataValidation type="list" allowBlank="1" showInputMessage="1" showErrorMessage="1" sqref="D9:D53" xr:uid="{00000000-0002-0000-0D00-000000000000}">
      <formula1>yesNo</formula1>
    </dataValidation>
    <dataValidation type="list" allowBlank="1" showInputMessage="1" showErrorMessage="1" sqref="F4" xr:uid="{00000000-0002-0000-0D00-000001000000}">
      <formula1>prefLink</formula1>
    </dataValidation>
  </dataValidations>
  <hyperlinks>
    <hyperlink ref="G3" location="disclaimer" display="disclaimer" xr:uid="{00000000-0004-0000-0D00-000000000000}"/>
    <hyperlink ref="G2" location="workbookInfo" display="Workbook Information" xr:uid="{00000000-0004-0000-0D00-000001000000}"/>
  </hyperlinks>
  <pageMargins left="0.25" right="0.25" top="0.75" bottom="0.75" header="0.3" footer="0.3"/>
  <pageSetup scale="56" fitToHeight="0" orientation="landscape" r:id="rId1"/>
  <headerFooter>
    <oddHeader>&amp;C&amp;A</oddHeader>
    <oddFooter>&amp;L&amp;"-,Bold" Confidential-Authorized Use Only&amp;C&amp;D&amp;RPage &amp;P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5" tint="0.59999389629810485"/>
    <pageSetUpPr fitToPage="1"/>
  </sheetPr>
  <dimension ref="A1:AA182"/>
  <sheetViews>
    <sheetView zoomScaleNormal="100" workbookViewId="0">
      <pane ySplit="8" topLeftCell="A9" activePane="bottomLeft" state="frozen"/>
      <selection pane="bottomLeft" activeCell="D9" sqref="D9"/>
    </sheetView>
  </sheetViews>
  <sheetFormatPr defaultColWidth="8.85546875" defaultRowHeight="15" x14ac:dyDescent="0.25"/>
  <cols>
    <col min="1" max="2" width="25.7109375" style="10" customWidth="1"/>
    <col min="3" max="3" width="18.7109375" style="10" customWidth="1"/>
    <col min="4" max="4" width="12.7109375" style="10" customWidth="1"/>
    <col min="5" max="5" width="75.7109375" style="10" customWidth="1"/>
    <col min="6" max="6" width="30.7109375" style="46" customWidth="1"/>
    <col min="7" max="7" width="65.7109375" style="10" customWidth="1"/>
    <col min="8" max="8" width="13.7109375" style="295" customWidth="1"/>
    <col min="9" max="9" width="13.5703125" style="10" hidden="1" customWidth="1"/>
    <col min="10" max="10" width="19" style="10" hidden="1" customWidth="1"/>
    <col min="11" max="11" width="13.5703125" style="193" hidden="1" customWidth="1"/>
    <col min="12" max="12" width="11" style="193" hidden="1" customWidth="1"/>
    <col min="13" max="13" width="11" style="251" hidden="1" customWidth="1"/>
    <col min="14" max="17" width="8.85546875" style="10" hidden="1" customWidth="1"/>
    <col min="18" max="18" width="8.85546875" style="209" hidden="1" customWidth="1"/>
    <col min="19" max="27" width="8.85546875" style="209" customWidth="1"/>
    <col min="28" max="16384" width="8.85546875" style="10"/>
  </cols>
  <sheetData>
    <row r="1" spans="1:27" s="112" customFormat="1" ht="20.100000000000001" customHeight="1" x14ac:dyDescent="0.25">
      <c r="A1" s="6" t="str">
        <f>HYPERLINK(websiteHTTP&amp;webSiteURL,"Watkins Consulting")</f>
        <v>Watkins Consulting</v>
      </c>
      <c r="B1" s="132"/>
      <c r="C1" s="132"/>
      <c r="D1" s="132"/>
      <c r="E1" s="136" t="str">
        <f>IF(firmName&gt;0,firmName,"")</f>
        <v/>
      </c>
      <c r="F1" s="132"/>
      <c r="G1" s="8" t="str">
        <f>HYPERLINK(websiteHTTP&amp;webSiteURL&amp;userManualrURL,"User Manual")</f>
        <v>User Manual</v>
      </c>
      <c r="H1" s="8"/>
      <c r="K1" s="194"/>
      <c r="L1" s="194"/>
      <c r="M1" s="252"/>
      <c r="R1" s="209"/>
      <c r="S1" s="209"/>
      <c r="T1" s="209"/>
      <c r="U1" s="209"/>
      <c r="V1" s="209"/>
      <c r="W1" s="209"/>
      <c r="X1" s="209"/>
      <c r="Y1" s="209"/>
      <c r="Z1" s="209"/>
      <c r="AA1" s="209"/>
    </row>
    <row r="2" spans="1:27" s="112" customFormat="1" ht="20.100000000000001" customHeight="1" x14ac:dyDescent="0.25">
      <c r="A2" s="256" t="str">
        <f ca="1">workbookVersionLabel</f>
        <v xml:space="preserve"> Excel Workbook Version: 3.4.2</v>
      </c>
      <c r="B2" s="132"/>
      <c r="C2" s="132"/>
      <c r="D2" s="132"/>
      <c r="E2" s="133" t="str">
        <f>Information</f>
        <v>FFIEC Cybersecurity Assessment Tool (May 2017)</v>
      </c>
      <c r="F2" s="137"/>
      <c r="G2" s="8" t="s">
        <v>1094</v>
      </c>
      <c r="H2" s="8"/>
      <c r="K2" s="194"/>
      <c r="L2" s="194"/>
      <c r="M2" s="252"/>
      <c r="R2" s="209"/>
      <c r="S2" s="209"/>
      <c r="T2" s="209"/>
      <c r="U2" s="209"/>
      <c r="V2" s="209"/>
      <c r="W2" s="209"/>
      <c r="X2" s="209"/>
      <c r="Y2" s="209"/>
      <c r="Z2" s="209"/>
      <c r="AA2" s="209"/>
    </row>
    <row r="3" spans="1:27" s="112" customFormat="1" ht="20.100000000000001" customHeight="1" thickBot="1" x14ac:dyDescent="0.3">
      <c r="A3" s="139" t="str">
        <f ca="1">MID(CELL("filename",A1),FIND("]",CELL("filename",A1))+1,256)</f>
        <v>Cybersecurity Controls</v>
      </c>
      <c r="B3" s="140"/>
      <c r="C3" s="140"/>
      <c r="D3" s="141"/>
      <c r="E3" s="142" t="str">
        <f>IF(assessmentDate&gt;0,assessmentDate,"")</f>
        <v/>
      </c>
      <c r="F3" s="141"/>
      <c r="G3" s="155" t="s">
        <v>620</v>
      </c>
      <c r="H3" s="140"/>
      <c r="K3" s="194"/>
      <c r="L3" s="194"/>
      <c r="M3" s="252"/>
      <c r="R3" s="209"/>
      <c r="S3" s="209"/>
      <c r="T3" s="209"/>
      <c r="U3" s="209"/>
      <c r="V3" s="209"/>
      <c r="W3" s="209"/>
      <c r="X3" s="209"/>
      <c r="Y3" s="209"/>
      <c r="Z3" s="209"/>
      <c r="AA3" s="209"/>
    </row>
    <row r="4" spans="1:27" ht="15.75" thickTop="1" x14ac:dyDescent="0.25">
      <c r="A4" s="283" t="str">
        <f>IF('Maturity Roll Up'!S20&gt;0,warn1&amp;'Maturity Roll Up'!S20&amp;warn2,"")</f>
        <v/>
      </c>
      <c r="F4" s="317" t="s">
        <v>925</v>
      </c>
      <c r="G4" s="179" t="s">
        <v>927</v>
      </c>
      <c r="H4" s="179"/>
    </row>
    <row r="5" spans="1:27" ht="20.25" thickBot="1" x14ac:dyDescent="0.35">
      <c r="A5" s="408" t="s">
        <v>257</v>
      </c>
      <c r="B5" s="408"/>
      <c r="C5" s="408"/>
      <c r="D5" s="408"/>
      <c r="E5" s="408"/>
      <c r="F5" s="408"/>
      <c r="G5" s="408"/>
      <c r="H5" s="408"/>
      <c r="I5" s="90"/>
    </row>
    <row r="6" spans="1:27" ht="15" customHeight="1" x14ac:dyDescent="0.25">
      <c r="A6" s="401" t="s">
        <v>258</v>
      </c>
      <c r="B6" s="402"/>
      <c r="C6" s="402"/>
      <c r="D6" s="402"/>
      <c r="E6" s="402"/>
      <c r="F6" s="402"/>
      <c r="G6" s="402"/>
      <c r="H6" s="403"/>
      <c r="I6" s="77"/>
    </row>
    <row r="7" spans="1:27" ht="15" customHeight="1" thickBot="1" x14ac:dyDescent="0.3">
      <c r="A7" s="404"/>
      <c r="B7" s="405"/>
      <c r="C7" s="405"/>
      <c r="D7" s="405"/>
      <c r="E7" s="405"/>
      <c r="F7" s="405"/>
      <c r="G7" s="405"/>
      <c r="H7" s="406"/>
    </row>
    <row r="8" spans="1:27" x14ac:dyDescent="0.25">
      <c r="A8" s="46" t="s">
        <v>25</v>
      </c>
      <c r="B8" s="46" t="s">
        <v>26</v>
      </c>
      <c r="C8" s="46" t="s">
        <v>23</v>
      </c>
      <c r="D8" s="57" t="s">
        <v>878</v>
      </c>
      <c r="E8" s="46" t="s">
        <v>48</v>
      </c>
      <c r="F8" s="46" t="s">
        <v>49</v>
      </c>
      <c r="G8" s="91" t="s">
        <v>10</v>
      </c>
      <c r="H8" s="296" t="s">
        <v>2076</v>
      </c>
      <c r="I8" s="46" t="s">
        <v>50</v>
      </c>
      <c r="J8" s="46" t="s">
        <v>51</v>
      </c>
      <c r="K8" s="180" t="s">
        <v>956</v>
      </c>
      <c r="L8" s="180" t="s">
        <v>957</v>
      </c>
      <c r="M8" s="180" t="s">
        <v>24</v>
      </c>
      <c r="N8" s="180" t="s">
        <v>1281</v>
      </c>
      <c r="O8" s="180" t="s">
        <v>1282</v>
      </c>
      <c r="P8" s="180" t="s">
        <v>1283</v>
      </c>
      <c r="Q8" s="180" t="s">
        <v>1284</v>
      </c>
      <c r="R8" s="180" t="s">
        <v>2077</v>
      </c>
    </row>
    <row r="9" spans="1:27" ht="30" x14ac:dyDescent="0.25">
      <c r="A9" s="86" t="s">
        <v>263</v>
      </c>
      <c r="B9" s="58" t="s">
        <v>264</v>
      </c>
      <c r="C9" s="86" t="s">
        <v>27</v>
      </c>
      <c r="D9" s="87"/>
      <c r="E9" s="58" t="s">
        <v>265</v>
      </c>
      <c r="F9"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33</v>
      </c>
      <c r="G9" s="240"/>
      <c r="H9" s="255" t="str">
        <f>IFERROR(HYPERLINK("#'Appendix A'!E"&amp;ROW(INDEX(Table23[DSorder],MATCH(cyberControls[[#This Row],[AppAref]],Table23[DSorder],0))),"GO"),"")</f>
        <v>GO</v>
      </c>
      <c r="I9" s="86" t="str">
        <f>cyberControls[[#This Row],[Component]]&amp;cyberControls[[#This Row],[Maturity Level]]</f>
        <v>Infrastructure ManagementBaseline</v>
      </c>
      <c r="J9" s="86" t="str">
        <f>cyberControls[[#This Row],[workArea]]&amp;cyberControls[[#This Row],[Y, Y(C), N]]</f>
        <v>Infrastructure ManagementBaseline</v>
      </c>
      <c r="K9" s="201">
        <v>37</v>
      </c>
      <c r="L9" s="202">
        <f>IFERROR(MATCH(cyberControls[[#This Row],[Ref No.]],hyperlinkLU[Reference No.],0),cyberControls[[#This Row],[Ref No.]])</f>
        <v>38</v>
      </c>
      <c r="M9" s="202" t="str">
        <f t="shared" ref="M9:M40" si="0">TRIM(MID($A$5,FIND(":",$A$5)+2,LEN($A$5)))</f>
        <v>Cybersecurity Controls</v>
      </c>
      <c r="N9" s="184">
        <f>IF(cyberControls[[#This Row],[Y, Y(C), N]]=yes,1,0)</f>
        <v>0</v>
      </c>
      <c r="O9" s="184">
        <f>IF(cyberControls[[#This Row],[Y, Y(C), N]]=yesCC,1,0)</f>
        <v>0</v>
      </c>
      <c r="P9" s="184">
        <f>IF(cyberControls[[#This Row],[Y, Y(C), N]]=no,1,0)</f>
        <v>0</v>
      </c>
      <c r="Q9" s="184">
        <f>IF(cyberControls[[#This Row],[Y, Y(C), N]]=NotAvail,1,0)</f>
        <v>0</v>
      </c>
      <c r="R9" s="92">
        <v>40</v>
      </c>
    </row>
    <row r="10" spans="1:27" ht="30" x14ac:dyDescent="0.25">
      <c r="A10" s="86" t="s">
        <v>263</v>
      </c>
      <c r="B10" s="58" t="s">
        <v>264</v>
      </c>
      <c r="C10" s="86" t="s">
        <v>27</v>
      </c>
      <c r="D10" s="87"/>
      <c r="E10" s="58" t="s">
        <v>266</v>
      </c>
      <c r="F10"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46</v>
      </c>
      <c r="G10" s="240"/>
      <c r="H10" s="255" t="str">
        <f>IFERROR(HYPERLINK("#'Appendix A'!E"&amp;ROW(INDEX(Table23[DSorder],MATCH(cyberControls[[#This Row],[AppAref]],Table23[DSorder],0))),"GO"),"")</f>
        <v>GO</v>
      </c>
      <c r="I10" s="86" t="str">
        <f>cyberControls[[#This Row],[Component]]&amp;cyberControls[[#This Row],[Maturity Level]]</f>
        <v>Infrastructure ManagementBaseline</v>
      </c>
      <c r="J10" s="86" t="str">
        <f>cyberControls[[#This Row],[workArea]]&amp;cyberControls[[#This Row],[Y, Y(C), N]]</f>
        <v>Infrastructure ManagementBaseline</v>
      </c>
      <c r="K10" s="201">
        <v>38</v>
      </c>
      <c r="L10" s="202">
        <f>IFERROR(MATCH(cyberControls[[#This Row],[Ref No.]],hyperlinkLU[Reference No.],0),cyberControls[[#This Row],[Ref No.]])</f>
        <v>39</v>
      </c>
      <c r="M10" s="202" t="str">
        <f t="shared" si="0"/>
        <v>Cybersecurity Controls</v>
      </c>
      <c r="N10" s="184">
        <f>IF(cyberControls[[#This Row],[Y, Y(C), N]]=yes,1,0)</f>
        <v>0</v>
      </c>
      <c r="O10" s="184">
        <f>IF(cyberControls[[#This Row],[Y, Y(C), N]]=yesCC,1,0)</f>
        <v>0</v>
      </c>
      <c r="P10" s="184">
        <f>IF(cyberControls[[#This Row],[Y, Y(C), N]]=no,1,0)</f>
        <v>0</v>
      </c>
      <c r="Q10" s="184">
        <f>IF(cyberControls[[#This Row],[Y, Y(C), N]]=NotAvail,1,0)</f>
        <v>0</v>
      </c>
      <c r="R10" s="92">
        <v>41</v>
      </c>
    </row>
    <row r="11" spans="1:27" ht="30" x14ac:dyDescent="0.25">
      <c r="A11" s="86" t="s">
        <v>263</v>
      </c>
      <c r="B11" s="58" t="s">
        <v>264</v>
      </c>
      <c r="C11" s="86" t="s">
        <v>27</v>
      </c>
      <c r="D11" s="87"/>
      <c r="E11" s="58" t="s">
        <v>267</v>
      </c>
      <c r="F11"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50</v>
      </c>
      <c r="G11" s="240"/>
      <c r="H11" s="255" t="str">
        <f>IFERROR(HYPERLINK("#'Appendix A'!E"&amp;ROW(INDEX(Table23[DSorder],MATCH(cyberControls[[#This Row],[AppAref]],Table23[DSorder],0))),"GO"),"")</f>
        <v>GO</v>
      </c>
      <c r="I11" s="86" t="str">
        <f>cyberControls[[#This Row],[Component]]&amp;cyberControls[[#This Row],[Maturity Level]]</f>
        <v>Infrastructure ManagementBaseline</v>
      </c>
      <c r="J11" s="86" t="str">
        <f>cyberControls[[#This Row],[workArea]]&amp;cyberControls[[#This Row],[Y, Y(C), N]]</f>
        <v>Infrastructure ManagementBaseline</v>
      </c>
      <c r="K11" s="201">
        <v>39</v>
      </c>
      <c r="L11" s="202">
        <f>IFERROR(MATCH(cyberControls[[#This Row],[Ref No.]],hyperlinkLU[Reference No.],0),cyberControls[[#This Row],[Ref No.]])</f>
        <v>40</v>
      </c>
      <c r="M11" s="202" t="str">
        <f t="shared" si="0"/>
        <v>Cybersecurity Controls</v>
      </c>
      <c r="N11" s="184">
        <f>IF(cyberControls[[#This Row],[Y, Y(C), N]]=yes,1,0)</f>
        <v>0</v>
      </c>
      <c r="O11" s="184">
        <f>IF(cyberControls[[#This Row],[Y, Y(C), N]]=yesCC,1,0)</f>
        <v>0</v>
      </c>
      <c r="P11" s="184">
        <f>IF(cyberControls[[#This Row],[Y, Y(C), N]]=no,1,0)</f>
        <v>0</v>
      </c>
      <c r="Q11" s="184">
        <f>IF(cyberControls[[#This Row],[Y, Y(C), N]]=NotAvail,1,0)</f>
        <v>0</v>
      </c>
      <c r="R11" s="92">
        <v>42</v>
      </c>
    </row>
    <row r="12" spans="1:27" ht="30" x14ac:dyDescent="0.25">
      <c r="A12" s="86" t="s">
        <v>263</v>
      </c>
      <c r="B12" s="58" t="s">
        <v>264</v>
      </c>
      <c r="C12" s="86" t="s">
        <v>27</v>
      </c>
      <c r="D12" s="87"/>
      <c r="E12" s="58" t="s">
        <v>268</v>
      </c>
      <c r="F12"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78</v>
      </c>
      <c r="G12" s="240"/>
      <c r="H12" s="255" t="str">
        <f>IFERROR(HYPERLINK("#'Appendix A'!E"&amp;ROW(INDEX(Table23[DSorder],MATCH(cyberControls[[#This Row],[AppAref]],Table23[DSorder],0))),"GO"),"")</f>
        <v>GO</v>
      </c>
      <c r="I12" s="86" t="str">
        <f>cyberControls[[#This Row],[Component]]&amp;cyberControls[[#This Row],[Maturity Level]]</f>
        <v>Infrastructure ManagementBaseline</v>
      </c>
      <c r="J12" s="86" t="str">
        <f>cyberControls[[#This Row],[workArea]]&amp;cyberControls[[#This Row],[Y, Y(C), N]]</f>
        <v>Infrastructure ManagementBaseline</v>
      </c>
      <c r="K12" s="201">
        <v>40</v>
      </c>
      <c r="L12" s="202">
        <f>IFERROR(MATCH(cyberControls[[#This Row],[Ref No.]],hyperlinkLU[Reference No.],0),cyberControls[[#This Row],[Ref No.]])</f>
        <v>41</v>
      </c>
      <c r="M12" s="202" t="str">
        <f t="shared" si="0"/>
        <v>Cybersecurity Controls</v>
      </c>
      <c r="N12" s="184">
        <f>IF(cyberControls[[#This Row],[Y, Y(C), N]]=yes,1,0)</f>
        <v>0</v>
      </c>
      <c r="O12" s="184">
        <f>IF(cyberControls[[#This Row],[Y, Y(C), N]]=yesCC,1,0)</f>
        <v>0</v>
      </c>
      <c r="P12" s="184">
        <f>IF(cyberControls[[#This Row],[Y, Y(C), N]]=no,1,0)</f>
        <v>0</v>
      </c>
      <c r="Q12" s="184">
        <f>IF(cyberControls[[#This Row],[Y, Y(C), N]]=NotAvail,1,0)</f>
        <v>0</v>
      </c>
      <c r="R12" s="92">
        <v>43</v>
      </c>
    </row>
    <row r="13" spans="1:27" s="46" customFormat="1" ht="30" x14ac:dyDescent="0.25">
      <c r="A13" s="86" t="s">
        <v>263</v>
      </c>
      <c r="B13" s="58" t="s">
        <v>264</v>
      </c>
      <c r="C13" s="86" t="s">
        <v>27</v>
      </c>
      <c r="D13" s="87"/>
      <c r="E13" s="58" t="s">
        <v>269</v>
      </c>
      <c r="F13"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56</v>
      </c>
      <c r="G13" s="240"/>
      <c r="H13" s="255" t="str">
        <f>IFERROR(HYPERLINK("#'Appendix A'!E"&amp;ROW(INDEX(Table23[DSorder],MATCH(cyberControls[[#This Row],[AppAref]],Table23[DSorder],0))),"GO"),"")</f>
        <v>GO</v>
      </c>
      <c r="I13" s="86" t="str">
        <f>cyberControls[[#This Row],[Component]]&amp;cyberControls[[#This Row],[Maturity Level]]</f>
        <v>Infrastructure ManagementBaseline</v>
      </c>
      <c r="J13" s="86" t="str">
        <f>cyberControls[[#This Row],[workArea]]&amp;cyberControls[[#This Row],[Y, Y(C), N]]</f>
        <v>Infrastructure ManagementBaseline</v>
      </c>
      <c r="K13" s="201">
        <v>41</v>
      </c>
      <c r="L13" s="202">
        <f>IFERROR(MATCH(cyberControls[[#This Row],[Ref No.]],hyperlinkLU[Reference No.],0),cyberControls[[#This Row],[Ref No.]])</f>
        <v>42</v>
      </c>
      <c r="M13" s="202" t="str">
        <f t="shared" si="0"/>
        <v>Cybersecurity Controls</v>
      </c>
      <c r="N13" s="250">
        <f>IF(cyberControls[[#This Row],[Y, Y(C), N]]=yes,1,0)</f>
        <v>0</v>
      </c>
      <c r="O13" s="184">
        <f>IF(cyberControls[[#This Row],[Y, Y(C), N]]=yesCC,1,0)</f>
        <v>0</v>
      </c>
      <c r="P13" s="184">
        <f>IF(cyberControls[[#This Row],[Y, Y(C), N]]=no,1,0)</f>
        <v>0</v>
      </c>
      <c r="Q13" s="250">
        <f>IF(cyberControls[[#This Row],[Y, Y(C), N]]=NotAvail,1,0)</f>
        <v>0</v>
      </c>
      <c r="R13" s="92">
        <v>44</v>
      </c>
      <c r="S13" s="209"/>
      <c r="T13" s="209"/>
      <c r="U13" s="209"/>
      <c r="V13" s="209"/>
      <c r="W13" s="209"/>
      <c r="X13" s="209"/>
      <c r="Y13" s="209"/>
      <c r="Z13" s="209"/>
      <c r="AA13" s="209"/>
    </row>
    <row r="14" spans="1:27" ht="30" x14ac:dyDescent="0.25">
      <c r="A14" s="86" t="s">
        <v>263</v>
      </c>
      <c r="B14" s="58" t="s">
        <v>264</v>
      </c>
      <c r="C14" s="86" t="s">
        <v>27</v>
      </c>
      <c r="D14" s="87"/>
      <c r="E14" s="58" t="s">
        <v>270</v>
      </c>
      <c r="F14"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50</v>
      </c>
      <c r="G14" s="240"/>
      <c r="H14" s="255" t="str">
        <f>IFERROR(HYPERLINK("#'Appendix A'!E"&amp;ROW(INDEX(Table23[DSorder],MATCH(cyberControls[[#This Row],[AppAref]],Table23[DSorder],0))),"GO"),"")</f>
        <v>GO</v>
      </c>
      <c r="I14" s="86" t="str">
        <f>cyberControls[[#This Row],[Component]]&amp;cyberControls[[#This Row],[Maturity Level]]</f>
        <v>Infrastructure ManagementBaseline</v>
      </c>
      <c r="J14" s="86" t="str">
        <f>cyberControls[[#This Row],[workArea]]&amp;cyberControls[[#This Row],[Y, Y(C), N]]</f>
        <v>Infrastructure ManagementBaseline</v>
      </c>
      <c r="K14" s="201">
        <v>42</v>
      </c>
      <c r="L14" s="202">
        <f>IFERROR(MATCH(cyberControls[[#This Row],[Ref No.]],hyperlinkLU[Reference No.],0),cyberControls[[#This Row],[Ref No.]])</f>
        <v>43</v>
      </c>
      <c r="M14" s="202" t="str">
        <f t="shared" si="0"/>
        <v>Cybersecurity Controls</v>
      </c>
      <c r="N14" s="184">
        <f>IF(cyberControls[[#This Row],[Y, Y(C), N]]=yes,1,0)</f>
        <v>0</v>
      </c>
      <c r="O14" s="184">
        <f>IF(cyberControls[[#This Row],[Y, Y(C), N]]=yesCC,1,0)</f>
        <v>0</v>
      </c>
      <c r="P14" s="184">
        <f>IF(cyberControls[[#This Row],[Y, Y(C), N]]=no,1,0)</f>
        <v>0</v>
      </c>
      <c r="Q14" s="184">
        <f>IF(cyberControls[[#This Row],[Y, Y(C), N]]=NotAvail,1,0)</f>
        <v>0</v>
      </c>
      <c r="R14" s="92">
        <v>45</v>
      </c>
    </row>
    <row r="15" spans="1:27" ht="45" x14ac:dyDescent="0.25">
      <c r="A15" s="86" t="s">
        <v>263</v>
      </c>
      <c r="B15" s="58" t="s">
        <v>264</v>
      </c>
      <c r="C15" s="86" t="s">
        <v>27</v>
      </c>
      <c r="D15" s="87"/>
      <c r="E15" s="58" t="s">
        <v>271</v>
      </c>
      <c r="F15"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56</v>
      </c>
      <c r="G15" s="240"/>
      <c r="H15" s="255" t="str">
        <f>IFERROR(HYPERLINK("#'Appendix A'!E"&amp;ROW(INDEX(Table23[DSorder],MATCH(cyberControls[[#This Row],[AppAref]],Table23[DSorder],0))),"GO"),"")</f>
        <v>GO</v>
      </c>
      <c r="I15" s="86" t="str">
        <f>cyberControls[[#This Row],[Component]]&amp;cyberControls[[#This Row],[Maturity Level]]</f>
        <v>Infrastructure ManagementBaseline</v>
      </c>
      <c r="J15" s="86" t="str">
        <f>cyberControls[[#This Row],[workArea]]&amp;cyberControls[[#This Row],[Y, Y(C), N]]</f>
        <v>Infrastructure ManagementBaseline</v>
      </c>
      <c r="K15" s="201">
        <v>43</v>
      </c>
      <c r="L15" s="202">
        <f>IFERROR(MATCH(cyberControls[[#This Row],[Ref No.]],hyperlinkLU[Reference No.],0),cyberControls[[#This Row],[Ref No.]])</f>
        <v>44</v>
      </c>
      <c r="M15" s="202" t="str">
        <f t="shared" si="0"/>
        <v>Cybersecurity Controls</v>
      </c>
      <c r="N15" s="184">
        <f>IF(cyberControls[[#This Row],[Y, Y(C), N]]=yes,1,0)</f>
        <v>0</v>
      </c>
      <c r="O15" s="184">
        <f>IF(cyberControls[[#This Row],[Y, Y(C), N]]=yesCC,1,0)</f>
        <v>0</v>
      </c>
      <c r="P15" s="184">
        <f>IF(cyberControls[[#This Row],[Y, Y(C), N]]=no,1,0)</f>
        <v>0</v>
      </c>
      <c r="Q15" s="184">
        <f>IF(cyberControls[[#This Row],[Y, Y(C), N]]=NotAvail,1,0)</f>
        <v>0</v>
      </c>
      <c r="R15" s="92">
        <v>46</v>
      </c>
    </row>
    <row r="16" spans="1:27" ht="30" x14ac:dyDescent="0.25">
      <c r="A16" s="86" t="s">
        <v>263</v>
      </c>
      <c r="B16" s="58" t="s">
        <v>264</v>
      </c>
      <c r="C16" s="86" t="s">
        <v>27</v>
      </c>
      <c r="D16" s="87"/>
      <c r="E16" s="58" t="s">
        <v>272</v>
      </c>
      <c r="F16"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41</v>
      </c>
      <c r="G16" s="240"/>
      <c r="H16" s="255" t="str">
        <f>IFERROR(HYPERLINK("#'Appendix A'!E"&amp;ROW(INDEX(Table23[DSorder],MATCH(cyberControls[[#This Row],[AppAref]],Table23[DSorder],0))),"GO"),"")</f>
        <v>GO</v>
      </c>
      <c r="I16" s="86" t="str">
        <f>cyberControls[[#This Row],[Component]]&amp;cyberControls[[#This Row],[Maturity Level]]</f>
        <v>Infrastructure ManagementBaseline</v>
      </c>
      <c r="J16" s="86" t="str">
        <f>cyberControls[[#This Row],[workArea]]&amp;cyberControls[[#This Row],[Y, Y(C), N]]</f>
        <v>Infrastructure ManagementBaseline</v>
      </c>
      <c r="K16" s="201">
        <v>44</v>
      </c>
      <c r="L16" s="202">
        <f>IFERROR(MATCH(cyberControls[[#This Row],[Ref No.]],hyperlinkLU[Reference No.],0),cyberControls[[#This Row],[Ref No.]])</f>
        <v>45</v>
      </c>
      <c r="M16" s="202" t="str">
        <f t="shared" si="0"/>
        <v>Cybersecurity Controls</v>
      </c>
      <c r="N16" s="184">
        <f>IF(cyberControls[[#This Row],[Y, Y(C), N]]=yes,1,0)</f>
        <v>0</v>
      </c>
      <c r="O16" s="184">
        <f>IF(cyberControls[[#This Row],[Y, Y(C), N]]=yesCC,1,0)</f>
        <v>0</v>
      </c>
      <c r="P16" s="184">
        <f>IF(cyberControls[[#This Row],[Y, Y(C), N]]=no,1,0)</f>
        <v>0</v>
      </c>
      <c r="Q16" s="184">
        <f>IF(cyberControls[[#This Row],[Y, Y(C), N]]=NotAvail,1,0)</f>
        <v>0</v>
      </c>
      <c r="R16" s="92">
        <v>47</v>
      </c>
    </row>
    <row r="17" spans="1:18" ht="45" x14ac:dyDescent="0.25">
      <c r="A17" s="86" t="s">
        <v>263</v>
      </c>
      <c r="B17" s="58" t="s">
        <v>264</v>
      </c>
      <c r="C17" s="86" t="s">
        <v>27</v>
      </c>
      <c r="D17" s="87"/>
      <c r="E17" s="58" t="s">
        <v>273</v>
      </c>
      <c r="F17"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23</v>
      </c>
      <c r="G17" s="240"/>
      <c r="H17" s="255" t="str">
        <f>IFERROR(HYPERLINK("#'Appendix A'!E"&amp;ROW(INDEX(Table23[DSorder],MATCH(cyberControls[[#This Row],[AppAref]],Table23[DSorder],0))),"GO"),"")</f>
        <v>GO</v>
      </c>
      <c r="I17" s="86" t="str">
        <f>cyberControls[[#This Row],[Component]]&amp;cyberControls[[#This Row],[Maturity Level]]</f>
        <v>Infrastructure ManagementBaseline</v>
      </c>
      <c r="J17" s="86" t="str">
        <f>cyberControls[[#This Row],[workArea]]&amp;cyberControls[[#This Row],[Y, Y(C), N]]</f>
        <v>Infrastructure ManagementBaseline</v>
      </c>
      <c r="K17" s="201">
        <v>45</v>
      </c>
      <c r="L17" s="202">
        <f>IFERROR(MATCH(cyberControls[[#This Row],[Ref No.]],hyperlinkLU[Reference No.],0),cyberControls[[#This Row],[Ref No.]])</f>
        <v>46</v>
      </c>
      <c r="M17" s="202" t="str">
        <f t="shared" si="0"/>
        <v>Cybersecurity Controls</v>
      </c>
      <c r="N17" s="184">
        <f>IF(cyberControls[[#This Row],[Y, Y(C), N]]=yes,1,0)</f>
        <v>0</v>
      </c>
      <c r="O17" s="184">
        <f>IF(cyberControls[[#This Row],[Y, Y(C), N]]=yesCC,1,0)</f>
        <v>0</v>
      </c>
      <c r="P17" s="184">
        <f>IF(cyberControls[[#This Row],[Y, Y(C), N]]=no,1,0)</f>
        <v>0</v>
      </c>
      <c r="Q17" s="184">
        <f>IF(cyberControls[[#This Row],[Y, Y(C), N]]=NotAvail,1,0)</f>
        <v>0</v>
      </c>
      <c r="R17" s="92">
        <v>48</v>
      </c>
    </row>
    <row r="18" spans="1:18" ht="45" x14ac:dyDescent="0.25">
      <c r="A18" s="86" t="s">
        <v>263</v>
      </c>
      <c r="B18" s="58" t="s">
        <v>264</v>
      </c>
      <c r="C18" s="86" t="s">
        <v>27</v>
      </c>
      <c r="D18" s="87"/>
      <c r="E18" s="58" t="s">
        <v>274</v>
      </c>
      <c r="F18"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40</v>
      </c>
      <c r="G18" s="240"/>
      <c r="H18" s="255" t="str">
        <f>IFERROR(HYPERLINK("#'Appendix A'!E"&amp;ROW(INDEX(Table23[DSorder],MATCH(cyberControls[[#This Row],[AppAref]],Table23[DSorder],0))),"GO"),"")</f>
        <v>GO</v>
      </c>
      <c r="I18" s="86" t="str">
        <f>cyberControls[[#This Row],[Component]]&amp;cyberControls[[#This Row],[Maturity Level]]</f>
        <v>Infrastructure ManagementBaseline</v>
      </c>
      <c r="J18" s="86" t="str">
        <f>cyberControls[[#This Row],[workArea]]&amp;cyberControls[[#This Row],[Y, Y(C), N]]</f>
        <v>Infrastructure ManagementBaseline</v>
      </c>
      <c r="K18" s="201">
        <v>46</v>
      </c>
      <c r="L18" s="202">
        <f>IFERROR(MATCH(cyberControls[[#This Row],[Ref No.]],hyperlinkLU[Reference No.],0),cyberControls[[#This Row],[Ref No.]])</f>
        <v>47</v>
      </c>
      <c r="M18" s="202" t="str">
        <f t="shared" si="0"/>
        <v>Cybersecurity Controls</v>
      </c>
      <c r="N18" s="184">
        <f>IF(cyberControls[[#This Row],[Y, Y(C), N]]=yes,1,0)</f>
        <v>0</v>
      </c>
      <c r="O18" s="184">
        <f>IF(cyberControls[[#This Row],[Y, Y(C), N]]=yesCC,1,0)</f>
        <v>0</v>
      </c>
      <c r="P18" s="184">
        <f>IF(cyberControls[[#This Row],[Y, Y(C), N]]=no,1,0)</f>
        <v>0</v>
      </c>
      <c r="Q18" s="184">
        <f>IF(cyberControls[[#This Row],[Y, Y(C), N]]=NotAvail,1,0)</f>
        <v>0</v>
      </c>
      <c r="R18" s="92">
        <v>49</v>
      </c>
    </row>
    <row r="19" spans="1:18" ht="30" x14ac:dyDescent="0.25">
      <c r="A19" s="86" t="s">
        <v>263</v>
      </c>
      <c r="B19" s="58" t="s">
        <v>264</v>
      </c>
      <c r="C19" s="86" t="s">
        <v>28</v>
      </c>
      <c r="D19" s="87"/>
      <c r="E19" s="58" t="s">
        <v>275</v>
      </c>
      <c r="F19" s="24"/>
      <c r="G19" s="237"/>
      <c r="H19" s="255" t="str">
        <f>IFERROR(HYPERLINK("#'Appendix A'!E"&amp;ROW(INDEX(Table23[DSorder],MATCH(cyberControls[[#This Row],[AppAref]],Table23[DSorder],0))),"GO"),"")</f>
        <v/>
      </c>
      <c r="I19" s="86" t="str">
        <f>cyberControls[[#This Row],[Component]]&amp;cyberControls[[#This Row],[Maturity Level]]</f>
        <v>Infrastructure ManagementEvolving</v>
      </c>
      <c r="J19" s="86" t="str">
        <f>cyberControls[[#This Row],[workArea]]&amp;cyberControls[[#This Row],[Y, Y(C), N]]</f>
        <v>Infrastructure ManagementEvolving</v>
      </c>
      <c r="K19" s="184"/>
      <c r="L19" s="184"/>
      <c r="M19" s="184" t="str">
        <f t="shared" si="0"/>
        <v>Cybersecurity Controls</v>
      </c>
      <c r="N19" s="184">
        <f>IF(cyberControls[[#This Row],[Y, Y(C), N]]=yes,1,0)</f>
        <v>0</v>
      </c>
      <c r="O19" s="184">
        <f>IF(cyberControls[[#This Row],[Y, Y(C), N]]=yesCC,1,0)</f>
        <v>0</v>
      </c>
      <c r="P19" s="184">
        <f>IF(cyberControls[[#This Row],[Y, Y(C), N]]=no,1,0)</f>
        <v>0</v>
      </c>
      <c r="Q19" s="184">
        <f>IF(cyberControls[[#This Row],[Y, Y(C), N]]=NotAvail,1,0)</f>
        <v>0</v>
      </c>
      <c r="R19" s="92"/>
    </row>
    <row r="20" spans="1:18" ht="30" x14ac:dyDescent="0.25">
      <c r="A20" s="86" t="s">
        <v>263</v>
      </c>
      <c r="B20" s="58" t="s">
        <v>264</v>
      </c>
      <c r="C20" s="86" t="s">
        <v>28</v>
      </c>
      <c r="D20" s="87"/>
      <c r="E20" s="58" t="s">
        <v>276</v>
      </c>
      <c r="F20" s="24"/>
      <c r="G20" s="237"/>
      <c r="H20" s="255" t="str">
        <f>IFERROR(HYPERLINK("#'Appendix A'!E"&amp;ROW(INDEX(Table23[DSorder],MATCH(cyberControls[[#This Row],[AppAref]],Table23[DSorder],0))),"GO"),"")</f>
        <v/>
      </c>
      <c r="I20" s="86" t="str">
        <f>cyberControls[[#This Row],[Component]]&amp;cyberControls[[#This Row],[Maturity Level]]</f>
        <v>Infrastructure ManagementEvolving</v>
      </c>
      <c r="J20" s="86" t="str">
        <f>cyberControls[[#This Row],[workArea]]&amp;cyberControls[[#This Row],[Y, Y(C), N]]</f>
        <v>Infrastructure ManagementEvolving</v>
      </c>
      <c r="K20" s="184"/>
      <c r="L20" s="184"/>
      <c r="M20" s="184" t="str">
        <f t="shared" si="0"/>
        <v>Cybersecurity Controls</v>
      </c>
      <c r="N20" s="184">
        <f>IF(cyberControls[[#This Row],[Y, Y(C), N]]=yes,1,0)</f>
        <v>0</v>
      </c>
      <c r="O20" s="184">
        <f>IF(cyberControls[[#This Row],[Y, Y(C), N]]=yesCC,1,0)</f>
        <v>0</v>
      </c>
      <c r="P20" s="184">
        <f>IF(cyberControls[[#This Row],[Y, Y(C), N]]=no,1,0)</f>
        <v>0</v>
      </c>
      <c r="Q20" s="184">
        <f>IF(cyberControls[[#This Row],[Y, Y(C), N]]=NotAvail,1,0)</f>
        <v>0</v>
      </c>
      <c r="R20" s="92"/>
    </row>
    <row r="21" spans="1:18" ht="30" x14ac:dyDescent="0.25">
      <c r="A21" s="86" t="s">
        <v>263</v>
      </c>
      <c r="B21" s="58" t="s">
        <v>264</v>
      </c>
      <c r="C21" s="86" t="s">
        <v>28</v>
      </c>
      <c r="D21" s="87"/>
      <c r="E21" s="58" t="s">
        <v>277</v>
      </c>
      <c r="F21" s="24"/>
      <c r="G21" s="237"/>
      <c r="H21" s="255" t="str">
        <f>IFERROR(HYPERLINK("#'Appendix A'!E"&amp;ROW(INDEX(Table23[DSorder],MATCH(cyberControls[[#This Row],[AppAref]],Table23[DSorder],0))),"GO"),"")</f>
        <v/>
      </c>
      <c r="I21" s="86" t="str">
        <f>cyberControls[[#This Row],[Component]]&amp;cyberControls[[#This Row],[Maturity Level]]</f>
        <v>Infrastructure ManagementEvolving</v>
      </c>
      <c r="J21" s="86" t="str">
        <f>cyberControls[[#This Row],[workArea]]&amp;cyberControls[[#This Row],[Y, Y(C), N]]</f>
        <v>Infrastructure ManagementEvolving</v>
      </c>
      <c r="K21" s="184"/>
      <c r="L21" s="184"/>
      <c r="M21" s="184" t="str">
        <f t="shared" si="0"/>
        <v>Cybersecurity Controls</v>
      </c>
      <c r="N21" s="184">
        <f>IF(cyberControls[[#This Row],[Y, Y(C), N]]=yes,1,0)</f>
        <v>0</v>
      </c>
      <c r="O21" s="184">
        <f>IF(cyberControls[[#This Row],[Y, Y(C), N]]=yesCC,1,0)</f>
        <v>0</v>
      </c>
      <c r="P21" s="184">
        <f>IF(cyberControls[[#This Row],[Y, Y(C), N]]=no,1,0)</f>
        <v>0</v>
      </c>
      <c r="Q21" s="184">
        <f>IF(cyberControls[[#This Row],[Y, Y(C), N]]=NotAvail,1,0)</f>
        <v>0</v>
      </c>
      <c r="R21" s="92"/>
    </row>
    <row r="22" spans="1:18" ht="30" x14ac:dyDescent="0.25">
      <c r="A22" s="86" t="s">
        <v>263</v>
      </c>
      <c r="B22" s="58" t="s">
        <v>264</v>
      </c>
      <c r="C22" s="86" t="s">
        <v>28</v>
      </c>
      <c r="D22" s="87"/>
      <c r="E22" s="58" t="s">
        <v>278</v>
      </c>
      <c r="F22" s="24"/>
      <c r="G22" s="237"/>
      <c r="H22" s="255" t="str">
        <f>IFERROR(HYPERLINK("#'Appendix A'!E"&amp;ROW(INDEX(Table23[DSorder],MATCH(cyberControls[[#This Row],[AppAref]],Table23[DSorder],0))),"GO"),"")</f>
        <v/>
      </c>
      <c r="I22" s="86" t="str">
        <f>cyberControls[[#This Row],[Component]]&amp;cyberControls[[#This Row],[Maturity Level]]</f>
        <v>Infrastructure ManagementEvolving</v>
      </c>
      <c r="J22" s="86" t="str">
        <f>cyberControls[[#This Row],[workArea]]&amp;cyberControls[[#This Row],[Y, Y(C), N]]</f>
        <v>Infrastructure ManagementEvolving</v>
      </c>
      <c r="K22" s="184"/>
      <c r="L22" s="184"/>
      <c r="M22" s="184" t="str">
        <f t="shared" si="0"/>
        <v>Cybersecurity Controls</v>
      </c>
      <c r="N22" s="184">
        <f>IF(cyberControls[[#This Row],[Y, Y(C), N]]=yes,1,0)</f>
        <v>0</v>
      </c>
      <c r="O22" s="184">
        <f>IF(cyberControls[[#This Row],[Y, Y(C), N]]=yesCC,1,0)</f>
        <v>0</v>
      </c>
      <c r="P22" s="184">
        <f>IF(cyberControls[[#This Row],[Y, Y(C), N]]=no,1,0)</f>
        <v>0</v>
      </c>
      <c r="Q22" s="184">
        <f>IF(cyberControls[[#This Row],[Y, Y(C), N]]=NotAvail,1,0)</f>
        <v>0</v>
      </c>
      <c r="R22" s="92"/>
    </row>
    <row r="23" spans="1:18" ht="30" x14ac:dyDescent="0.25">
      <c r="A23" s="86" t="s">
        <v>263</v>
      </c>
      <c r="B23" s="58" t="s">
        <v>264</v>
      </c>
      <c r="C23" s="86" t="s">
        <v>28</v>
      </c>
      <c r="D23" s="87"/>
      <c r="E23" s="58" t="s">
        <v>279</v>
      </c>
      <c r="F23" s="24"/>
      <c r="G23" s="237"/>
      <c r="H23" s="255" t="str">
        <f>IFERROR(HYPERLINK("#'Appendix A'!E"&amp;ROW(INDEX(Table23[DSorder],MATCH(cyberControls[[#This Row],[AppAref]],Table23[DSorder],0))),"GO"),"")</f>
        <v/>
      </c>
      <c r="I23" s="86" t="str">
        <f>cyberControls[[#This Row],[Component]]&amp;cyberControls[[#This Row],[Maturity Level]]</f>
        <v>Infrastructure ManagementEvolving</v>
      </c>
      <c r="J23" s="86" t="str">
        <f>cyberControls[[#This Row],[workArea]]&amp;cyberControls[[#This Row],[Y, Y(C), N]]</f>
        <v>Infrastructure ManagementEvolving</v>
      </c>
      <c r="K23" s="184"/>
      <c r="L23" s="184"/>
      <c r="M23" s="184" t="str">
        <f t="shared" si="0"/>
        <v>Cybersecurity Controls</v>
      </c>
      <c r="N23" s="184">
        <f>IF(cyberControls[[#This Row],[Y, Y(C), N]]=yes,1,0)</f>
        <v>0</v>
      </c>
      <c r="O23" s="184">
        <f>IF(cyberControls[[#This Row],[Y, Y(C), N]]=yesCC,1,0)</f>
        <v>0</v>
      </c>
      <c r="P23" s="184">
        <f>IF(cyberControls[[#This Row],[Y, Y(C), N]]=no,1,0)</f>
        <v>0</v>
      </c>
      <c r="Q23" s="184">
        <f>IF(cyberControls[[#This Row],[Y, Y(C), N]]=NotAvail,1,0)</f>
        <v>0</v>
      </c>
      <c r="R23" s="92"/>
    </row>
    <row r="24" spans="1:18" ht="30" x14ac:dyDescent="0.25">
      <c r="A24" s="86" t="s">
        <v>263</v>
      </c>
      <c r="B24" s="58" t="s">
        <v>264</v>
      </c>
      <c r="C24" s="86" t="s">
        <v>28</v>
      </c>
      <c r="D24" s="87"/>
      <c r="E24" s="58" t="s">
        <v>280</v>
      </c>
      <c r="F24" s="24"/>
      <c r="G24" s="237"/>
      <c r="H24" s="255" t="str">
        <f>IFERROR(HYPERLINK("#'Appendix A'!E"&amp;ROW(INDEX(Table23[DSorder],MATCH(cyberControls[[#This Row],[AppAref]],Table23[DSorder],0))),"GO"),"")</f>
        <v/>
      </c>
      <c r="I24" s="86" t="str">
        <f>cyberControls[[#This Row],[Component]]&amp;cyberControls[[#This Row],[Maturity Level]]</f>
        <v>Infrastructure ManagementEvolving</v>
      </c>
      <c r="J24" s="86" t="str">
        <f>cyberControls[[#This Row],[workArea]]&amp;cyberControls[[#This Row],[Y, Y(C), N]]</f>
        <v>Infrastructure ManagementEvolving</v>
      </c>
      <c r="K24" s="184"/>
      <c r="L24" s="184"/>
      <c r="M24" s="184" t="str">
        <f t="shared" si="0"/>
        <v>Cybersecurity Controls</v>
      </c>
      <c r="N24" s="184">
        <f>IF(cyberControls[[#This Row],[Y, Y(C), N]]=yes,1,0)</f>
        <v>0</v>
      </c>
      <c r="O24" s="184">
        <f>IF(cyberControls[[#This Row],[Y, Y(C), N]]=yesCC,1,0)</f>
        <v>0</v>
      </c>
      <c r="P24" s="184">
        <f>IF(cyberControls[[#This Row],[Y, Y(C), N]]=no,1,0)</f>
        <v>0</v>
      </c>
      <c r="Q24" s="184">
        <f>IF(cyberControls[[#This Row],[Y, Y(C), N]]=NotAvail,1,0)</f>
        <v>0</v>
      </c>
      <c r="R24" s="92"/>
    </row>
    <row r="25" spans="1:18" ht="45" x14ac:dyDescent="0.25">
      <c r="A25" s="86" t="s">
        <v>263</v>
      </c>
      <c r="B25" s="58" t="s">
        <v>264</v>
      </c>
      <c r="C25" s="86" t="s">
        <v>28</v>
      </c>
      <c r="D25" s="87"/>
      <c r="E25" s="58" t="s">
        <v>281</v>
      </c>
      <c r="F25" s="24"/>
      <c r="G25" s="237"/>
      <c r="H25" s="255" t="str">
        <f>IFERROR(HYPERLINK("#'Appendix A'!E"&amp;ROW(INDEX(Table23[DSorder],MATCH(cyberControls[[#This Row],[AppAref]],Table23[DSorder],0))),"GO"),"")</f>
        <v/>
      </c>
      <c r="I25" s="86" t="str">
        <f>cyberControls[[#This Row],[Component]]&amp;cyberControls[[#This Row],[Maturity Level]]</f>
        <v>Infrastructure ManagementEvolving</v>
      </c>
      <c r="J25" s="86" t="str">
        <f>cyberControls[[#This Row],[workArea]]&amp;cyberControls[[#This Row],[Y, Y(C), N]]</f>
        <v>Infrastructure ManagementEvolving</v>
      </c>
      <c r="K25" s="184"/>
      <c r="L25" s="184"/>
      <c r="M25" s="184" t="str">
        <f t="shared" si="0"/>
        <v>Cybersecurity Controls</v>
      </c>
      <c r="N25" s="184">
        <f>IF(cyberControls[[#This Row],[Y, Y(C), N]]=yes,1,0)</f>
        <v>0</v>
      </c>
      <c r="O25" s="184">
        <f>IF(cyberControls[[#This Row],[Y, Y(C), N]]=yesCC,1,0)</f>
        <v>0</v>
      </c>
      <c r="P25" s="184">
        <f>IF(cyberControls[[#This Row],[Y, Y(C), N]]=no,1,0)</f>
        <v>0</v>
      </c>
      <c r="Q25" s="184">
        <f>IF(cyberControls[[#This Row],[Y, Y(C), N]]=NotAvail,1,0)</f>
        <v>0</v>
      </c>
      <c r="R25" s="92"/>
    </row>
    <row r="26" spans="1:18" ht="30" x14ac:dyDescent="0.25">
      <c r="A26" s="86" t="s">
        <v>263</v>
      </c>
      <c r="B26" s="58" t="s">
        <v>264</v>
      </c>
      <c r="C26" s="86" t="s">
        <v>28</v>
      </c>
      <c r="D26" s="87"/>
      <c r="E26" s="58" t="s">
        <v>282</v>
      </c>
      <c r="F26" s="24"/>
      <c r="G26" s="237"/>
      <c r="H26" s="255" t="str">
        <f>IFERROR(HYPERLINK("#'Appendix A'!E"&amp;ROW(INDEX(Table23[DSorder],MATCH(cyberControls[[#This Row],[AppAref]],Table23[DSorder],0))),"GO"),"")</f>
        <v/>
      </c>
      <c r="I26" s="86" t="str">
        <f>cyberControls[[#This Row],[Component]]&amp;cyberControls[[#This Row],[Maturity Level]]</f>
        <v>Infrastructure ManagementEvolving</v>
      </c>
      <c r="J26" s="86" t="str">
        <f>cyberControls[[#This Row],[workArea]]&amp;cyberControls[[#This Row],[Y, Y(C), N]]</f>
        <v>Infrastructure ManagementEvolving</v>
      </c>
      <c r="K26" s="184"/>
      <c r="L26" s="184"/>
      <c r="M26" s="184" t="str">
        <f t="shared" si="0"/>
        <v>Cybersecurity Controls</v>
      </c>
      <c r="N26" s="184">
        <f>IF(cyberControls[[#This Row],[Y, Y(C), N]]=yes,1,0)</f>
        <v>0</v>
      </c>
      <c r="O26" s="184">
        <f>IF(cyberControls[[#This Row],[Y, Y(C), N]]=yesCC,1,0)</f>
        <v>0</v>
      </c>
      <c r="P26" s="184">
        <f>IF(cyberControls[[#This Row],[Y, Y(C), N]]=no,1,0)</f>
        <v>0</v>
      </c>
      <c r="Q26" s="184">
        <f>IF(cyberControls[[#This Row],[Y, Y(C), N]]=NotAvail,1,0)</f>
        <v>0</v>
      </c>
      <c r="R26" s="92"/>
    </row>
    <row r="27" spans="1:18" ht="30" customHeight="1" x14ac:dyDescent="0.25">
      <c r="A27" s="86" t="s">
        <v>263</v>
      </c>
      <c r="B27" s="58" t="s">
        <v>264</v>
      </c>
      <c r="C27" s="86" t="s">
        <v>29</v>
      </c>
      <c r="D27" s="87"/>
      <c r="E27" s="58" t="s">
        <v>283</v>
      </c>
      <c r="F27" s="24"/>
      <c r="G27" s="237"/>
      <c r="H27" s="255" t="str">
        <f>IFERROR(HYPERLINK("#'Appendix A'!E"&amp;ROW(INDEX(Table23[DSorder],MATCH(cyberControls[[#This Row],[AppAref]],Table23[DSorder],0))),"GO"),"")</f>
        <v/>
      </c>
      <c r="I27" s="86" t="str">
        <f>cyberControls[[#This Row],[Component]]&amp;cyberControls[[#This Row],[Maturity Level]]</f>
        <v>Infrastructure ManagementIntermediate</v>
      </c>
      <c r="J27" s="86" t="str">
        <f>cyberControls[[#This Row],[workArea]]&amp;cyberControls[[#This Row],[Y, Y(C), N]]</f>
        <v>Infrastructure ManagementIntermediate</v>
      </c>
      <c r="K27" s="184"/>
      <c r="L27" s="184"/>
      <c r="M27" s="184" t="str">
        <f t="shared" si="0"/>
        <v>Cybersecurity Controls</v>
      </c>
      <c r="N27" s="184">
        <f>IF(cyberControls[[#This Row],[Y, Y(C), N]]=yes,1,0)</f>
        <v>0</v>
      </c>
      <c r="O27" s="184">
        <f>IF(cyberControls[[#This Row],[Y, Y(C), N]]=yesCC,1,0)</f>
        <v>0</v>
      </c>
      <c r="P27" s="184">
        <f>IF(cyberControls[[#This Row],[Y, Y(C), N]]=no,1,0)</f>
        <v>0</v>
      </c>
      <c r="Q27" s="184">
        <f>IF(cyberControls[[#This Row],[Y, Y(C), N]]=NotAvail,1,0)</f>
        <v>0</v>
      </c>
      <c r="R27" s="92"/>
    </row>
    <row r="28" spans="1:18" ht="30" customHeight="1" x14ac:dyDescent="0.25">
      <c r="A28" s="86" t="s">
        <v>263</v>
      </c>
      <c r="B28" s="58" t="s">
        <v>264</v>
      </c>
      <c r="C28" s="86" t="s">
        <v>29</v>
      </c>
      <c r="D28" s="87"/>
      <c r="E28" s="58" t="s">
        <v>284</v>
      </c>
      <c r="F28" s="24"/>
      <c r="G28" s="237"/>
      <c r="H28" s="255" t="str">
        <f>IFERROR(HYPERLINK("#'Appendix A'!E"&amp;ROW(INDEX(Table23[DSorder],MATCH(cyberControls[[#This Row],[AppAref]],Table23[DSorder],0))),"GO"),"")</f>
        <v/>
      </c>
      <c r="I28" s="86" t="str">
        <f>cyberControls[[#This Row],[Component]]&amp;cyberControls[[#This Row],[Maturity Level]]</f>
        <v>Infrastructure ManagementIntermediate</v>
      </c>
      <c r="J28" s="86" t="str">
        <f>cyberControls[[#This Row],[workArea]]&amp;cyberControls[[#This Row],[Y, Y(C), N]]</f>
        <v>Infrastructure ManagementIntermediate</v>
      </c>
      <c r="K28" s="184"/>
      <c r="L28" s="184"/>
      <c r="M28" s="184" t="str">
        <f t="shared" si="0"/>
        <v>Cybersecurity Controls</v>
      </c>
      <c r="N28" s="184">
        <f>IF(cyberControls[[#This Row],[Y, Y(C), N]]=yes,1,0)</f>
        <v>0</v>
      </c>
      <c r="O28" s="184">
        <f>IF(cyberControls[[#This Row],[Y, Y(C), N]]=yesCC,1,0)</f>
        <v>0</v>
      </c>
      <c r="P28" s="184">
        <f>IF(cyberControls[[#This Row],[Y, Y(C), N]]=no,1,0)</f>
        <v>0</v>
      </c>
      <c r="Q28" s="184">
        <f>IF(cyberControls[[#This Row],[Y, Y(C), N]]=NotAvail,1,0)</f>
        <v>0</v>
      </c>
      <c r="R28" s="92"/>
    </row>
    <row r="29" spans="1:18" ht="30" customHeight="1" x14ac:dyDescent="0.25">
      <c r="A29" s="86" t="s">
        <v>263</v>
      </c>
      <c r="B29" s="58" t="s">
        <v>264</v>
      </c>
      <c r="C29" s="86" t="s">
        <v>29</v>
      </c>
      <c r="D29" s="87"/>
      <c r="E29" s="58" t="s">
        <v>285</v>
      </c>
      <c r="F29" s="24"/>
      <c r="G29" s="237"/>
      <c r="H29" s="255" t="str">
        <f>IFERROR(HYPERLINK("#'Appendix A'!E"&amp;ROW(INDEX(Table23[DSorder],MATCH(cyberControls[[#This Row],[AppAref]],Table23[DSorder],0))),"GO"),"")</f>
        <v/>
      </c>
      <c r="I29" s="86" t="str">
        <f>cyberControls[[#This Row],[Component]]&amp;cyberControls[[#This Row],[Maturity Level]]</f>
        <v>Infrastructure ManagementIntermediate</v>
      </c>
      <c r="J29" s="86" t="str">
        <f>cyberControls[[#This Row],[workArea]]&amp;cyberControls[[#This Row],[Y, Y(C), N]]</f>
        <v>Infrastructure ManagementIntermediate</v>
      </c>
      <c r="K29" s="184"/>
      <c r="L29" s="184"/>
      <c r="M29" s="184" t="str">
        <f t="shared" si="0"/>
        <v>Cybersecurity Controls</v>
      </c>
      <c r="N29" s="184">
        <f>IF(cyberControls[[#This Row],[Y, Y(C), N]]=yes,1,0)</f>
        <v>0</v>
      </c>
      <c r="O29" s="184">
        <f>IF(cyberControls[[#This Row],[Y, Y(C), N]]=yesCC,1,0)</f>
        <v>0</v>
      </c>
      <c r="P29" s="184">
        <f>IF(cyberControls[[#This Row],[Y, Y(C), N]]=no,1,0)</f>
        <v>0</v>
      </c>
      <c r="Q29" s="184">
        <f>IF(cyberControls[[#This Row],[Y, Y(C), N]]=NotAvail,1,0)</f>
        <v>0</v>
      </c>
      <c r="R29" s="92"/>
    </row>
    <row r="30" spans="1:18" ht="30" x14ac:dyDescent="0.25">
      <c r="A30" s="86" t="s">
        <v>263</v>
      </c>
      <c r="B30" s="58" t="s">
        <v>264</v>
      </c>
      <c r="C30" s="86" t="s">
        <v>29</v>
      </c>
      <c r="D30" s="87"/>
      <c r="E30" s="58" t="s">
        <v>286</v>
      </c>
      <c r="F30" s="24"/>
      <c r="G30" s="237"/>
      <c r="H30" s="255" t="str">
        <f>IFERROR(HYPERLINK("#'Appendix A'!E"&amp;ROW(INDEX(Table23[DSorder],MATCH(cyberControls[[#This Row],[AppAref]],Table23[DSorder],0))),"GO"),"")</f>
        <v/>
      </c>
      <c r="I30" s="86" t="str">
        <f>cyberControls[[#This Row],[Component]]&amp;cyberControls[[#This Row],[Maturity Level]]</f>
        <v>Infrastructure ManagementIntermediate</v>
      </c>
      <c r="J30" s="86" t="str">
        <f>cyberControls[[#This Row],[workArea]]&amp;cyberControls[[#This Row],[Y, Y(C), N]]</f>
        <v>Infrastructure ManagementIntermediate</v>
      </c>
      <c r="K30" s="184"/>
      <c r="L30" s="184"/>
      <c r="M30" s="184" t="str">
        <f t="shared" si="0"/>
        <v>Cybersecurity Controls</v>
      </c>
      <c r="N30" s="184">
        <f>IF(cyberControls[[#This Row],[Y, Y(C), N]]=yes,1,0)</f>
        <v>0</v>
      </c>
      <c r="O30" s="184">
        <f>IF(cyberControls[[#This Row],[Y, Y(C), N]]=yesCC,1,0)</f>
        <v>0</v>
      </c>
      <c r="P30" s="184">
        <f>IF(cyberControls[[#This Row],[Y, Y(C), N]]=no,1,0)</f>
        <v>0</v>
      </c>
      <c r="Q30" s="184">
        <f>IF(cyberControls[[#This Row],[Y, Y(C), N]]=NotAvail,1,0)</f>
        <v>0</v>
      </c>
      <c r="R30" s="92"/>
    </row>
    <row r="31" spans="1:18" ht="30" x14ac:dyDescent="0.25">
      <c r="A31" s="86" t="s">
        <v>263</v>
      </c>
      <c r="B31" s="58" t="s">
        <v>264</v>
      </c>
      <c r="C31" s="86" t="s">
        <v>29</v>
      </c>
      <c r="D31" s="87"/>
      <c r="E31" s="58" t="s">
        <v>287</v>
      </c>
      <c r="F31" s="24"/>
      <c r="G31" s="237"/>
      <c r="H31" s="255" t="str">
        <f>IFERROR(HYPERLINK("#'Appendix A'!E"&amp;ROW(INDEX(Table23[DSorder],MATCH(cyberControls[[#This Row],[AppAref]],Table23[DSorder],0))),"GO"),"")</f>
        <v/>
      </c>
      <c r="I31" s="86" t="str">
        <f>cyberControls[[#This Row],[Component]]&amp;cyberControls[[#This Row],[Maturity Level]]</f>
        <v>Infrastructure ManagementIntermediate</v>
      </c>
      <c r="J31" s="86" t="str">
        <f>cyberControls[[#This Row],[workArea]]&amp;cyberControls[[#This Row],[Y, Y(C), N]]</f>
        <v>Infrastructure ManagementIntermediate</v>
      </c>
      <c r="K31" s="184"/>
      <c r="L31" s="184"/>
      <c r="M31" s="184" t="str">
        <f t="shared" si="0"/>
        <v>Cybersecurity Controls</v>
      </c>
      <c r="N31" s="184">
        <f>IF(cyberControls[[#This Row],[Y, Y(C), N]]=yes,1,0)</f>
        <v>0</v>
      </c>
      <c r="O31" s="184">
        <f>IF(cyberControls[[#This Row],[Y, Y(C), N]]=yesCC,1,0)</f>
        <v>0</v>
      </c>
      <c r="P31" s="184">
        <f>IF(cyberControls[[#This Row],[Y, Y(C), N]]=no,1,0)</f>
        <v>0</v>
      </c>
      <c r="Q31" s="184">
        <f>IF(cyberControls[[#This Row],[Y, Y(C), N]]=NotAvail,1,0)</f>
        <v>0</v>
      </c>
      <c r="R31" s="92"/>
    </row>
    <row r="32" spans="1:18" ht="45" x14ac:dyDescent="0.25">
      <c r="A32" s="86" t="s">
        <v>263</v>
      </c>
      <c r="B32" s="58" t="s">
        <v>264</v>
      </c>
      <c r="C32" s="86" t="s">
        <v>29</v>
      </c>
      <c r="D32" s="87"/>
      <c r="E32" s="58" t="s">
        <v>288</v>
      </c>
      <c r="F32" s="24"/>
      <c r="G32" s="237"/>
      <c r="H32" s="255" t="str">
        <f>IFERROR(HYPERLINK("#'Appendix A'!E"&amp;ROW(INDEX(Table23[DSorder],MATCH(cyberControls[[#This Row],[AppAref]],Table23[DSorder],0))),"GO"),"")</f>
        <v/>
      </c>
      <c r="I32" s="86" t="str">
        <f>cyberControls[[#This Row],[Component]]&amp;cyberControls[[#This Row],[Maturity Level]]</f>
        <v>Infrastructure ManagementIntermediate</v>
      </c>
      <c r="J32" s="86" t="str">
        <f>cyberControls[[#This Row],[workArea]]&amp;cyberControls[[#This Row],[Y, Y(C), N]]</f>
        <v>Infrastructure ManagementIntermediate</v>
      </c>
      <c r="K32" s="184"/>
      <c r="L32" s="184"/>
      <c r="M32" s="184" t="str">
        <f t="shared" si="0"/>
        <v>Cybersecurity Controls</v>
      </c>
      <c r="N32" s="184">
        <f>IF(cyberControls[[#This Row],[Y, Y(C), N]]=yes,1,0)</f>
        <v>0</v>
      </c>
      <c r="O32" s="184">
        <f>IF(cyberControls[[#This Row],[Y, Y(C), N]]=yesCC,1,0)</f>
        <v>0</v>
      </c>
      <c r="P32" s="184">
        <f>IF(cyberControls[[#This Row],[Y, Y(C), N]]=no,1,0)</f>
        <v>0</v>
      </c>
      <c r="Q32" s="184">
        <f>IF(cyberControls[[#This Row],[Y, Y(C), N]]=NotAvail,1,0)</f>
        <v>0</v>
      </c>
      <c r="R32" s="92"/>
    </row>
    <row r="33" spans="1:18" ht="30" x14ac:dyDescent="0.25">
      <c r="A33" s="86" t="s">
        <v>263</v>
      </c>
      <c r="B33" s="58" t="s">
        <v>264</v>
      </c>
      <c r="C33" s="86" t="s">
        <v>30</v>
      </c>
      <c r="D33" s="87"/>
      <c r="E33" s="58" t="s">
        <v>289</v>
      </c>
      <c r="F33" s="24"/>
      <c r="G33" s="237"/>
      <c r="H33" s="255" t="str">
        <f>IFERROR(HYPERLINK("#'Appendix A'!E"&amp;ROW(INDEX(Table23[DSorder],MATCH(cyberControls[[#This Row],[AppAref]],Table23[DSorder],0))),"GO"),"")</f>
        <v/>
      </c>
      <c r="I33" s="86" t="str">
        <f>cyberControls[[#This Row],[Component]]&amp;cyberControls[[#This Row],[Maturity Level]]</f>
        <v>Infrastructure ManagementAdvanced</v>
      </c>
      <c r="J33" s="86" t="str">
        <f>cyberControls[[#This Row],[workArea]]&amp;cyberControls[[#This Row],[Y, Y(C), N]]</f>
        <v>Infrastructure ManagementAdvanced</v>
      </c>
      <c r="K33" s="184"/>
      <c r="L33" s="184"/>
      <c r="M33" s="184" t="str">
        <f t="shared" si="0"/>
        <v>Cybersecurity Controls</v>
      </c>
      <c r="N33" s="184">
        <f>IF(cyberControls[[#This Row],[Y, Y(C), N]]=yes,1,0)</f>
        <v>0</v>
      </c>
      <c r="O33" s="184">
        <f>IF(cyberControls[[#This Row],[Y, Y(C), N]]=yesCC,1,0)</f>
        <v>0</v>
      </c>
      <c r="P33" s="184">
        <f>IF(cyberControls[[#This Row],[Y, Y(C), N]]=no,1,0)</f>
        <v>0</v>
      </c>
      <c r="Q33" s="184">
        <f>IF(cyberControls[[#This Row],[Y, Y(C), N]]=NotAvail,1,0)</f>
        <v>0</v>
      </c>
      <c r="R33" s="92"/>
    </row>
    <row r="34" spans="1:18" ht="30" x14ac:dyDescent="0.25">
      <c r="A34" s="86" t="s">
        <v>263</v>
      </c>
      <c r="B34" s="58" t="s">
        <v>264</v>
      </c>
      <c r="C34" s="86" t="s">
        <v>30</v>
      </c>
      <c r="D34" s="87"/>
      <c r="E34" s="58" t="s">
        <v>290</v>
      </c>
      <c r="F34" s="24"/>
      <c r="G34" s="237"/>
      <c r="H34" s="255" t="str">
        <f>IFERROR(HYPERLINK("#'Appendix A'!E"&amp;ROW(INDEX(Table23[DSorder],MATCH(cyberControls[[#This Row],[AppAref]],Table23[DSorder],0))),"GO"),"")</f>
        <v/>
      </c>
      <c r="I34" s="86" t="str">
        <f>cyberControls[[#This Row],[Component]]&amp;cyberControls[[#This Row],[Maturity Level]]</f>
        <v>Infrastructure ManagementAdvanced</v>
      </c>
      <c r="J34" s="86" t="str">
        <f>cyberControls[[#This Row],[workArea]]&amp;cyberControls[[#This Row],[Y, Y(C), N]]</f>
        <v>Infrastructure ManagementAdvanced</v>
      </c>
      <c r="K34" s="184"/>
      <c r="L34" s="184"/>
      <c r="M34" s="184" t="str">
        <f t="shared" si="0"/>
        <v>Cybersecurity Controls</v>
      </c>
      <c r="N34" s="184">
        <f>IF(cyberControls[[#This Row],[Y, Y(C), N]]=yes,1,0)</f>
        <v>0</v>
      </c>
      <c r="O34" s="184">
        <f>IF(cyberControls[[#This Row],[Y, Y(C), N]]=yesCC,1,0)</f>
        <v>0</v>
      </c>
      <c r="P34" s="184">
        <f>IF(cyberControls[[#This Row],[Y, Y(C), N]]=no,1,0)</f>
        <v>0</v>
      </c>
      <c r="Q34" s="184">
        <f>IF(cyberControls[[#This Row],[Y, Y(C), N]]=NotAvail,1,0)</f>
        <v>0</v>
      </c>
      <c r="R34" s="92"/>
    </row>
    <row r="35" spans="1:18" ht="30" x14ac:dyDescent="0.25">
      <c r="A35" s="86" t="s">
        <v>263</v>
      </c>
      <c r="B35" s="58" t="s">
        <v>264</v>
      </c>
      <c r="C35" s="86" t="s">
        <v>30</v>
      </c>
      <c r="D35" s="87"/>
      <c r="E35" s="58" t="s">
        <v>291</v>
      </c>
      <c r="F35" s="24"/>
      <c r="G35" s="237"/>
      <c r="H35" s="255" t="str">
        <f>IFERROR(HYPERLINK("#'Appendix A'!E"&amp;ROW(INDEX(Table23[DSorder],MATCH(cyberControls[[#This Row],[AppAref]],Table23[DSorder],0))),"GO"),"")</f>
        <v/>
      </c>
      <c r="I35" s="86" t="str">
        <f>cyberControls[[#This Row],[Component]]&amp;cyberControls[[#This Row],[Maturity Level]]</f>
        <v>Infrastructure ManagementAdvanced</v>
      </c>
      <c r="J35" s="86" t="str">
        <f>cyberControls[[#This Row],[workArea]]&amp;cyberControls[[#This Row],[Y, Y(C), N]]</f>
        <v>Infrastructure ManagementAdvanced</v>
      </c>
      <c r="K35" s="184"/>
      <c r="L35" s="184"/>
      <c r="M35" s="184" t="str">
        <f t="shared" si="0"/>
        <v>Cybersecurity Controls</v>
      </c>
      <c r="N35" s="184">
        <f>IF(cyberControls[[#This Row],[Y, Y(C), N]]=yes,1,0)</f>
        <v>0</v>
      </c>
      <c r="O35" s="184">
        <f>IF(cyberControls[[#This Row],[Y, Y(C), N]]=yesCC,1,0)</f>
        <v>0</v>
      </c>
      <c r="P35" s="184">
        <f>IF(cyberControls[[#This Row],[Y, Y(C), N]]=no,1,0)</f>
        <v>0</v>
      </c>
      <c r="Q35" s="184">
        <f>IF(cyberControls[[#This Row],[Y, Y(C), N]]=NotAvail,1,0)</f>
        <v>0</v>
      </c>
      <c r="R35" s="92"/>
    </row>
    <row r="36" spans="1:18" ht="30" x14ac:dyDescent="0.25">
      <c r="A36" s="86" t="s">
        <v>263</v>
      </c>
      <c r="B36" s="58" t="s">
        <v>264</v>
      </c>
      <c r="C36" s="86" t="s">
        <v>31</v>
      </c>
      <c r="D36" s="87"/>
      <c r="E36" s="58" t="s">
        <v>292</v>
      </c>
      <c r="F36" s="24"/>
      <c r="G36" s="237"/>
      <c r="H36" s="255" t="str">
        <f>IFERROR(HYPERLINK("#'Appendix A'!E"&amp;ROW(INDEX(Table23[DSorder],MATCH(cyberControls[[#This Row],[AppAref]],Table23[DSorder],0))),"GO"),"")</f>
        <v/>
      </c>
      <c r="I36" s="86" t="str">
        <f>cyberControls[[#This Row],[Component]]&amp;cyberControls[[#This Row],[Maturity Level]]</f>
        <v>Infrastructure ManagementInnovative</v>
      </c>
      <c r="J36" s="86" t="str">
        <f>cyberControls[[#This Row],[workArea]]&amp;cyberControls[[#This Row],[Y, Y(C), N]]</f>
        <v>Infrastructure ManagementInnovative</v>
      </c>
      <c r="K36" s="184"/>
      <c r="L36" s="184"/>
      <c r="M36" s="184" t="str">
        <f t="shared" si="0"/>
        <v>Cybersecurity Controls</v>
      </c>
      <c r="N36" s="184">
        <f>IF(cyberControls[[#This Row],[Y, Y(C), N]]=yes,1,0)</f>
        <v>0</v>
      </c>
      <c r="O36" s="184">
        <f>IF(cyberControls[[#This Row],[Y, Y(C), N]]=yesCC,1,0)</f>
        <v>0</v>
      </c>
      <c r="P36" s="184">
        <f>IF(cyberControls[[#This Row],[Y, Y(C), N]]=no,1,0)</f>
        <v>0</v>
      </c>
      <c r="Q36" s="184">
        <f>IF(cyberControls[[#This Row],[Y, Y(C), N]]=NotAvail,1,0)</f>
        <v>0</v>
      </c>
      <c r="R36" s="92"/>
    </row>
    <row r="37" spans="1:18" ht="30" x14ac:dyDescent="0.25">
      <c r="A37" s="86" t="s">
        <v>263</v>
      </c>
      <c r="B37" s="58" t="s">
        <v>264</v>
      </c>
      <c r="C37" s="86" t="s">
        <v>31</v>
      </c>
      <c r="D37" s="87"/>
      <c r="E37" s="58" t="s">
        <v>293</v>
      </c>
      <c r="F37" s="24"/>
      <c r="G37" s="237"/>
      <c r="H37" s="255" t="str">
        <f>IFERROR(HYPERLINK("#'Appendix A'!E"&amp;ROW(INDEX(Table23[DSorder],MATCH(cyberControls[[#This Row],[AppAref]],Table23[DSorder],0))),"GO"),"")</f>
        <v/>
      </c>
      <c r="I37" s="86" t="str">
        <f>cyberControls[[#This Row],[Component]]&amp;cyberControls[[#This Row],[Maturity Level]]</f>
        <v>Infrastructure ManagementInnovative</v>
      </c>
      <c r="J37" s="86" t="str">
        <f>cyberControls[[#This Row],[workArea]]&amp;cyberControls[[#This Row],[Y, Y(C), N]]</f>
        <v>Infrastructure ManagementInnovative</v>
      </c>
      <c r="K37" s="184"/>
      <c r="L37" s="184"/>
      <c r="M37" s="184" t="str">
        <f t="shared" si="0"/>
        <v>Cybersecurity Controls</v>
      </c>
      <c r="N37" s="184">
        <f>IF(cyberControls[[#This Row],[Y, Y(C), N]]=yes,1,0)</f>
        <v>0</v>
      </c>
      <c r="O37" s="184">
        <f>IF(cyberControls[[#This Row],[Y, Y(C), N]]=yesCC,1,0)</f>
        <v>0</v>
      </c>
      <c r="P37" s="184">
        <f>IF(cyberControls[[#This Row],[Y, Y(C), N]]=no,1,0)</f>
        <v>0</v>
      </c>
      <c r="Q37" s="184">
        <f>IF(cyberControls[[#This Row],[Y, Y(C), N]]=NotAvail,1,0)</f>
        <v>0</v>
      </c>
      <c r="R37" s="92"/>
    </row>
    <row r="38" spans="1:18" ht="30" x14ac:dyDescent="0.25">
      <c r="A38" s="86" t="s">
        <v>263</v>
      </c>
      <c r="B38" s="58" t="s">
        <v>264</v>
      </c>
      <c r="C38" s="86" t="s">
        <v>31</v>
      </c>
      <c r="D38" s="87"/>
      <c r="E38" s="58" t="s">
        <v>294</v>
      </c>
      <c r="F38" s="24"/>
      <c r="G38" s="237"/>
      <c r="H38" s="255" t="str">
        <f>IFERROR(HYPERLINK("#'Appendix A'!E"&amp;ROW(INDEX(Table23[DSorder],MATCH(cyberControls[[#This Row],[AppAref]],Table23[DSorder],0))),"GO"),"")</f>
        <v/>
      </c>
      <c r="I38" s="86" t="str">
        <f>cyberControls[[#This Row],[Component]]&amp;cyberControls[[#This Row],[Maturity Level]]</f>
        <v>Infrastructure ManagementInnovative</v>
      </c>
      <c r="J38" s="86" t="str">
        <f>cyberControls[[#This Row],[workArea]]&amp;cyberControls[[#This Row],[Y, Y(C), N]]</f>
        <v>Infrastructure ManagementInnovative</v>
      </c>
      <c r="K38" s="184"/>
      <c r="L38" s="184"/>
      <c r="M38" s="184" t="str">
        <f t="shared" si="0"/>
        <v>Cybersecurity Controls</v>
      </c>
      <c r="N38" s="184">
        <f>IF(cyberControls[[#This Row],[Y, Y(C), N]]=yes,1,0)</f>
        <v>0</v>
      </c>
      <c r="O38" s="184">
        <f>IF(cyberControls[[#This Row],[Y, Y(C), N]]=yesCC,1,0)</f>
        <v>0</v>
      </c>
      <c r="P38" s="184">
        <f>IF(cyberControls[[#This Row],[Y, Y(C), N]]=no,1,0)</f>
        <v>0</v>
      </c>
      <c r="Q38" s="184">
        <f>IF(cyberControls[[#This Row],[Y, Y(C), N]]=NotAvail,1,0)</f>
        <v>0</v>
      </c>
      <c r="R38" s="92"/>
    </row>
    <row r="39" spans="1:18" ht="30" x14ac:dyDescent="0.25">
      <c r="A39" s="86" t="s">
        <v>263</v>
      </c>
      <c r="B39" s="58" t="s">
        <v>264</v>
      </c>
      <c r="C39" s="86" t="s">
        <v>31</v>
      </c>
      <c r="D39" s="87"/>
      <c r="E39" s="58" t="s">
        <v>295</v>
      </c>
      <c r="F39" s="24"/>
      <c r="G39" s="237"/>
      <c r="H39" s="255" t="str">
        <f>IFERROR(HYPERLINK("#'Appendix A'!E"&amp;ROW(INDEX(Table23[DSorder],MATCH(cyberControls[[#This Row],[AppAref]],Table23[DSorder],0))),"GO"),"")</f>
        <v/>
      </c>
      <c r="I39" s="86" t="str">
        <f>cyberControls[[#This Row],[Component]]&amp;cyberControls[[#This Row],[Maturity Level]]</f>
        <v>Infrastructure ManagementInnovative</v>
      </c>
      <c r="J39" s="86" t="str">
        <f>cyberControls[[#This Row],[workArea]]&amp;cyberControls[[#This Row],[Y, Y(C), N]]</f>
        <v>Infrastructure ManagementInnovative</v>
      </c>
      <c r="K39" s="184"/>
      <c r="L39" s="184"/>
      <c r="M39" s="184" t="str">
        <f t="shared" si="0"/>
        <v>Cybersecurity Controls</v>
      </c>
      <c r="N39" s="184">
        <f>IF(cyberControls[[#This Row],[Y, Y(C), N]]=yes,1,0)</f>
        <v>0</v>
      </c>
      <c r="O39" s="184">
        <f>IF(cyberControls[[#This Row],[Y, Y(C), N]]=yesCC,1,0)</f>
        <v>0</v>
      </c>
      <c r="P39" s="184">
        <f>IF(cyberControls[[#This Row],[Y, Y(C), N]]=no,1,0)</f>
        <v>0</v>
      </c>
      <c r="Q39" s="184">
        <f>IF(cyberControls[[#This Row],[Y, Y(C), N]]=NotAvail,1,0)</f>
        <v>0</v>
      </c>
      <c r="R39" s="92"/>
    </row>
    <row r="40" spans="1:18" ht="45" x14ac:dyDescent="0.25">
      <c r="A40" s="86" t="s">
        <v>263</v>
      </c>
      <c r="B40" s="86" t="s">
        <v>296</v>
      </c>
      <c r="C40" s="86" t="s">
        <v>27</v>
      </c>
      <c r="D40" s="87"/>
      <c r="E40" s="58" t="s">
        <v>297</v>
      </c>
      <c r="F40"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40" s="240"/>
      <c r="H40" s="255" t="str">
        <f>IFERROR(HYPERLINK("#'Appendix A'!E"&amp;ROW(INDEX(Table23[DSorder],MATCH(cyberControls[[#This Row],[AppAref]],Table23[DSorder],0))),"GO"),"")</f>
        <v>GO</v>
      </c>
      <c r="I40" s="86" t="str">
        <f>cyberControls[[#This Row],[Component]]&amp;cyberControls[[#This Row],[Maturity Level]]</f>
        <v>Access and Data ManagementBaseline</v>
      </c>
      <c r="J40" s="86" t="str">
        <f>cyberControls[[#This Row],[workArea]]&amp;cyberControls[[#This Row],[Y, Y(C), N]]</f>
        <v>Access and Data ManagementBaseline</v>
      </c>
      <c r="K40" s="201">
        <v>47</v>
      </c>
      <c r="L40" s="202">
        <f>IFERROR(MATCH(cyberControls[[#This Row],[Ref No.]],hyperlinkLU[Reference No.],0),cyberControls[[#This Row],[Ref No.]])</f>
        <v>48</v>
      </c>
      <c r="M40" s="202" t="str">
        <f t="shared" si="0"/>
        <v>Cybersecurity Controls</v>
      </c>
      <c r="N40" s="184">
        <f>IF(cyberControls[[#This Row],[Y, Y(C), N]]=yes,1,0)</f>
        <v>0</v>
      </c>
      <c r="O40" s="184">
        <f>IF(cyberControls[[#This Row],[Y, Y(C), N]]=yesCC,1,0)</f>
        <v>0</v>
      </c>
      <c r="P40" s="184">
        <f>IF(cyberControls[[#This Row],[Y, Y(C), N]]=no,1,0)</f>
        <v>0</v>
      </c>
      <c r="Q40" s="184">
        <f>IF(cyberControls[[#This Row],[Y, Y(C), N]]=NotAvail,1,0)</f>
        <v>0</v>
      </c>
      <c r="R40" s="92">
        <v>50</v>
      </c>
    </row>
    <row r="41" spans="1:18" ht="30" x14ac:dyDescent="0.25">
      <c r="A41" s="86" t="s">
        <v>263</v>
      </c>
      <c r="B41" s="86" t="s">
        <v>296</v>
      </c>
      <c r="C41" s="86" t="s">
        <v>27</v>
      </c>
      <c r="D41" s="87"/>
      <c r="E41" s="58" t="s">
        <v>298</v>
      </c>
      <c r="F41"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41" s="237"/>
      <c r="H41" s="255" t="str">
        <f>IFERROR(HYPERLINK("#'Appendix A'!E"&amp;ROW(INDEX(Table23[DSorder],MATCH(cyberControls[[#This Row],[AppAref]],Table23[DSorder],0))),"GO"),"")</f>
        <v>GO</v>
      </c>
      <c r="I41" s="86" t="str">
        <f>cyberControls[[#This Row],[Component]]&amp;cyberControls[[#This Row],[Maturity Level]]</f>
        <v>Access and Data ManagementBaseline</v>
      </c>
      <c r="J41" s="86" t="str">
        <f>cyberControls[[#This Row],[workArea]]&amp;cyberControls[[#This Row],[Y, Y(C), N]]</f>
        <v>Access and Data ManagementBaseline</v>
      </c>
      <c r="K41" s="184">
        <v>48</v>
      </c>
      <c r="L41" s="202">
        <f>IFERROR(MATCH(cyberControls[[#This Row],[Ref No.]],hyperlinkLU[Reference No.],0),cyberControls[[#This Row],[Ref No.]])</f>
        <v>49</v>
      </c>
      <c r="M41" s="202" t="str">
        <f t="shared" ref="M41:M72" si="1">TRIM(MID($A$5,FIND(":",$A$5)+2,LEN($A$5)))</f>
        <v>Cybersecurity Controls</v>
      </c>
      <c r="N41" s="184">
        <f>IF(cyberControls[[#This Row],[Y, Y(C), N]]=yes,1,0)</f>
        <v>0</v>
      </c>
      <c r="O41" s="184">
        <f>IF(cyberControls[[#This Row],[Y, Y(C), N]]=yesCC,1,0)</f>
        <v>0</v>
      </c>
      <c r="P41" s="184">
        <f>IF(cyberControls[[#This Row],[Y, Y(C), N]]=no,1,0)</f>
        <v>0</v>
      </c>
      <c r="Q41" s="184">
        <f>IF(cyberControls[[#This Row],[Y, Y(C), N]]=NotAvail,1,0)</f>
        <v>0</v>
      </c>
      <c r="R41" s="92">
        <v>51</v>
      </c>
    </row>
    <row r="42" spans="1:18" ht="45" x14ac:dyDescent="0.25">
      <c r="A42" s="86" t="s">
        <v>263</v>
      </c>
      <c r="B42" s="86" t="s">
        <v>296</v>
      </c>
      <c r="C42" s="86" t="s">
        <v>27</v>
      </c>
      <c r="D42" s="87"/>
      <c r="E42" s="58" t="s">
        <v>299</v>
      </c>
      <c r="F42"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42" s="237"/>
      <c r="H42" s="255" t="str">
        <f>IFERROR(HYPERLINK("#'Appendix A'!E"&amp;ROW(INDEX(Table23[DSorder],MATCH(cyberControls[[#This Row],[AppAref]],Table23[DSorder],0))),"GO"),"")</f>
        <v>GO</v>
      </c>
      <c r="I42" s="86" t="str">
        <f>cyberControls[[#This Row],[Component]]&amp;cyberControls[[#This Row],[Maturity Level]]</f>
        <v>Access and Data ManagementBaseline</v>
      </c>
      <c r="J42" s="86" t="str">
        <f>cyberControls[[#This Row],[workArea]]&amp;cyberControls[[#This Row],[Y, Y(C), N]]</f>
        <v>Access and Data ManagementBaseline</v>
      </c>
      <c r="K42" s="201">
        <v>49</v>
      </c>
      <c r="L42" s="202">
        <f>IFERROR(MATCH(cyberControls[[#This Row],[Ref No.]],hyperlinkLU[Reference No.],0),cyberControls[[#This Row],[Ref No.]])</f>
        <v>50</v>
      </c>
      <c r="M42" s="202" t="str">
        <f t="shared" si="1"/>
        <v>Cybersecurity Controls</v>
      </c>
      <c r="N42" s="184">
        <f>IF(cyberControls[[#This Row],[Y, Y(C), N]]=yes,1,0)</f>
        <v>0</v>
      </c>
      <c r="O42" s="184">
        <f>IF(cyberControls[[#This Row],[Y, Y(C), N]]=yesCC,1,0)</f>
        <v>0</v>
      </c>
      <c r="P42" s="184">
        <f>IF(cyberControls[[#This Row],[Y, Y(C), N]]=no,1,0)</f>
        <v>0</v>
      </c>
      <c r="Q42" s="184">
        <f>IF(cyberControls[[#This Row],[Y, Y(C), N]]=NotAvail,1,0)</f>
        <v>0</v>
      </c>
      <c r="R42" s="92">
        <v>52</v>
      </c>
    </row>
    <row r="43" spans="1:18" ht="45" x14ac:dyDescent="0.25">
      <c r="A43" s="86" t="s">
        <v>263</v>
      </c>
      <c r="B43" s="86" t="s">
        <v>296</v>
      </c>
      <c r="C43" s="86" t="s">
        <v>27</v>
      </c>
      <c r="D43" s="87"/>
      <c r="E43" s="58" t="s">
        <v>300</v>
      </c>
      <c r="F43"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18</v>
      </c>
      <c r="G43" s="237"/>
      <c r="H43" s="255" t="str">
        <f>IFERROR(HYPERLINK("#'Appendix A'!E"&amp;ROW(INDEX(Table23[DSorder],MATCH(cyberControls[[#This Row],[AppAref]],Table23[DSorder],0))),"GO"),"")</f>
        <v>GO</v>
      </c>
      <c r="I43" s="86" t="str">
        <f>cyberControls[[#This Row],[Component]]&amp;cyberControls[[#This Row],[Maturity Level]]</f>
        <v>Access and Data ManagementBaseline</v>
      </c>
      <c r="J43" s="86" t="str">
        <f>cyberControls[[#This Row],[workArea]]&amp;cyberControls[[#This Row],[Y, Y(C), N]]</f>
        <v>Access and Data ManagementBaseline</v>
      </c>
      <c r="K43" s="184">
        <v>50</v>
      </c>
      <c r="L43" s="202">
        <f>IFERROR(MATCH(cyberControls[[#This Row],[Ref No.]],hyperlinkLU[Reference No.],0),cyberControls[[#This Row],[Ref No.]])</f>
        <v>51</v>
      </c>
      <c r="M43" s="202" t="str">
        <f t="shared" si="1"/>
        <v>Cybersecurity Controls</v>
      </c>
      <c r="N43" s="184">
        <f>IF(cyberControls[[#This Row],[Y, Y(C), N]]=yes,1,0)</f>
        <v>0</v>
      </c>
      <c r="O43" s="184">
        <f>IF(cyberControls[[#This Row],[Y, Y(C), N]]=yesCC,1,0)</f>
        <v>0</v>
      </c>
      <c r="P43" s="184">
        <f>IF(cyberControls[[#This Row],[Y, Y(C), N]]=no,1,0)</f>
        <v>0</v>
      </c>
      <c r="Q43" s="184">
        <f>IF(cyberControls[[#This Row],[Y, Y(C), N]]=NotAvail,1,0)</f>
        <v>0</v>
      </c>
      <c r="R43" s="92">
        <v>53</v>
      </c>
    </row>
    <row r="44" spans="1:18" ht="45" x14ac:dyDescent="0.25">
      <c r="A44" s="86" t="s">
        <v>263</v>
      </c>
      <c r="B44" s="86" t="s">
        <v>296</v>
      </c>
      <c r="C44" s="86" t="s">
        <v>27</v>
      </c>
      <c r="D44" s="87"/>
      <c r="E44" s="58" t="s">
        <v>301</v>
      </c>
      <c r="F44"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18</v>
      </c>
      <c r="G44" s="237"/>
      <c r="H44" s="255" t="str">
        <f>IFERROR(HYPERLINK("#'Appendix A'!E"&amp;ROW(INDEX(Table23[DSorder],MATCH(cyberControls[[#This Row],[AppAref]],Table23[DSorder],0))),"GO"),"")</f>
        <v>GO</v>
      </c>
      <c r="I44" s="86" t="str">
        <f>cyberControls[[#This Row],[Component]]&amp;cyberControls[[#This Row],[Maturity Level]]</f>
        <v>Access and Data ManagementBaseline</v>
      </c>
      <c r="J44" s="86" t="str">
        <f>cyberControls[[#This Row],[workArea]]&amp;cyberControls[[#This Row],[Y, Y(C), N]]</f>
        <v>Access and Data ManagementBaseline</v>
      </c>
      <c r="K44" s="201">
        <v>51</v>
      </c>
      <c r="L44" s="202">
        <f>IFERROR(MATCH(cyberControls[[#This Row],[Ref No.]],hyperlinkLU[Reference No.],0),cyberControls[[#This Row],[Ref No.]])</f>
        <v>52</v>
      </c>
      <c r="M44" s="202" t="str">
        <f t="shared" si="1"/>
        <v>Cybersecurity Controls</v>
      </c>
      <c r="N44" s="184">
        <f>IF(cyberControls[[#This Row],[Y, Y(C), N]]=yes,1,0)</f>
        <v>0</v>
      </c>
      <c r="O44" s="184">
        <f>IF(cyberControls[[#This Row],[Y, Y(C), N]]=yesCC,1,0)</f>
        <v>0</v>
      </c>
      <c r="P44" s="184">
        <f>IF(cyberControls[[#This Row],[Y, Y(C), N]]=no,1,0)</f>
        <v>0</v>
      </c>
      <c r="Q44" s="184">
        <f>IF(cyberControls[[#This Row],[Y, Y(C), N]]=NotAvail,1,0)</f>
        <v>0</v>
      </c>
      <c r="R44" s="92">
        <v>54</v>
      </c>
    </row>
    <row r="45" spans="1:18" ht="30" x14ac:dyDescent="0.25">
      <c r="A45" s="86" t="s">
        <v>263</v>
      </c>
      <c r="B45" s="86" t="s">
        <v>296</v>
      </c>
      <c r="C45" s="86" t="s">
        <v>27</v>
      </c>
      <c r="D45" s="87"/>
      <c r="E45" s="58" t="s">
        <v>302</v>
      </c>
      <c r="F45"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21</v>
      </c>
      <c r="G45" s="237"/>
      <c r="H45" s="255" t="str">
        <f>IFERROR(HYPERLINK("#'Appendix A'!E"&amp;ROW(INDEX(Table23[DSorder],MATCH(cyberControls[[#This Row],[AppAref]],Table23[DSorder],0))),"GO"),"")</f>
        <v>GO</v>
      </c>
      <c r="I45" s="86" t="str">
        <f>cyberControls[[#This Row],[Component]]&amp;cyberControls[[#This Row],[Maturity Level]]</f>
        <v>Access and Data ManagementBaseline</v>
      </c>
      <c r="J45" s="86" t="str">
        <f>cyberControls[[#This Row],[workArea]]&amp;cyberControls[[#This Row],[Y, Y(C), N]]</f>
        <v>Access and Data ManagementBaseline</v>
      </c>
      <c r="K45" s="184">
        <v>52</v>
      </c>
      <c r="L45" s="202">
        <f>IFERROR(MATCH(cyberControls[[#This Row],[Ref No.]],hyperlinkLU[Reference No.],0),cyberControls[[#This Row],[Ref No.]])</f>
        <v>53</v>
      </c>
      <c r="M45" s="202" t="str">
        <f t="shared" si="1"/>
        <v>Cybersecurity Controls</v>
      </c>
      <c r="N45" s="184">
        <f>IF(cyberControls[[#This Row],[Y, Y(C), N]]=yes,1,0)</f>
        <v>0</v>
      </c>
      <c r="O45" s="184">
        <f>IF(cyberControls[[#This Row],[Y, Y(C), N]]=yesCC,1,0)</f>
        <v>0</v>
      </c>
      <c r="P45" s="184">
        <f>IF(cyberControls[[#This Row],[Y, Y(C), N]]=no,1,0)</f>
        <v>0</v>
      </c>
      <c r="Q45" s="184">
        <f>IF(cyberControls[[#This Row],[Y, Y(C), N]]=NotAvail,1,0)</f>
        <v>0</v>
      </c>
      <c r="R45" s="92">
        <v>55</v>
      </c>
    </row>
    <row r="46" spans="1:18" ht="30" x14ac:dyDescent="0.25">
      <c r="A46" s="86" t="s">
        <v>263</v>
      </c>
      <c r="B46" s="86" t="s">
        <v>296</v>
      </c>
      <c r="C46" s="86" t="s">
        <v>27</v>
      </c>
      <c r="D46" s="87"/>
      <c r="E46" s="58" t="s">
        <v>303</v>
      </c>
      <c r="F46"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66</v>
      </c>
      <c r="G46" s="237"/>
      <c r="H46" s="255" t="str">
        <f>IFERROR(HYPERLINK("#'Appendix A'!E"&amp;ROW(INDEX(Table23[DSorder],MATCH(cyberControls[[#This Row],[AppAref]],Table23[DSorder],0))),"GO"),"")</f>
        <v>GO</v>
      </c>
      <c r="I46" s="86" t="str">
        <f>cyberControls[[#This Row],[Component]]&amp;cyberControls[[#This Row],[Maturity Level]]</f>
        <v>Access and Data ManagementBaseline</v>
      </c>
      <c r="J46" s="86" t="str">
        <f>cyberControls[[#This Row],[workArea]]&amp;cyberControls[[#This Row],[Y, Y(C), N]]</f>
        <v>Access and Data ManagementBaseline</v>
      </c>
      <c r="K46" s="201">
        <v>53</v>
      </c>
      <c r="L46" s="202">
        <f>IFERROR(MATCH(cyberControls[[#This Row],[Ref No.]],hyperlinkLU[Reference No.],0),cyberControls[[#This Row],[Ref No.]])</f>
        <v>54</v>
      </c>
      <c r="M46" s="202" t="str">
        <f t="shared" si="1"/>
        <v>Cybersecurity Controls</v>
      </c>
      <c r="N46" s="184">
        <f>IF(cyberControls[[#This Row],[Y, Y(C), N]]=yes,1,0)</f>
        <v>0</v>
      </c>
      <c r="O46" s="184">
        <f>IF(cyberControls[[#This Row],[Y, Y(C), N]]=yesCC,1,0)</f>
        <v>0</v>
      </c>
      <c r="P46" s="184">
        <f>IF(cyberControls[[#This Row],[Y, Y(C), N]]=no,1,0)</f>
        <v>0</v>
      </c>
      <c r="Q46" s="184">
        <f>IF(cyberControls[[#This Row],[Y, Y(C), N]]=NotAvail,1,0)</f>
        <v>0</v>
      </c>
      <c r="R46" s="92">
        <v>56</v>
      </c>
    </row>
    <row r="47" spans="1:18" ht="30" x14ac:dyDescent="0.25">
      <c r="A47" s="86" t="s">
        <v>263</v>
      </c>
      <c r="B47" s="86" t="s">
        <v>296</v>
      </c>
      <c r="C47" s="86" t="s">
        <v>27</v>
      </c>
      <c r="D47" s="87"/>
      <c r="E47" s="58" t="s">
        <v>304</v>
      </c>
      <c r="F47"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61</v>
      </c>
      <c r="G47" s="237"/>
      <c r="H47" s="255" t="str">
        <f>IFERROR(HYPERLINK("#'Appendix A'!E"&amp;ROW(INDEX(Table23[DSorder],MATCH(cyberControls[[#This Row],[AppAref]],Table23[DSorder],0))),"GO"),"")</f>
        <v>GO</v>
      </c>
      <c r="I47" s="86" t="str">
        <f>cyberControls[[#This Row],[Component]]&amp;cyberControls[[#This Row],[Maturity Level]]</f>
        <v>Access and Data ManagementBaseline</v>
      </c>
      <c r="J47" s="86" t="str">
        <f>cyberControls[[#This Row],[workArea]]&amp;cyberControls[[#This Row],[Y, Y(C), N]]</f>
        <v>Access and Data ManagementBaseline</v>
      </c>
      <c r="K47" s="184">
        <v>54</v>
      </c>
      <c r="L47" s="202">
        <f>IFERROR(MATCH(cyberControls[[#This Row],[Ref No.]],hyperlinkLU[Reference No.],0),cyberControls[[#This Row],[Ref No.]])</f>
        <v>55</v>
      </c>
      <c r="M47" s="202" t="str">
        <f t="shared" si="1"/>
        <v>Cybersecurity Controls</v>
      </c>
      <c r="N47" s="184">
        <f>IF(cyberControls[[#This Row],[Y, Y(C), N]]=yes,1,0)</f>
        <v>0</v>
      </c>
      <c r="O47" s="184">
        <f>IF(cyberControls[[#This Row],[Y, Y(C), N]]=yesCC,1,0)</f>
        <v>0</v>
      </c>
      <c r="P47" s="184">
        <f>IF(cyberControls[[#This Row],[Y, Y(C), N]]=no,1,0)</f>
        <v>0</v>
      </c>
      <c r="Q47" s="184">
        <f>IF(cyberControls[[#This Row],[Y, Y(C), N]]=NotAvail,1,0)</f>
        <v>0</v>
      </c>
      <c r="R47" s="92">
        <v>57</v>
      </c>
    </row>
    <row r="48" spans="1:18" ht="45" x14ac:dyDescent="0.25">
      <c r="A48" s="86" t="s">
        <v>263</v>
      </c>
      <c r="B48" s="86" t="s">
        <v>296</v>
      </c>
      <c r="C48" s="86" t="s">
        <v>27</v>
      </c>
      <c r="D48" s="87"/>
      <c r="E48" s="58" t="s">
        <v>305</v>
      </c>
      <c r="F48"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21</v>
      </c>
      <c r="G48" s="237"/>
      <c r="H48" s="255" t="str">
        <f>IFERROR(HYPERLINK("#'Appendix A'!E"&amp;ROW(INDEX(Table23[DSorder],MATCH(cyberControls[[#This Row],[AppAref]],Table23[DSorder],0))),"GO"),"")</f>
        <v>GO</v>
      </c>
      <c r="I48" s="86" t="str">
        <f>cyberControls[[#This Row],[Component]]&amp;cyberControls[[#This Row],[Maturity Level]]</f>
        <v>Access and Data ManagementBaseline</v>
      </c>
      <c r="J48" s="86" t="str">
        <f>cyberControls[[#This Row],[workArea]]&amp;cyberControls[[#This Row],[Y, Y(C), N]]</f>
        <v>Access and Data ManagementBaseline</v>
      </c>
      <c r="K48" s="201">
        <v>55</v>
      </c>
      <c r="L48" s="202">
        <f>IFERROR(MATCH(cyberControls[[#This Row],[Ref No.]],hyperlinkLU[Reference No.],0),cyberControls[[#This Row],[Ref No.]])</f>
        <v>56</v>
      </c>
      <c r="M48" s="202" t="str">
        <f t="shared" si="1"/>
        <v>Cybersecurity Controls</v>
      </c>
      <c r="N48" s="184">
        <f>IF(cyberControls[[#This Row],[Y, Y(C), N]]=yes,1,0)</f>
        <v>0</v>
      </c>
      <c r="O48" s="184">
        <f>IF(cyberControls[[#This Row],[Y, Y(C), N]]=yesCC,1,0)</f>
        <v>0</v>
      </c>
      <c r="P48" s="184">
        <f>IF(cyberControls[[#This Row],[Y, Y(C), N]]=no,1,0)</f>
        <v>0</v>
      </c>
      <c r="Q48" s="184">
        <f>IF(cyberControls[[#This Row],[Y, Y(C), N]]=NotAvail,1,0)</f>
        <v>0</v>
      </c>
      <c r="R48" s="92">
        <v>58</v>
      </c>
    </row>
    <row r="49" spans="1:18" ht="60" x14ac:dyDescent="0.25">
      <c r="A49" s="86" t="s">
        <v>263</v>
      </c>
      <c r="B49" s="86" t="s">
        <v>296</v>
      </c>
      <c r="C49" s="86" t="s">
        <v>27</v>
      </c>
      <c r="D49" s="87"/>
      <c r="E49" s="58" t="s">
        <v>306</v>
      </c>
      <c r="F49"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64</v>
      </c>
      <c r="G49" s="237"/>
      <c r="H49" s="255" t="str">
        <f>IFERROR(HYPERLINK("#'Appendix A'!E"&amp;ROW(INDEX(Table23[DSorder],MATCH(cyberControls[[#This Row],[AppAref]],Table23[DSorder],0))),"GO"),"")</f>
        <v>GO</v>
      </c>
      <c r="I49" s="86" t="str">
        <f>cyberControls[[#This Row],[Component]]&amp;cyberControls[[#This Row],[Maturity Level]]</f>
        <v>Access and Data ManagementBaseline</v>
      </c>
      <c r="J49" s="86" t="str">
        <f>cyberControls[[#This Row],[workArea]]&amp;cyberControls[[#This Row],[Y, Y(C), N]]</f>
        <v>Access and Data ManagementBaseline</v>
      </c>
      <c r="K49" s="184">
        <v>56</v>
      </c>
      <c r="L49" s="202">
        <f>IFERROR(MATCH(cyberControls[[#This Row],[Ref No.]],hyperlinkLU[Reference No.],0),cyberControls[[#This Row],[Ref No.]])</f>
        <v>57</v>
      </c>
      <c r="M49" s="202" t="str">
        <f t="shared" si="1"/>
        <v>Cybersecurity Controls</v>
      </c>
      <c r="N49" s="184">
        <f>IF(cyberControls[[#This Row],[Y, Y(C), N]]=yes,1,0)</f>
        <v>0</v>
      </c>
      <c r="O49" s="184">
        <f>IF(cyberControls[[#This Row],[Y, Y(C), N]]=yesCC,1,0)</f>
        <v>0</v>
      </c>
      <c r="P49" s="184">
        <f>IF(cyberControls[[#This Row],[Y, Y(C), N]]=no,1,0)</f>
        <v>0</v>
      </c>
      <c r="Q49" s="184">
        <f>IF(cyberControls[[#This Row],[Y, Y(C), N]]=NotAvail,1,0)</f>
        <v>0</v>
      </c>
      <c r="R49" s="92">
        <v>59</v>
      </c>
    </row>
    <row r="50" spans="1:18" ht="45" x14ac:dyDescent="0.25">
      <c r="A50" s="86" t="s">
        <v>263</v>
      </c>
      <c r="B50" s="86" t="s">
        <v>296</v>
      </c>
      <c r="C50" s="86" t="s">
        <v>27</v>
      </c>
      <c r="D50" s="87"/>
      <c r="E50" s="58" t="s">
        <v>307</v>
      </c>
      <c r="F50"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47</v>
      </c>
      <c r="G50" s="237"/>
      <c r="H50" s="255" t="str">
        <f>IFERROR(HYPERLINK("#'Appendix A'!E"&amp;ROW(INDEX(Table23[DSorder],MATCH(cyberControls[[#This Row],[AppAref]],Table23[DSorder],0))),"GO"),"")</f>
        <v>GO</v>
      </c>
      <c r="I50" s="86" t="str">
        <f>cyberControls[[#This Row],[Component]]&amp;cyberControls[[#This Row],[Maturity Level]]</f>
        <v>Access and Data ManagementBaseline</v>
      </c>
      <c r="J50" s="86" t="str">
        <f>cyberControls[[#This Row],[workArea]]&amp;cyberControls[[#This Row],[Y, Y(C), N]]</f>
        <v>Access and Data ManagementBaseline</v>
      </c>
      <c r="K50" s="201">
        <v>57</v>
      </c>
      <c r="L50" s="202">
        <f>IFERROR(MATCH(cyberControls[[#This Row],[Ref No.]],hyperlinkLU[Reference No.],0),cyberControls[[#This Row],[Ref No.]])</f>
        <v>58</v>
      </c>
      <c r="M50" s="202" t="str">
        <f t="shared" si="1"/>
        <v>Cybersecurity Controls</v>
      </c>
      <c r="N50" s="184">
        <f>IF(cyberControls[[#This Row],[Y, Y(C), N]]=yes,1,0)</f>
        <v>0</v>
      </c>
      <c r="O50" s="184">
        <f>IF(cyberControls[[#This Row],[Y, Y(C), N]]=yesCC,1,0)</f>
        <v>0</v>
      </c>
      <c r="P50" s="184">
        <f>IF(cyberControls[[#This Row],[Y, Y(C), N]]=no,1,0)</f>
        <v>0</v>
      </c>
      <c r="Q50" s="184">
        <f>IF(cyberControls[[#This Row],[Y, Y(C), N]]=NotAvail,1,0)</f>
        <v>0</v>
      </c>
      <c r="R50" s="92">
        <v>60</v>
      </c>
    </row>
    <row r="51" spans="1:18" ht="30" x14ac:dyDescent="0.25">
      <c r="A51" s="86" t="s">
        <v>263</v>
      </c>
      <c r="B51" s="86" t="s">
        <v>296</v>
      </c>
      <c r="C51" s="86" t="s">
        <v>27</v>
      </c>
      <c r="D51" s="87"/>
      <c r="E51" s="58" t="s">
        <v>308</v>
      </c>
      <c r="F51"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21</v>
      </c>
      <c r="G51" s="237"/>
      <c r="H51" s="255" t="str">
        <f>IFERROR(HYPERLINK("#'Appendix A'!E"&amp;ROW(INDEX(Table23[DSorder],MATCH(cyberControls[[#This Row],[AppAref]],Table23[DSorder],0))),"GO"),"")</f>
        <v>GO</v>
      </c>
      <c r="I51" s="86" t="str">
        <f>cyberControls[[#This Row],[Component]]&amp;cyberControls[[#This Row],[Maturity Level]]</f>
        <v>Access and Data ManagementBaseline</v>
      </c>
      <c r="J51" s="86" t="str">
        <f>cyberControls[[#This Row],[workArea]]&amp;cyberControls[[#This Row],[Y, Y(C), N]]</f>
        <v>Access and Data ManagementBaseline</v>
      </c>
      <c r="K51" s="184">
        <v>58</v>
      </c>
      <c r="L51" s="202">
        <f>IFERROR(MATCH(cyberControls[[#This Row],[Ref No.]],hyperlinkLU[Reference No.],0),cyberControls[[#This Row],[Ref No.]])</f>
        <v>59</v>
      </c>
      <c r="M51" s="202" t="str">
        <f t="shared" si="1"/>
        <v>Cybersecurity Controls</v>
      </c>
      <c r="N51" s="184">
        <f>IF(cyberControls[[#This Row],[Y, Y(C), N]]=yes,1,0)</f>
        <v>0</v>
      </c>
      <c r="O51" s="184">
        <f>IF(cyberControls[[#This Row],[Y, Y(C), N]]=yesCC,1,0)</f>
        <v>0</v>
      </c>
      <c r="P51" s="184">
        <f>IF(cyberControls[[#This Row],[Y, Y(C), N]]=no,1,0)</f>
        <v>0</v>
      </c>
      <c r="Q51" s="184">
        <f>IF(cyberControls[[#This Row],[Y, Y(C), N]]=NotAvail,1,0)</f>
        <v>0</v>
      </c>
      <c r="R51" s="92">
        <v>61</v>
      </c>
    </row>
    <row r="52" spans="1:18" ht="30" x14ac:dyDescent="0.25">
      <c r="A52" s="86" t="s">
        <v>263</v>
      </c>
      <c r="B52" s="86" t="s">
        <v>296</v>
      </c>
      <c r="C52" s="86" t="s">
        <v>27</v>
      </c>
      <c r="D52" s="87"/>
      <c r="E52" s="58" t="s">
        <v>309</v>
      </c>
      <c r="F52"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51</v>
      </c>
      <c r="G52" s="237"/>
      <c r="H52" s="255" t="str">
        <f>IFERROR(HYPERLINK("#'Appendix A'!E"&amp;ROW(INDEX(Table23[DSorder],MATCH(cyberControls[[#This Row],[AppAref]],Table23[DSorder],0))),"GO"),"")</f>
        <v>GO</v>
      </c>
      <c r="I52" s="86" t="str">
        <f>cyberControls[[#This Row],[Component]]&amp;cyberControls[[#This Row],[Maturity Level]]</f>
        <v>Access and Data ManagementBaseline</v>
      </c>
      <c r="J52" s="86" t="str">
        <f>cyberControls[[#This Row],[workArea]]&amp;cyberControls[[#This Row],[Y, Y(C), N]]</f>
        <v>Access and Data ManagementBaseline</v>
      </c>
      <c r="K52" s="201">
        <v>59</v>
      </c>
      <c r="L52" s="202">
        <f>IFERROR(MATCH(cyberControls[[#This Row],[Ref No.]],hyperlinkLU[Reference No.],0),cyberControls[[#This Row],[Ref No.]])</f>
        <v>60</v>
      </c>
      <c r="M52" s="202" t="str">
        <f t="shared" si="1"/>
        <v>Cybersecurity Controls</v>
      </c>
      <c r="N52" s="184">
        <f>IF(cyberControls[[#This Row],[Y, Y(C), N]]=yes,1,0)</f>
        <v>0</v>
      </c>
      <c r="O52" s="184">
        <f>IF(cyberControls[[#This Row],[Y, Y(C), N]]=yesCC,1,0)</f>
        <v>0</v>
      </c>
      <c r="P52" s="184">
        <f>IF(cyberControls[[#This Row],[Y, Y(C), N]]=no,1,0)</f>
        <v>0</v>
      </c>
      <c r="Q52" s="184">
        <f>IF(cyberControls[[#This Row],[Y, Y(C), N]]=NotAvail,1,0)</f>
        <v>0</v>
      </c>
      <c r="R52" s="92">
        <v>62</v>
      </c>
    </row>
    <row r="53" spans="1:18" ht="45" x14ac:dyDescent="0.25">
      <c r="A53" s="86" t="s">
        <v>263</v>
      </c>
      <c r="B53" s="86" t="s">
        <v>296</v>
      </c>
      <c r="C53" s="86" t="s">
        <v>27</v>
      </c>
      <c r="D53" s="87"/>
      <c r="E53" s="58" t="s">
        <v>310</v>
      </c>
      <c r="F53"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51</v>
      </c>
      <c r="G53" s="237"/>
      <c r="H53" s="255" t="str">
        <f>IFERROR(HYPERLINK("#'Appendix A'!E"&amp;ROW(INDEX(Table23[DSorder],MATCH(cyberControls[[#This Row],[AppAref]],Table23[DSorder],0))),"GO"),"")</f>
        <v>GO</v>
      </c>
      <c r="I53" s="86" t="str">
        <f>cyberControls[[#This Row],[Component]]&amp;cyberControls[[#This Row],[Maturity Level]]</f>
        <v>Access and Data ManagementBaseline</v>
      </c>
      <c r="J53" s="86" t="str">
        <f>cyberControls[[#This Row],[workArea]]&amp;cyberControls[[#This Row],[Y, Y(C), N]]</f>
        <v>Access and Data ManagementBaseline</v>
      </c>
      <c r="K53" s="184">
        <v>60</v>
      </c>
      <c r="L53" s="202">
        <f>IFERROR(MATCH(cyberControls[[#This Row],[Ref No.]],hyperlinkLU[Reference No.],0),cyberControls[[#This Row],[Ref No.]])</f>
        <v>61</v>
      </c>
      <c r="M53" s="202" t="str">
        <f t="shared" si="1"/>
        <v>Cybersecurity Controls</v>
      </c>
      <c r="N53" s="184">
        <f>IF(cyberControls[[#This Row],[Y, Y(C), N]]=yes,1,0)</f>
        <v>0</v>
      </c>
      <c r="O53" s="184">
        <f>IF(cyberControls[[#This Row],[Y, Y(C), N]]=yesCC,1,0)</f>
        <v>0</v>
      </c>
      <c r="P53" s="184">
        <f>IF(cyberControls[[#This Row],[Y, Y(C), N]]=no,1,0)</f>
        <v>0</v>
      </c>
      <c r="Q53" s="184">
        <f>IF(cyberControls[[#This Row],[Y, Y(C), N]]=NotAvail,1,0)</f>
        <v>0</v>
      </c>
      <c r="R53" s="92">
        <v>63</v>
      </c>
    </row>
    <row r="54" spans="1:18" ht="45" x14ac:dyDescent="0.25">
      <c r="A54" s="86" t="s">
        <v>263</v>
      </c>
      <c r="B54" s="86" t="s">
        <v>296</v>
      </c>
      <c r="C54" s="86" t="s">
        <v>27</v>
      </c>
      <c r="D54" s="87"/>
      <c r="E54" s="58" t="s">
        <v>311</v>
      </c>
      <c r="F54"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45</v>
      </c>
      <c r="G54" s="237"/>
      <c r="H54" s="255" t="str">
        <f>IFERROR(HYPERLINK("#'Appendix A'!E"&amp;ROW(INDEX(Table23[DSorder],MATCH(cyberControls[[#This Row],[AppAref]],Table23[DSorder],0))),"GO"),"")</f>
        <v>GO</v>
      </c>
      <c r="I54" s="86" t="str">
        <f>cyberControls[[#This Row],[Component]]&amp;cyberControls[[#This Row],[Maturity Level]]</f>
        <v>Access and Data ManagementBaseline</v>
      </c>
      <c r="J54" s="86" t="str">
        <f>cyberControls[[#This Row],[workArea]]&amp;cyberControls[[#This Row],[Y, Y(C), N]]</f>
        <v>Access and Data ManagementBaseline</v>
      </c>
      <c r="K54" s="201">
        <v>61</v>
      </c>
      <c r="L54" s="202">
        <f>IFERROR(MATCH(cyberControls[[#This Row],[Ref No.]],hyperlinkLU[Reference No.],0),cyberControls[[#This Row],[Ref No.]])</f>
        <v>62</v>
      </c>
      <c r="M54" s="202" t="str">
        <f t="shared" si="1"/>
        <v>Cybersecurity Controls</v>
      </c>
      <c r="N54" s="184">
        <f>IF(cyberControls[[#This Row],[Y, Y(C), N]]=yes,1,0)</f>
        <v>0</v>
      </c>
      <c r="O54" s="184">
        <f>IF(cyberControls[[#This Row],[Y, Y(C), N]]=yesCC,1,0)</f>
        <v>0</v>
      </c>
      <c r="P54" s="184">
        <f>IF(cyberControls[[#This Row],[Y, Y(C), N]]=no,1,0)</f>
        <v>0</v>
      </c>
      <c r="Q54" s="184">
        <f>IF(cyberControls[[#This Row],[Y, Y(C), N]]=NotAvail,1,0)</f>
        <v>0</v>
      </c>
      <c r="R54" s="92">
        <v>64</v>
      </c>
    </row>
    <row r="55" spans="1:18" ht="45" x14ac:dyDescent="0.25">
      <c r="A55" s="86" t="s">
        <v>263</v>
      </c>
      <c r="B55" s="86" t="s">
        <v>296</v>
      </c>
      <c r="C55" s="86" t="s">
        <v>27</v>
      </c>
      <c r="D55" s="87"/>
      <c r="E55" s="58" t="s">
        <v>312</v>
      </c>
      <c r="F55"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25</v>
      </c>
      <c r="G55" s="237"/>
      <c r="H55" s="255" t="str">
        <f>IFERROR(HYPERLINK("#'Appendix A'!E"&amp;ROW(INDEX(Table23[DSorder],MATCH(cyberControls[[#This Row],[AppAref]],Table23[DSorder],0))),"GO"),"")</f>
        <v>GO</v>
      </c>
      <c r="I55" s="86" t="str">
        <f>cyberControls[[#This Row],[Component]]&amp;cyberControls[[#This Row],[Maturity Level]]</f>
        <v>Access and Data ManagementBaseline</v>
      </c>
      <c r="J55" s="86" t="str">
        <f>cyberControls[[#This Row],[workArea]]&amp;cyberControls[[#This Row],[Y, Y(C), N]]</f>
        <v>Access and Data ManagementBaseline</v>
      </c>
      <c r="K55" s="184">
        <v>62</v>
      </c>
      <c r="L55" s="202">
        <f>IFERROR(MATCH(cyberControls[[#This Row],[Ref No.]],hyperlinkLU[Reference No.],0),cyberControls[[#This Row],[Ref No.]])</f>
        <v>63</v>
      </c>
      <c r="M55" s="202" t="str">
        <f t="shared" si="1"/>
        <v>Cybersecurity Controls</v>
      </c>
      <c r="N55" s="184">
        <f>IF(cyberControls[[#This Row],[Y, Y(C), N]]=yes,1,0)</f>
        <v>0</v>
      </c>
      <c r="O55" s="184">
        <f>IF(cyberControls[[#This Row],[Y, Y(C), N]]=yesCC,1,0)</f>
        <v>0</v>
      </c>
      <c r="P55" s="184">
        <f>IF(cyberControls[[#This Row],[Y, Y(C), N]]=no,1,0)</f>
        <v>0</v>
      </c>
      <c r="Q55" s="184">
        <f>IF(cyberControls[[#This Row],[Y, Y(C), N]]=NotAvail,1,0)</f>
        <v>0</v>
      </c>
      <c r="R55" s="92">
        <v>65</v>
      </c>
    </row>
    <row r="56" spans="1:18" ht="45" x14ac:dyDescent="0.25">
      <c r="A56" s="86" t="s">
        <v>263</v>
      </c>
      <c r="B56" s="86" t="s">
        <v>296</v>
      </c>
      <c r="C56" s="86" t="s">
        <v>27</v>
      </c>
      <c r="D56" s="87"/>
      <c r="E56" s="58" t="s">
        <v>313</v>
      </c>
      <c r="F56"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56" s="237"/>
      <c r="H56" s="255" t="str">
        <f>IFERROR(HYPERLINK("#'Appendix A'!E"&amp;ROW(INDEX(Table23[DSorder],MATCH(cyberControls[[#This Row],[AppAref]],Table23[DSorder],0))),"GO"),"")</f>
        <v>GO</v>
      </c>
      <c r="I56" s="86" t="str">
        <f>cyberControls[[#This Row],[Component]]&amp;cyberControls[[#This Row],[Maturity Level]]</f>
        <v>Access and Data ManagementBaseline</v>
      </c>
      <c r="J56" s="86" t="str">
        <f>cyberControls[[#This Row],[workArea]]&amp;cyberControls[[#This Row],[Y, Y(C), N]]</f>
        <v>Access and Data ManagementBaseline</v>
      </c>
      <c r="K56" s="201">
        <v>63</v>
      </c>
      <c r="L56" s="202">
        <f>IFERROR(MATCH(cyberControls[[#This Row],[Ref No.]],hyperlinkLU[Reference No.],0),cyberControls[[#This Row],[Ref No.]])</f>
        <v>64</v>
      </c>
      <c r="M56" s="202" t="str">
        <f t="shared" si="1"/>
        <v>Cybersecurity Controls</v>
      </c>
      <c r="N56" s="184">
        <f>IF(cyberControls[[#This Row],[Y, Y(C), N]]=yes,1,0)</f>
        <v>0</v>
      </c>
      <c r="O56" s="184">
        <f>IF(cyberControls[[#This Row],[Y, Y(C), N]]=yesCC,1,0)</f>
        <v>0</v>
      </c>
      <c r="P56" s="184">
        <f>IF(cyberControls[[#This Row],[Y, Y(C), N]]=no,1,0)</f>
        <v>0</v>
      </c>
      <c r="Q56" s="184">
        <f>IF(cyberControls[[#This Row],[Y, Y(C), N]]=NotAvail,1,0)</f>
        <v>0</v>
      </c>
      <c r="R56" s="92">
        <v>66</v>
      </c>
    </row>
    <row r="57" spans="1:18" ht="30" x14ac:dyDescent="0.25">
      <c r="A57" s="86" t="s">
        <v>263</v>
      </c>
      <c r="B57" s="86" t="s">
        <v>296</v>
      </c>
      <c r="C57" s="86" t="s">
        <v>27</v>
      </c>
      <c r="D57" s="87"/>
      <c r="E57" s="58" t="s">
        <v>314</v>
      </c>
      <c r="F57"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66</v>
      </c>
      <c r="G57" s="237"/>
      <c r="H57" s="255" t="str">
        <f>IFERROR(HYPERLINK("#'Appendix A'!E"&amp;ROW(INDEX(Table23[DSorder],MATCH(cyberControls[[#This Row],[AppAref]],Table23[DSorder],0))),"GO"),"")</f>
        <v>GO</v>
      </c>
      <c r="I57" s="86" t="str">
        <f>cyberControls[[#This Row],[Component]]&amp;cyberControls[[#This Row],[Maturity Level]]</f>
        <v>Access and Data ManagementBaseline</v>
      </c>
      <c r="J57" s="86" t="str">
        <f>cyberControls[[#This Row],[workArea]]&amp;cyberControls[[#This Row],[Y, Y(C), N]]</f>
        <v>Access and Data ManagementBaseline</v>
      </c>
      <c r="K57" s="184">
        <v>64</v>
      </c>
      <c r="L57" s="202">
        <f>IFERROR(MATCH(cyberControls[[#This Row],[Ref No.]],hyperlinkLU[Reference No.],0),cyberControls[[#This Row],[Ref No.]])</f>
        <v>65</v>
      </c>
      <c r="M57" s="202" t="str">
        <f t="shared" si="1"/>
        <v>Cybersecurity Controls</v>
      </c>
      <c r="N57" s="184">
        <f>IF(cyberControls[[#This Row],[Y, Y(C), N]]=yes,1,0)</f>
        <v>0</v>
      </c>
      <c r="O57" s="184">
        <f>IF(cyberControls[[#This Row],[Y, Y(C), N]]=yesCC,1,0)</f>
        <v>0</v>
      </c>
      <c r="P57" s="184">
        <f>IF(cyberControls[[#This Row],[Y, Y(C), N]]=no,1,0)</f>
        <v>0</v>
      </c>
      <c r="Q57" s="184">
        <f>IF(cyberControls[[#This Row],[Y, Y(C), N]]=NotAvail,1,0)</f>
        <v>0</v>
      </c>
      <c r="R57" s="92">
        <v>67</v>
      </c>
    </row>
    <row r="58" spans="1:18" ht="30" x14ac:dyDescent="0.25">
      <c r="A58" s="86" t="s">
        <v>263</v>
      </c>
      <c r="B58" s="86" t="s">
        <v>296</v>
      </c>
      <c r="C58" s="86" t="s">
        <v>28</v>
      </c>
      <c r="D58" s="87"/>
      <c r="E58" s="58" t="s">
        <v>315</v>
      </c>
      <c r="F58" s="24"/>
      <c r="G58" s="237"/>
      <c r="H58" s="255" t="str">
        <f>IFERROR(HYPERLINK("#'Appendix A'!E"&amp;ROW(INDEX(Table23[DSorder],MATCH(cyberControls[[#This Row],[AppAref]],Table23[DSorder],0))),"GO"),"")</f>
        <v/>
      </c>
      <c r="I58" s="86" t="str">
        <f>cyberControls[[#This Row],[Component]]&amp;cyberControls[[#This Row],[Maturity Level]]</f>
        <v>Access and Data ManagementEvolving</v>
      </c>
      <c r="J58" s="86" t="str">
        <f>cyberControls[[#This Row],[workArea]]&amp;cyberControls[[#This Row],[Y, Y(C), N]]</f>
        <v>Access and Data ManagementEvolving</v>
      </c>
      <c r="K58" s="184"/>
      <c r="L58" s="184"/>
      <c r="M58" s="184" t="str">
        <f t="shared" si="1"/>
        <v>Cybersecurity Controls</v>
      </c>
      <c r="N58" s="184">
        <f>IF(cyberControls[[#This Row],[Y, Y(C), N]]=yes,1,0)</f>
        <v>0</v>
      </c>
      <c r="O58" s="184">
        <f>IF(cyberControls[[#This Row],[Y, Y(C), N]]=yesCC,1,0)</f>
        <v>0</v>
      </c>
      <c r="P58" s="184">
        <f>IF(cyberControls[[#This Row],[Y, Y(C), N]]=no,1,0)</f>
        <v>0</v>
      </c>
      <c r="Q58" s="184">
        <f>IF(cyberControls[[#This Row],[Y, Y(C), N]]=NotAvail,1,0)</f>
        <v>0</v>
      </c>
      <c r="R58" s="92"/>
    </row>
    <row r="59" spans="1:18" ht="30" x14ac:dyDescent="0.25">
      <c r="A59" s="86" t="s">
        <v>263</v>
      </c>
      <c r="B59" s="86" t="s">
        <v>296</v>
      </c>
      <c r="C59" s="86" t="s">
        <v>28</v>
      </c>
      <c r="D59" s="87"/>
      <c r="E59" s="58" t="s">
        <v>316</v>
      </c>
      <c r="F59" s="24"/>
      <c r="G59" s="237"/>
      <c r="H59" s="255" t="str">
        <f>IFERROR(HYPERLINK("#'Appendix A'!E"&amp;ROW(INDEX(Table23[DSorder],MATCH(cyberControls[[#This Row],[AppAref]],Table23[DSorder],0))),"GO"),"")</f>
        <v/>
      </c>
      <c r="I59" s="86" t="str">
        <f>cyberControls[[#This Row],[Component]]&amp;cyberControls[[#This Row],[Maturity Level]]</f>
        <v>Access and Data ManagementEvolving</v>
      </c>
      <c r="J59" s="86" t="str">
        <f>cyberControls[[#This Row],[workArea]]&amp;cyberControls[[#This Row],[Y, Y(C), N]]</f>
        <v>Access and Data ManagementEvolving</v>
      </c>
      <c r="K59" s="184"/>
      <c r="L59" s="184"/>
      <c r="M59" s="184" t="str">
        <f t="shared" si="1"/>
        <v>Cybersecurity Controls</v>
      </c>
      <c r="N59" s="184">
        <f>IF(cyberControls[[#This Row],[Y, Y(C), N]]=yes,1,0)</f>
        <v>0</v>
      </c>
      <c r="O59" s="184">
        <f>IF(cyberControls[[#This Row],[Y, Y(C), N]]=yesCC,1,0)</f>
        <v>0</v>
      </c>
      <c r="P59" s="184">
        <f>IF(cyberControls[[#This Row],[Y, Y(C), N]]=no,1,0)</f>
        <v>0</v>
      </c>
      <c r="Q59" s="184">
        <f>IF(cyberControls[[#This Row],[Y, Y(C), N]]=NotAvail,1,0)</f>
        <v>0</v>
      </c>
      <c r="R59" s="92"/>
    </row>
    <row r="60" spans="1:18" ht="45" x14ac:dyDescent="0.25">
      <c r="A60" s="86" t="s">
        <v>263</v>
      </c>
      <c r="B60" s="86" t="s">
        <v>296</v>
      </c>
      <c r="C60" s="86" t="s">
        <v>28</v>
      </c>
      <c r="D60" s="87"/>
      <c r="E60" s="58" t="s">
        <v>317</v>
      </c>
      <c r="F60" s="24"/>
      <c r="G60" s="237"/>
      <c r="H60" s="255" t="str">
        <f>IFERROR(HYPERLINK("#'Appendix A'!E"&amp;ROW(INDEX(Table23[DSorder],MATCH(cyberControls[[#This Row],[AppAref]],Table23[DSorder],0))),"GO"),"")</f>
        <v/>
      </c>
      <c r="I60" s="86" t="str">
        <f>cyberControls[[#This Row],[Component]]&amp;cyberControls[[#This Row],[Maturity Level]]</f>
        <v>Access and Data ManagementEvolving</v>
      </c>
      <c r="J60" s="86" t="str">
        <f>cyberControls[[#This Row],[workArea]]&amp;cyberControls[[#This Row],[Y, Y(C), N]]</f>
        <v>Access and Data ManagementEvolving</v>
      </c>
      <c r="K60" s="184"/>
      <c r="L60" s="184"/>
      <c r="M60" s="184" t="str">
        <f t="shared" si="1"/>
        <v>Cybersecurity Controls</v>
      </c>
      <c r="N60" s="184">
        <f>IF(cyberControls[[#This Row],[Y, Y(C), N]]=yes,1,0)</f>
        <v>0</v>
      </c>
      <c r="O60" s="184">
        <f>IF(cyberControls[[#This Row],[Y, Y(C), N]]=yesCC,1,0)</f>
        <v>0</v>
      </c>
      <c r="P60" s="184">
        <f>IF(cyberControls[[#This Row],[Y, Y(C), N]]=no,1,0)</f>
        <v>0</v>
      </c>
      <c r="Q60" s="184">
        <f>IF(cyberControls[[#This Row],[Y, Y(C), N]]=NotAvail,1,0)</f>
        <v>0</v>
      </c>
      <c r="R60" s="92"/>
    </row>
    <row r="61" spans="1:18" ht="30" x14ac:dyDescent="0.25">
      <c r="A61" s="86" t="s">
        <v>263</v>
      </c>
      <c r="B61" s="86" t="s">
        <v>296</v>
      </c>
      <c r="C61" s="86" t="s">
        <v>28</v>
      </c>
      <c r="D61" s="87"/>
      <c r="E61" s="58" t="s">
        <v>318</v>
      </c>
      <c r="F61" s="24"/>
      <c r="G61" s="237"/>
      <c r="H61" s="255" t="str">
        <f>IFERROR(HYPERLINK("#'Appendix A'!E"&amp;ROW(INDEX(Table23[DSorder],MATCH(cyberControls[[#This Row],[AppAref]],Table23[DSorder],0))),"GO"),"")</f>
        <v/>
      </c>
      <c r="I61" s="86" t="str">
        <f>cyberControls[[#This Row],[Component]]&amp;cyberControls[[#This Row],[Maturity Level]]</f>
        <v>Access and Data ManagementEvolving</v>
      </c>
      <c r="J61" s="86" t="str">
        <f>cyberControls[[#This Row],[workArea]]&amp;cyberControls[[#This Row],[Y, Y(C), N]]</f>
        <v>Access and Data ManagementEvolving</v>
      </c>
      <c r="K61" s="184"/>
      <c r="L61" s="184"/>
      <c r="M61" s="184" t="str">
        <f t="shared" si="1"/>
        <v>Cybersecurity Controls</v>
      </c>
      <c r="N61" s="184">
        <f>IF(cyberControls[[#This Row],[Y, Y(C), N]]=yes,1,0)</f>
        <v>0</v>
      </c>
      <c r="O61" s="184">
        <f>IF(cyberControls[[#This Row],[Y, Y(C), N]]=yesCC,1,0)</f>
        <v>0</v>
      </c>
      <c r="P61" s="184">
        <f>IF(cyberControls[[#This Row],[Y, Y(C), N]]=no,1,0)</f>
        <v>0</v>
      </c>
      <c r="Q61" s="184">
        <f>IF(cyberControls[[#This Row],[Y, Y(C), N]]=NotAvail,1,0)</f>
        <v>0</v>
      </c>
      <c r="R61" s="92"/>
    </row>
    <row r="62" spans="1:18" x14ac:dyDescent="0.25">
      <c r="A62" s="86" t="s">
        <v>263</v>
      </c>
      <c r="B62" s="86" t="s">
        <v>296</v>
      </c>
      <c r="C62" s="86" t="s">
        <v>28</v>
      </c>
      <c r="D62" s="87"/>
      <c r="E62" s="58" t="s">
        <v>319</v>
      </c>
      <c r="F62" s="24"/>
      <c r="G62" s="237"/>
      <c r="H62" s="255" t="str">
        <f>IFERROR(HYPERLINK("#'Appendix A'!E"&amp;ROW(INDEX(Table23[DSorder],MATCH(cyberControls[[#This Row],[AppAref]],Table23[DSorder],0))),"GO"),"")</f>
        <v/>
      </c>
      <c r="I62" s="86" t="str">
        <f>cyberControls[[#This Row],[Component]]&amp;cyberControls[[#This Row],[Maturity Level]]</f>
        <v>Access and Data ManagementEvolving</v>
      </c>
      <c r="J62" s="86" t="str">
        <f>cyberControls[[#This Row],[workArea]]&amp;cyberControls[[#This Row],[Y, Y(C), N]]</f>
        <v>Access and Data ManagementEvolving</v>
      </c>
      <c r="K62" s="184"/>
      <c r="L62" s="184"/>
      <c r="M62" s="184" t="str">
        <f t="shared" si="1"/>
        <v>Cybersecurity Controls</v>
      </c>
      <c r="N62" s="184">
        <f>IF(cyberControls[[#This Row],[Y, Y(C), N]]=yes,1,0)</f>
        <v>0</v>
      </c>
      <c r="O62" s="184">
        <f>IF(cyberControls[[#This Row],[Y, Y(C), N]]=yesCC,1,0)</f>
        <v>0</v>
      </c>
      <c r="P62" s="184">
        <f>IF(cyberControls[[#This Row],[Y, Y(C), N]]=no,1,0)</f>
        <v>0</v>
      </c>
      <c r="Q62" s="184">
        <f>IF(cyberControls[[#This Row],[Y, Y(C), N]]=NotAvail,1,0)</f>
        <v>0</v>
      </c>
      <c r="R62" s="92"/>
    </row>
    <row r="63" spans="1:18" ht="30" x14ac:dyDescent="0.25">
      <c r="A63" s="86" t="s">
        <v>263</v>
      </c>
      <c r="B63" s="86" t="s">
        <v>296</v>
      </c>
      <c r="C63" s="86" t="s">
        <v>29</v>
      </c>
      <c r="D63" s="87"/>
      <c r="E63" s="58" t="s">
        <v>320</v>
      </c>
      <c r="F63" s="24"/>
      <c r="G63" s="237"/>
      <c r="H63" s="255" t="str">
        <f>IFERROR(HYPERLINK("#'Appendix A'!E"&amp;ROW(INDEX(Table23[DSorder],MATCH(cyberControls[[#This Row],[AppAref]],Table23[DSorder],0))),"GO"),"")</f>
        <v/>
      </c>
      <c r="I63" s="86" t="str">
        <f>cyberControls[[#This Row],[Component]]&amp;cyberControls[[#This Row],[Maturity Level]]</f>
        <v>Access and Data ManagementIntermediate</v>
      </c>
      <c r="J63" s="86" t="str">
        <f>cyberControls[[#This Row],[workArea]]&amp;cyberControls[[#This Row],[Y, Y(C), N]]</f>
        <v>Access and Data ManagementIntermediate</v>
      </c>
      <c r="K63" s="184"/>
      <c r="L63" s="184"/>
      <c r="M63" s="184" t="str">
        <f t="shared" si="1"/>
        <v>Cybersecurity Controls</v>
      </c>
      <c r="N63" s="184">
        <f>IF(cyberControls[[#This Row],[Y, Y(C), N]]=yes,1,0)</f>
        <v>0</v>
      </c>
      <c r="O63" s="184">
        <f>IF(cyberControls[[#This Row],[Y, Y(C), N]]=yesCC,1,0)</f>
        <v>0</v>
      </c>
      <c r="P63" s="184">
        <f>IF(cyberControls[[#This Row],[Y, Y(C), N]]=no,1,0)</f>
        <v>0</v>
      </c>
      <c r="Q63" s="184">
        <f>IF(cyberControls[[#This Row],[Y, Y(C), N]]=NotAvail,1,0)</f>
        <v>0</v>
      </c>
      <c r="R63" s="92"/>
    </row>
    <row r="64" spans="1:18" x14ac:dyDescent="0.25">
      <c r="A64" s="86" t="s">
        <v>263</v>
      </c>
      <c r="B64" s="86" t="s">
        <v>296</v>
      </c>
      <c r="C64" s="86" t="s">
        <v>29</v>
      </c>
      <c r="D64" s="87"/>
      <c r="E64" s="58" t="s">
        <v>321</v>
      </c>
      <c r="F64" s="24"/>
      <c r="G64" s="237"/>
      <c r="H64" s="255" t="str">
        <f>IFERROR(HYPERLINK("#'Appendix A'!E"&amp;ROW(INDEX(Table23[DSorder],MATCH(cyberControls[[#This Row],[AppAref]],Table23[DSorder],0))),"GO"),"")</f>
        <v/>
      </c>
      <c r="I64" s="86" t="str">
        <f>cyberControls[[#This Row],[Component]]&amp;cyberControls[[#This Row],[Maturity Level]]</f>
        <v>Access and Data ManagementIntermediate</v>
      </c>
      <c r="J64" s="86" t="str">
        <f>cyberControls[[#This Row],[workArea]]&amp;cyberControls[[#This Row],[Y, Y(C), N]]</f>
        <v>Access and Data ManagementIntermediate</v>
      </c>
      <c r="K64" s="184"/>
      <c r="L64" s="184"/>
      <c r="M64" s="184" t="str">
        <f t="shared" si="1"/>
        <v>Cybersecurity Controls</v>
      </c>
      <c r="N64" s="184">
        <f>IF(cyberControls[[#This Row],[Y, Y(C), N]]=yes,1,0)</f>
        <v>0</v>
      </c>
      <c r="O64" s="184">
        <f>IF(cyberControls[[#This Row],[Y, Y(C), N]]=yesCC,1,0)</f>
        <v>0</v>
      </c>
      <c r="P64" s="184">
        <f>IF(cyberControls[[#This Row],[Y, Y(C), N]]=no,1,0)</f>
        <v>0</v>
      </c>
      <c r="Q64" s="184">
        <f>IF(cyberControls[[#This Row],[Y, Y(C), N]]=NotAvail,1,0)</f>
        <v>0</v>
      </c>
      <c r="R64" s="92"/>
    </row>
    <row r="65" spans="1:18" ht="30" x14ac:dyDescent="0.25">
      <c r="A65" s="86" t="s">
        <v>263</v>
      </c>
      <c r="B65" s="86" t="s">
        <v>296</v>
      </c>
      <c r="C65" s="86" t="s">
        <v>29</v>
      </c>
      <c r="D65" s="87"/>
      <c r="E65" s="58" t="s">
        <v>322</v>
      </c>
      <c r="F65" s="24"/>
      <c r="G65" s="237"/>
      <c r="H65" s="255" t="str">
        <f>IFERROR(HYPERLINK("#'Appendix A'!E"&amp;ROW(INDEX(Table23[DSorder],MATCH(cyberControls[[#This Row],[AppAref]],Table23[DSorder],0))),"GO"),"")</f>
        <v/>
      </c>
      <c r="I65" s="86" t="str">
        <f>cyberControls[[#This Row],[Component]]&amp;cyberControls[[#This Row],[Maturity Level]]</f>
        <v>Access and Data ManagementIntermediate</v>
      </c>
      <c r="J65" s="86" t="str">
        <f>cyberControls[[#This Row],[workArea]]&amp;cyberControls[[#This Row],[Y, Y(C), N]]</f>
        <v>Access and Data ManagementIntermediate</v>
      </c>
      <c r="K65" s="184"/>
      <c r="L65" s="184"/>
      <c r="M65" s="184" t="str">
        <f t="shared" si="1"/>
        <v>Cybersecurity Controls</v>
      </c>
      <c r="N65" s="184">
        <f>IF(cyberControls[[#This Row],[Y, Y(C), N]]=yes,1,0)</f>
        <v>0</v>
      </c>
      <c r="O65" s="184">
        <f>IF(cyberControls[[#This Row],[Y, Y(C), N]]=yesCC,1,0)</f>
        <v>0</v>
      </c>
      <c r="P65" s="184">
        <f>IF(cyberControls[[#This Row],[Y, Y(C), N]]=no,1,0)</f>
        <v>0</v>
      </c>
      <c r="Q65" s="184">
        <f>IF(cyberControls[[#This Row],[Y, Y(C), N]]=NotAvail,1,0)</f>
        <v>0</v>
      </c>
      <c r="R65" s="92"/>
    </row>
    <row r="66" spans="1:18" ht="45" x14ac:dyDescent="0.25">
      <c r="A66" s="86" t="s">
        <v>263</v>
      </c>
      <c r="B66" s="86" t="s">
        <v>296</v>
      </c>
      <c r="C66" s="86" t="s">
        <v>29</v>
      </c>
      <c r="D66" s="87"/>
      <c r="E66" s="58" t="s">
        <v>323</v>
      </c>
      <c r="F66" s="24"/>
      <c r="G66" s="237"/>
      <c r="H66" s="255" t="str">
        <f>IFERROR(HYPERLINK("#'Appendix A'!E"&amp;ROW(INDEX(Table23[DSorder],MATCH(cyberControls[[#This Row],[AppAref]],Table23[DSorder],0))),"GO"),"")</f>
        <v/>
      </c>
      <c r="I66" s="86" t="str">
        <f>cyberControls[[#This Row],[Component]]&amp;cyberControls[[#This Row],[Maturity Level]]</f>
        <v>Access and Data ManagementIntermediate</v>
      </c>
      <c r="J66" s="86" t="str">
        <f>cyberControls[[#This Row],[workArea]]&amp;cyberControls[[#This Row],[Y, Y(C), N]]</f>
        <v>Access and Data ManagementIntermediate</v>
      </c>
      <c r="K66" s="184"/>
      <c r="L66" s="184"/>
      <c r="M66" s="184" t="str">
        <f t="shared" si="1"/>
        <v>Cybersecurity Controls</v>
      </c>
      <c r="N66" s="184">
        <f>IF(cyberControls[[#This Row],[Y, Y(C), N]]=yes,1,0)</f>
        <v>0</v>
      </c>
      <c r="O66" s="184">
        <f>IF(cyberControls[[#This Row],[Y, Y(C), N]]=yesCC,1,0)</f>
        <v>0</v>
      </c>
      <c r="P66" s="184">
        <f>IF(cyberControls[[#This Row],[Y, Y(C), N]]=no,1,0)</f>
        <v>0</v>
      </c>
      <c r="Q66" s="184">
        <f>IF(cyberControls[[#This Row],[Y, Y(C), N]]=NotAvail,1,0)</f>
        <v>0</v>
      </c>
      <c r="R66" s="92"/>
    </row>
    <row r="67" spans="1:18" ht="45" x14ac:dyDescent="0.25">
      <c r="A67" s="86" t="s">
        <v>263</v>
      </c>
      <c r="B67" s="86" t="s">
        <v>296</v>
      </c>
      <c r="C67" s="86" t="s">
        <v>29</v>
      </c>
      <c r="D67" s="87"/>
      <c r="E67" s="58" t="s">
        <v>324</v>
      </c>
      <c r="F67" s="24"/>
      <c r="G67" s="237"/>
      <c r="H67" s="255" t="str">
        <f>IFERROR(HYPERLINK("#'Appendix A'!E"&amp;ROW(INDEX(Table23[DSorder],MATCH(cyberControls[[#This Row],[AppAref]],Table23[DSorder],0))),"GO"),"")</f>
        <v/>
      </c>
      <c r="I67" s="86" t="str">
        <f>cyberControls[[#This Row],[Component]]&amp;cyberControls[[#This Row],[Maturity Level]]</f>
        <v>Access and Data ManagementIntermediate</v>
      </c>
      <c r="J67" s="86" t="str">
        <f>cyberControls[[#This Row],[workArea]]&amp;cyberControls[[#This Row],[Y, Y(C), N]]</f>
        <v>Access and Data ManagementIntermediate</v>
      </c>
      <c r="K67" s="184"/>
      <c r="L67" s="184"/>
      <c r="M67" s="184" t="str">
        <f t="shared" si="1"/>
        <v>Cybersecurity Controls</v>
      </c>
      <c r="N67" s="184">
        <f>IF(cyberControls[[#This Row],[Y, Y(C), N]]=yes,1,0)</f>
        <v>0</v>
      </c>
      <c r="O67" s="184">
        <f>IF(cyberControls[[#This Row],[Y, Y(C), N]]=yesCC,1,0)</f>
        <v>0</v>
      </c>
      <c r="P67" s="184">
        <f>IF(cyberControls[[#This Row],[Y, Y(C), N]]=no,1,0)</f>
        <v>0</v>
      </c>
      <c r="Q67" s="184">
        <f>IF(cyberControls[[#This Row],[Y, Y(C), N]]=NotAvail,1,0)</f>
        <v>0</v>
      </c>
      <c r="R67" s="92"/>
    </row>
    <row r="68" spans="1:18" ht="45" x14ac:dyDescent="0.25">
      <c r="A68" s="86" t="s">
        <v>263</v>
      </c>
      <c r="B68" s="86" t="s">
        <v>296</v>
      </c>
      <c r="C68" s="86" t="s">
        <v>29</v>
      </c>
      <c r="D68" s="87"/>
      <c r="E68" s="58" t="s">
        <v>325</v>
      </c>
      <c r="F68" s="24"/>
      <c r="G68" s="237"/>
      <c r="H68" s="255" t="str">
        <f>IFERROR(HYPERLINK("#'Appendix A'!E"&amp;ROW(INDEX(Table23[DSorder],MATCH(cyberControls[[#This Row],[AppAref]],Table23[DSorder],0))),"GO"),"")</f>
        <v/>
      </c>
      <c r="I68" s="86" t="str">
        <f>cyberControls[[#This Row],[Component]]&amp;cyberControls[[#This Row],[Maturity Level]]</f>
        <v>Access and Data ManagementIntermediate</v>
      </c>
      <c r="J68" s="86" t="str">
        <f>cyberControls[[#This Row],[workArea]]&amp;cyberControls[[#This Row],[Y, Y(C), N]]</f>
        <v>Access and Data ManagementIntermediate</v>
      </c>
      <c r="K68" s="184"/>
      <c r="L68" s="184"/>
      <c r="M68" s="184" t="str">
        <f t="shared" si="1"/>
        <v>Cybersecurity Controls</v>
      </c>
      <c r="N68" s="184">
        <f>IF(cyberControls[[#This Row],[Y, Y(C), N]]=yes,1,0)</f>
        <v>0</v>
      </c>
      <c r="O68" s="184">
        <f>IF(cyberControls[[#This Row],[Y, Y(C), N]]=yesCC,1,0)</f>
        <v>0</v>
      </c>
      <c r="P68" s="184">
        <f>IF(cyberControls[[#This Row],[Y, Y(C), N]]=no,1,0)</f>
        <v>0</v>
      </c>
      <c r="Q68" s="184">
        <f>IF(cyberControls[[#This Row],[Y, Y(C), N]]=NotAvail,1,0)</f>
        <v>0</v>
      </c>
      <c r="R68" s="92"/>
    </row>
    <row r="69" spans="1:18" ht="30" x14ac:dyDescent="0.25">
      <c r="A69" s="86" t="s">
        <v>263</v>
      </c>
      <c r="B69" s="86" t="s">
        <v>296</v>
      </c>
      <c r="C69" s="86" t="s">
        <v>29</v>
      </c>
      <c r="D69" s="87"/>
      <c r="E69" s="58" t="s">
        <v>326</v>
      </c>
      <c r="F69" s="24"/>
      <c r="G69" s="237"/>
      <c r="H69" s="255" t="str">
        <f>IFERROR(HYPERLINK("#'Appendix A'!E"&amp;ROW(INDEX(Table23[DSorder],MATCH(cyberControls[[#This Row],[AppAref]],Table23[DSorder],0))),"GO"),"")</f>
        <v/>
      </c>
      <c r="I69" s="86" t="str">
        <f>cyberControls[[#This Row],[Component]]&amp;cyberControls[[#This Row],[Maturity Level]]</f>
        <v>Access and Data ManagementIntermediate</v>
      </c>
      <c r="J69" s="86" t="str">
        <f>cyberControls[[#This Row],[workArea]]&amp;cyberControls[[#This Row],[Y, Y(C), N]]</f>
        <v>Access and Data ManagementIntermediate</v>
      </c>
      <c r="K69" s="184"/>
      <c r="L69" s="184"/>
      <c r="M69" s="184" t="str">
        <f t="shared" si="1"/>
        <v>Cybersecurity Controls</v>
      </c>
      <c r="N69" s="184">
        <f>IF(cyberControls[[#This Row],[Y, Y(C), N]]=yes,1,0)</f>
        <v>0</v>
      </c>
      <c r="O69" s="184">
        <f>IF(cyberControls[[#This Row],[Y, Y(C), N]]=yesCC,1,0)</f>
        <v>0</v>
      </c>
      <c r="P69" s="184">
        <f>IF(cyberControls[[#This Row],[Y, Y(C), N]]=no,1,0)</f>
        <v>0</v>
      </c>
      <c r="Q69" s="184">
        <f>IF(cyberControls[[#This Row],[Y, Y(C), N]]=NotAvail,1,0)</f>
        <v>0</v>
      </c>
      <c r="R69" s="92"/>
    </row>
    <row r="70" spans="1:18" ht="60" x14ac:dyDescent="0.25">
      <c r="A70" s="86" t="s">
        <v>263</v>
      </c>
      <c r="B70" s="86" t="s">
        <v>296</v>
      </c>
      <c r="C70" s="86" t="s">
        <v>29</v>
      </c>
      <c r="D70" s="87"/>
      <c r="E70" s="58" t="s">
        <v>327</v>
      </c>
      <c r="F70" s="24"/>
      <c r="G70" s="237"/>
      <c r="H70" s="255" t="str">
        <f>IFERROR(HYPERLINK("#'Appendix A'!E"&amp;ROW(INDEX(Table23[DSorder],MATCH(cyberControls[[#This Row],[AppAref]],Table23[DSorder],0))),"GO"),"")</f>
        <v/>
      </c>
      <c r="I70" s="86" t="str">
        <f>cyberControls[[#This Row],[Component]]&amp;cyberControls[[#This Row],[Maturity Level]]</f>
        <v>Access and Data ManagementIntermediate</v>
      </c>
      <c r="J70" s="86" t="str">
        <f>cyberControls[[#This Row],[workArea]]&amp;cyberControls[[#This Row],[Y, Y(C), N]]</f>
        <v>Access and Data ManagementIntermediate</v>
      </c>
      <c r="K70" s="184"/>
      <c r="L70" s="184"/>
      <c r="M70" s="184" t="str">
        <f t="shared" si="1"/>
        <v>Cybersecurity Controls</v>
      </c>
      <c r="N70" s="184">
        <f>IF(cyberControls[[#This Row],[Y, Y(C), N]]=yes,1,0)</f>
        <v>0</v>
      </c>
      <c r="O70" s="184">
        <f>IF(cyberControls[[#This Row],[Y, Y(C), N]]=yesCC,1,0)</f>
        <v>0</v>
      </c>
      <c r="P70" s="184">
        <f>IF(cyberControls[[#This Row],[Y, Y(C), N]]=no,1,0)</f>
        <v>0</v>
      </c>
      <c r="Q70" s="184">
        <f>IF(cyberControls[[#This Row],[Y, Y(C), N]]=NotAvail,1,0)</f>
        <v>0</v>
      </c>
      <c r="R70" s="92"/>
    </row>
    <row r="71" spans="1:18" ht="30" x14ac:dyDescent="0.25">
      <c r="A71" s="86" t="s">
        <v>263</v>
      </c>
      <c r="B71" s="86" t="s">
        <v>296</v>
      </c>
      <c r="C71" s="86" t="s">
        <v>30</v>
      </c>
      <c r="D71" s="87"/>
      <c r="E71" s="58" t="s">
        <v>328</v>
      </c>
      <c r="F71" s="24"/>
      <c r="G71" s="237"/>
      <c r="H71" s="255" t="str">
        <f>IFERROR(HYPERLINK("#'Appendix A'!E"&amp;ROW(INDEX(Table23[DSorder],MATCH(cyberControls[[#This Row],[AppAref]],Table23[DSorder],0))),"GO"),"")</f>
        <v/>
      </c>
      <c r="I71" s="86" t="str">
        <f>cyberControls[[#This Row],[Component]]&amp;cyberControls[[#This Row],[Maturity Level]]</f>
        <v>Access and Data ManagementAdvanced</v>
      </c>
      <c r="J71" s="86" t="str">
        <f>cyberControls[[#This Row],[workArea]]&amp;cyberControls[[#This Row],[Y, Y(C), N]]</f>
        <v>Access and Data ManagementAdvanced</v>
      </c>
      <c r="K71" s="184"/>
      <c r="L71" s="184"/>
      <c r="M71" s="184" t="str">
        <f t="shared" si="1"/>
        <v>Cybersecurity Controls</v>
      </c>
      <c r="N71" s="184">
        <f>IF(cyberControls[[#This Row],[Y, Y(C), N]]=yes,1,0)</f>
        <v>0</v>
      </c>
      <c r="O71" s="184">
        <f>IF(cyberControls[[#This Row],[Y, Y(C), N]]=yesCC,1,0)</f>
        <v>0</v>
      </c>
      <c r="P71" s="184">
        <f>IF(cyberControls[[#This Row],[Y, Y(C), N]]=no,1,0)</f>
        <v>0</v>
      </c>
      <c r="Q71" s="184">
        <f>IF(cyberControls[[#This Row],[Y, Y(C), N]]=NotAvail,1,0)</f>
        <v>0</v>
      </c>
      <c r="R71" s="92"/>
    </row>
    <row r="72" spans="1:18" ht="14.25" customHeight="1" x14ac:dyDescent="0.25">
      <c r="A72" s="86" t="s">
        <v>263</v>
      </c>
      <c r="B72" s="86" t="s">
        <v>296</v>
      </c>
      <c r="C72" s="86" t="s">
        <v>30</v>
      </c>
      <c r="D72" s="87"/>
      <c r="E72" s="58" t="s">
        <v>329</v>
      </c>
      <c r="F72" s="24"/>
      <c r="G72" s="237"/>
      <c r="H72" s="255" t="str">
        <f>IFERROR(HYPERLINK("#'Appendix A'!E"&amp;ROW(INDEX(Table23[DSorder],MATCH(cyberControls[[#This Row],[AppAref]],Table23[DSorder],0))),"GO"),"")</f>
        <v/>
      </c>
      <c r="I72" s="86" t="str">
        <f>cyberControls[[#This Row],[Component]]&amp;cyberControls[[#This Row],[Maturity Level]]</f>
        <v>Access and Data ManagementAdvanced</v>
      </c>
      <c r="J72" s="86" t="str">
        <f>cyberControls[[#This Row],[workArea]]&amp;cyberControls[[#This Row],[Y, Y(C), N]]</f>
        <v>Access and Data ManagementAdvanced</v>
      </c>
      <c r="K72" s="184"/>
      <c r="L72" s="184"/>
      <c r="M72" s="184" t="str">
        <f t="shared" si="1"/>
        <v>Cybersecurity Controls</v>
      </c>
      <c r="N72" s="184">
        <f>IF(cyberControls[[#This Row],[Y, Y(C), N]]=yes,1,0)</f>
        <v>0</v>
      </c>
      <c r="O72" s="184">
        <f>IF(cyberControls[[#This Row],[Y, Y(C), N]]=yesCC,1,0)</f>
        <v>0</v>
      </c>
      <c r="P72" s="184">
        <f>IF(cyberControls[[#This Row],[Y, Y(C), N]]=no,1,0)</f>
        <v>0</v>
      </c>
      <c r="Q72" s="184">
        <f>IF(cyberControls[[#This Row],[Y, Y(C), N]]=NotAvail,1,0)</f>
        <v>0</v>
      </c>
      <c r="R72" s="92"/>
    </row>
    <row r="73" spans="1:18" ht="45" x14ac:dyDescent="0.25">
      <c r="A73" s="86" t="s">
        <v>263</v>
      </c>
      <c r="B73" s="86" t="s">
        <v>296</v>
      </c>
      <c r="C73" s="86" t="s">
        <v>31</v>
      </c>
      <c r="D73" s="87"/>
      <c r="E73" s="58" t="s">
        <v>330</v>
      </c>
      <c r="F73" s="24"/>
      <c r="G73" s="237"/>
      <c r="H73" s="255" t="str">
        <f>IFERROR(HYPERLINK("#'Appendix A'!E"&amp;ROW(INDEX(Table23[DSorder],MATCH(cyberControls[[#This Row],[AppAref]],Table23[DSorder],0))),"GO"),"")</f>
        <v/>
      </c>
      <c r="I73" s="86" t="str">
        <f>cyberControls[[#This Row],[Component]]&amp;cyberControls[[#This Row],[Maturity Level]]</f>
        <v>Access and Data ManagementInnovative</v>
      </c>
      <c r="J73" s="86" t="str">
        <f>cyberControls[[#This Row],[workArea]]&amp;cyberControls[[#This Row],[Y, Y(C), N]]</f>
        <v>Access and Data ManagementInnovative</v>
      </c>
      <c r="K73" s="184"/>
      <c r="L73" s="184"/>
      <c r="M73" s="184" t="str">
        <f t="shared" ref="M73:M104" si="2">TRIM(MID($A$5,FIND(":",$A$5)+2,LEN($A$5)))</f>
        <v>Cybersecurity Controls</v>
      </c>
      <c r="N73" s="184">
        <f>IF(cyberControls[[#This Row],[Y, Y(C), N]]=yes,1,0)</f>
        <v>0</v>
      </c>
      <c r="O73" s="184">
        <f>IF(cyberControls[[#This Row],[Y, Y(C), N]]=yesCC,1,0)</f>
        <v>0</v>
      </c>
      <c r="P73" s="184">
        <f>IF(cyberControls[[#This Row],[Y, Y(C), N]]=no,1,0)</f>
        <v>0</v>
      </c>
      <c r="Q73" s="184">
        <f>IF(cyberControls[[#This Row],[Y, Y(C), N]]=NotAvail,1,0)</f>
        <v>0</v>
      </c>
      <c r="R73" s="92"/>
    </row>
    <row r="74" spans="1:18" ht="45" x14ac:dyDescent="0.25">
      <c r="A74" s="86" t="s">
        <v>263</v>
      </c>
      <c r="B74" s="86" t="s">
        <v>296</v>
      </c>
      <c r="C74" s="86" t="s">
        <v>31</v>
      </c>
      <c r="D74" s="87"/>
      <c r="E74" s="58" t="s">
        <v>331</v>
      </c>
      <c r="F74" s="24"/>
      <c r="G74" s="237"/>
      <c r="H74" s="255" t="str">
        <f>IFERROR(HYPERLINK("#'Appendix A'!E"&amp;ROW(INDEX(Table23[DSorder],MATCH(cyberControls[[#This Row],[AppAref]],Table23[DSorder],0))),"GO"),"")</f>
        <v/>
      </c>
      <c r="I74" s="86" t="str">
        <f>cyberControls[[#This Row],[Component]]&amp;cyberControls[[#This Row],[Maturity Level]]</f>
        <v>Access and Data ManagementInnovative</v>
      </c>
      <c r="J74" s="86" t="str">
        <f>cyberControls[[#This Row],[workArea]]&amp;cyberControls[[#This Row],[Y, Y(C), N]]</f>
        <v>Access and Data ManagementInnovative</v>
      </c>
      <c r="K74" s="184"/>
      <c r="L74" s="184"/>
      <c r="M74" s="184" t="str">
        <f t="shared" si="2"/>
        <v>Cybersecurity Controls</v>
      </c>
      <c r="N74" s="184">
        <f>IF(cyberControls[[#This Row],[Y, Y(C), N]]=yes,1,0)</f>
        <v>0</v>
      </c>
      <c r="O74" s="184">
        <f>IF(cyberControls[[#This Row],[Y, Y(C), N]]=yesCC,1,0)</f>
        <v>0</v>
      </c>
      <c r="P74" s="184">
        <f>IF(cyberControls[[#This Row],[Y, Y(C), N]]=no,1,0)</f>
        <v>0</v>
      </c>
      <c r="Q74" s="184">
        <f>IF(cyberControls[[#This Row],[Y, Y(C), N]]=NotAvail,1,0)</f>
        <v>0</v>
      </c>
      <c r="R74" s="92"/>
    </row>
    <row r="75" spans="1:18" ht="30" x14ac:dyDescent="0.25">
      <c r="A75" s="86" t="s">
        <v>263</v>
      </c>
      <c r="B75" s="86" t="s">
        <v>296</v>
      </c>
      <c r="C75" s="86" t="s">
        <v>31</v>
      </c>
      <c r="D75" s="87"/>
      <c r="E75" s="58" t="s">
        <v>332</v>
      </c>
      <c r="F75" s="24"/>
      <c r="G75" s="237"/>
      <c r="H75" s="255" t="str">
        <f>IFERROR(HYPERLINK("#'Appendix A'!E"&amp;ROW(INDEX(Table23[DSorder],MATCH(cyberControls[[#This Row],[AppAref]],Table23[DSorder],0))),"GO"),"")</f>
        <v/>
      </c>
      <c r="I75" s="86" t="str">
        <f>cyberControls[[#This Row],[Component]]&amp;cyberControls[[#This Row],[Maturity Level]]</f>
        <v>Access and Data ManagementInnovative</v>
      </c>
      <c r="J75" s="86" t="str">
        <f>cyberControls[[#This Row],[workArea]]&amp;cyberControls[[#This Row],[Y, Y(C), N]]</f>
        <v>Access and Data ManagementInnovative</v>
      </c>
      <c r="K75" s="184"/>
      <c r="L75" s="184"/>
      <c r="M75" s="184" t="str">
        <f t="shared" si="2"/>
        <v>Cybersecurity Controls</v>
      </c>
      <c r="N75" s="184">
        <f>IF(cyberControls[[#This Row],[Y, Y(C), N]]=yes,1,0)</f>
        <v>0</v>
      </c>
      <c r="O75" s="184">
        <f>IF(cyberControls[[#This Row],[Y, Y(C), N]]=yesCC,1,0)</f>
        <v>0</v>
      </c>
      <c r="P75" s="184">
        <f>IF(cyberControls[[#This Row],[Y, Y(C), N]]=no,1,0)</f>
        <v>0</v>
      </c>
      <c r="Q75" s="184">
        <f>IF(cyberControls[[#This Row],[Y, Y(C), N]]=NotAvail,1,0)</f>
        <v>0</v>
      </c>
      <c r="R75" s="92"/>
    </row>
    <row r="76" spans="1:18" ht="30" x14ac:dyDescent="0.25">
      <c r="A76" s="86" t="s">
        <v>263</v>
      </c>
      <c r="B76" s="86" t="s">
        <v>296</v>
      </c>
      <c r="C76" s="86" t="s">
        <v>31</v>
      </c>
      <c r="D76" s="87"/>
      <c r="E76" s="58" t="s">
        <v>333</v>
      </c>
      <c r="F76" s="24"/>
      <c r="G76" s="237"/>
      <c r="H76" s="255" t="str">
        <f>IFERROR(HYPERLINK("#'Appendix A'!E"&amp;ROW(INDEX(Table23[DSorder],MATCH(cyberControls[[#This Row],[AppAref]],Table23[DSorder],0))),"GO"),"")</f>
        <v/>
      </c>
      <c r="I76" s="86" t="str">
        <f>cyberControls[[#This Row],[Component]]&amp;cyberControls[[#This Row],[Maturity Level]]</f>
        <v>Access and Data ManagementInnovative</v>
      </c>
      <c r="J76" s="86" t="str">
        <f>cyberControls[[#This Row],[workArea]]&amp;cyberControls[[#This Row],[Y, Y(C), N]]</f>
        <v>Access and Data ManagementInnovative</v>
      </c>
      <c r="K76" s="184"/>
      <c r="L76" s="184"/>
      <c r="M76" s="184" t="str">
        <f t="shared" si="2"/>
        <v>Cybersecurity Controls</v>
      </c>
      <c r="N76" s="184">
        <f>IF(cyberControls[[#This Row],[Y, Y(C), N]]=yes,1,0)</f>
        <v>0</v>
      </c>
      <c r="O76" s="184">
        <f>IF(cyberControls[[#This Row],[Y, Y(C), N]]=yesCC,1,0)</f>
        <v>0</v>
      </c>
      <c r="P76" s="184">
        <f>IF(cyberControls[[#This Row],[Y, Y(C), N]]=no,1,0)</f>
        <v>0</v>
      </c>
      <c r="Q76" s="184">
        <f>IF(cyberControls[[#This Row],[Y, Y(C), N]]=NotAvail,1,0)</f>
        <v>0</v>
      </c>
      <c r="R76" s="92"/>
    </row>
    <row r="77" spans="1:18" ht="30" x14ac:dyDescent="0.25">
      <c r="A77" s="86" t="s">
        <v>263</v>
      </c>
      <c r="B77" s="86" t="s">
        <v>296</v>
      </c>
      <c r="C77" s="86" t="s">
        <v>31</v>
      </c>
      <c r="D77" s="87"/>
      <c r="E77" s="58" t="s">
        <v>334</v>
      </c>
      <c r="F77" s="24"/>
      <c r="G77" s="237"/>
      <c r="H77" s="255" t="str">
        <f>IFERROR(HYPERLINK("#'Appendix A'!E"&amp;ROW(INDEX(Table23[DSorder],MATCH(cyberControls[[#This Row],[AppAref]],Table23[DSorder],0))),"GO"),"")</f>
        <v/>
      </c>
      <c r="I77" s="86" t="str">
        <f>cyberControls[[#This Row],[Component]]&amp;cyberControls[[#This Row],[Maturity Level]]</f>
        <v>Access and Data ManagementInnovative</v>
      </c>
      <c r="J77" s="86" t="str">
        <f>cyberControls[[#This Row],[workArea]]&amp;cyberControls[[#This Row],[Y, Y(C), N]]</f>
        <v>Access and Data ManagementInnovative</v>
      </c>
      <c r="K77" s="184"/>
      <c r="L77" s="184"/>
      <c r="M77" s="184" t="str">
        <f t="shared" si="2"/>
        <v>Cybersecurity Controls</v>
      </c>
      <c r="N77" s="184">
        <f>IF(cyberControls[[#This Row],[Y, Y(C), N]]=yes,1,0)</f>
        <v>0</v>
      </c>
      <c r="O77" s="184">
        <f>IF(cyberControls[[#This Row],[Y, Y(C), N]]=yesCC,1,0)</f>
        <v>0</v>
      </c>
      <c r="P77" s="184">
        <f>IF(cyberControls[[#This Row],[Y, Y(C), N]]=no,1,0)</f>
        <v>0</v>
      </c>
      <c r="Q77" s="184">
        <f>IF(cyberControls[[#This Row],[Y, Y(C), N]]=NotAvail,1,0)</f>
        <v>0</v>
      </c>
      <c r="R77" s="92"/>
    </row>
    <row r="78" spans="1:18" ht="30" x14ac:dyDescent="0.25">
      <c r="A78" s="86" t="s">
        <v>263</v>
      </c>
      <c r="B78" s="86" t="s">
        <v>335</v>
      </c>
      <c r="C78" s="86" t="s">
        <v>27</v>
      </c>
      <c r="D78" s="87"/>
      <c r="E78" s="58" t="s">
        <v>336</v>
      </c>
      <c r="F78"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Work Program, Objective I: 4-1</v>
      </c>
      <c r="G78" s="240"/>
      <c r="H78" s="255" t="str">
        <f>IFERROR(HYPERLINK("#'Appendix A'!E"&amp;ROW(INDEX(Table23[DSorder],MATCH(cyberControls[[#This Row],[AppAref]],Table23[DSorder],0))),"GO"),"")</f>
        <v>GO</v>
      </c>
      <c r="I78" s="86" t="str">
        <f>cyberControls[[#This Row],[Component]]&amp;cyberControls[[#This Row],[Maturity Level]]</f>
        <v>Device/End-Point SecurityBaseline</v>
      </c>
      <c r="J78" s="86" t="str">
        <f>cyberControls[[#This Row],[workArea]]&amp;cyberControls[[#This Row],[Y, Y(C), N]]</f>
        <v>Device/End-Point SecurityBaseline</v>
      </c>
      <c r="K78" s="184">
        <v>65</v>
      </c>
      <c r="L78" s="202">
        <f>IFERROR(MATCH(cyberControls[[#This Row],[Ref No.]],hyperlinkLU[Reference No.],0),cyberControls[[#This Row],[Ref No.]])</f>
        <v>66</v>
      </c>
      <c r="M78" s="202" t="str">
        <f t="shared" si="2"/>
        <v>Cybersecurity Controls</v>
      </c>
      <c r="N78" s="184">
        <f>IF(cyberControls[[#This Row],[Y, Y(C), N]]=yes,1,0)</f>
        <v>0</v>
      </c>
      <c r="O78" s="184">
        <f>IF(cyberControls[[#This Row],[Y, Y(C), N]]=yesCC,1,0)</f>
        <v>0</v>
      </c>
      <c r="P78" s="184">
        <f>IF(cyberControls[[#This Row],[Y, Y(C), N]]=no,1,0)</f>
        <v>0</v>
      </c>
      <c r="Q78" s="184">
        <f>IF(cyberControls[[#This Row],[Y, Y(C), N]]=NotAvail,1,0)</f>
        <v>0</v>
      </c>
      <c r="R78" s="92">
        <v>68</v>
      </c>
    </row>
    <row r="79" spans="1:18" ht="30" x14ac:dyDescent="0.25">
      <c r="A79" s="86" t="s">
        <v>263</v>
      </c>
      <c r="B79" s="86" t="s">
        <v>335</v>
      </c>
      <c r="C79" s="86" t="s">
        <v>28</v>
      </c>
      <c r="D79" s="87"/>
      <c r="E79" s="58" t="s">
        <v>337</v>
      </c>
      <c r="F79" s="24"/>
      <c r="G79" s="237"/>
      <c r="H79" s="255" t="str">
        <f>IFERROR(HYPERLINK("#'Appendix A'!E"&amp;ROW(INDEX(Table23[DSorder],MATCH(cyberControls[[#This Row],[AppAref]],Table23[DSorder],0))),"GO"),"")</f>
        <v/>
      </c>
      <c r="I79" s="86" t="str">
        <f>cyberControls[[#This Row],[Component]]&amp;cyberControls[[#This Row],[Maturity Level]]</f>
        <v>Device/End-Point SecurityEvolving</v>
      </c>
      <c r="J79" s="86" t="str">
        <f>cyberControls[[#This Row],[workArea]]&amp;cyberControls[[#This Row],[Y, Y(C), N]]</f>
        <v>Device/End-Point SecurityEvolving</v>
      </c>
      <c r="K79" s="184"/>
      <c r="L79" s="184"/>
      <c r="M79" s="184" t="str">
        <f t="shared" si="2"/>
        <v>Cybersecurity Controls</v>
      </c>
      <c r="N79" s="184">
        <f>IF(cyberControls[[#This Row],[Y, Y(C), N]]=yes,1,0)</f>
        <v>0</v>
      </c>
      <c r="O79" s="184">
        <f>IF(cyberControls[[#This Row],[Y, Y(C), N]]=yesCC,1,0)</f>
        <v>0</v>
      </c>
      <c r="P79" s="184">
        <f>IF(cyberControls[[#This Row],[Y, Y(C), N]]=no,1,0)</f>
        <v>0</v>
      </c>
      <c r="Q79" s="184">
        <f>IF(cyberControls[[#This Row],[Y, Y(C), N]]=NotAvail,1,0)</f>
        <v>0</v>
      </c>
      <c r="R79" s="92"/>
    </row>
    <row r="80" spans="1:18" ht="30" x14ac:dyDescent="0.25">
      <c r="A80" s="86" t="s">
        <v>263</v>
      </c>
      <c r="B80" s="86" t="s">
        <v>335</v>
      </c>
      <c r="C80" s="86" t="s">
        <v>28</v>
      </c>
      <c r="D80" s="87"/>
      <c r="E80" s="58" t="s">
        <v>338</v>
      </c>
      <c r="F80" s="24"/>
      <c r="G80" s="237"/>
      <c r="H80" s="255" t="str">
        <f>IFERROR(HYPERLINK("#'Appendix A'!E"&amp;ROW(INDEX(Table23[DSorder],MATCH(cyberControls[[#This Row],[AppAref]],Table23[DSorder],0))),"GO"),"")</f>
        <v/>
      </c>
      <c r="I80" s="86" t="str">
        <f>cyberControls[[#This Row],[Component]]&amp;cyberControls[[#This Row],[Maturity Level]]</f>
        <v>Device/End-Point SecurityEvolving</v>
      </c>
      <c r="J80" s="86" t="str">
        <f>cyberControls[[#This Row],[workArea]]&amp;cyberControls[[#This Row],[Y, Y(C), N]]</f>
        <v>Device/End-Point SecurityEvolving</v>
      </c>
      <c r="K80" s="184"/>
      <c r="L80" s="184"/>
      <c r="M80" s="184" t="str">
        <f t="shared" si="2"/>
        <v>Cybersecurity Controls</v>
      </c>
      <c r="N80" s="184">
        <f>IF(cyberControls[[#This Row],[Y, Y(C), N]]=yes,1,0)</f>
        <v>0</v>
      </c>
      <c r="O80" s="184">
        <f>IF(cyberControls[[#This Row],[Y, Y(C), N]]=yesCC,1,0)</f>
        <v>0</v>
      </c>
      <c r="P80" s="184">
        <f>IF(cyberControls[[#This Row],[Y, Y(C), N]]=no,1,0)</f>
        <v>0</v>
      </c>
      <c r="Q80" s="184">
        <f>IF(cyberControls[[#This Row],[Y, Y(C), N]]=NotAvail,1,0)</f>
        <v>0</v>
      </c>
      <c r="R80" s="92"/>
    </row>
    <row r="81" spans="1:18" ht="30" x14ac:dyDescent="0.25">
      <c r="A81" s="86" t="s">
        <v>263</v>
      </c>
      <c r="B81" s="86" t="s">
        <v>335</v>
      </c>
      <c r="C81" s="86" t="s">
        <v>28</v>
      </c>
      <c r="D81" s="87"/>
      <c r="E81" s="58" t="s">
        <v>339</v>
      </c>
      <c r="F81" s="24"/>
      <c r="G81" s="237"/>
      <c r="H81" s="255" t="str">
        <f>IFERROR(HYPERLINK("#'Appendix A'!E"&amp;ROW(INDEX(Table23[DSorder],MATCH(cyberControls[[#This Row],[AppAref]],Table23[DSorder],0))),"GO"),"")</f>
        <v/>
      </c>
      <c r="I81" s="86" t="str">
        <f>cyberControls[[#This Row],[Component]]&amp;cyberControls[[#This Row],[Maturity Level]]</f>
        <v>Device/End-Point SecurityEvolving</v>
      </c>
      <c r="J81" s="86" t="str">
        <f>cyberControls[[#This Row],[workArea]]&amp;cyberControls[[#This Row],[Y, Y(C), N]]</f>
        <v>Device/End-Point SecurityEvolving</v>
      </c>
      <c r="K81" s="184"/>
      <c r="L81" s="184"/>
      <c r="M81" s="184" t="str">
        <f t="shared" si="2"/>
        <v>Cybersecurity Controls</v>
      </c>
      <c r="N81" s="184">
        <f>IF(cyberControls[[#This Row],[Y, Y(C), N]]=yes,1,0)</f>
        <v>0</v>
      </c>
      <c r="O81" s="184">
        <f>IF(cyberControls[[#This Row],[Y, Y(C), N]]=yesCC,1,0)</f>
        <v>0</v>
      </c>
      <c r="P81" s="184">
        <f>IF(cyberControls[[#This Row],[Y, Y(C), N]]=no,1,0)</f>
        <v>0</v>
      </c>
      <c r="Q81" s="184">
        <f>IF(cyberControls[[#This Row],[Y, Y(C), N]]=NotAvail,1,0)</f>
        <v>0</v>
      </c>
      <c r="R81" s="92"/>
    </row>
    <row r="82" spans="1:18" ht="30" x14ac:dyDescent="0.25">
      <c r="A82" s="86" t="s">
        <v>263</v>
      </c>
      <c r="B82" s="86" t="s">
        <v>335</v>
      </c>
      <c r="C82" s="86" t="s">
        <v>28</v>
      </c>
      <c r="D82" s="87"/>
      <c r="E82" s="58" t="s">
        <v>340</v>
      </c>
      <c r="F82" s="24"/>
      <c r="G82" s="237"/>
      <c r="H82" s="255" t="str">
        <f>IFERROR(HYPERLINK("#'Appendix A'!E"&amp;ROW(INDEX(Table23[DSorder],MATCH(cyberControls[[#This Row],[AppAref]],Table23[DSorder],0))),"GO"),"")</f>
        <v/>
      </c>
      <c r="I82" s="86" t="str">
        <f>cyberControls[[#This Row],[Component]]&amp;cyberControls[[#This Row],[Maturity Level]]</f>
        <v>Device/End-Point SecurityEvolving</v>
      </c>
      <c r="J82" s="86" t="str">
        <f>cyberControls[[#This Row],[workArea]]&amp;cyberControls[[#This Row],[Y, Y(C), N]]</f>
        <v>Device/End-Point SecurityEvolving</v>
      </c>
      <c r="K82" s="184"/>
      <c r="L82" s="184"/>
      <c r="M82" s="184" t="str">
        <f t="shared" si="2"/>
        <v>Cybersecurity Controls</v>
      </c>
      <c r="N82" s="184">
        <f>IF(cyberControls[[#This Row],[Y, Y(C), N]]=yes,1,0)</f>
        <v>0</v>
      </c>
      <c r="O82" s="184">
        <f>IF(cyberControls[[#This Row],[Y, Y(C), N]]=yesCC,1,0)</f>
        <v>0</v>
      </c>
      <c r="P82" s="184">
        <f>IF(cyberControls[[#This Row],[Y, Y(C), N]]=no,1,0)</f>
        <v>0</v>
      </c>
      <c r="Q82" s="184">
        <f>IF(cyberControls[[#This Row],[Y, Y(C), N]]=NotAvail,1,0)</f>
        <v>0</v>
      </c>
      <c r="R82" s="92"/>
    </row>
    <row r="83" spans="1:18" ht="30" x14ac:dyDescent="0.25">
      <c r="A83" s="86" t="s">
        <v>263</v>
      </c>
      <c r="B83" s="86" t="s">
        <v>335</v>
      </c>
      <c r="C83" s="86" t="s">
        <v>28</v>
      </c>
      <c r="D83" s="87"/>
      <c r="E83" s="58" t="s">
        <v>341</v>
      </c>
      <c r="F83" s="24"/>
      <c r="G83" s="237"/>
      <c r="H83" s="255" t="str">
        <f>IFERROR(HYPERLINK("#'Appendix A'!E"&amp;ROW(INDEX(Table23[DSorder],MATCH(cyberControls[[#This Row],[AppAref]],Table23[DSorder],0))),"GO"),"")</f>
        <v/>
      </c>
      <c r="I83" s="86" t="str">
        <f>cyberControls[[#This Row],[Component]]&amp;cyberControls[[#This Row],[Maturity Level]]</f>
        <v>Device/End-Point SecurityEvolving</v>
      </c>
      <c r="J83" s="86" t="str">
        <f>cyberControls[[#This Row],[workArea]]&amp;cyberControls[[#This Row],[Y, Y(C), N]]</f>
        <v>Device/End-Point SecurityEvolving</v>
      </c>
      <c r="K83" s="184"/>
      <c r="L83" s="184"/>
      <c r="M83" s="184" t="str">
        <f t="shared" si="2"/>
        <v>Cybersecurity Controls</v>
      </c>
      <c r="N83" s="184">
        <f>IF(cyberControls[[#This Row],[Y, Y(C), N]]=yes,1,0)</f>
        <v>0</v>
      </c>
      <c r="O83" s="184">
        <f>IF(cyberControls[[#This Row],[Y, Y(C), N]]=yesCC,1,0)</f>
        <v>0</v>
      </c>
      <c r="P83" s="184">
        <f>IF(cyberControls[[#This Row],[Y, Y(C), N]]=no,1,0)</f>
        <v>0</v>
      </c>
      <c r="Q83" s="184">
        <f>IF(cyberControls[[#This Row],[Y, Y(C), N]]=NotAvail,1,0)</f>
        <v>0</v>
      </c>
      <c r="R83" s="92"/>
    </row>
    <row r="84" spans="1:18" ht="30" x14ac:dyDescent="0.25">
      <c r="A84" s="86" t="s">
        <v>263</v>
      </c>
      <c r="B84" s="86" t="s">
        <v>335</v>
      </c>
      <c r="C84" s="86" t="s">
        <v>28</v>
      </c>
      <c r="D84" s="87"/>
      <c r="E84" s="58" t="s">
        <v>342</v>
      </c>
      <c r="F84" s="24"/>
      <c r="G84" s="237"/>
      <c r="H84" s="255" t="str">
        <f>IFERROR(HYPERLINK("#'Appendix A'!E"&amp;ROW(INDEX(Table23[DSorder],MATCH(cyberControls[[#This Row],[AppAref]],Table23[DSorder],0))),"GO"),"")</f>
        <v/>
      </c>
      <c r="I84" s="86" t="str">
        <f>cyberControls[[#This Row],[Component]]&amp;cyberControls[[#This Row],[Maturity Level]]</f>
        <v>Device/End-Point SecurityEvolving</v>
      </c>
      <c r="J84" s="86" t="str">
        <f>cyberControls[[#This Row],[workArea]]&amp;cyberControls[[#This Row],[Y, Y(C), N]]</f>
        <v>Device/End-Point SecurityEvolving</v>
      </c>
      <c r="K84" s="184"/>
      <c r="L84" s="184"/>
      <c r="M84" s="184" t="str">
        <f t="shared" si="2"/>
        <v>Cybersecurity Controls</v>
      </c>
      <c r="N84" s="184">
        <f>IF(cyberControls[[#This Row],[Y, Y(C), N]]=yes,1,0)</f>
        <v>0</v>
      </c>
      <c r="O84" s="184">
        <f>IF(cyberControls[[#This Row],[Y, Y(C), N]]=yesCC,1,0)</f>
        <v>0</v>
      </c>
      <c r="P84" s="184">
        <f>IF(cyberControls[[#This Row],[Y, Y(C), N]]=no,1,0)</f>
        <v>0</v>
      </c>
      <c r="Q84" s="184">
        <f>IF(cyberControls[[#This Row],[Y, Y(C), N]]=NotAvail,1,0)</f>
        <v>0</v>
      </c>
      <c r="R84" s="92"/>
    </row>
    <row r="85" spans="1:18" ht="30" x14ac:dyDescent="0.25">
      <c r="A85" s="86" t="s">
        <v>263</v>
      </c>
      <c r="B85" s="86" t="s">
        <v>335</v>
      </c>
      <c r="C85" s="86" t="s">
        <v>28</v>
      </c>
      <c r="D85" s="87"/>
      <c r="E85" s="58" t="s">
        <v>343</v>
      </c>
      <c r="F85" s="24"/>
      <c r="G85" s="237"/>
      <c r="H85" s="255" t="str">
        <f>IFERROR(HYPERLINK("#'Appendix A'!E"&amp;ROW(INDEX(Table23[DSorder],MATCH(cyberControls[[#This Row],[AppAref]],Table23[DSorder],0))),"GO"),"")</f>
        <v/>
      </c>
      <c r="I85" s="86" t="str">
        <f>cyberControls[[#This Row],[Component]]&amp;cyberControls[[#This Row],[Maturity Level]]</f>
        <v>Device/End-Point SecurityEvolving</v>
      </c>
      <c r="J85" s="86" t="str">
        <f>cyberControls[[#This Row],[workArea]]&amp;cyberControls[[#This Row],[Y, Y(C), N]]</f>
        <v>Device/End-Point SecurityEvolving</v>
      </c>
      <c r="K85" s="184"/>
      <c r="L85" s="184"/>
      <c r="M85" s="184" t="str">
        <f t="shared" si="2"/>
        <v>Cybersecurity Controls</v>
      </c>
      <c r="N85" s="184">
        <f>IF(cyberControls[[#This Row],[Y, Y(C), N]]=yes,1,0)</f>
        <v>0</v>
      </c>
      <c r="O85" s="184">
        <f>IF(cyberControls[[#This Row],[Y, Y(C), N]]=yesCC,1,0)</f>
        <v>0</v>
      </c>
      <c r="P85" s="184">
        <f>IF(cyberControls[[#This Row],[Y, Y(C), N]]=no,1,0)</f>
        <v>0</v>
      </c>
      <c r="Q85" s="184">
        <f>IF(cyberControls[[#This Row],[Y, Y(C), N]]=NotAvail,1,0)</f>
        <v>0</v>
      </c>
      <c r="R85" s="92"/>
    </row>
    <row r="86" spans="1:18" ht="45" x14ac:dyDescent="0.25">
      <c r="A86" s="86" t="s">
        <v>263</v>
      </c>
      <c r="B86" s="86" t="s">
        <v>335</v>
      </c>
      <c r="C86" s="86" t="s">
        <v>29</v>
      </c>
      <c r="D86" s="87"/>
      <c r="E86" s="58" t="s">
        <v>344</v>
      </c>
      <c r="F86" s="24"/>
      <c r="G86" s="237"/>
      <c r="H86" s="255" t="str">
        <f>IFERROR(HYPERLINK("#'Appendix A'!E"&amp;ROW(INDEX(Table23[DSorder],MATCH(cyberControls[[#This Row],[AppAref]],Table23[DSorder],0))),"GO"),"")</f>
        <v/>
      </c>
      <c r="I86" s="86" t="str">
        <f>cyberControls[[#This Row],[Component]]&amp;cyberControls[[#This Row],[Maturity Level]]</f>
        <v>Device/End-Point SecurityIntermediate</v>
      </c>
      <c r="J86" s="86" t="str">
        <f>cyberControls[[#This Row],[workArea]]&amp;cyberControls[[#This Row],[Y, Y(C), N]]</f>
        <v>Device/End-Point SecurityIntermediate</v>
      </c>
      <c r="K86" s="184"/>
      <c r="L86" s="184"/>
      <c r="M86" s="184" t="str">
        <f t="shared" si="2"/>
        <v>Cybersecurity Controls</v>
      </c>
      <c r="N86" s="184">
        <f>IF(cyberControls[[#This Row],[Y, Y(C), N]]=yes,1,0)</f>
        <v>0</v>
      </c>
      <c r="O86" s="184">
        <f>IF(cyberControls[[#This Row],[Y, Y(C), N]]=yesCC,1,0)</f>
        <v>0</v>
      </c>
      <c r="P86" s="184">
        <f>IF(cyberControls[[#This Row],[Y, Y(C), N]]=no,1,0)</f>
        <v>0</v>
      </c>
      <c r="Q86" s="184">
        <f>IF(cyberControls[[#This Row],[Y, Y(C), N]]=NotAvail,1,0)</f>
        <v>0</v>
      </c>
      <c r="R86" s="92"/>
    </row>
    <row r="87" spans="1:18" ht="30" x14ac:dyDescent="0.25">
      <c r="A87" s="86" t="s">
        <v>263</v>
      </c>
      <c r="B87" s="86" t="s">
        <v>335</v>
      </c>
      <c r="C87" s="86" t="s">
        <v>29</v>
      </c>
      <c r="D87" s="87"/>
      <c r="E87" s="58" t="s">
        <v>345</v>
      </c>
      <c r="F87" s="24"/>
      <c r="G87" s="237"/>
      <c r="H87" s="255" t="str">
        <f>IFERROR(HYPERLINK("#'Appendix A'!E"&amp;ROW(INDEX(Table23[DSorder],MATCH(cyberControls[[#This Row],[AppAref]],Table23[DSorder],0))),"GO"),"")</f>
        <v/>
      </c>
      <c r="I87" s="86" t="str">
        <f>cyberControls[[#This Row],[Component]]&amp;cyberControls[[#This Row],[Maturity Level]]</f>
        <v>Device/End-Point SecurityIntermediate</v>
      </c>
      <c r="J87" s="86" t="str">
        <f>cyberControls[[#This Row],[workArea]]&amp;cyberControls[[#This Row],[Y, Y(C), N]]</f>
        <v>Device/End-Point SecurityIntermediate</v>
      </c>
      <c r="K87" s="184"/>
      <c r="L87" s="184"/>
      <c r="M87" s="184" t="str">
        <f t="shared" si="2"/>
        <v>Cybersecurity Controls</v>
      </c>
      <c r="N87" s="184">
        <f>IF(cyberControls[[#This Row],[Y, Y(C), N]]=yes,1,0)</f>
        <v>0</v>
      </c>
      <c r="O87" s="184">
        <f>IF(cyberControls[[#This Row],[Y, Y(C), N]]=yesCC,1,0)</f>
        <v>0</v>
      </c>
      <c r="P87" s="184">
        <f>IF(cyberControls[[#This Row],[Y, Y(C), N]]=no,1,0)</f>
        <v>0</v>
      </c>
      <c r="Q87" s="184">
        <f>IF(cyberControls[[#This Row],[Y, Y(C), N]]=NotAvail,1,0)</f>
        <v>0</v>
      </c>
      <c r="R87" s="92"/>
    </row>
    <row r="88" spans="1:18" ht="45" x14ac:dyDescent="0.25">
      <c r="A88" s="86" t="s">
        <v>263</v>
      </c>
      <c r="B88" s="86" t="s">
        <v>335</v>
      </c>
      <c r="C88" s="86" t="s">
        <v>29</v>
      </c>
      <c r="D88" s="87"/>
      <c r="E88" s="58" t="s">
        <v>346</v>
      </c>
      <c r="F88" s="24"/>
      <c r="G88" s="237"/>
      <c r="H88" s="255" t="str">
        <f>IFERROR(HYPERLINK("#'Appendix A'!E"&amp;ROW(INDEX(Table23[DSorder],MATCH(cyberControls[[#This Row],[AppAref]],Table23[DSorder],0))),"GO"),"")</f>
        <v/>
      </c>
      <c r="I88" s="86" t="str">
        <f>cyberControls[[#This Row],[Component]]&amp;cyberControls[[#This Row],[Maturity Level]]</f>
        <v>Device/End-Point SecurityIntermediate</v>
      </c>
      <c r="J88" s="86" t="str">
        <f>cyberControls[[#This Row],[workArea]]&amp;cyberControls[[#This Row],[Y, Y(C), N]]</f>
        <v>Device/End-Point SecurityIntermediate</v>
      </c>
      <c r="K88" s="184"/>
      <c r="L88" s="184"/>
      <c r="M88" s="184" t="str">
        <f t="shared" si="2"/>
        <v>Cybersecurity Controls</v>
      </c>
      <c r="N88" s="184">
        <f>IF(cyberControls[[#This Row],[Y, Y(C), N]]=yes,1,0)</f>
        <v>0</v>
      </c>
      <c r="O88" s="184">
        <f>IF(cyberControls[[#This Row],[Y, Y(C), N]]=yesCC,1,0)</f>
        <v>0</v>
      </c>
      <c r="P88" s="184">
        <f>IF(cyberControls[[#This Row],[Y, Y(C), N]]=no,1,0)</f>
        <v>0</v>
      </c>
      <c r="Q88" s="184">
        <f>IF(cyberControls[[#This Row],[Y, Y(C), N]]=NotAvail,1,0)</f>
        <v>0</v>
      </c>
      <c r="R88" s="92"/>
    </row>
    <row r="89" spans="1:18" ht="45" x14ac:dyDescent="0.25">
      <c r="A89" s="86" t="s">
        <v>263</v>
      </c>
      <c r="B89" s="86" t="s">
        <v>335</v>
      </c>
      <c r="C89" s="86" t="s">
        <v>30</v>
      </c>
      <c r="D89" s="87"/>
      <c r="E89" s="58" t="s">
        <v>347</v>
      </c>
      <c r="F89" s="24"/>
      <c r="G89" s="237"/>
      <c r="H89" s="255" t="str">
        <f>IFERROR(HYPERLINK("#'Appendix A'!E"&amp;ROW(INDEX(Table23[DSorder],MATCH(cyberControls[[#This Row],[AppAref]],Table23[DSorder],0))),"GO"),"")</f>
        <v/>
      </c>
      <c r="I89" s="86" t="str">
        <f>cyberControls[[#This Row],[Component]]&amp;cyberControls[[#This Row],[Maturity Level]]</f>
        <v>Device/End-Point SecurityAdvanced</v>
      </c>
      <c r="J89" s="86" t="str">
        <f>cyberControls[[#This Row],[workArea]]&amp;cyberControls[[#This Row],[Y, Y(C), N]]</f>
        <v>Device/End-Point SecurityAdvanced</v>
      </c>
      <c r="K89" s="184"/>
      <c r="L89" s="184"/>
      <c r="M89" s="184" t="str">
        <f t="shared" si="2"/>
        <v>Cybersecurity Controls</v>
      </c>
      <c r="N89" s="184">
        <f>IF(cyberControls[[#This Row],[Y, Y(C), N]]=yes,1,0)</f>
        <v>0</v>
      </c>
      <c r="O89" s="184">
        <f>IF(cyberControls[[#This Row],[Y, Y(C), N]]=yesCC,1,0)</f>
        <v>0</v>
      </c>
      <c r="P89" s="184">
        <f>IF(cyberControls[[#This Row],[Y, Y(C), N]]=no,1,0)</f>
        <v>0</v>
      </c>
      <c r="Q89" s="184">
        <f>IF(cyberControls[[#This Row],[Y, Y(C), N]]=NotAvail,1,0)</f>
        <v>0</v>
      </c>
      <c r="R89" s="92"/>
    </row>
    <row r="90" spans="1:18" ht="30" x14ac:dyDescent="0.25">
      <c r="A90" s="86" t="s">
        <v>263</v>
      </c>
      <c r="B90" s="86" t="s">
        <v>335</v>
      </c>
      <c r="C90" s="86" t="s">
        <v>30</v>
      </c>
      <c r="D90" s="87"/>
      <c r="E90" s="58" t="s">
        <v>348</v>
      </c>
      <c r="F90" s="24"/>
      <c r="G90" s="237"/>
      <c r="H90" s="255" t="str">
        <f>IFERROR(HYPERLINK("#'Appendix A'!E"&amp;ROW(INDEX(Table23[DSorder],MATCH(cyberControls[[#This Row],[AppAref]],Table23[DSorder],0))),"GO"),"")</f>
        <v/>
      </c>
      <c r="I90" s="86" t="str">
        <f>cyberControls[[#This Row],[Component]]&amp;cyberControls[[#This Row],[Maturity Level]]</f>
        <v>Device/End-Point SecurityAdvanced</v>
      </c>
      <c r="J90" s="86" t="str">
        <f>cyberControls[[#This Row],[workArea]]&amp;cyberControls[[#This Row],[Y, Y(C), N]]</f>
        <v>Device/End-Point SecurityAdvanced</v>
      </c>
      <c r="K90" s="184"/>
      <c r="L90" s="184"/>
      <c r="M90" s="184" t="str">
        <f t="shared" si="2"/>
        <v>Cybersecurity Controls</v>
      </c>
      <c r="N90" s="184">
        <f>IF(cyberControls[[#This Row],[Y, Y(C), N]]=yes,1,0)</f>
        <v>0</v>
      </c>
      <c r="O90" s="184">
        <f>IF(cyberControls[[#This Row],[Y, Y(C), N]]=yesCC,1,0)</f>
        <v>0</v>
      </c>
      <c r="P90" s="184">
        <f>IF(cyberControls[[#This Row],[Y, Y(C), N]]=no,1,0)</f>
        <v>0</v>
      </c>
      <c r="Q90" s="184">
        <f>IF(cyberControls[[#This Row],[Y, Y(C), N]]=NotAvail,1,0)</f>
        <v>0</v>
      </c>
      <c r="R90" s="92"/>
    </row>
    <row r="91" spans="1:18" ht="45" x14ac:dyDescent="0.25">
      <c r="A91" s="86" t="s">
        <v>263</v>
      </c>
      <c r="B91" s="86" t="s">
        <v>335</v>
      </c>
      <c r="C91" s="86" t="s">
        <v>31</v>
      </c>
      <c r="D91" s="87"/>
      <c r="E91" s="58" t="s">
        <v>349</v>
      </c>
      <c r="F91" s="24"/>
      <c r="G91" s="237"/>
      <c r="H91" s="255" t="str">
        <f>IFERROR(HYPERLINK("#'Appendix A'!E"&amp;ROW(INDEX(Table23[DSorder],MATCH(cyberControls[[#This Row],[AppAref]],Table23[DSorder],0))),"GO"),"")</f>
        <v/>
      </c>
      <c r="I91" s="86" t="str">
        <f>cyberControls[[#This Row],[Component]]&amp;cyberControls[[#This Row],[Maturity Level]]</f>
        <v>Device/End-Point SecurityInnovative</v>
      </c>
      <c r="J91" s="86" t="str">
        <f>cyberControls[[#This Row],[workArea]]&amp;cyberControls[[#This Row],[Y, Y(C), N]]</f>
        <v>Device/End-Point SecurityInnovative</v>
      </c>
      <c r="K91" s="184"/>
      <c r="L91" s="184"/>
      <c r="M91" s="184" t="str">
        <f t="shared" si="2"/>
        <v>Cybersecurity Controls</v>
      </c>
      <c r="N91" s="184">
        <f>IF(cyberControls[[#This Row],[Y, Y(C), N]]=yes,1,0)</f>
        <v>0</v>
      </c>
      <c r="O91" s="184">
        <f>IF(cyberControls[[#This Row],[Y, Y(C), N]]=yesCC,1,0)</f>
        <v>0</v>
      </c>
      <c r="P91" s="184">
        <f>IF(cyberControls[[#This Row],[Y, Y(C), N]]=no,1,0)</f>
        <v>0</v>
      </c>
      <c r="Q91" s="184">
        <f>IF(cyberControls[[#This Row],[Y, Y(C), N]]=NotAvail,1,0)</f>
        <v>0</v>
      </c>
      <c r="R91" s="92"/>
    </row>
    <row r="92" spans="1:18" ht="45" x14ac:dyDescent="0.25">
      <c r="A92" s="86" t="s">
        <v>263</v>
      </c>
      <c r="B92" s="86" t="s">
        <v>350</v>
      </c>
      <c r="C92" s="86" t="s">
        <v>27</v>
      </c>
      <c r="D92" s="87"/>
      <c r="E92" s="58" t="s">
        <v>351</v>
      </c>
      <c r="F92"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56</v>
      </c>
      <c r="G92" s="237"/>
      <c r="H92" s="255" t="str">
        <f>IFERROR(HYPERLINK("#'Appendix A'!E"&amp;ROW(INDEX(Table23[DSorder],MATCH(cyberControls[[#This Row],[AppAref]],Table23[DSorder],0))),"GO"),"")</f>
        <v>GO</v>
      </c>
      <c r="I92" s="86" t="str">
        <f>cyberControls[[#This Row],[Component]]&amp;cyberControls[[#This Row],[Maturity Level]]</f>
        <v>Secure CodingBaseline</v>
      </c>
      <c r="J92" s="86" t="str">
        <f>cyberControls[[#This Row],[workArea]]&amp;cyberControls[[#This Row],[Y, Y(C), N]]</f>
        <v>Secure CodingBaseline</v>
      </c>
      <c r="K92" s="184">
        <v>66</v>
      </c>
      <c r="L92" s="202">
        <f>IFERROR(MATCH(cyberControls[[#This Row],[Ref No.]],hyperlinkLU[Reference No.],0),cyberControls[[#This Row],[Ref No.]])</f>
        <v>67</v>
      </c>
      <c r="M92" s="202" t="str">
        <f t="shared" si="2"/>
        <v>Cybersecurity Controls</v>
      </c>
      <c r="N92" s="184">
        <f>IF(cyberControls[[#This Row],[Y, Y(C), N]]=yes,1,0)</f>
        <v>0</v>
      </c>
      <c r="O92" s="184">
        <f>IF(cyberControls[[#This Row],[Y, Y(C), N]]=yesCC,1,0)</f>
        <v>0</v>
      </c>
      <c r="P92" s="184">
        <f>IF(cyberControls[[#This Row],[Y, Y(C), N]]=no,1,0)</f>
        <v>0</v>
      </c>
      <c r="Q92" s="184">
        <f>IF(cyberControls[[#This Row],[Y, Y(C), N]]=NotAvail,1,0)</f>
        <v>0</v>
      </c>
      <c r="R92" s="92">
        <v>69</v>
      </c>
    </row>
    <row r="93" spans="1:18" ht="45" x14ac:dyDescent="0.25">
      <c r="A93" s="86" t="s">
        <v>263</v>
      </c>
      <c r="B93" s="86" t="s">
        <v>350</v>
      </c>
      <c r="C93" s="86" t="s">
        <v>27</v>
      </c>
      <c r="D93" s="87"/>
      <c r="E93" s="58" t="s">
        <v>352</v>
      </c>
      <c r="F93"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59</v>
      </c>
      <c r="G93" s="237"/>
      <c r="H93" s="255" t="str">
        <f>IFERROR(HYPERLINK("#'Appendix A'!E"&amp;ROW(INDEX(Table23[DSorder],MATCH(cyberControls[[#This Row],[AppAref]],Table23[DSorder],0))),"GO"),"")</f>
        <v>GO</v>
      </c>
      <c r="I93" s="86" t="str">
        <f>cyberControls[[#This Row],[Component]]&amp;cyberControls[[#This Row],[Maturity Level]]</f>
        <v>Secure CodingBaseline</v>
      </c>
      <c r="J93" s="86" t="str">
        <f>cyberControls[[#This Row],[workArea]]&amp;cyberControls[[#This Row],[Y, Y(C), N]]</f>
        <v>Secure CodingBaseline</v>
      </c>
      <c r="K93" s="184">
        <v>67</v>
      </c>
      <c r="L93" s="202">
        <f>IFERROR(MATCH(cyberControls[[#This Row],[Ref No.]],hyperlinkLU[Reference No.],0),cyberControls[[#This Row],[Ref No.]])</f>
        <v>68</v>
      </c>
      <c r="M93" s="202" t="str">
        <f t="shared" si="2"/>
        <v>Cybersecurity Controls</v>
      </c>
      <c r="N93" s="184">
        <f>IF(cyberControls[[#This Row],[Y, Y(C), N]]=yes,1,0)</f>
        <v>0</v>
      </c>
      <c r="O93" s="184">
        <f>IF(cyberControls[[#This Row],[Y, Y(C), N]]=yesCC,1,0)</f>
        <v>0</v>
      </c>
      <c r="P93" s="184">
        <f>IF(cyberControls[[#This Row],[Y, Y(C), N]]=no,1,0)</f>
        <v>0</v>
      </c>
      <c r="Q93" s="184">
        <f>IF(cyberControls[[#This Row],[Y, Y(C), N]]=NotAvail,1,0)</f>
        <v>0</v>
      </c>
      <c r="R93" s="92">
        <v>70</v>
      </c>
    </row>
    <row r="94" spans="1:18" ht="45" x14ac:dyDescent="0.25">
      <c r="A94" s="86" t="s">
        <v>263</v>
      </c>
      <c r="B94" s="86" t="s">
        <v>350</v>
      </c>
      <c r="C94" s="86" t="s">
        <v>27</v>
      </c>
      <c r="D94" s="87"/>
      <c r="E94" s="58" t="s">
        <v>353</v>
      </c>
      <c r="F94"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Development and Acquisition Booklet, page 2</v>
      </c>
      <c r="G94" s="237"/>
      <c r="H94" s="255" t="str">
        <f>IFERROR(HYPERLINK("#'Appendix A'!E"&amp;ROW(INDEX(Table23[DSorder],MATCH(cyberControls[[#This Row],[AppAref]],Table23[DSorder],0))),"GO"),"")</f>
        <v>GO</v>
      </c>
      <c r="I94" s="86" t="str">
        <f>cyberControls[[#This Row],[Component]]&amp;cyberControls[[#This Row],[Maturity Level]]</f>
        <v>Secure CodingBaseline</v>
      </c>
      <c r="J94" s="86" t="str">
        <f>cyberControls[[#This Row],[workArea]]&amp;cyberControls[[#This Row],[Y, Y(C), N]]</f>
        <v>Secure CodingBaseline</v>
      </c>
      <c r="K94" s="184">
        <v>68</v>
      </c>
      <c r="L94" s="202">
        <f>IFERROR(MATCH(cyberControls[[#This Row],[Ref No.]],hyperlinkLU[Reference No.],0),cyberControls[[#This Row],[Ref No.]])</f>
        <v>69</v>
      </c>
      <c r="M94" s="202" t="str">
        <f t="shared" si="2"/>
        <v>Cybersecurity Controls</v>
      </c>
      <c r="N94" s="184">
        <f>IF(cyberControls[[#This Row],[Y, Y(C), N]]=yes,1,0)</f>
        <v>0</v>
      </c>
      <c r="O94" s="184">
        <f>IF(cyberControls[[#This Row],[Y, Y(C), N]]=yesCC,1,0)</f>
        <v>0</v>
      </c>
      <c r="P94" s="184">
        <f>IF(cyberControls[[#This Row],[Y, Y(C), N]]=no,1,0)</f>
        <v>0</v>
      </c>
      <c r="Q94" s="184">
        <f>IF(cyberControls[[#This Row],[Y, Y(C), N]]=NotAvail,1,0)</f>
        <v>0</v>
      </c>
      <c r="R94" s="92">
        <v>71</v>
      </c>
    </row>
    <row r="95" spans="1:18" ht="45" x14ac:dyDescent="0.25">
      <c r="A95" s="86" t="s">
        <v>263</v>
      </c>
      <c r="B95" s="86" t="s">
        <v>350</v>
      </c>
      <c r="C95" s="86" t="s">
        <v>27</v>
      </c>
      <c r="D95" s="87"/>
      <c r="E95" s="58" t="s">
        <v>354</v>
      </c>
      <c r="F95"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Development and Acquisition Booklet, page 39</v>
      </c>
      <c r="G95" s="237"/>
      <c r="H95" s="255" t="str">
        <f>IFERROR(HYPERLINK("#'Appendix A'!E"&amp;ROW(INDEX(Table23[DSorder],MATCH(cyberControls[[#This Row],[AppAref]],Table23[DSorder],0))),"GO"),"")</f>
        <v>GO</v>
      </c>
      <c r="I95" s="86" t="str">
        <f>cyberControls[[#This Row],[Component]]&amp;cyberControls[[#This Row],[Maturity Level]]</f>
        <v>Secure CodingBaseline</v>
      </c>
      <c r="J95" s="86" t="str">
        <f>cyberControls[[#This Row],[workArea]]&amp;cyberControls[[#This Row],[Y, Y(C), N]]</f>
        <v>Secure CodingBaseline</v>
      </c>
      <c r="K95" s="184">
        <v>69</v>
      </c>
      <c r="L95" s="202">
        <f>IFERROR(MATCH(cyberControls[[#This Row],[Ref No.]],hyperlinkLU[Reference No.],0),cyberControls[[#This Row],[Ref No.]])</f>
        <v>70</v>
      </c>
      <c r="M95" s="202" t="str">
        <f t="shared" si="2"/>
        <v>Cybersecurity Controls</v>
      </c>
      <c r="N95" s="184">
        <f>IF(cyberControls[[#This Row],[Y, Y(C), N]]=yes,1,0)</f>
        <v>0</v>
      </c>
      <c r="O95" s="184">
        <f>IF(cyberControls[[#This Row],[Y, Y(C), N]]=yesCC,1,0)</f>
        <v>0</v>
      </c>
      <c r="P95" s="184">
        <f>IF(cyberControls[[#This Row],[Y, Y(C), N]]=no,1,0)</f>
        <v>0</v>
      </c>
      <c r="Q95" s="184">
        <f>IF(cyberControls[[#This Row],[Y, Y(C), N]]=NotAvail,1,0)</f>
        <v>0</v>
      </c>
      <c r="R95" s="92">
        <v>72</v>
      </c>
    </row>
    <row r="96" spans="1:18" ht="30" x14ac:dyDescent="0.25">
      <c r="A96" s="86" t="s">
        <v>263</v>
      </c>
      <c r="B96" s="86" t="s">
        <v>350</v>
      </c>
      <c r="C96" s="86" t="s">
        <v>28</v>
      </c>
      <c r="D96" s="87"/>
      <c r="E96" s="58" t="s">
        <v>355</v>
      </c>
      <c r="F96" s="24"/>
      <c r="G96" s="237"/>
      <c r="H96" s="255" t="str">
        <f>IFERROR(HYPERLINK("#'Appendix A'!E"&amp;ROW(INDEX(Table23[DSorder],MATCH(cyberControls[[#This Row],[AppAref]],Table23[DSorder],0))),"GO"),"")</f>
        <v/>
      </c>
      <c r="I96" s="86" t="str">
        <f>cyberControls[[#This Row],[Component]]&amp;cyberControls[[#This Row],[Maturity Level]]</f>
        <v>Secure CodingEvolving</v>
      </c>
      <c r="J96" s="86" t="str">
        <f>cyberControls[[#This Row],[workArea]]&amp;cyberControls[[#This Row],[Y, Y(C), N]]</f>
        <v>Secure CodingEvolving</v>
      </c>
      <c r="K96" s="184"/>
      <c r="L96" s="184"/>
      <c r="M96" s="184" t="str">
        <f t="shared" si="2"/>
        <v>Cybersecurity Controls</v>
      </c>
      <c r="N96" s="184">
        <f>IF(cyberControls[[#This Row],[Y, Y(C), N]]=yes,1,0)</f>
        <v>0</v>
      </c>
      <c r="O96" s="184">
        <f>IF(cyberControls[[#This Row],[Y, Y(C), N]]=yesCC,1,0)</f>
        <v>0</v>
      </c>
      <c r="P96" s="184">
        <f>IF(cyberControls[[#This Row],[Y, Y(C), N]]=no,1,0)</f>
        <v>0</v>
      </c>
      <c r="Q96" s="184">
        <f>IF(cyberControls[[#This Row],[Y, Y(C), N]]=NotAvail,1,0)</f>
        <v>0</v>
      </c>
      <c r="R96" s="92"/>
    </row>
    <row r="97" spans="1:18" ht="30" x14ac:dyDescent="0.25">
      <c r="A97" s="86" t="s">
        <v>263</v>
      </c>
      <c r="B97" s="86" t="s">
        <v>350</v>
      </c>
      <c r="C97" s="86" t="s">
        <v>29</v>
      </c>
      <c r="D97" s="87"/>
      <c r="E97" s="58" t="s">
        <v>356</v>
      </c>
      <c r="F97" s="24"/>
      <c r="G97" s="237"/>
      <c r="H97" s="255" t="str">
        <f>IFERROR(HYPERLINK("#'Appendix A'!E"&amp;ROW(INDEX(Table23[DSorder],MATCH(cyberControls[[#This Row],[AppAref]],Table23[DSorder],0))),"GO"),"")</f>
        <v/>
      </c>
      <c r="I97" s="86" t="str">
        <f>cyberControls[[#This Row],[Component]]&amp;cyberControls[[#This Row],[Maturity Level]]</f>
        <v>Secure CodingIntermediate</v>
      </c>
      <c r="J97" s="86" t="str">
        <f>cyberControls[[#This Row],[workArea]]&amp;cyberControls[[#This Row],[Y, Y(C), N]]</f>
        <v>Secure CodingIntermediate</v>
      </c>
      <c r="K97" s="184"/>
      <c r="L97" s="184"/>
      <c r="M97" s="184" t="str">
        <f t="shared" si="2"/>
        <v>Cybersecurity Controls</v>
      </c>
      <c r="N97" s="184">
        <f>IF(cyberControls[[#This Row],[Y, Y(C), N]]=yes,1,0)</f>
        <v>0</v>
      </c>
      <c r="O97" s="184">
        <f>IF(cyberControls[[#This Row],[Y, Y(C), N]]=yesCC,1,0)</f>
        <v>0</v>
      </c>
      <c r="P97" s="184">
        <f>IF(cyberControls[[#This Row],[Y, Y(C), N]]=no,1,0)</f>
        <v>0</v>
      </c>
      <c r="Q97" s="184">
        <f>IF(cyberControls[[#This Row],[Y, Y(C), N]]=NotAvail,1,0)</f>
        <v>0</v>
      </c>
      <c r="R97" s="92"/>
    </row>
    <row r="98" spans="1:18" ht="60" x14ac:dyDescent="0.25">
      <c r="A98" s="86" t="s">
        <v>263</v>
      </c>
      <c r="B98" s="86" t="s">
        <v>350</v>
      </c>
      <c r="C98" s="86" t="s">
        <v>29</v>
      </c>
      <c r="D98" s="87"/>
      <c r="E98" s="58" t="s">
        <v>357</v>
      </c>
      <c r="F98" s="24"/>
      <c r="G98" s="237"/>
      <c r="H98" s="255" t="str">
        <f>IFERROR(HYPERLINK("#'Appendix A'!E"&amp;ROW(INDEX(Table23[DSorder],MATCH(cyberControls[[#This Row],[AppAref]],Table23[DSorder],0))),"GO"),"")</f>
        <v/>
      </c>
      <c r="I98" s="86" t="str">
        <f>cyberControls[[#This Row],[Component]]&amp;cyberControls[[#This Row],[Maturity Level]]</f>
        <v>Secure CodingIntermediate</v>
      </c>
      <c r="J98" s="86" t="str">
        <f>cyberControls[[#This Row],[workArea]]&amp;cyberControls[[#This Row],[Y, Y(C), N]]</f>
        <v>Secure CodingIntermediate</v>
      </c>
      <c r="K98" s="184"/>
      <c r="L98" s="184"/>
      <c r="M98" s="184" t="str">
        <f t="shared" si="2"/>
        <v>Cybersecurity Controls</v>
      </c>
      <c r="N98" s="184">
        <f>IF(cyberControls[[#This Row],[Y, Y(C), N]]=yes,1,0)</f>
        <v>0</v>
      </c>
      <c r="O98" s="184">
        <f>IF(cyberControls[[#This Row],[Y, Y(C), N]]=yesCC,1,0)</f>
        <v>0</v>
      </c>
      <c r="P98" s="184">
        <f>IF(cyberControls[[#This Row],[Y, Y(C), N]]=no,1,0)</f>
        <v>0</v>
      </c>
      <c r="Q98" s="184">
        <f>IF(cyberControls[[#This Row],[Y, Y(C), N]]=NotAvail,1,0)</f>
        <v>0</v>
      </c>
      <c r="R98" s="92"/>
    </row>
    <row r="99" spans="1:18" ht="30" x14ac:dyDescent="0.25">
      <c r="A99" s="86" t="s">
        <v>263</v>
      </c>
      <c r="B99" s="86" t="s">
        <v>350</v>
      </c>
      <c r="C99" s="86" t="s">
        <v>29</v>
      </c>
      <c r="D99" s="87"/>
      <c r="E99" s="58" t="s">
        <v>358</v>
      </c>
      <c r="F99" s="24"/>
      <c r="G99" s="237"/>
      <c r="H99" s="255" t="str">
        <f>IFERROR(HYPERLINK("#'Appendix A'!E"&amp;ROW(INDEX(Table23[DSorder],MATCH(cyberControls[[#This Row],[AppAref]],Table23[DSorder],0))),"GO"),"")</f>
        <v/>
      </c>
      <c r="I99" s="86" t="str">
        <f>cyberControls[[#This Row],[Component]]&amp;cyberControls[[#This Row],[Maturity Level]]</f>
        <v>Secure CodingIntermediate</v>
      </c>
      <c r="J99" s="86" t="str">
        <f>cyberControls[[#This Row],[workArea]]&amp;cyberControls[[#This Row],[Y, Y(C), N]]</f>
        <v>Secure CodingIntermediate</v>
      </c>
      <c r="K99" s="184"/>
      <c r="L99" s="184"/>
      <c r="M99" s="184" t="str">
        <f t="shared" si="2"/>
        <v>Cybersecurity Controls</v>
      </c>
      <c r="N99" s="184">
        <f>IF(cyberControls[[#This Row],[Y, Y(C), N]]=yes,1,0)</f>
        <v>0</v>
      </c>
      <c r="O99" s="184">
        <f>IF(cyberControls[[#This Row],[Y, Y(C), N]]=yesCC,1,0)</f>
        <v>0</v>
      </c>
      <c r="P99" s="184">
        <f>IF(cyberControls[[#This Row],[Y, Y(C), N]]=no,1,0)</f>
        <v>0</v>
      </c>
      <c r="Q99" s="184">
        <f>IF(cyberControls[[#This Row],[Y, Y(C), N]]=NotAvail,1,0)</f>
        <v>0</v>
      </c>
      <c r="R99" s="92"/>
    </row>
    <row r="100" spans="1:18" ht="30" x14ac:dyDescent="0.25">
      <c r="A100" s="86" t="s">
        <v>263</v>
      </c>
      <c r="B100" s="86" t="s">
        <v>350</v>
      </c>
      <c r="C100" s="86" t="s">
        <v>29</v>
      </c>
      <c r="D100" s="87"/>
      <c r="E100" s="58" t="s">
        <v>359</v>
      </c>
      <c r="F100" s="24"/>
      <c r="G100" s="237"/>
      <c r="H100" s="255" t="str">
        <f>IFERROR(HYPERLINK("#'Appendix A'!E"&amp;ROW(INDEX(Table23[DSorder],MATCH(cyberControls[[#This Row],[AppAref]],Table23[DSorder],0))),"GO"),"")</f>
        <v/>
      </c>
      <c r="I100" s="86" t="str">
        <f>cyberControls[[#This Row],[Component]]&amp;cyberControls[[#This Row],[Maturity Level]]</f>
        <v>Secure CodingIntermediate</v>
      </c>
      <c r="J100" s="86" t="str">
        <f>cyberControls[[#This Row],[workArea]]&amp;cyberControls[[#This Row],[Y, Y(C), N]]</f>
        <v>Secure CodingIntermediate</v>
      </c>
      <c r="K100" s="184"/>
      <c r="L100" s="184"/>
      <c r="M100" s="184" t="str">
        <f t="shared" si="2"/>
        <v>Cybersecurity Controls</v>
      </c>
      <c r="N100" s="184">
        <f>IF(cyberControls[[#This Row],[Y, Y(C), N]]=yes,1,0)</f>
        <v>0</v>
      </c>
      <c r="O100" s="184">
        <f>IF(cyberControls[[#This Row],[Y, Y(C), N]]=yesCC,1,0)</f>
        <v>0</v>
      </c>
      <c r="P100" s="184">
        <f>IF(cyberControls[[#This Row],[Y, Y(C), N]]=no,1,0)</f>
        <v>0</v>
      </c>
      <c r="Q100" s="184">
        <f>IF(cyberControls[[#This Row],[Y, Y(C), N]]=NotAvail,1,0)</f>
        <v>0</v>
      </c>
      <c r="R100" s="92"/>
    </row>
    <row r="101" spans="1:18" ht="30" x14ac:dyDescent="0.25">
      <c r="A101" s="86" t="s">
        <v>263</v>
      </c>
      <c r="B101" s="86" t="s">
        <v>350</v>
      </c>
      <c r="C101" s="86" t="s">
        <v>30</v>
      </c>
      <c r="D101" s="87"/>
      <c r="E101" s="58" t="s">
        <v>360</v>
      </c>
      <c r="F101" s="24"/>
      <c r="G101" s="237"/>
      <c r="H101" s="255" t="str">
        <f>IFERROR(HYPERLINK("#'Appendix A'!E"&amp;ROW(INDEX(Table23[DSorder],MATCH(cyberControls[[#This Row],[AppAref]],Table23[DSorder],0))),"GO"),"")</f>
        <v/>
      </c>
      <c r="I101" s="86" t="str">
        <f>cyberControls[[#This Row],[Component]]&amp;cyberControls[[#This Row],[Maturity Level]]</f>
        <v>Secure CodingAdvanced</v>
      </c>
      <c r="J101" s="86" t="str">
        <f>cyberControls[[#This Row],[workArea]]&amp;cyberControls[[#This Row],[Y, Y(C), N]]</f>
        <v>Secure CodingAdvanced</v>
      </c>
      <c r="K101" s="184"/>
      <c r="L101" s="184"/>
      <c r="M101" s="184" t="str">
        <f t="shared" si="2"/>
        <v>Cybersecurity Controls</v>
      </c>
      <c r="N101" s="184">
        <f>IF(cyberControls[[#This Row],[Y, Y(C), N]]=yes,1,0)</f>
        <v>0</v>
      </c>
      <c r="O101" s="184">
        <f>IF(cyberControls[[#This Row],[Y, Y(C), N]]=yesCC,1,0)</f>
        <v>0</v>
      </c>
      <c r="P101" s="184">
        <f>IF(cyberControls[[#This Row],[Y, Y(C), N]]=no,1,0)</f>
        <v>0</v>
      </c>
      <c r="Q101" s="184">
        <f>IF(cyberControls[[#This Row],[Y, Y(C), N]]=NotAvail,1,0)</f>
        <v>0</v>
      </c>
      <c r="R101" s="92"/>
    </row>
    <row r="102" spans="1:18" x14ac:dyDescent="0.25">
      <c r="A102" s="86" t="s">
        <v>263</v>
      </c>
      <c r="B102" s="86" t="s">
        <v>350</v>
      </c>
      <c r="C102" s="86" t="s">
        <v>30</v>
      </c>
      <c r="D102" s="87"/>
      <c r="E102" s="58" t="s">
        <v>361</v>
      </c>
      <c r="F102" s="24"/>
      <c r="G102" s="237"/>
      <c r="H102" s="255" t="str">
        <f>IFERROR(HYPERLINK("#'Appendix A'!E"&amp;ROW(INDEX(Table23[DSorder],MATCH(cyberControls[[#This Row],[AppAref]],Table23[DSorder],0))),"GO"),"")</f>
        <v/>
      </c>
      <c r="I102" s="86" t="str">
        <f>cyberControls[[#This Row],[Component]]&amp;cyberControls[[#This Row],[Maturity Level]]</f>
        <v>Secure CodingAdvanced</v>
      </c>
      <c r="J102" s="86" t="str">
        <f>cyberControls[[#This Row],[workArea]]&amp;cyberControls[[#This Row],[Y, Y(C), N]]</f>
        <v>Secure CodingAdvanced</v>
      </c>
      <c r="K102" s="184"/>
      <c r="L102" s="184"/>
      <c r="M102" s="184" t="str">
        <f t="shared" si="2"/>
        <v>Cybersecurity Controls</v>
      </c>
      <c r="N102" s="184">
        <f>IF(cyberControls[[#This Row],[Y, Y(C), N]]=yes,1,0)</f>
        <v>0</v>
      </c>
      <c r="O102" s="184">
        <f>IF(cyberControls[[#This Row],[Y, Y(C), N]]=yesCC,1,0)</f>
        <v>0</v>
      </c>
      <c r="P102" s="184">
        <f>IF(cyberControls[[#This Row],[Y, Y(C), N]]=no,1,0)</f>
        <v>0</v>
      </c>
      <c r="Q102" s="184">
        <f>IF(cyberControls[[#This Row],[Y, Y(C), N]]=NotAvail,1,0)</f>
        <v>0</v>
      </c>
      <c r="R102" s="92"/>
    </row>
    <row r="103" spans="1:18" ht="30" x14ac:dyDescent="0.25">
      <c r="A103" s="86" t="s">
        <v>263</v>
      </c>
      <c r="B103" s="86" t="s">
        <v>350</v>
      </c>
      <c r="C103" s="86" t="s">
        <v>30</v>
      </c>
      <c r="D103" s="87"/>
      <c r="E103" s="58" t="s">
        <v>362</v>
      </c>
      <c r="F103" s="24"/>
      <c r="G103" s="237"/>
      <c r="H103" s="255" t="str">
        <f>IFERROR(HYPERLINK("#'Appendix A'!E"&amp;ROW(INDEX(Table23[DSorder],MATCH(cyberControls[[#This Row],[AppAref]],Table23[DSorder],0))),"GO"),"")</f>
        <v/>
      </c>
      <c r="I103" s="86" t="str">
        <f>cyberControls[[#This Row],[Component]]&amp;cyberControls[[#This Row],[Maturity Level]]</f>
        <v>Secure CodingAdvanced</v>
      </c>
      <c r="J103" s="86" t="str">
        <f>cyberControls[[#This Row],[workArea]]&amp;cyberControls[[#This Row],[Y, Y(C), N]]</f>
        <v>Secure CodingAdvanced</v>
      </c>
      <c r="K103" s="184"/>
      <c r="L103" s="184"/>
      <c r="M103" s="184" t="str">
        <f t="shared" si="2"/>
        <v>Cybersecurity Controls</v>
      </c>
      <c r="N103" s="184">
        <f>IF(cyberControls[[#This Row],[Y, Y(C), N]]=yes,1,0)</f>
        <v>0</v>
      </c>
      <c r="O103" s="184">
        <f>IF(cyberControls[[#This Row],[Y, Y(C), N]]=yesCC,1,0)</f>
        <v>0</v>
      </c>
      <c r="P103" s="184">
        <f>IF(cyberControls[[#This Row],[Y, Y(C), N]]=no,1,0)</f>
        <v>0</v>
      </c>
      <c r="Q103" s="184">
        <f>IF(cyberControls[[#This Row],[Y, Y(C), N]]=NotAvail,1,0)</f>
        <v>0</v>
      </c>
      <c r="R103" s="92"/>
    </row>
    <row r="104" spans="1:18" ht="45" x14ac:dyDescent="0.25">
      <c r="A104" s="86" t="s">
        <v>263</v>
      </c>
      <c r="B104" s="86" t="s">
        <v>350</v>
      </c>
      <c r="C104" s="86" t="s">
        <v>31</v>
      </c>
      <c r="D104" s="87"/>
      <c r="E104" s="58" t="s">
        <v>363</v>
      </c>
      <c r="F104" s="24"/>
      <c r="G104" s="237"/>
      <c r="H104" s="255" t="str">
        <f>IFERROR(HYPERLINK("#'Appendix A'!E"&amp;ROW(INDEX(Table23[DSorder],MATCH(cyberControls[[#This Row],[AppAref]],Table23[DSorder],0))),"GO"),"")</f>
        <v/>
      </c>
      <c r="I104" s="86" t="str">
        <f>cyberControls[[#This Row],[Component]]&amp;cyberControls[[#This Row],[Maturity Level]]</f>
        <v>Secure CodingInnovative</v>
      </c>
      <c r="J104" s="86" t="str">
        <f>cyberControls[[#This Row],[workArea]]&amp;cyberControls[[#This Row],[Y, Y(C), N]]</f>
        <v>Secure CodingInnovative</v>
      </c>
      <c r="K104" s="184"/>
      <c r="L104" s="184"/>
      <c r="M104" s="184" t="str">
        <f t="shared" si="2"/>
        <v>Cybersecurity Controls</v>
      </c>
      <c r="N104" s="184">
        <f>IF(cyberControls[[#This Row],[Y, Y(C), N]]=yes,1,0)</f>
        <v>0</v>
      </c>
      <c r="O104" s="184">
        <f>IF(cyberControls[[#This Row],[Y, Y(C), N]]=yesCC,1,0)</f>
        <v>0</v>
      </c>
      <c r="P104" s="184">
        <f>IF(cyberControls[[#This Row],[Y, Y(C), N]]=no,1,0)</f>
        <v>0</v>
      </c>
      <c r="Q104" s="184">
        <f>IF(cyberControls[[#This Row],[Y, Y(C), N]]=NotAvail,1,0)</f>
        <v>0</v>
      </c>
      <c r="R104" s="92"/>
    </row>
    <row r="105" spans="1:18" ht="45" x14ac:dyDescent="0.25">
      <c r="A105" s="86" t="s">
        <v>364</v>
      </c>
      <c r="B105" s="58" t="s">
        <v>612</v>
      </c>
      <c r="C105" s="86" t="s">
        <v>27</v>
      </c>
      <c r="D105" s="87"/>
      <c r="E105" s="58" t="s">
        <v>365</v>
      </c>
      <c r="F105"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61</v>
      </c>
      <c r="G105" s="237"/>
      <c r="H105" s="255" t="str">
        <f>IFERROR(HYPERLINK("#'Appendix A'!E"&amp;ROW(INDEX(Table23[DSorder],MATCH(cyberControls[[#This Row],[AppAref]],Table23[DSorder],0))),"GO"),"")</f>
        <v>GO</v>
      </c>
      <c r="I105" s="86" t="str">
        <f>cyberControls[[#This Row],[Component]]&amp;cyberControls[[#This Row],[Maturity Level]]</f>
        <v>Threat and Vulnerability DetectionBaseline</v>
      </c>
      <c r="J105" s="86" t="str">
        <f>cyberControls[[#This Row],[workArea]]&amp;cyberControls[[#This Row],[Y, Y(C), N]]</f>
        <v>Threat and Vulnerability DetectionBaseline</v>
      </c>
      <c r="K105" s="184">
        <v>70</v>
      </c>
      <c r="L105" s="202">
        <f>IFERROR(MATCH(cyberControls[[#This Row],[Ref No.]],hyperlinkLU[Reference No.],0),cyberControls[[#This Row],[Ref No.]])</f>
        <v>71</v>
      </c>
      <c r="M105" s="202" t="str">
        <f t="shared" ref="M105:M136" si="3">TRIM(MID($A$5,FIND(":",$A$5)+2,LEN($A$5)))</f>
        <v>Cybersecurity Controls</v>
      </c>
      <c r="N105" s="184">
        <f>IF(cyberControls[[#This Row],[Y, Y(C), N]]=yes,1,0)</f>
        <v>0</v>
      </c>
      <c r="O105" s="184">
        <f>IF(cyberControls[[#This Row],[Y, Y(C), N]]=yesCC,1,0)</f>
        <v>0</v>
      </c>
      <c r="P105" s="184">
        <f>IF(cyberControls[[#This Row],[Y, Y(C), N]]=no,1,0)</f>
        <v>0</v>
      </c>
      <c r="Q105" s="184">
        <f>IF(cyberControls[[#This Row],[Y, Y(C), N]]=NotAvail,1,0)</f>
        <v>0</v>
      </c>
      <c r="R105" s="92">
        <v>73</v>
      </c>
    </row>
    <row r="106" spans="1:18" ht="30" x14ac:dyDescent="0.25">
      <c r="A106" s="86" t="s">
        <v>364</v>
      </c>
      <c r="B106" s="58" t="s">
        <v>612</v>
      </c>
      <c r="C106" s="86" t="s">
        <v>27</v>
      </c>
      <c r="D106" s="87"/>
      <c r="E106" s="58" t="s">
        <v>366</v>
      </c>
      <c r="F106"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55</v>
      </c>
      <c r="G106" s="237"/>
      <c r="H106" s="255" t="str">
        <f>IFERROR(HYPERLINK("#'Appendix A'!E"&amp;ROW(INDEX(Table23[DSorder],MATCH(cyberControls[[#This Row],[AppAref]],Table23[DSorder],0))),"GO"),"")</f>
        <v>GO</v>
      </c>
      <c r="I106" s="86" t="str">
        <f>cyberControls[[#This Row],[Component]]&amp;cyberControls[[#This Row],[Maturity Level]]</f>
        <v>Threat and Vulnerability DetectionBaseline</v>
      </c>
      <c r="J106" s="86" t="str">
        <f>cyberControls[[#This Row],[workArea]]&amp;cyberControls[[#This Row],[Y, Y(C), N]]</f>
        <v>Threat and Vulnerability DetectionBaseline</v>
      </c>
      <c r="K106" s="184">
        <v>71</v>
      </c>
      <c r="L106" s="202">
        <f>IFERROR(MATCH(cyberControls[[#This Row],[Ref No.]],hyperlinkLU[Reference No.],0),cyberControls[[#This Row],[Ref No.]])</f>
        <v>72</v>
      </c>
      <c r="M106" s="202" t="str">
        <f t="shared" si="3"/>
        <v>Cybersecurity Controls</v>
      </c>
      <c r="N106" s="184">
        <f>IF(cyberControls[[#This Row],[Y, Y(C), N]]=yes,1,0)</f>
        <v>0</v>
      </c>
      <c r="O106" s="184">
        <f>IF(cyberControls[[#This Row],[Y, Y(C), N]]=yesCC,1,0)</f>
        <v>0</v>
      </c>
      <c r="P106" s="184">
        <f>IF(cyberControls[[#This Row],[Y, Y(C), N]]=no,1,0)</f>
        <v>0</v>
      </c>
      <c r="Q106" s="184">
        <f>IF(cyberControls[[#This Row],[Y, Y(C), N]]=NotAvail,1,0)</f>
        <v>0</v>
      </c>
      <c r="R106" s="92">
        <v>74</v>
      </c>
    </row>
    <row r="107" spans="1:18" ht="30" x14ac:dyDescent="0.25">
      <c r="A107" s="86" t="s">
        <v>364</v>
      </c>
      <c r="B107" s="58" t="s">
        <v>612</v>
      </c>
      <c r="C107" s="86" t="s">
        <v>27</v>
      </c>
      <c r="D107" s="87"/>
      <c r="E107" s="58" t="s">
        <v>367</v>
      </c>
      <c r="F107"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82</v>
      </c>
      <c r="G107" s="237"/>
      <c r="H107" s="255" t="str">
        <f>IFERROR(HYPERLINK("#'Appendix A'!E"&amp;ROW(INDEX(Table23[DSorder],MATCH(cyberControls[[#This Row],[AppAref]],Table23[DSorder],0))),"GO"),"")</f>
        <v>GO</v>
      </c>
      <c r="I107" s="86" t="str">
        <f>cyberControls[[#This Row],[Component]]&amp;cyberControls[[#This Row],[Maturity Level]]</f>
        <v>Threat and Vulnerability DetectionBaseline</v>
      </c>
      <c r="J107" s="86" t="str">
        <f>cyberControls[[#This Row],[workArea]]&amp;cyberControls[[#This Row],[Y, Y(C), N]]</f>
        <v>Threat and Vulnerability DetectionBaseline</v>
      </c>
      <c r="K107" s="184">
        <v>72</v>
      </c>
      <c r="L107" s="202">
        <f>IFERROR(MATCH(cyberControls[[#This Row],[Ref No.]],hyperlinkLU[Reference No.],0),cyberControls[[#This Row],[Ref No.]])</f>
        <v>73</v>
      </c>
      <c r="M107" s="202" t="str">
        <f t="shared" si="3"/>
        <v>Cybersecurity Controls</v>
      </c>
      <c r="N107" s="184">
        <f>IF(cyberControls[[#This Row],[Y, Y(C), N]]=yes,1,0)</f>
        <v>0</v>
      </c>
      <c r="O107" s="184">
        <f>IF(cyberControls[[#This Row],[Y, Y(C), N]]=yesCC,1,0)</f>
        <v>0</v>
      </c>
      <c r="P107" s="184">
        <f>IF(cyberControls[[#This Row],[Y, Y(C), N]]=no,1,0)</f>
        <v>0</v>
      </c>
      <c r="Q107" s="184">
        <f>IF(cyberControls[[#This Row],[Y, Y(C), N]]=NotAvail,1,0)</f>
        <v>0</v>
      </c>
      <c r="R107" s="92">
        <v>75</v>
      </c>
    </row>
    <row r="108" spans="1:18" ht="45" x14ac:dyDescent="0.25">
      <c r="A108" s="86" t="s">
        <v>364</v>
      </c>
      <c r="B108" s="58" t="s">
        <v>612</v>
      </c>
      <c r="C108" s="86" t="s">
        <v>27</v>
      </c>
      <c r="D108" s="87"/>
      <c r="E108" s="58" t="s">
        <v>368</v>
      </c>
      <c r="F108"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39</v>
      </c>
      <c r="G108" s="237"/>
      <c r="H108" s="255" t="str">
        <f>IFERROR(HYPERLINK("#'Appendix A'!E"&amp;ROW(INDEX(Table23[DSorder],MATCH(cyberControls[[#This Row],[AppAref]],Table23[DSorder],0))),"GO"),"")</f>
        <v>GO</v>
      </c>
      <c r="I108" s="86" t="str">
        <f>cyberControls[[#This Row],[Component]]&amp;cyberControls[[#This Row],[Maturity Level]]</f>
        <v>Threat and Vulnerability DetectionBaseline</v>
      </c>
      <c r="J108" s="86" t="str">
        <f>cyberControls[[#This Row],[workArea]]&amp;cyberControls[[#This Row],[Y, Y(C), N]]</f>
        <v>Threat and Vulnerability DetectionBaseline</v>
      </c>
      <c r="K108" s="184">
        <v>73</v>
      </c>
      <c r="L108" s="202">
        <f>IFERROR(MATCH(cyberControls[[#This Row],[Ref No.]],hyperlinkLU[Reference No.],0),cyberControls[[#This Row],[Ref No.]])</f>
        <v>74</v>
      </c>
      <c r="M108" s="202" t="str">
        <f t="shared" si="3"/>
        <v>Cybersecurity Controls</v>
      </c>
      <c r="N108" s="184">
        <f>IF(cyberControls[[#This Row],[Y, Y(C), N]]=yes,1,0)</f>
        <v>0</v>
      </c>
      <c r="O108" s="184">
        <f>IF(cyberControls[[#This Row],[Y, Y(C), N]]=yesCC,1,0)</f>
        <v>0</v>
      </c>
      <c r="P108" s="184">
        <f>IF(cyberControls[[#This Row],[Y, Y(C), N]]=no,1,0)</f>
        <v>0</v>
      </c>
      <c r="Q108" s="184">
        <f>IF(cyberControls[[#This Row],[Y, Y(C), N]]=NotAvail,1,0)</f>
        <v>0</v>
      </c>
      <c r="R108" s="92">
        <v>76</v>
      </c>
    </row>
    <row r="109" spans="1:18" ht="30" x14ac:dyDescent="0.25">
      <c r="A109" s="86" t="s">
        <v>364</v>
      </c>
      <c r="B109" s="58" t="s">
        <v>612</v>
      </c>
      <c r="C109" s="86" t="s">
        <v>28</v>
      </c>
      <c r="D109" s="87"/>
      <c r="E109" s="58" t="s">
        <v>369</v>
      </c>
      <c r="F109" s="24"/>
      <c r="G109" s="237"/>
      <c r="H109" s="255" t="str">
        <f>IFERROR(HYPERLINK("#'Appendix A'!E"&amp;ROW(INDEX(Table23[DSorder],MATCH(cyberControls[[#This Row],[AppAref]],Table23[DSorder],0))),"GO"),"")</f>
        <v/>
      </c>
      <c r="I109" s="86" t="str">
        <f>cyberControls[[#This Row],[Component]]&amp;cyberControls[[#This Row],[Maturity Level]]</f>
        <v>Threat and Vulnerability DetectionEvolving</v>
      </c>
      <c r="J109" s="86" t="str">
        <f>cyberControls[[#This Row],[workArea]]&amp;cyberControls[[#This Row],[Y, Y(C), N]]</f>
        <v>Threat and Vulnerability DetectionEvolving</v>
      </c>
      <c r="K109" s="184"/>
      <c r="L109" s="184"/>
      <c r="M109" s="184" t="str">
        <f t="shared" si="3"/>
        <v>Cybersecurity Controls</v>
      </c>
      <c r="N109" s="184">
        <f>IF(cyberControls[[#This Row],[Y, Y(C), N]]=yes,1,0)</f>
        <v>0</v>
      </c>
      <c r="O109" s="184">
        <f>IF(cyberControls[[#This Row],[Y, Y(C), N]]=yesCC,1,0)</f>
        <v>0</v>
      </c>
      <c r="P109" s="184">
        <f>IF(cyberControls[[#This Row],[Y, Y(C), N]]=no,1,0)</f>
        <v>0</v>
      </c>
      <c r="Q109" s="184">
        <f>IF(cyberControls[[#This Row],[Y, Y(C), N]]=NotAvail,1,0)</f>
        <v>0</v>
      </c>
      <c r="R109" s="92"/>
    </row>
    <row r="110" spans="1:18" ht="30" x14ac:dyDescent="0.25">
      <c r="A110" s="86" t="s">
        <v>364</v>
      </c>
      <c r="B110" s="58" t="s">
        <v>612</v>
      </c>
      <c r="C110" s="86" t="s">
        <v>28</v>
      </c>
      <c r="D110" s="87"/>
      <c r="E110" s="58" t="s">
        <v>370</v>
      </c>
      <c r="F110" s="24"/>
      <c r="G110" s="237"/>
      <c r="H110" s="255" t="str">
        <f>IFERROR(HYPERLINK("#'Appendix A'!E"&amp;ROW(INDEX(Table23[DSorder],MATCH(cyberControls[[#This Row],[AppAref]],Table23[DSorder],0))),"GO"),"")</f>
        <v/>
      </c>
      <c r="I110" s="86" t="str">
        <f>cyberControls[[#This Row],[Component]]&amp;cyberControls[[#This Row],[Maturity Level]]</f>
        <v>Threat and Vulnerability DetectionEvolving</v>
      </c>
      <c r="J110" s="86" t="str">
        <f>cyberControls[[#This Row],[workArea]]&amp;cyberControls[[#This Row],[Y, Y(C), N]]</f>
        <v>Threat and Vulnerability DetectionEvolving</v>
      </c>
      <c r="K110" s="184"/>
      <c r="L110" s="184"/>
      <c r="M110" s="184" t="str">
        <f t="shared" si="3"/>
        <v>Cybersecurity Controls</v>
      </c>
      <c r="N110" s="184">
        <f>IF(cyberControls[[#This Row],[Y, Y(C), N]]=yes,1,0)</f>
        <v>0</v>
      </c>
      <c r="O110" s="184">
        <f>IF(cyberControls[[#This Row],[Y, Y(C), N]]=yesCC,1,0)</f>
        <v>0</v>
      </c>
      <c r="P110" s="184">
        <f>IF(cyberControls[[#This Row],[Y, Y(C), N]]=no,1,0)</f>
        <v>0</v>
      </c>
      <c r="Q110" s="184">
        <f>IF(cyberControls[[#This Row],[Y, Y(C), N]]=NotAvail,1,0)</f>
        <v>0</v>
      </c>
      <c r="R110" s="92"/>
    </row>
    <row r="111" spans="1:18" ht="30" x14ac:dyDescent="0.25">
      <c r="A111" s="86" t="s">
        <v>364</v>
      </c>
      <c r="B111" s="58" t="s">
        <v>612</v>
      </c>
      <c r="C111" s="86" t="s">
        <v>28</v>
      </c>
      <c r="D111" s="87"/>
      <c r="E111" s="58" t="s">
        <v>371</v>
      </c>
      <c r="F111" s="24"/>
      <c r="G111" s="237"/>
      <c r="H111" s="255" t="str">
        <f>IFERROR(HYPERLINK("#'Appendix A'!E"&amp;ROW(INDEX(Table23[DSorder],MATCH(cyberControls[[#This Row],[AppAref]],Table23[DSorder],0))),"GO"),"")</f>
        <v/>
      </c>
      <c r="I111" s="86" t="str">
        <f>cyberControls[[#This Row],[Component]]&amp;cyberControls[[#This Row],[Maturity Level]]</f>
        <v>Threat and Vulnerability DetectionEvolving</v>
      </c>
      <c r="J111" s="86" t="str">
        <f>cyberControls[[#This Row],[workArea]]&amp;cyberControls[[#This Row],[Y, Y(C), N]]</f>
        <v>Threat and Vulnerability DetectionEvolving</v>
      </c>
      <c r="K111" s="184"/>
      <c r="L111" s="184"/>
      <c r="M111" s="184" t="str">
        <f t="shared" si="3"/>
        <v>Cybersecurity Controls</v>
      </c>
      <c r="N111" s="184">
        <f>IF(cyberControls[[#This Row],[Y, Y(C), N]]=yes,1,0)</f>
        <v>0</v>
      </c>
      <c r="O111" s="184">
        <f>IF(cyberControls[[#This Row],[Y, Y(C), N]]=yesCC,1,0)</f>
        <v>0</v>
      </c>
      <c r="P111" s="184">
        <f>IF(cyberControls[[#This Row],[Y, Y(C), N]]=no,1,0)</f>
        <v>0</v>
      </c>
      <c r="Q111" s="184">
        <f>IF(cyberControls[[#This Row],[Y, Y(C), N]]=NotAvail,1,0)</f>
        <v>0</v>
      </c>
      <c r="R111" s="92"/>
    </row>
    <row r="112" spans="1:18" ht="30" x14ac:dyDescent="0.25">
      <c r="A112" s="86" t="s">
        <v>364</v>
      </c>
      <c r="B112" s="58" t="s">
        <v>612</v>
      </c>
      <c r="C112" s="86" t="s">
        <v>28</v>
      </c>
      <c r="D112" s="87"/>
      <c r="E112" s="58" t="s">
        <v>372</v>
      </c>
      <c r="F112" s="24"/>
      <c r="G112" s="237"/>
      <c r="H112" s="255" t="str">
        <f>IFERROR(HYPERLINK("#'Appendix A'!E"&amp;ROW(INDEX(Table23[DSorder],MATCH(cyberControls[[#This Row],[AppAref]],Table23[DSorder],0))),"GO"),"")</f>
        <v/>
      </c>
      <c r="I112" s="86" t="str">
        <f>cyberControls[[#This Row],[Component]]&amp;cyberControls[[#This Row],[Maturity Level]]</f>
        <v>Threat and Vulnerability DetectionEvolving</v>
      </c>
      <c r="J112" s="86" t="str">
        <f>cyberControls[[#This Row],[workArea]]&amp;cyberControls[[#This Row],[Y, Y(C), N]]</f>
        <v>Threat and Vulnerability DetectionEvolving</v>
      </c>
      <c r="K112" s="184"/>
      <c r="L112" s="184"/>
      <c r="M112" s="184" t="str">
        <f t="shared" si="3"/>
        <v>Cybersecurity Controls</v>
      </c>
      <c r="N112" s="184">
        <f>IF(cyberControls[[#This Row],[Y, Y(C), N]]=yes,1,0)</f>
        <v>0</v>
      </c>
      <c r="O112" s="184">
        <f>IF(cyberControls[[#This Row],[Y, Y(C), N]]=yesCC,1,0)</f>
        <v>0</v>
      </c>
      <c r="P112" s="184">
        <f>IF(cyberControls[[#This Row],[Y, Y(C), N]]=no,1,0)</f>
        <v>0</v>
      </c>
      <c r="Q112" s="184">
        <f>IF(cyberControls[[#This Row],[Y, Y(C), N]]=NotAvail,1,0)</f>
        <v>0</v>
      </c>
      <c r="R112" s="92"/>
    </row>
    <row r="113" spans="1:18" ht="30" x14ac:dyDescent="0.25">
      <c r="A113" s="86" t="s">
        <v>364</v>
      </c>
      <c r="B113" s="58" t="s">
        <v>612</v>
      </c>
      <c r="C113" s="86" t="s">
        <v>28</v>
      </c>
      <c r="D113" s="87"/>
      <c r="E113" s="58" t="s">
        <v>373</v>
      </c>
      <c r="F113" s="24"/>
      <c r="G113" s="237"/>
      <c r="H113" s="255" t="str">
        <f>IFERROR(HYPERLINK("#'Appendix A'!E"&amp;ROW(INDEX(Table23[DSorder],MATCH(cyberControls[[#This Row],[AppAref]],Table23[DSorder],0))),"GO"),"")</f>
        <v/>
      </c>
      <c r="I113" s="86" t="str">
        <f>cyberControls[[#This Row],[Component]]&amp;cyberControls[[#This Row],[Maturity Level]]</f>
        <v>Threat and Vulnerability DetectionEvolving</v>
      </c>
      <c r="J113" s="86" t="str">
        <f>cyberControls[[#This Row],[workArea]]&amp;cyberControls[[#This Row],[Y, Y(C), N]]</f>
        <v>Threat and Vulnerability DetectionEvolving</v>
      </c>
      <c r="K113" s="184"/>
      <c r="L113" s="184"/>
      <c r="M113" s="184" t="str">
        <f t="shared" si="3"/>
        <v>Cybersecurity Controls</v>
      </c>
      <c r="N113" s="184">
        <f>IF(cyberControls[[#This Row],[Y, Y(C), N]]=yes,1,0)</f>
        <v>0</v>
      </c>
      <c r="O113" s="184">
        <f>IF(cyberControls[[#This Row],[Y, Y(C), N]]=yesCC,1,0)</f>
        <v>0</v>
      </c>
      <c r="P113" s="184">
        <f>IF(cyberControls[[#This Row],[Y, Y(C), N]]=no,1,0)</f>
        <v>0</v>
      </c>
      <c r="Q113" s="184">
        <f>IF(cyberControls[[#This Row],[Y, Y(C), N]]=NotAvail,1,0)</f>
        <v>0</v>
      </c>
      <c r="R113" s="92"/>
    </row>
    <row r="114" spans="1:18" ht="30" x14ac:dyDescent="0.25">
      <c r="A114" s="86" t="s">
        <v>364</v>
      </c>
      <c r="B114" s="58" t="s">
        <v>612</v>
      </c>
      <c r="C114" s="86" t="s">
        <v>28</v>
      </c>
      <c r="D114" s="87"/>
      <c r="E114" s="58" t="s">
        <v>374</v>
      </c>
      <c r="F114" s="24"/>
      <c r="G114" s="237"/>
      <c r="H114" s="255" t="str">
        <f>IFERROR(HYPERLINK("#'Appendix A'!E"&amp;ROW(INDEX(Table23[DSorder],MATCH(cyberControls[[#This Row],[AppAref]],Table23[DSorder],0))),"GO"),"")</f>
        <v/>
      </c>
      <c r="I114" s="86" t="str">
        <f>cyberControls[[#This Row],[Component]]&amp;cyberControls[[#This Row],[Maturity Level]]</f>
        <v>Threat and Vulnerability DetectionEvolving</v>
      </c>
      <c r="J114" s="86" t="str">
        <f>cyberControls[[#This Row],[workArea]]&amp;cyberControls[[#This Row],[Y, Y(C), N]]</f>
        <v>Threat and Vulnerability DetectionEvolving</v>
      </c>
      <c r="K114" s="184"/>
      <c r="L114" s="184"/>
      <c r="M114" s="184" t="str">
        <f t="shared" si="3"/>
        <v>Cybersecurity Controls</v>
      </c>
      <c r="N114" s="184">
        <f>IF(cyberControls[[#This Row],[Y, Y(C), N]]=yes,1,0)</f>
        <v>0</v>
      </c>
      <c r="O114" s="184">
        <f>IF(cyberControls[[#This Row],[Y, Y(C), N]]=yesCC,1,0)</f>
        <v>0</v>
      </c>
      <c r="P114" s="184">
        <f>IF(cyberControls[[#This Row],[Y, Y(C), N]]=no,1,0)</f>
        <v>0</v>
      </c>
      <c r="Q114" s="184">
        <f>IF(cyberControls[[#This Row],[Y, Y(C), N]]=NotAvail,1,0)</f>
        <v>0</v>
      </c>
      <c r="R114" s="92"/>
    </row>
    <row r="115" spans="1:18" ht="45" x14ac:dyDescent="0.25">
      <c r="A115" s="86" t="s">
        <v>364</v>
      </c>
      <c r="B115" s="58" t="s">
        <v>612</v>
      </c>
      <c r="C115" s="86" t="s">
        <v>29</v>
      </c>
      <c r="D115" s="87"/>
      <c r="E115" s="58" t="s">
        <v>375</v>
      </c>
      <c r="F115" s="24"/>
      <c r="G115" s="237"/>
      <c r="H115" s="255" t="str">
        <f>IFERROR(HYPERLINK("#'Appendix A'!E"&amp;ROW(INDEX(Table23[DSorder],MATCH(cyberControls[[#This Row],[AppAref]],Table23[DSorder],0))),"GO"),"")</f>
        <v/>
      </c>
      <c r="I115" s="86" t="str">
        <f>cyberControls[[#This Row],[Component]]&amp;cyberControls[[#This Row],[Maturity Level]]</f>
        <v>Threat and Vulnerability DetectionIntermediate</v>
      </c>
      <c r="J115" s="86" t="str">
        <f>cyberControls[[#This Row],[workArea]]&amp;cyberControls[[#This Row],[Y, Y(C), N]]</f>
        <v>Threat and Vulnerability DetectionIntermediate</v>
      </c>
      <c r="K115" s="184"/>
      <c r="L115" s="184"/>
      <c r="M115" s="184" t="str">
        <f t="shared" si="3"/>
        <v>Cybersecurity Controls</v>
      </c>
      <c r="N115" s="184">
        <f>IF(cyberControls[[#This Row],[Y, Y(C), N]]=yes,1,0)</f>
        <v>0</v>
      </c>
      <c r="O115" s="184">
        <f>IF(cyberControls[[#This Row],[Y, Y(C), N]]=yesCC,1,0)</f>
        <v>0</v>
      </c>
      <c r="P115" s="184">
        <f>IF(cyberControls[[#This Row],[Y, Y(C), N]]=no,1,0)</f>
        <v>0</v>
      </c>
      <c r="Q115" s="184">
        <f>IF(cyberControls[[#This Row],[Y, Y(C), N]]=NotAvail,1,0)</f>
        <v>0</v>
      </c>
      <c r="R115" s="92"/>
    </row>
    <row r="116" spans="1:18" ht="30" x14ac:dyDescent="0.25">
      <c r="A116" s="86" t="s">
        <v>364</v>
      </c>
      <c r="B116" s="58" t="s">
        <v>612</v>
      </c>
      <c r="C116" s="86" t="s">
        <v>29</v>
      </c>
      <c r="D116" s="87"/>
      <c r="E116" s="58" t="s">
        <v>376</v>
      </c>
      <c r="F116" s="24"/>
      <c r="G116" s="237"/>
      <c r="H116" s="255" t="str">
        <f>IFERROR(HYPERLINK("#'Appendix A'!E"&amp;ROW(INDEX(Table23[DSorder],MATCH(cyberControls[[#This Row],[AppAref]],Table23[DSorder],0))),"GO"),"")</f>
        <v/>
      </c>
      <c r="I116" s="86" t="str">
        <f>cyberControls[[#This Row],[Component]]&amp;cyberControls[[#This Row],[Maturity Level]]</f>
        <v>Threat and Vulnerability DetectionIntermediate</v>
      </c>
      <c r="J116" s="86" t="str">
        <f>cyberControls[[#This Row],[workArea]]&amp;cyberControls[[#This Row],[Y, Y(C), N]]</f>
        <v>Threat and Vulnerability DetectionIntermediate</v>
      </c>
      <c r="K116" s="184"/>
      <c r="L116" s="184"/>
      <c r="M116" s="184" t="str">
        <f t="shared" si="3"/>
        <v>Cybersecurity Controls</v>
      </c>
      <c r="N116" s="184">
        <f>IF(cyberControls[[#This Row],[Y, Y(C), N]]=yes,1,0)</f>
        <v>0</v>
      </c>
      <c r="O116" s="184">
        <f>IF(cyberControls[[#This Row],[Y, Y(C), N]]=yesCC,1,0)</f>
        <v>0</v>
      </c>
      <c r="P116" s="184">
        <f>IF(cyberControls[[#This Row],[Y, Y(C), N]]=no,1,0)</f>
        <v>0</v>
      </c>
      <c r="Q116" s="184">
        <f>IF(cyberControls[[#This Row],[Y, Y(C), N]]=NotAvail,1,0)</f>
        <v>0</v>
      </c>
      <c r="R116" s="92"/>
    </row>
    <row r="117" spans="1:18" ht="30" x14ac:dyDescent="0.25">
      <c r="A117" s="86" t="s">
        <v>364</v>
      </c>
      <c r="B117" s="58" t="s">
        <v>612</v>
      </c>
      <c r="C117" s="86" t="s">
        <v>30</v>
      </c>
      <c r="D117" s="87"/>
      <c r="E117" s="58" t="s">
        <v>377</v>
      </c>
      <c r="F117" s="24"/>
      <c r="G117" s="237"/>
      <c r="H117" s="255" t="str">
        <f>IFERROR(HYPERLINK("#'Appendix A'!E"&amp;ROW(INDEX(Table23[DSorder],MATCH(cyberControls[[#This Row],[AppAref]],Table23[DSorder],0))),"GO"),"")</f>
        <v/>
      </c>
      <c r="I117" s="86" t="str">
        <f>cyberControls[[#This Row],[Component]]&amp;cyberControls[[#This Row],[Maturity Level]]</f>
        <v>Threat and Vulnerability DetectionAdvanced</v>
      </c>
      <c r="J117" s="86" t="str">
        <f>cyberControls[[#This Row],[workArea]]&amp;cyberControls[[#This Row],[Y, Y(C), N]]</f>
        <v>Threat and Vulnerability DetectionAdvanced</v>
      </c>
      <c r="K117" s="184"/>
      <c r="L117" s="184"/>
      <c r="M117" s="184" t="str">
        <f t="shared" si="3"/>
        <v>Cybersecurity Controls</v>
      </c>
      <c r="N117" s="184">
        <f>IF(cyberControls[[#This Row],[Y, Y(C), N]]=yes,1,0)</f>
        <v>0</v>
      </c>
      <c r="O117" s="184">
        <f>IF(cyberControls[[#This Row],[Y, Y(C), N]]=yesCC,1,0)</f>
        <v>0</v>
      </c>
      <c r="P117" s="184">
        <f>IF(cyberControls[[#This Row],[Y, Y(C), N]]=no,1,0)</f>
        <v>0</v>
      </c>
      <c r="Q117" s="184">
        <f>IF(cyberControls[[#This Row],[Y, Y(C), N]]=NotAvail,1,0)</f>
        <v>0</v>
      </c>
      <c r="R117" s="92"/>
    </row>
    <row r="118" spans="1:18" ht="45" x14ac:dyDescent="0.25">
      <c r="A118" s="86" t="s">
        <v>364</v>
      </c>
      <c r="B118" s="58" t="s">
        <v>612</v>
      </c>
      <c r="C118" s="86" t="s">
        <v>30</v>
      </c>
      <c r="D118" s="87"/>
      <c r="E118" s="58" t="s">
        <v>378</v>
      </c>
      <c r="F118" s="24"/>
      <c r="G118" s="237"/>
      <c r="H118" s="255" t="str">
        <f>IFERROR(HYPERLINK("#'Appendix A'!E"&amp;ROW(INDEX(Table23[DSorder],MATCH(cyberControls[[#This Row],[AppAref]],Table23[DSorder],0))),"GO"),"")</f>
        <v/>
      </c>
      <c r="I118" s="86" t="str">
        <f>cyberControls[[#This Row],[Component]]&amp;cyberControls[[#This Row],[Maturity Level]]</f>
        <v>Threat and Vulnerability DetectionAdvanced</v>
      </c>
      <c r="J118" s="86" t="str">
        <f>cyberControls[[#This Row],[workArea]]&amp;cyberControls[[#This Row],[Y, Y(C), N]]</f>
        <v>Threat and Vulnerability DetectionAdvanced</v>
      </c>
      <c r="K118" s="184"/>
      <c r="L118" s="184"/>
      <c r="M118" s="184" t="str">
        <f t="shared" si="3"/>
        <v>Cybersecurity Controls</v>
      </c>
      <c r="N118" s="184">
        <f>IF(cyberControls[[#This Row],[Y, Y(C), N]]=yes,1,0)</f>
        <v>0</v>
      </c>
      <c r="O118" s="184">
        <f>IF(cyberControls[[#This Row],[Y, Y(C), N]]=yesCC,1,0)</f>
        <v>0</v>
      </c>
      <c r="P118" s="184">
        <f>IF(cyberControls[[#This Row],[Y, Y(C), N]]=no,1,0)</f>
        <v>0</v>
      </c>
      <c r="Q118" s="184">
        <f>IF(cyberControls[[#This Row],[Y, Y(C), N]]=NotAvail,1,0)</f>
        <v>0</v>
      </c>
      <c r="R118" s="92"/>
    </row>
    <row r="119" spans="1:18" ht="30" x14ac:dyDescent="0.25">
      <c r="A119" s="86" t="s">
        <v>364</v>
      </c>
      <c r="B119" s="58" t="s">
        <v>612</v>
      </c>
      <c r="C119" s="86" t="s">
        <v>30</v>
      </c>
      <c r="D119" s="87"/>
      <c r="E119" s="58" t="s">
        <v>379</v>
      </c>
      <c r="F119" s="24"/>
      <c r="G119" s="237"/>
      <c r="H119" s="255" t="str">
        <f>IFERROR(HYPERLINK("#'Appendix A'!E"&amp;ROW(INDEX(Table23[DSorder],MATCH(cyberControls[[#This Row],[AppAref]],Table23[DSorder],0))),"GO"),"")</f>
        <v/>
      </c>
      <c r="I119" s="86" t="str">
        <f>cyberControls[[#This Row],[Component]]&amp;cyberControls[[#This Row],[Maturity Level]]</f>
        <v>Threat and Vulnerability DetectionAdvanced</v>
      </c>
      <c r="J119" s="86" t="str">
        <f>cyberControls[[#This Row],[workArea]]&amp;cyberControls[[#This Row],[Y, Y(C), N]]</f>
        <v>Threat and Vulnerability DetectionAdvanced</v>
      </c>
      <c r="K119" s="184"/>
      <c r="L119" s="184"/>
      <c r="M119" s="184" t="str">
        <f t="shared" si="3"/>
        <v>Cybersecurity Controls</v>
      </c>
      <c r="N119" s="184">
        <f>IF(cyberControls[[#This Row],[Y, Y(C), N]]=yes,1,0)</f>
        <v>0</v>
      </c>
      <c r="O119" s="184">
        <f>IF(cyberControls[[#This Row],[Y, Y(C), N]]=yesCC,1,0)</f>
        <v>0</v>
      </c>
      <c r="P119" s="184">
        <f>IF(cyberControls[[#This Row],[Y, Y(C), N]]=no,1,0)</f>
        <v>0</v>
      </c>
      <c r="Q119" s="184">
        <f>IF(cyberControls[[#This Row],[Y, Y(C), N]]=NotAvail,1,0)</f>
        <v>0</v>
      </c>
      <c r="R119" s="92"/>
    </row>
    <row r="120" spans="1:18" ht="60" x14ac:dyDescent="0.25">
      <c r="A120" s="86" t="s">
        <v>364</v>
      </c>
      <c r="B120" s="58" t="s">
        <v>612</v>
      </c>
      <c r="C120" s="86" t="s">
        <v>31</v>
      </c>
      <c r="D120" s="87"/>
      <c r="E120" s="58" t="s">
        <v>380</v>
      </c>
      <c r="F120" s="24"/>
      <c r="G120" s="237"/>
      <c r="H120" s="255" t="str">
        <f>IFERROR(HYPERLINK("#'Appendix A'!E"&amp;ROW(INDEX(Table23[DSorder],MATCH(cyberControls[[#This Row],[AppAref]],Table23[DSorder],0))),"GO"),"")</f>
        <v/>
      </c>
      <c r="I120" s="86" t="str">
        <f>cyberControls[[#This Row],[Component]]&amp;cyberControls[[#This Row],[Maturity Level]]</f>
        <v>Threat and Vulnerability DetectionInnovative</v>
      </c>
      <c r="J120" s="86" t="str">
        <f>cyberControls[[#This Row],[workArea]]&amp;cyberControls[[#This Row],[Y, Y(C), N]]</f>
        <v>Threat and Vulnerability DetectionInnovative</v>
      </c>
      <c r="K120" s="184"/>
      <c r="L120" s="184"/>
      <c r="M120" s="184" t="str">
        <f t="shared" si="3"/>
        <v>Cybersecurity Controls</v>
      </c>
      <c r="N120" s="184">
        <f>IF(cyberControls[[#This Row],[Y, Y(C), N]]=yes,1,0)</f>
        <v>0</v>
      </c>
      <c r="O120" s="184">
        <f>IF(cyberControls[[#This Row],[Y, Y(C), N]]=yesCC,1,0)</f>
        <v>0</v>
      </c>
      <c r="P120" s="184">
        <f>IF(cyberControls[[#This Row],[Y, Y(C), N]]=no,1,0)</f>
        <v>0</v>
      </c>
      <c r="Q120" s="184">
        <f>IF(cyberControls[[#This Row],[Y, Y(C), N]]=NotAvail,1,0)</f>
        <v>0</v>
      </c>
      <c r="R120" s="92"/>
    </row>
    <row r="121" spans="1:18" ht="30" x14ac:dyDescent="0.25">
      <c r="A121" s="86" t="s">
        <v>364</v>
      </c>
      <c r="B121" s="58" t="s">
        <v>612</v>
      </c>
      <c r="C121" s="86" t="s">
        <v>31</v>
      </c>
      <c r="D121" s="87"/>
      <c r="E121" s="58" t="s">
        <v>381</v>
      </c>
      <c r="F121" s="24"/>
      <c r="G121" s="237"/>
      <c r="H121" s="255" t="str">
        <f>IFERROR(HYPERLINK("#'Appendix A'!E"&amp;ROW(INDEX(Table23[DSorder],MATCH(cyberControls[[#This Row],[AppAref]],Table23[DSorder],0))),"GO"),"")</f>
        <v/>
      </c>
      <c r="I121" s="86" t="str">
        <f>cyberControls[[#This Row],[Component]]&amp;cyberControls[[#This Row],[Maturity Level]]</f>
        <v>Threat and Vulnerability DetectionInnovative</v>
      </c>
      <c r="J121" s="86" t="str">
        <f>cyberControls[[#This Row],[workArea]]&amp;cyberControls[[#This Row],[Y, Y(C), N]]</f>
        <v>Threat and Vulnerability DetectionInnovative</v>
      </c>
      <c r="K121" s="184"/>
      <c r="L121" s="184"/>
      <c r="M121" s="184" t="str">
        <f t="shared" si="3"/>
        <v>Cybersecurity Controls</v>
      </c>
      <c r="N121" s="184">
        <f>IF(cyberControls[[#This Row],[Y, Y(C), N]]=yes,1,0)</f>
        <v>0</v>
      </c>
      <c r="O121" s="184">
        <f>IF(cyberControls[[#This Row],[Y, Y(C), N]]=yesCC,1,0)</f>
        <v>0</v>
      </c>
      <c r="P121" s="184">
        <f>IF(cyberControls[[#This Row],[Y, Y(C), N]]=no,1,0)</f>
        <v>0</v>
      </c>
      <c r="Q121" s="184">
        <f>IF(cyberControls[[#This Row],[Y, Y(C), N]]=NotAvail,1,0)</f>
        <v>0</v>
      </c>
      <c r="R121" s="92"/>
    </row>
    <row r="122" spans="1:18" ht="30" x14ac:dyDescent="0.25">
      <c r="A122" s="86" t="s">
        <v>364</v>
      </c>
      <c r="B122" s="86" t="s">
        <v>387</v>
      </c>
      <c r="C122" s="86" t="s">
        <v>27</v>
      </c>
      <c r="D122" s="87"/>
      <c r="E122" s="58" t="s">
        <v>382</v>
      </c>
      <c r="F122"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32</v>
      </c>
      <c r="G122" s="237"/>
      <c r="H122" s="255" t="str">
        <f>IFERROR(HYPERLINK("#'Appendix A'!E"&amp;ROW(INDEX(Table23[DSorder],MATCH(cyberControls[[#This Row],[AppAref]],Table23[DSorder],0))),"GO"),"")</f>
        <v>GO</v>
      </c>
      <c r="I122" s="86" t="str">
        <f>cyberControls[[#This Row],[Component]]&amp;cyberControls[[#This Row],[Maturity Level]]</f>
        <v>Anomalous Activity DetectionBaseline</v>
      </c>
      <c r="J122" s="86" t="str">
        <f>cyberControls[[#This Row],[workArea]]&amp;cyberControls[[#This Row],[Y, Y(C), N]]</f>
        <v>Anomalous Activity DetectionBaseline</v>
      </c>
      <c r="K122" s="184">
        <v>74</v>
      </c>
      <c r="L122" s="202">
        <f>IFERROR(MATCH(cyberControls[[#This Row],[Ref No.]],hyperlinkLU[Reference No.],0),cyberControls[[#This Row],[Ref No.]])</f>
        <v>75</v>
      </c>
      <c r="M122" s="202" t="str">
        <f t="shared" si="3"/>
        <v>Cybersecurity Controls</v>
      </c>
      <c r="N122" s="184">
        <f>IF(cyberControls[[#This Row],[Y, Y(C), N]]=yes,1,0)</f>
        <v>0</v>
      </c>
      <c r="O122" s="184">
        <f>IF(cyberControls[[#This Row],[Y, Y(C), N]]=yesCC,1,0)</f>
        <v>0</v>
      </c>
      <c r="P122" s="184">
        <f>IF(cyberControls[[#This Row],[Y, Y(C), N]]=no,1,0)</f>
        <v>0</v>
      </c>
      <c r="Q122" s="184">
        <f>IF(cyberControls[[#This Row],[Y, Y(C), N]]=NotAvail,1,0)</f>
        <v>0</v>
      </c>
      <c r="R122" s="92">
        <v>77</v>
      </c>
    </row>
    <row r="123" spans="1:18" ht="30" x14ac:dyDescent="0.25">
      <c r="A123" s="86" t="s">
        <v>364</v>
      </c>
      <c r="B123" s="86" t="s">
        <v>387</v>
      </c>
      <c r="C123" s="86" t="s">
        <v>27</v>
      </c>
      <c r="D123" s="87"/>
      <c r="E123" s="58" t="s">
        <v>383</v>
      </c>
      <c r="F123"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Wholesale Payments Booklet, page12</v>
      </c>
      <c r="G123" s="237"/>
      <c r="H123" s="255" t="str">
        <f>IFERROR(HYPERLINK("#'Appendix A'!E"&amp;ROW(INDEX(Table23[DSorder],MATCH(cyberControls[[#This Row],[AppAref]],Table23[DSorder],0))),"GO"),"")</f>
        <v>GO</v>
      </c>
      <c r="I123" s="86" t="str">
        <f>cyberControls[[#This Row],[Component]]&amp;cyberControls[[#This Row],[Maturity Level]]</f>
        <v>Anomalous Activity DetectionBaseline</v>
      </c>
      <c r="J123" s="86" t="str">
        <f>cyberControls[[#This Row],[workArea]]&amp;cyberControls[[#This Row],[Y, Y(C), N]]</f>
        <v>Anomalous Activity DetectionBaseline</v>
      </c>
      <c r="K123" s="184">
        <v>75</v>
      </c>
      <c r="L123" s="202">
        <f>IFERROR(MATCH(cyberControls[[#This Row],[Ref No.]],hyperlinkLU[Reference No.],0),cyberControls[[#This Row],[Ref No.]])</f>
        <v>76</v>
      </c>
      <c r="M123" s="202" t="str">
        <f t="shared" si="3"/>
        <v>Cybersecurity Controls</v>
      </c>
      <c r="N123" s="184">
        <f>IF(cyberControls[[#This Row],[Y, Y(C), N]]=yes,1,0)</f>
        <v>0</v>
      </c>
      <c r="O123" s="184">
        <f>IF(cyberControls[[#This Row],[Y, Y(C), N]]=yesCC,1,0)</f>
        <v>0</v>
      </c>
      <c r="P123" s="184">
        <f>IF(cyberControls[[#This Row],[Y, Y(C), N]]=no,1,0)</f>
        <v>0</v>
      </c>
      <c r="Q123" s="184">
        <f>IF(cyberControls[[#This Row],[Y, Y(C), N]]=NotAvail,1,0)</f>
        <v>0</v>
      </c>
      <c r="R123" s="92">
        <v>78</v>
      </c>
    </row>
    <row r="124" spans="1:18" ht="30" x14ac:dyDescent="0.25">
      <c r="A124" s="86" t="s">
        <v>364</v>
      </c>
      <c r="B124" s="86" t="s">
        <v>387</v>
      </c>
      <c r="C124" s="86" t="s">
        <v>27</v>
      </c>
      <c r="D124" s="87"/>
      <c r="E124" s="58" t="s">
        <v>384</v>
      </c>
      <c r="F124"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73</v>
      </c>
      <c r="G124" s="237"/>
      <c r="H124" s="255" t="str">
        <f>IFERROR(HYPERLINK("#'Appendix A'!E"&amp;ROW(INDEX(Table23[DSorder],MATCH(cyberControls[[#This Row],[AppAref]],Table23[DSorder],0))),"GO"),"")</f>
        <v>GO</v>
      </c>
      <c r="I124" s="86" t="str">
        <f>cyberControls[[#This Row],[Component]]&amp;cyberControls[[#This Row],[Maturity Level]]</f>
        <v>Anomalous Activity DetectionBaseline</v>
      </c>
      <c r="J124" s="86" t="str">
        <f>cyberControls[[#This Row],[workArea]]&amp;cyberControls[[#This Row],[Y, Y(C), N]]</f>
        <v>Anomalous Activity DetectionBaseline</v>
      </c>
      <c r="K124" s="184">
        <v>76</v>
      </c>
      <c r="L124" s="202">
        <f>IFERROR(MATCH(cyberControls[[#This Row],[Ref No.]],hyperlinkLU[Reference No.],0),cyberControls[[#This Row],[Ref No.]])</f>
        <v>77</v>
      </c>
      <c r="M124" s="202" t="str">
        <f t="shared" si="3"/>
        <v>Cybersecurity Controls</v>
      </c>
      <c r="N124" s="184">
        <f>IF(cyberControls[[#This Row],[Y, Y(C), N]]=yes,1,0)</f>
        <v>0</v>
      </c>
      <c r="O124" s="184">
        <f>IF(cyberControls[[#This Row],[Y, Y(C), N]]=yesCC,1,0)</f>
        <v>0</v>
      </c>
      <c r="P124" s="184">
        <f>IF(cyberControls[[#This Row],[Y, Y(C), N]]=no,1,0)</f>
        <v>0</v>
      </c>
      <c r="Q124" s="184">
        <f>IF(cyberControls[[#This Row],[Y, Y(C), N]]=NotAvail,1,0)</f>
        <v>0</v>
      </c>
      <c r="R124" s="92">
        <v>79</v>
      </c>
    </row>
    <row r="125" spans="1:18" ht="30" x14ac:dyDescent="0.25">
      <c r="A125" s="86" t="s">
        <v>364</v>
      </c>
      <c r="B125" s="86" t="s">
        <v>387</v>
      </c>
      <c r="C125" s="86" t="s">
        <v>27</v>
      </c>
      <c r="D125" s="87"/>
      <c r="E125" s="58" t="s">
        <v>385</v>
      </c>
      <c r="F125"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Outsourcing Booklet, page 26</v>
      </c>
      <c r="G125" s="237"/>
      <c r="H125" s="255" t="str">
        <f>IFERROR(HYPERLINK("#'Appendix A'!E"&amp;ROW(INDEX(Table23[DSorder],MATCH(cyberControls[[#This Row],[AppAref]],Table23[DSorder],0))),"GO"),"")</f>
        <v>GO</v>
      </c>
      <c r="I125" s="86" t="str">
        <f>cyberControls[[#This Row],[Component]]&amp;cyberControls[[#This Row],[Maturity Level]]</f>
        <v>Anomalous Activity DetectionBaseline</v>
      </c>
      <c r="J125" s="86" t="str">
        <f>cyberControls[[#This Row],[workArea]]&amp;cyberControls[[#This Row],[Y, Y(C), N]]</f>
        <v>Anomalous Activity DetectionBaseline</v>
      </c>
      <c r="K125" s="184">
        <v>77</v>
      </c>
      <c r="L125" s="202">
        <f>IFERROR(MATCH(cyberControls[[#This Row],[Ref No.]],hyperlinkLU[Reference No.],0),cyberControls[[#This Row],[Ref No.]])</f>
        <v>78</v>
      </c>
      <c r="M125" s="202" t="str">
        <f t="shared" si="3"/>
        <v>Cybersecurity Controls</v>
      </c>
      <c r="N125" s="184">
        <f>IF(cyberControls[[#This Row],[Y, Y(C), N]]=yes,1,0)</f>
        <v>0</v>
      </c>
      <c r="O125" s="184">
        <f>IF(cyberControls[[#This Row],[Y, Y(C), N]]=yesCC,1,0)</f>
        <v>0</v>
      </c>
      <c r="P125" s="184">
        <f>IF(cyberControls[[#This Row],[Y, Y(C), N]]=no,1,0)</f>
        <v>0</v>
      </c>
      <c r="Q125" s="184">
        <f>IF(cyberControls[[#This Row],[Y, Y(C), N]]=NotAvail,1,0)</f>
        <v>0</v>
      </c>
      <c r="R125" s="92">
        <v>80</v>
      </c>
    </row>
    <row r="126" spans="1:18" ht="30" x14ac:dyDescent="0.25">
      <c r="A126" s="86" t="s">
        <v>364</v>
      </c>
      <c r="B126" s="86" t="s">
        <v>387</v>
      </c>
      <c r="C126" s="86" t="s">
        <v>27</v>
      </c>
      <c r="D126" s="87"/>
      <c r="E126" s="58" t="s">
        <v>386</v>
      </c>
      <c r="F126"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126" s="237"/>
      <c r="H126" s="255" t="str">
        <f>IFERROR(HYPERLINK("#'Appendix A'!E"&amp;ROW(INDEX(Table23[DSorder],MATCH(cyberControls[[#This Row],[AppAref]],Table23[DSorder],0))),"GO"),"")</f>
        <v>GO</v>
      </c>
      <c r="I126" s="86" t="str">
        <f>cyberControls[[#This Row],[Component]]&amp;cyberControls[[#This Row],[Maturity Level]]</f>
        <v>Anomalous Activity DetectionBaseline</v>
      </c>
      <c r="J126" s="86" t="str">
        <f>cyberControls[[#This Row],[workArea]]&amp;cyberControls[[#This Row],[Y, Y(C), N]]</f>
        <v>Anomalous Activity DetectionBaseline</v>
      </c>
      <c r="K126" s="184">
        <v>78</v>
      </c>
      <c r="L126" s="202">
        <f>IFERROR(MATCH(cyberControls[[#This Row],[Ref No.]],hyperlinkLU[Reference No.],0),cyberControls[[#This Row],[Ref No.]])</f>
        <v>79</v>
      </c>
      <c r="M126" s="202" t="str">
        <f t="shared" si="3"/>
        <v>Cybersecurity Controls</v>
      </c>
      <c r="N126" s="184">
        <f>IF(cyberControls[[#This Row],[Y, Y(C), N]]=yes,1,0)</f>
        <v>0</v>
      </c>
      <c r="O126" s="184">
        <f>IF(cyberControls[[#This Row],[Y, Y(C), N]]=yesCC,1,0)</f>
        <v>0</v>
      </c>
      <c r="P126" s="184">
        <f>IF(cyberControls[[#This Row],[Y, Y(C), N]]=no,1,0)</f>
        <v>0</v>
      </c>
      <c r="Q126" s="184">
        <f>IF(cyberControls[[#This Row],[Y, Y(C), N]]=NotAvail,1,0)</f>
        <v>0</v>
      </c>
      <c r="R126" s="92">
        <v>81</v>
      </c>
    </row>
    <row r="127" spans="1:18" ht="30" x14ac:dyDescent="0.25">
      <c r="A127" s="86" t="s">
        <v>364</v>
      </c>
      <c r="B127" s="86" t="s">
        <v>387</v>
      </c>
      <c r="C127" s="86" t="s">
        <v>28</v>
      </c>
      <c r="D127" s="87"/>
      <c r="E127" s="58" t="s">
        <v>388</v>
      </c>
      <c r="F127" s="24"/>
      <c r="G127" s="237"/>
      <c r="H127" s="255" t="str">
        <f>IFERROR(HYPERLINK("#'Appendix A'!E"&amp;ROW(INDEX(Table23[DSorder],MATCH(cyberControls[[#This Row],[AppAref]],Table23[DSorder],0))),"GO"),"")</f>
        <v/>
      </c>
      <c r="I127" s="86" t="str">
        <f>cyberControls[[#This Row],[Component]]&amp;cyberControls[[#This Row],[Maturity Level]]</f>
        <v>Anomalous Activity DetectionEvolving</v>
      </c>
      <c r="J127" s="86" t="str">
        <f>cyberControls[[#This Row],[workArea]]&amp;cyberControls[[#This Row],[Y, Y(C), N]]</f>
        <v>Anomalous Activity DetectionEvolving</v>
      </c>
      <c r="K127" s="184"/>
      <c r="L127" s="184"/>
      <c r="M127" s="184" t="str">
        <f t="shared" si="3"/>
        <v>Cybersecurity Controls</v>
      </c>
      <c r="N127" s="184">
        <f>IF(cyberControls[[#This Row],[Y, Y(C), N]]=yes,1,0)</f>
        <v>0</v>
      </c>
      <c r="O127" s="184">
        <f>IF(cyberControls[[#This Row],[Y, Y(C), N]]=yesCC,1,0)</f>
        <v>0</v>
      </c>
      <c r="P127" s="184">
        <f>IF(cyberControls[[#This Row],[Y, Y(C), N]]=no,1,0)</f>
        <v>0</v>
      </c>
      <c r="Q127" s="184">
        <f>IF(cyberControls[[#This Row],[Y, Y(C), N]]=NotAvail,1,0)</f>
        <v>0</v>
      </c>
      <c r="R127" s="92"/>
    </row>
    <row r="128" spans="1:18" x14ac:dyDescent="0.25">
      <c r="A128" s="86" t="s">
        <v>364</v>
      </c>
      <c r="B128" s="86" t="s">
        <v>387</v>
      </c>
      <c r="C128" s="86" t="s">
        <v>28</v>
      </c>
      <c r="D128" s="87"/>
      <c r="E128" s="58" t="s">
        <v>389</v>
      </c>
      <c r="F128" s="24"/>
      <c r="G128" s="237"/>
      <c r="H128" s="255" t="str">
        <f>IFERROR(HYPERLINK("#'Appendix A'!E"&amp;ROW(INDEX(Table23[DSorder],MATCH(cyberControls[[#This Row],[AppAref]],Table23[DSorder],0))),"GO"),"")</f>
        <v/>
      </c>
      <c r="I128" s="86" t="str">
        <f>cyberControls[[#This Row],[Component]]&amp;cyberControls[[#This Row],[Maturity Level]]</f>
        <v>Anomalous Activity DetectionEvolving</v>
      </c>
      <c r="J128" s="86" t="str">
        <f>cyberControls[[#This Row],[workArea]]&amp;cyberControls[[#This Row],[Y, Y(C), N]]</f>
        <v>Anomalous Activity DetectionEvolving</v>
      </c>
      <c r="K128" s="184"/>
      <c r="L128" s="184"/>
      <c r="M128" s="184" t="str">
        <f t="shared" si="3"/>
        <v>Cybersecurity Controls</v>
      </c>
      <c r="N128" s="184">
        <f>IF(cyberControls[[#This Row],[Y, Y(C), N]]=yes,1,0)</f>
        <v>0</v>
      </c>
      <c r="O128" s="184">
        <f>IF(cyberControls[[#This Row],[Y, Y(C), N]]=yesCC,1,0)</f>
        <v>0</v>
      </c>
      <c r="P128" s="184">
        <f>IF(cyberControls[[#This Row],[Y, Y(C), N]]=no,1,0)</f>
        <v>0</v>
      </c>
      <c r="Q128" s="184">
        <f>IF(cyberControls[[#This Row],[Y, Y(C), N]]=NotAvail,1,0)</f>
        <v>0</v>
      </c>
      <c r="R128" s="92"/>
    </row>
    <row r="129" spans="1:18" x14ac:dyDescent="0.25">
      <c r="A129" s="86" t="s">
        <v>364</v>
      </c>
      <c r="B129" s="86" t="s">
        <v>387</v>
      </c>
      <c r="C129" s="86" t="s">
        <v>28</v>
      </c>
      <c r="D129" s="87"/>
      <c r="E129" s="58" t="s">
        <v>390</v>
      </c>
      <c r="F129" s="24"/>
      <c r="G129" s="237"/>
      <c r="H129" s="255" t="str">
        <f>IFERROR(HYPERLINK("#'Appendix A'!E"&amp;ROW(INDEX(Table23[DSorder],MATCH(cyberControls[[#This Row],[AppAref]],Table23[DSorder],0))),"GO"),"")</f>
        <v/>
      </c>
      <c r="I129" s="86" t="str">
        <f>cyberControls[[#This Row],[Component]]&amp;cyberControls[[#This Row],[Maturity Level]]</f>
        <v>Anomalous Activity DetectionEvolving</v>
      </c>
      <c r="J129" s="86" t="str">
        <f>cyberControls[[#This Row],[workArea]]&amp;cyberControls[[#This Row],[Y, Y(C), N]]</f>
        <v>Anomalous Activity DetectionEvolving</v>
      </c>
      <c r="K129" s="184"/>
      <c r="L129" s="184"/>
      <c r="M129" s="184" t="str">
        <f t="shared" si="3"/>
        <v>Cybersecurity Controls</v>
      </c>
      <c r="N129" s="184">
        <f>IF(cyberControls[[#This Row],[Y, Y(C), N]]=yes,1,0)</f>
        <v>0</v>
      </c>
      <c r="O129" s="184">
        <f>IF(cyberControls[[#This Row],[Y, Y(C), N]]=yesCC,1,0)</f>
        <v>0</v>
      </c>
      <c r="P129" s="184">
        <f>IF(cyberControls[[#This Row],[Y, Y(C), N]]=no,1,0)</f>
        <v>0</v>
      </c>
      <c r="Q129" s="184">
        <f>IF(cyberControls[[#This Row],[Y, Y(C), N]]=NotAvail,1,0)</f>
        <v>0</v>
      </c>
      <c r="R129" s="92"/>
    </row>
    <row r="130" spans="1:18" ht="30" x14ac:dyDescent="0.25">
      <c r="A130" s="86" t="s">
        <v>364</v>
      </c>
      <c r="B130" s="86" t="s">
        <v>387</v>
      </c>
      <c r="C130" s="86" t="s">
        <v>28</v>
      </c>
      <c r="D130" s="87"/>
      <c r="E130" s="58" t="s">
        <v>391</v>
      </c>
      <c r="F130" s="24"/>
      <c r="G130" s="237"/>
      <c r="H130" s="255" t="str">
        <f>IFERROR(HYPERLINK("#'Appendix A'!E"&amp;ROW(INDEX(Table23[DSorder],MATCH(cyberControls[[#This Row],[AppAref]],Table23[DSorder],0))),"GO"),"")</f>
        <v/>
      </c>
      <c r="I130" s="86" t="str">
        <f>cyberControls[[#This Row],[Component]]&amp;cyberControls[[#This Row],[Maturity Level]]</f>
        <v>Anomalous Activity DetectionEvolving</v>
      </c>
      <c r="J130" s="86" t="str">
        <f>cyberControls[[#This Row],[workArea]]&amp;cyberControls[[#This Row],[Y, Y(C), N]]</f>
        <v>Anomalous Activity DetectionEvolving</v>
      </c>
      <c r="K130" s="184"/>
      <c r="L130" s="184"/>
      <c r="M130" s="184" t="str">
        <f t="shared" si="3"/>
        <v>Cybersecurity Controls</v>
      </c>
      <c r="N130" s="184">
        <f>IF(cyberControls[[#This Row],[Y, Y(C), N]]=yes,1,0)</f>
        <v>0</v>
      </c>
      <c r="O130" s="184">
        <f>IF(cyberControls[[#This Row],[Y, Y(C), N]]=yesCC,1,0)</f>
        <v>0</v>
      </c>
      <c r="P130" s="184">
        <f>IF(cyberControls[[#This Row],[Y, Y(C), N]]=no,1,0)</f>
        <v>0</v>
      </c>
      <c r="Q130" s="184">
        <f>IF(cyberControls[[#This Row],[Y, Y(C), N]]=NotAvail,1,0)</f>
        <v>0</v>
      </c>
      <c r="R130" s="92"/>
    </row>
    <row r="131" spans="1:18" x14ac:dyDescent="0.25">
      <c r="A131" s="86" t="s">
        <v>364</v>
      </c>
      <c r="B131" s="86" t="s">
        <v>387</v>
      </c>
      <c r="C131" s="86" t="s">
        <v>29</v>
      </c>
      <c r="D131" s="87"/>
      <c r="E131" s="58" t="s">
        <v>392</v>
      </c>
      <c r="F131" s="24"/>
      <c r="G131" s="237"/>
      <c r="H131" s="255" t="str">
        <f>IFERROR(HYPERLINK("#'Appendix A'!E"&amp;ROW(INDEX(Table23[DSorder],MATCH(cyberControls[[#This Row],[AppAref]],Table23[DSorder],0))),"GO"),"")</f>
        <v/>
      </c>
      <c r="I131" s="86" t="str">
        <f>cyberControls[[#This Row],[Component]]&amp;cyberControls[[#This Row],[Maturity Level]]</f>
        <v>Anomalous Activity DetectionIntermediate</v>
      </c>
      <c r="J131" s="86" t="str">
        <f>cyberControls[[#This Row],[workArea]]&amp;cyberControls[[#This Row],[Y, Y(C), N]]</f>
        <v>Anomalous Activity DetectionIntermediate</v>
      </c>
      <c r="K131" s="184"/>
      <c r="L131" s="184"/>
      <c r="M131" s="184" t="str">
        <f t="shared" si="3"/>
        <v>Cybersecurity Controls</v>
      </c>
      <c r="N131" s="184">
        <f>IF(cyberControls[[#This Row],[Y, Y(C), N]]=yes,1,0)</f>
        <v>0</v>
      </c>
      <c r="O131" s="184">
        <f>IF(cyberControls[[#This Row],[Y, Y(C), N]]=yesCC,1,0)</f>
        <v>0</v>
      </c>
      <c r="P131" s="184">
        <f>IF(cyberControls[[#This Row],[Y, Y(C), N]]=no,1,0)</f>
        <v>0</v>
      </c>
      <c r="Q131" s="184">
        <f>IF(cyberControls[[#This Row],[Y, Y(C), N]]=NotAvail,1,0)</f>
        <v>0</v>
      </c>
      <c r="R131" s="92"/>
    </row>
    <row r="132" spans="1:18" x14ac:dyDescent="0.25">
      <c r="A132" s="86" t="s">
        <v>364</v>
      </c>
      <c r="B132" s="86" t="s">
        <v>387</v>
      </c>
      <c r="C132" s="86" t="s">
        <v>29</v>
      </c>
      <c r="D132" s="87"/>
      <c r="E132" s="58" t="s">
        <v>393</v>
      </c>
      <c r="F132" s="24"/>
      <c r="G132" s="237"/>
      <c r="H132" s="255" t="str">
        <f>IFERROR(HYPERLINK("#'Appendix A'!E"&amp;ROW(INDEX(Table23[DSorder],MATCH(cyberControls[[#This Row],[AppAref]],Table23[DSorder],0))),"GO"),"")</f>
        <v/>
      </c>
      <c r="I132" s="86" t="str">
        <f>cyberControls[[#This Row],[Component]]&amp;cyberControls[[#This Row],[Maturity Level]]</f>
        <v>Anomalous Activity DetectionIntermediate</v>
      </c>
      <c r="J132" s="86" t="str">
        <f>cyberControls[[#This Row],[workArea]]&amp;cyberControls[[#This Row],[Y, Y(C), N]]</f>
        <v>Anomalous Activity DetectionIntermediate</v>
      </c>
      <c r="K132" s="184"/>
      <c r="L132" s="184"/>
      <c r="M132" s="184" t="str">
        <f t="shared" si="3"/>
        <v>Cybersecurity Controls</v>
      </c>
      <c r="N132" s="184">
        <f>IF(cyberControls[[#This Row],[Y, Y(C), N]]=yes,1,0)</f>
        <v>0</v>
      </c>
      <c r="O132" s="184">
        <f>IF(cyberControls[[#This Row],[Y, Y(C), N]]=yesCC,1,0)</f>
        <v>0</v>
      </c>
      <c r="P132" s="184">
        <f>IF(cyberControls[[#This Row],[Y, Y(C), N]]=no,1,0)</f>
        <v>0</v>
      </c>
      <c r="Q132" s="184">
        <f>IF(cyberControls[[#This Row],[Y, Y(C), N]]=NotAvail,1,0)</f>
        <v>0</v>
      </c>
      <c r="R132" s="92"/>
    </row>
    <row r="133" spans="1:18" ht="30" x14ac:dyDescent="0.25">
      <c r="A133" s="86" t="s">
        <v>364</v>
      </c>
      <c r="B133" s="86" t="s">
        <v>387</v>
      </c>
      <c r="C133" s="86" t="s">
        <v>29</v>
      </c>
      <c r="D133" s="87"/>
      <c r="E133" s="58" t="s">
        <v>394</v>
      </c>
      <c r="F133" s="24"/>
      <c r="G133" s="237"/>
      <c r="H133" s="255" t="str">
        <f>IFERROR(HYPERLINK("#'Appendix A'!E"&amp;ROW(INDEX(Table23[DSorder],MATCH(cyberControls[[#This Row],[AppAref]],Table23[DSorder],0))),"GO"),"")</f>
        <v/>
      </c>
      <c r="I133" s="86" t="str">
        <f>cyberControls[[#This Row],[Component]]&amp;cyberControls[[#This Row],[Maturity Level]]</f>
        <v>Anomalous Activity DetectionIntermediate</v>
      </c>
      <c r="J133" s="86" t="str">
        <f>cyberControls[[#This Row],[workArea]]&amp;cyberControls[[#This Row],[Y, Y(C), N]]</f>
        <v>Anomalous Activity DetectionIntermediate</v>
      </c>
      <c r="K133" s="184"/>
      <c r="L133" s="184"/>
      <c r="M133" s="184" t="str">
        <f t="shared" si="3"/>
        <v>Cybersecurity Controls</v>
      </c>
      <c r="N133" s="184">
        <f>IF(cyberControls[[#This Row],[Y, Y(C), N]]=yes,1,0)</f>
        <v>0</v>
      </c>
      <c r="O133" s="184">
        <f>IF(cyberControls[[#This Row],[Y, Y(C), N]]=yesCC,1,0)</f>
        <v>0</v>
      </c>
      <c r="P133" s="184">
        <f>IF(cyberControls[[#This Row],[Y, Y(C), N]]=no,1,0)</f>
        <v>0</v>
      </c>
      <c r="Q133" s="184">
        <f>IF(cyberControls[[#This Row],[Y, Y(C), N]]=NotAvail,1,0)</f>
        <v>0</v>
      </c>
      <c r="R133" s="92"/>
    </row>
    <row r="134" spans="1:18" ht="30" x14ac:dyDescent="0.25">
      <c r="A134" s="86" t="s">
        <v>364</v>
      </c>
      <c r="B134" s="86" t="s">
        <v>387</v>
      </c>
      <c r="C134" s="86" t="s">
        <v>29</v>
      </c>
      <c r="D134" s="87"/>
      <c r="E134" s="58" t="s">
        <v>395</v>
      </c>
      <c r="F134" s="24"/>
      <c r="G134" s="237"/>
      <c r="H134" s="255" t="str">
        <f>IFERROR(HYPERLINK("#'Appendix A'!E"&amp;ROW(INDEX(Table23[DSorder],MATCH(cyberControls[[#This Row],[AppAref]],Table23[DSorder],0))),"GO"),"")</f>
        <v/>
      </c>
      <c r="I134" s="86" t="str">
        <f>cyberControls[[#This Row],[Component]]&amp;cyberControls[[#This Row],[Maturity Level]]</f>
        <v>Anomalous Activity DetectionIntermediate</v>
      </c>
      <c r="J134" s="86" t="str">
        <f>cyberControls[[#This Row],[workArea]]&amp;cyberControls[[#This Row],[Y, Y(C), N]]</f>
        <v>Anomalous Activity DetectionIntermediate</v>
      </c>
      <c r="K134" s="184"/>
      <c r="L134" s="184"/>
      <c r="M134" s="184" t="str">
        <f t="shared" si="3"/>
        <v>Cybersecurity Controls</v>
      </c>
      <c r="N134" s="184">
        <f>IF(cyberControls[[#This Row],[Y, Y(C), N]]=yes,1,0)</f>
        <v>0</v>
      </c>
      <c r="O134" s="184">
        <f>IF(cyberControls[[#This Row],[Y, Y(C), N]]=yesCC,1,0)</f>
        <v>0</v>
      </c>
      <c r="P134" s="184">
        <f>IF(cyberControls[[#This Row],[Y, Y(C), N]]=no,1,0)</f>
        <v>0</v>
      </c>
      <c r="Q134" s="184">
        <f>IF(cyberControls[[#This Row],[Y, Y(C), N]]=NotAvail,1,0)</f>
        <v>0</v>
      </c>
      <c r="R134" s="92"/>
    </row>
    <row r="135" spans="1:18" x14ac:dyDescent="0.25">
      <c r="A135" s="86" t="s">
        <v>364</v>
      </c>
      <c r="B135" s="86" t="s">
        <v>387</v>
      </c>
      <c r="C135" s="86" t="s">
        <v>29</v>
      </c>
      <c r="D135" s="87"/>
      <c r="E135" s="58" t="s">
        <v>396</v>
      </c>
      <c r="F135" s="24"/>
      <c r="G135" s="237"/>
      <c r="H135" s="255" t="str">
        <f>IFERROR(HYPERLINK("#'Appendix A'!E"&amp;ROW(INDEX(Table23[DSorder],MATCH(cyberControls[[#This Row],[AppAref]],Table23[DSorder],0))),"GO"),"")</f>
        <v/>
      </c>
      <c r="I135" s="86" t="str">
        <f>cyberControls[[#This Row],[Component]]&amp;cyberControls[[#This Row],[Maturity Level]]</f>
        <v>Anomalous Activity DetectionIntermediate</v>
      </c>
      <c r="J135" s="86" t="str">
        <f>cyberControls[[#This Row],[workArea]]&amp;cyberControls[[#This Row],[Y, Y(C), N]]</f>
        <v>Anomalous Activity DetectionIntermediate</v>
      </c>
      <c r="K135" s="184"/>
      <c r="L135" s="184"/>
      <c r="M135" s="184" t="str">
        <f t="shared" si="3"/>
        <v>Cybersecurity Controls</v>
      </c>
      <c r="N135" s="184">
        <f>IF(cyberControls[[#This Row],[Y, Y(C), N]]=yes,1,0)</f>
        <v>0</v>
      </c>
      <c r="O135" s="184">
        <f>IF(cyberControls[[#This Row],[Y, Y(C), N]]=yesCC,1,0)</f>
        <v>0</v>
      </c>
      <c r="P135" s="184">
        <f>IF(cyberControls[[#This Row],[Y, Y(C), N]]=no,1,0)</f>
        <v>0</v>
      </c>
      <c r="Q135" s="184">
        <f>IF(cyberControls[[#This Row],[Y, Y(C), N]]=NotAvail,1,0)</f>
        <v>0</v>
      </c>
      <c r="R135" s="92"/>
    </row>
    <row r="136" spans="1:18" ht="45" x14ac:dyDescent="0.25">
      <c r="A136" s="86" t="s">
        <v>364</v>
      </c>
      <c r="B136" s="86" t="s">
        <v>387</v>
      </c>
      <c r="C136" s="86" t="s">
        <v>29</v>
      </c>
      <c r="D136" s="87"/>
      <c r="E136" s="58" t="s">
        <v>397</v>
      </c>
      <c r="F136" s="24"/>
      <c r="G136" s="237"/>
      <c r="H136" s="255" t="str">
        <f>IFERROR(HYPERLINK("#'Appendix A'!E"&amp;ROW(INDEX(Table23[DSorder],MATCH(cyberControls[[#This Row],[AppAref]],Table23[DSorder],0))),"GO"),"")</f>
        <v/>
      </c>
      <c r="I136" s="86" t="str">
        <f>cyberControls[[#This Row],[Component]]&amp;cyberControls[[#This Row],[Maturity Level]]</f>
        <v>Anomalous Activity DetectionIntermediate</v>
      </c>
      <c r="J136" s="86" t="str">
        <f>cyberControls[[#This Row],[workArea]]&amp;cyberControls[[#This Row],[Y, Y(C), N]]</f>
        <v>Anomalous Activity DetectionIntermediate</v>
      </c>
      <c r="K136" s="184"/>
      <c r="L136" s="184"/>
      <c r="M136" s="184" t="str">
        <f t="shared" si="3"/>
        <v>Cybersecurity Controls</v>
      </c>
      <c r="N136" s="184">
        <f>IF(cyberControls[[#This Row],[Y, Y(C), N]]=yes,1,0)</f>
        <v>0</v>
      </c>
      <c r="O136" s="184">
        <f>IF(cyberControls[[#This Row],[Y, Y(C), N]]=yesCC,1,0)</f>
        <v>0</v>
      </c>
      <c r="P136" s="184">
        <f>IF(cyberControls[[#This Row],[Y, Y(C), N]]=no,1,0)</f>
        <v>0</v>
      </c>
      <c r="Q136" s="184">
        <f>IF(cyberControls[[#This Row],[Y, Y(C), N]]=NotAvail,1,0)</f>
        <v>0</v>
      </c>
      <c r="R136" s="92"/>
    </row>
    <row r="137" spans="1:18" ht="30" x14ac:dyDescent="0.25">
      <c r="A137" s="86" t="s">
        <v>364</v>
      </c>
      <c r="B137" s="86" t="s">
        <v>387</v>
      </c>
      <c r="C137" s="86" t="s">
        <v>30</v>
      </c>
      <c r="D137" s="87"/>
      <c r="E137" s="58" t="s">
        <v>398</v>
      </c>
      <c r="F137" s="24"/>
      <c r="G137" s="237"/>
      <c r="H137" s="255" t="str">
        <f>IFERROR(HYPERLINK("#'Appendix A'!E"&amp;ROW(INDEX(Table23[DSorder],MATCH(cyberControls[[#This Row],[AppAref]],Table23[DSorder],0))),"GO"),"")</f>
        <v/>
      </c>
      <c r="I137" s="86" t="str">
        <f>cyberControls[[#This Row],[Component]]&amp;cyberControls[[#This Row],[Maturity Level]]</f>
        <v>Anomalous Activity DetectionAdvanced</v>
      </c>
      <c r="J137" s="86" t="str">
        <f>cyberControls[[#This Row],[workArea]]&amp;cyberControls[[#This Row],[Y, Y(C), N]]</f>
        <v>Anomalous Activity DetectionAdvanced</v>
      </c>
      <c r="K137" s="184"/>
      <c r="L137" s="184"/>
      <c r="M137" s="184" t="str">
        <f t="shared" ref="M137:M168" si="4">TRIM(MID($A$5,FIND(":",$A$5)+2,LEN($A$5)))</f>
        <v>Cybersecurity Controls</v>
      </c>
      <c r="N137" s="184">
        <f>IF(cyberControls[[#This Row],[Y, Y(C), N]]=yes,1,0)</f>
        <v>0</v>
      </c>
      <c r="O137" s="184">
        <f>IF(cyberControls[[#This Row],[Y, Y(C), N]]=yesCC,1,0)</f>
        <v>0</v>
      </c>
      <c r="P137" s="184">
        <f>IF(cyberControls[[#This Row],[Y, Y(C), N]]=no,1,0)</f>
        <v>0</v>
      </c>
      <c r="Q137" s="184">
        <f>IF(cyberControls[[#This Row],[Y, Y(C), N]]=NotAvail,1,0)</f>
        <v>0</v>
      </c>
      <c r="R137" s="92"/>
    </row>
    <row r="138" spans="1:18" ht="30" x14ac:dyDescent="0.25">
      <c r="A138" s="86" t="s">
        <v>364</v>
      </c>
      <c r="B138" s="86" t="s">
        <v>387</v>
      </c>
      <c r="C138" s="86" t="s">
        <v>30</v>
      </c>
      <c r="D138" s="87"/>
      <c r="E138" s="58" t="s">
        <v>399</v>
      </c>
      <c r="F138" s="24"/>
      <c r="G138" s="237"/>
      <c r="H138" s="255" t="str">
        <f>IFERROR(HYPERLINK("#'Appendix A'!E"&amp;ROW(INDEX(Table23[DSorder],MATCH(cyberControls[[#This Row],[AppAref]],Table23[DSorder],0))),"GO"),"")</f>
        <v/>
      </c>
      <c r="I138" s="86" t="str">
        <f>cyberControls[[#This Row],[Component]]&amp;cyberControls[[#This Row],[Maturity Level]]</f>
        <v>Anomalous Activity DetectionAdvanced</v>
      </c>
      <c r="J138" s="86" t="str">
        <f>cyberControls[[#This Row],[workArea]]&amp;cyberControls[[#This Row],[Y, Y(C), N]]</f>
        <v>Anomalous Activity DetectionAdvanced</v>
      </c>
      <c r="K138" s="184"/>
      <c r="L138" s="184"/>
      <c r="M138" s="184" t="str">
        <f t="shared" si="4"/>
        <v>Cybersecurity Controls</v>
      </c>
      <c r="N138" s="184">
        <f>IF(cyberControls[[#This Row],[Y, Y(C), N]]=yes,1,0)</f>
        <v>0</v>
      </c>
      <c r="O138" s="184">
        <f>IF(cyberControls[[#This Row],[Y, Y(C), N]]=yesCC,1,0)</f>
        <v>0</v>
      </c>
      <c r="P138" s="184">
        <f>IF(cyberControls[[#This Row],[Y, Y(C), N]]=no,1,0)</f>
        <v>0</v>
      </c>
      <c r="Q138" s="184">
        <f>IF(cyberControls[[#This Row],[Y, Y(C), N]]=NotAvail,1,0)</f>
        <v>0</v>
      </c>
      <c r="R138" s="92"/>
    </row>
    <row r="139" spans="1:18" ht="30" x14ac:dyDescent="0.25">
      <c r="A139" s="86" t="s">
        <v>364</v>
      </c>
      <c r="B139" s="86" t="s">
        <v>387</v>
      </c>
      <c r="C139" s="86" t="s">
        <v>30</v>
      </c>
      <c r="D139" s="87"/>
      <c r="E139" s="58" t="s">
        <v>400</v>
      </c>
      <c r="F139" s="24"/>
      <c r="G139" s="237"/>
      <c r="H139" s="255" t="str">
        <f>IFERROR(HYPERLINK("#'Appendix A'!E"&amp;ROW(INDEX(Table23[DSorder],MATCH(cyberControls[[#This Row],[AppAref]],Table23[DSorder],0))),"GO"),"")</f>
        <v/>
      </c>
      <c r="I139" s="86" t="str">
        <f>cyberControls[[#This Row],[Component]]&amp;cyberControls[[#This Row],[Maturity Level]]</f>
        <v>Anomalous Activity DetectionAdvanced</v>
      </c>
      <c r="J139" s="86" t="str">
        <f>cyberControls[[#This Row],[workArea]]&amp;cyberControls[[#This Row],[Y, Y(C), N]]</f>
        <v>Anomalous Activity DetectionAdvanced</v>
      </c>
      <c r="K139" s="184"/>
      <c r="L139" s="184"/>
      <c r="M139" s="184" t="str">
        <f t="shared" si="4"/>
        <v>Cybersecurity Controls</v>
      </c>
      <c r="N139" s="184">
        <f>IF(cyberControls[[#This Row],[Y, Y(C), N]]=yes,1,0)</f>
        <v>0</v>
      </c>
      <c r="O139" s="184">
        <f>IF(cyberControls[[#This Row],[Y, Y(C), N]]=yesCC,1,0)</f>
        <v>0</v>
      </c>
      <c r="P139" s="184">
        <f>IF(cyberControls[[#This Row],[Y, Y(C), N]]=no,1,0)</f>
        <v>0</v>
      </c>
      <c r="Q139" s="184">
        <f>IF(cyberControls[[#This Row],[Y, Y(C), N]]=NotAvail,1,0)</f>
        <v>0</v>
      </c>
      <c r="R139" s="92"/>
    </row>
    <row r="140" spans="1:18" ht="30" x14ac:dyDescent="0.25">
      <c r="A140" s="86" t="s">
        <v>364</v>
      </c>
      <c r="B140" s="86" t="s">
        <v>387</v>
      </c>
      <c r="C140" s="86" t="s">
        <v>30</v>
      </c>
      <c r="D140" s="87"/>
      <c r="E140" s="58" t="s">
        <v>401</v>
      </c>
      <c r="F140" s="24"/>
      <c r="G140" s="237"/>
      <c r="H140" s="255" t="str">
        <f>IFERROR(HYPERLINK("#'Appendix A'!E"&amp;ROW(INDEX(Table23[DSorder],MATCH(cyberControls[[#This Row],[AppAref]],Table23[DSorder],0))),"GO"),"")</f>
        <v/>
      </c>
      <c r="I140" s="86" t="str">
        <f>cyberControls[[#This Row],[Component]]&amp;cyberControls[[#This Row],[Maturity Level]]</f>
        <v>Anomalous Activity DetectionAdvanced</v>
      </c>
      <c r="J140" s="86" t="str">
        <f>cyberControls[[#This Row],[workArea]]&amp;cyberControls[[#This Row],[Y, Y(C), N]]</f>
        <v>Anomalous Activity DetectionAdvanced</v>
      </c>
      <c r="K140" s="184"/>
      <c r="L140" s="184"/>
      <c r="M140" s="184" t="str">
        <f t="shared" si="4"/>
        <v>Cybersecurity Controls</v>
      </c>
      <c r="N140" s="184">
        <f>IF(cyberControls[[#This Row],[Y, Y(C), N]]=yes,1,0)</f>
        <v>0</v>
      </c>
      <c r="O140" s="184">
        <f>IF(cyberControls[[#This Row],[Y, Y(C), N]]=yesCC,1,0)</f>
        <v>0</v>
      </c>
      <c r="P140" s="184">
        <f>IF(cyberControls[[#This Row],[Y, Y(C), N]]=no,1,0)</f>
        <v>0</v>
      </c>
      <c r="Q140" s="184">
        <f>IF(cyberControls[[#This Row],[Y, Y(C), N]]=NotAvail,1,0)</f>
        <v>0</v>
      </c>
      <c r="R140" s="92"/>
    </row>
    <row r="141" spans="1:18" ht="30" x14ac:dyDescent="0.25">
      <c r="A141" s="86" t="s">
        <v>364</v>
      </c>
      <c r="B141" s="86" t="s">
        <v>387</v>
      </c>
      <c r="C141" s="86" t="s">
        <v>30</v>
      </c>
      <c r="D141" s="87"/>
      <c r="E141" s="58" t="s">
        <v>402</v>
      </c>
      <c r="F141" s="24"/>
      <c r="G141" s="237"/>
      <c r="H141" s="255" t="str">
        <f>IFERROR(HYPERLINK("#'Appendix A'!E"&amp;ROW(INDEX(Table23[DSorder],MATCH(cyberControls[[#This Row],[AppAref]],Table23[DSorder],0))),"GO"),"")</f>
        <v/>
      </c>
      <c r="I141" s="86" t="str">
        <f>cyberControls[[#This Row],[Component]]&amp;cyberControls[[#This Row],[Maturity Level]]</f>
        <v>Anomalous Activity DetectionAdvanced</v>
      </c>
      <c r="J141" s="86" t="str">
        <f>cyberControls[[#This Row],[workArea]]&amp;cyberControls[[#This Row],[Y, Y(C), N]]</f>
        <v>Anomalous Activity DetectionAdvanced</v>
      </c>
      <c r="K141" s="184"/>
      <c r="L141" s="184"/>
      <c r="M141" s="184" t="str">
        <f t="shared" si="4"/>
        <v>Cybersecurity Controls</v>
      </c>
      <c r="N141" s="184">
        <f>IF(cyberControls[[#This Row],[Y, Y(C), N]]=yes,1,0)</f>
        <v>0</v>
      </c>
      <c r="O141" s="184">
        <f>IF(cyberControls[[#This Row],[Y, Y(C), N]]=yesCC,1,0)</f>
        <v>0</v>
      </c>
      <c r="P141" s="184">
        <f>IF(cyberControls[[#This Row],[Y, Y(C), N]]=no,1,0)</f>
        <v>0</v>
      </c>
      <c r="Q141" s="184">
        <f>IF(cyberControls[[#This Row],[Y, Y(C), N]]=NotAvail,1,0)</f>
        <v>0</v>
      </c>
      <c r="R141" s="92"/>
    </row>
    <row r="142" spans="1:18" x14ac:dyDescent="0.25">
      <c r="A142" s="86" t="s">
        <v>364</v>
      </c>
      <c r="B142" s="86" t="s">
        <v>387</v>
      </c>
      <c r="C142" s="86" t="s">
        <v>31</v>
      </c>
      <c r="D142" s="87"/>
      <c r="E142" s="58" t="s">
        <v>403</v>
      </c>
      <c r="F142" s="24"/>
      <c r="G142" s="237"/>
      <c r="H142" s="255" t="str">
        <f>IFERROR(HYPERLINK("#'Appendix A'!E"&amp;ROW(INDEX(Table23[DSorder],MATCH(cyberControls[[#This Row],[AppAref]],Table23[DSorder],0))),"GO"),"")</f>
        <v/>
      </c>
      <c r="I142" s="86" t="str">
        <f>cyberControls[[#This Row],[Component]]&amp;cyberControls[[#This Row],[Maturity Level]]</f>
        <v>Anomalous Activity DetectionInnovative</v>
      </c>
      <c r="J142" s="86" t="str">
        <f>cyberControls[[#This Row],[workArea]]&amp;cyberControls[[#This Row],[Y, Y(C), N]]</f>
        <v>Anomalous Activity DetectionInnovative</v>
      </c>
      <c r="K142" s="184"/>
      <c r="L142" s="184"/>
      <c r="M142" s="184" t="str">
        <f t="shared" si="4"/>
        <v>Cybersecurity Controls</v>
      </c>
      <c r="N142" s="184">
        <f>IF(cyberControls[[#This Row],[Y, Y(C), N]]=yes,1,0)</f>
        <v>0</v>
      </c>
      <c r="O142" s="184">
        <f>IF(cyberControls[[#This Row],[Y, Y(C), N]]=yesCC,1,0)</f>
        <v>0</v>
      </c>
      <c r="P142" s="184">
        <f>IF(cyberControls[[#This Row],[Y, Y(C), N]]=no,1,0)</f>
        <v>0</v>
      </c>
      <c r="Q142" s="184">
        <f>IF(cyberControls[[#This Row],[Y, Y(C), N]]=NotAvail,1,0)</f>
        <v>0</v>
      </c>
      <c r="R142" s="92"/>
    </row>
    <row r="143" spans="1:18" ht="30" x14ac:dyDescent="0.25">
      <c r="A143" s="86" t="s">
        <v>364</v>
      </c>
      <c r="B143" s="86" t="s">
        <v>387</v>
      </c>
      <c r="C143" s="86" t="s">
        <v>31</v>
      </c>
      <c r="D143" s="87"/>
      <c r="E143" s="58" t="s">
        <v>404</v>
      </c>
      <c r="F143" s="24"/>
      <c r="G143" s="237"/>
      <c r="H143" s="255" t="str">
        <f>IFERROR(HYPERLINK("#'Appendix A'!E"&amp;ROW(INDEX(Table23[DSorder],MATCH(cyberControls[[#This Row],[AppAref]],Table23[DSorder],0))),"GO"),"")</f>
        <v/>
      </c>
      <c r="I143" s="86" t="str">
        <f>cyberControls[[#This Row],[Component]]&amp;cyberControls[[#This Row],[Maturity Level]]</f>
        <v>Anomalous Activity DetectionInnovative</v>
      </c>
      <c r="J143" s="86" t="str">
        <f>cyberControls[[#This Row],[workArea]]&amp;cyberControls[[#This Row],[Y, Y(C), N]]</f>
        <v>Anomalous Activity DetectionInnovative</v>
      </c>
      <c r="K143" s="184"/>
      <c r="L143" s="184"/>
      <c r="M143" s="184" t="str">
        <f t="shared" si="4"/>
        <v>Cybersecurity Controls</v>
      </c>
      <c r="N143" s="184">
        <f>IF(cyberControls[[#This Row],[Y, Y(C), N]]=yes,1,0)</f>
        <v>0</v>
      </c>
      <c r="O143" s="184">
        <f>IF(cyberControls[[#This Row],[Y, Y(C), N]]=yesCC,1,0)</f>
        <v>0</v>
      </c>
      <c r="P143" s="184">
        <f>IF(cyberControls[[#This Row],[Y, Y(C), N]]=no,1,0)</f>
        <v>0</v>
      </c>
      <c r="Q143" s="184">
        <f>IF(cyberControls[[#This Row],[Y, Y(C), N]]=NotAvail,1,0)</f>
        <v>0</v>
      </c>
      <c r="R143" s="92"/>
    </row>
    <row r="144" spans="1:18" ht="30" x14ac:dyDescent="0.25">
      <c r="A144" s="86" t="s">
        <v>364</v>
      </c>
      <c r="B144" s="86" t="s">
        <v>410</v>
      </c>
      <c r="C144" s="86" t="s">
        <v>27</v>
      </c>
      <c r="D144" s="87"/>
      <c r="E144" s="58" t="s">
        <v>405</v>
      </c>
      <c r="F144"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77</v>
      </c>
      <c r="G144" s="237"/>
      <c r="H144" s="255" t="str">
        <f>IFERROR(HYPERLINK("#'Appendix A'!E"&amp;ROW(INDEX(Table23[DSorder],MATCH(cyberControls[[#This Row],[AppAref]],Table23[DSorder],0))),"GO"),"")</f>
        <v>GO</v>
      </c>
      <c r="I144" s="86" t="str">
        <f>cyberControls[[#This Row],[Component]]&amp;cyberControls[[#This Row],[Maturity Level]]</f>
        <v>Event DetectionBaseline</v>
      </c>
      <c r="J144" s="86" t="str">
        <f>cyberControls[[#This Row],[workArea]]&amp;cyberControls[[#This Row],[Y, Y(C), N]]</f>
        <v>Event DetectionBaseline</v>
      </c>
      <c r="K144" s="184">
        <v>79</v>
      </c>
      <c r="L144" s="202">
        <f>IFERROR(MATCH(cyberControls[[#This Row],[Ref No.]],hyperlinkLU[Reference No.],0),cyberControls[[#This Row],[Ref No.]])</f>
        <v>80</v>
      </c>
      <c r="M144" s="202" t="str">
        <f t="shared" si="4"/>
        <v>Cybersecurity Controls</v>
      </c>
      <c r="N144" s="184">
        <f>IF(cyberControls[[#This Row],[Y, Y(C), N]]=yes,1,0)</f>
        <v>0</v>
      </c>
      <c r="O144" s="184">
        <f>IF(cyberControls[[#This Row],[Y, Y(C), N]]=yesCC,1,0)</f>
        <v>0</v>
      </c>
      <c r="P144" s="184">
        <f>IF(cyberControls[[#This Row],[Y, Y(C), N]]=no,1,0)</f>
        <v>0</v>
      </c>
      <c r="Q144" s="184">
        <f>IF(cyberControls[[#This Row],[Y, Y(C), N]]=NotAvail,1,0)</f>
        <v>0</v>
      </c>
      <c r="R144" s="92">
        <v>82</v>
      </c>
    </row>
    <row r="145" spans="1:18" ht="30" x14ac:dyDescent="0.25">
      <c r="A145" s="86" t="s">
        <v>364</v>
      </c>
      <c r="B145" s="86" t="s">
        <v>410</v>
      </c>
      <c r="C145" s="86" t="s">
        <v>27</v>
      </c>
      <c r="D145" s="87"/>
      <c r="E145" s="58" t="s">
        <v>406</v>
      </c>
      <c r="F145"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78</v>
      </c>
      <c r="G145" s="237"/>
      <c r="H145" s="255" t="str">
        <f>IFERROR(HYPERLINK("#'Appendix A'!E"&amp;ROW(INDEX(Table23[DSorder],MATCH(cyberControls[[#This Row],[AppAref]],Table23[DSorder],0))),"GO"),"")</f>
        <v>GO</v>
      </c>
      <c r="I145" s="86" t="str">
        <f>cyberControls[[#This Row],[Component]]&amp;cyberControls[[#This Row],[Maturity Level]]</f>
        <v>Event DetectionBaseline</v>
      </c>
      <c r="J145" s="86" t="str">
        <f>cyberControls[[#This Row],[workArea]]&amp;cyberControls[[#This Row],[Y, Y(C), N]]</f>
        <v>Event DetectionBaseline</v>
      </c>
      <c r="K145" s="184">
        <v>80</v>
      </c>
      <c r="L145" s="202">
        <f>IFERROR(MATCH(cyberControls[[#This Row],[Ref No.]],hyperlinkLU[Reference No.],0),cyberControls[[#This Row],[Ref No.]])</f>
        <v>81</v>
      </c>
      <c r="M145" s="202" t="str">
        <f t="shared" si="4"/>
        <v>Cybersecurity Controls</v>
      </c>
      <c r="N145" s="184">
        <f>IF(cyberControls[[#This Row],[Y, Y(C), N]]=yes,1,0)</f>
        <v>0</v>
      </c>
      <c r="O145" s="184">
        <f>IF(cyberControls[[#This Row],[Y, Y(C), N]]=yesCC,1,0)</f>
        <v>0</v>
      </c>
      <c r="P145" s="184">
        <f>IF(cyberControls[[#This Row],[Y, Y(C), N]]=no,1,0)</f>
        <v>0</v>
      </c>
      <c r="Q145" s="184">
        <f>IF(cyberControls[[#This Row],[Y, Y(C), N]]=NotAvail,1,0)</f>
        <v>0</v>
      </c>
      <c r="R145" s="92">
        <v>83</v>
      </c>
    </row>
    <row r="146" spans="1:18" ht="45" x14ac:dyDescent="0.25">
      <c r="A146" s="86" t="s">
        <v>364</v>
      </c>
      <c r="B146" s="86" t="s">
        <v>410</v>
      </c>
      <c r="C146" s="86" t="s">
        <v>27</v>
      </c>
      <c r="D146" s="87"/>
      <c r="E146" s="58" t="s">
        <v>407</v>
      </c>
      <c r="F146"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Information Security Work Program</v>
      </c>
      <c r="G146" s="237"/>
      <c r="H146" s="255" t="str">
        <f>IFERROR(HYPERLINK("#'Appendix A'!E"&amp;ROW(INDEX(Table23[DSorder],MATCH(cyberControls[[#This Row],[AppAref]],Table23[DSorder],0))),"GO"),"")</f>
        <v>GO</v>
      </c>
      <c r="I146" s="86" t="str">
        <f>cyberControls[[#This Row],[Component]]&amp;cyberControls[[#This Row],[Maturity Level]]</f>
        <v>Event DetectionBaseline</v>
      </c>
      <c r="J146" s="86" t="str">
        <f>cyberControls[[#This Row],[workArea]]&amp;cyberControls[[#This Row],[Y, Y(C), N]]</f>
        <v>Event DetectionBaseline</v>
      </c>
      <c r="K146" s="184">
        <v>81</v>
      </c>
      <c r="L146" s="202">
        <f>IFERROR(MATCH(cyberControls[[#This Row],[Ref No.]],hyperlinkLU[Reference No.],0),cyberControls[[#This Row],[Ref No.]])</f>
        <v>82</v>
      </c>
      <c r="M146" s="202" t="str">
        <f t="shared" si="4"/>
        <v>Cybersecurity Controls</v>
      </c>
      <c r="N146" s="184">
        <f>IF(cyberControls[[#This Row],[Y, Y(C), N]]=yes,1,0)</f>
        <v>0</v>
      </c>
      <c r="O146" s="184">
        <f>IF(cyberControls[[#This Row],[Y, Y(C), N]]=yesCC,1,0)</f>
        <v>0</v>
      </c>
      <c r="P146" s="184">
        <f>IF(cyberControls[[#This Row],[Y, Y(C), N]]=no,1,0)</f>
        <v>0</v>
      </c>
      <c r="Q146" s="184">
        <f>IF(cyberControls[[#This Row],[Y, Y(C), N]]=NotAvail,1,0)</f>
        <v>0</v>
      </c>
      <c r="R146" s="92">
        <v>84</v>
      </c>
    </row>
    <row r="147" spans="1:18" ht="30" x14ac:dyDescent="0.25">
      <c r="A147" s="86" t="s">
        <v>364</v>
      </c>
      <c r="B147" s="86" t="s">
        <v>410</v>
      </c>
      <c r="C147" s="86" t="s">
        <v>27</v>
      </c>
      <c r="D147" s="87"/>
      <c r="E147" s="58" t="s">
        <v>408</v>
      </c>
      <c r="F147"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83</v>
      </c>
      <c r="G147" s="237"/>
      <c r="H147" s="255" t="str">
        <f>IFERROR(HYPERLINK("#'Appendix A'!E"&amp;ROW(INDEX(Table23[DSorder],MATCH(cyberControls[[#This Row],[AppAref]],Table23[DSorder],0))),"GO"),"")</f>
        <v>GO</v>
      </c>
      <c r="I147" s="86" t="str">
        <f>cyberControls[[#This Row],[Component]]&amp;cyberControls[[#This Row],[Maturity Level]]</f>
        <v>Event DetectionBaseline</v>
      </c>
      <c r="J147" s="86" t="str">
        <f>cyberControls[[#This Row],[workArea]]&amp;cyberControls[[#This Row],[Y, Y(C), N]]</f>
        <v>Event DetectionBaseline</v>
      </c>
      <c r="K147" s="184">
        <v>82</v>
      </c>
      <c r="L147" s="202">
        <f>IFERROR(MATCH(cyberControls[[#This Row],[Ref No.]],hyperlinkLU[Reference No.],0),cyberControls[[#This Row],[Ref No.]])</f>
        <v>83</v>
      </c>
      <c r="M147" s="202" t="str">
        <f t="shared" si="4"/>
        <v>Cybersecurity Controls</v>
      </c>
      <c r="N147" s="184">
        <f>IF(cyberControls[[#This Row],[Y, Y(C), N]]=yes,1,0)</f>
        <v>0</v>
      </c>
      <c r="O147" s="184">
        <f>IF(cyberControls[[#This Row],[Y, Y(C), N]]=yesCC,1,0)</f>
        <v>0</v>
      </c>
      <c r="P147" s="184">
        <f>IF(cyberControls[[#This Row],[Y, Y(C), N]]=no,1,0)</f>
        <v>0</v>
      </c>
      <c r="Q147" s="184">
        <f>IF(cyberControls[[#This Row],[Y, Y(C), N]]=NotAvail,1,0)</f>
        <v>0</v>
      </c>
      <c r="R147" s="92">
        <v>85</v>
      </c>
    </row>
    <row r="148" spans="1:18" ht="30" x14ac:dyDescent="0.25">
      <c r="A148" s="86" t="s">
        <v>364</v>
      </c>
      <c r="B148" s="86" t="s">
        <v>410</v>
      </c>
      <c r="C148" s="86" t="s">
        <v>27</v>
      </c>
      <c r="D148" s="87"/>
      <c r="E148" s="58" t="s">
        <v>409</v>
      </c>
      <c r="F148"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47</v>
      </c>
      <c r="G148" s="237"/>
      <c r="H148" s="255" t="str">
        <f>IFERROR(HYPERLINK("#'Appendix A'!E"&amp;ROW(INDEX(Table23[DSorder],MATCH(cyberControls[[#This Row],[AppAref]],Table23[DSorder],0))),"GO"),"")</f>
        <v>GO</v>
      </c>
      <c r="I148" s="86" t="str">
        <f>cyberControls[[#This Row],[Component]]&amp;cyberControls[[#This Row],[Maturity Level]]</f>
        <v>Event DetectionBaseline</v>
      </c>
      <c r="J148" s="86" t="str">
        <f>cyberControls[[#This Row],[workArea]]&amp;cyberControls[[#This Row],[Y, Y(C), N]]</f>
        <v>Event DetectionBaseline</v>
      </c>
      <c r="K148" s="184">
        <v>83</v>
      </c>
      <c r="L148" s="202">
        <f>IFERROR(MATCH(cyberControls[[#This Row],[Ref No.]],hyperlinkLU[Reference No.],0),cyberControls[[#This Row],[Ref No.]])</f>
        <v>84</v>
      </c>
      <c r="M148" s="202" t="str">
        <f t="shared" si="4"/>
        <v>Cybersecurity Controls</v>
      </c>
      <c r="N148" s="184">
        <f>IF(cyberControls[[#This Row],[Y, Y(C), N]]=yes,1,0)</f>
        <v>0</v>
      </c>
      <c r="O148" s="184">
        <f>IF(cyberControls[[#This Row],[Y, Y(C), N]]=yesCC,1,0)</f>
        <v>0</v>
      </c>
      <c r="P148" s="184">
        <f>IF(cyberControls[[#This Row],[Y, Y(C), N]]=no,1,0)</f>
        <v>0</v>
      </c>
      <c r="Q148" s="184">
        <f>IF(cyberControls[[#This Row],[Y, Y(C), N]]=NotAvail,1,0)</f>
        <v>0</v>
      </c>
      <c r="R148" s="92">
        <v>86</v>
      </c>
    </row>
    <row r="149" spans="1:18" ht="30" x14ac:dyDescent="0.25">
      <c r="A149" s="86" t="s">
        <v>364</v>
      </c>
      <c r="B149" s="86" t="s">
        <v>410</v>
      </c>
      <c r="C149" s="86" t="s">
        <v>28</v>
      </c>
      <c r="D149" s="87"/>
      <c r="E149" s="58" t="s">
        <v>411</v>
      </c>
      <c r="F149" s="24"/>
      <c r="G149" s="237"/>
      <c r="H149" s="255" t="str">
        <f>IFERROR(HYPERLINK("#'Appendix A'!E"&amp;ROW(INDEX(Table23[DSorder],MATCH(cyberControls[[#This Row],[AppAref]],Table23[DSorder],0))),"GO"),"")</f>
        <v/>
      </c>
      <c r="I149" s="86" t="str">
        <f>cyberControls[[#This Row],[Component]]&amp;cyberControls[[#This Row],[Maturity Level]]</f>
        <v>Event DetectionEvolving</v>
      </c>
      <c r="J149" s="86" t="str">
        <f>cyberControls[[#This Row],[workArea]]&amp;cyberControls[[#This Row],[Y, Y(C), N]]</f>
        <v>Event DetectionEvolving</v>
      </c>
      <c r="K149" s="184"/>
      <c r="L149" s="184"/>
      <c r="M149" s="184" t="str">
        <f t="shared" si="4"/>
        <v>Cybersecurity Controls</v>
      </c>
      <c r="N149" s="184">
        <f>IF(cyberControls[[#This Row],[Y, Y(C), N]]=yes,1,0)</f>
        <v>0</v>
      </c>
      <c r="O149" s="184">
        <f>IF(cyberControls[[#This Row],[Y, Y(C), N]]=yesCC,1,0)</f>
        <v>0</v>
      </c>
      <c r="P149" s="184">
        <f>IF(cyberControls[[#This Row],[Y, Y(C), N]]=no,1,0)</f>
        <v>0</v>
      </c>
      <c r="Q149" s="184">
        <f>IF(cyberControls[[#This Row],[Y, Y(C), N]]=NotAvail,1,0)</f>
        <v>0</v>
      </c>
      <c r="R149" s="92"/>
    </row>
    <row r="150" spans="1:18" ht="30" x14ac:dyDescent="0.25">
      <c r="A150" s="86" t="s">
        <v>364</v>
      </c>
      <c r="B150" s="86" t="s">
        <v>410</v>
      </c>
      <c r="C150" s="86" t="s">
        <v>29</v>
      </c>
      <c r="D150" s="87"/>
      <c r="E150" s="58" t="s">
        <v>412</v>
      </c>
      <c r="F150" s="24"/>
      <c r="G150" s="237"/>
      <c r="H150" s="255" t="str">
        <f>IFERROR(HYPERLINK("#'Appendix A'!E"&amp;ROW(INDEX(Table23[DSorder],MATCH(cyberControls[[#This Row],[AppAref]],Table23[DSorder],0))),"GO"),"")</f>
        <v/>
      </c>
      <c r="I150" s="86" t="str">
        <f>cyberControls[[#This Row],[Component]]&amp;cyberControls[[#This Row],[Maturity Level]]</f>
        <v>Event DetectionIntermediate</v>
      </c>
      <c r="J150" s="86" t="str">
        <f>cyberControls[[#This Row],[workArea]]&amp;cyberControls[[#This Row],[Y, Y(C), N]]</f>
        <v>Event DetectionIntermediate</v>
      </c>
      <c r="K150" s="184"/>
      <c r="L150" s="184"/>
      <c r="M150" s="184" t="str">
        <f t="shared" si="4"/>
        <v>Cybersecurity Controls</v>
      </c>
      <c r="N150" s="184">
        <f>IF(cyberControls[[#This Row],[Y, Y(C), N]]=yes,1,0)</f>
        <v>0</v>
      </c>
      <c r="O150" s="184">
        <f>IF(cyberControls[[#This Row],[Y, Y(C), N]]=yesCC,1,0)</f>
        <v>0</v>
      </c>
      <c r="P150" s="184">
        <f>IF(cyberControls[[#This Row],[Y, Y(C), N]]=no,1,0)</f>
        <v>0</v>
      </c>
      <c r="Q150" s="184">
        <f>IF(cyberControls[[#This Row],[Y, Y(C), N]]=NotAvail,1,0)</f>
        <v>0</v>
      </c>
      <c r="R150" s="92"/>
    </row>
    <row r="151" spans="1:18" x14ac:dyDescent="0.25">
      <c r="A151" s="86" t="s">
        <v>364</v>
      </c>
      <c r="B151" s="86" t="s">
        <v>410</v>
      </c>
      <c r="C151" s="86" t="s">
        <v>29</v>
      </c>
      <c r="D151" s="87"/>
      <c r="E151" s="58" t="s">
        <v>413</v>
      </c>
      <c r="F151" s="24"/>
      <c r="G151" s="237"/>
      <c r="H151" s="255" t="str">
        <f>IFERROR(HYPERLINK("#'Appendix A'!E"&amp;ROW(INDEX(Table23[DSorder],MATCH(cyberControls[[#This Row],[AppAref]],Table23[DSorder],0))),"GO"),"")</f>
        <v/>
      </c>
      <c r="I151" s="86" t="str">
        <f>cyberControls[[#This Row],[Component]]&amp;cyberControls[[#This Row],[Maturity Level]]</f>
        <v>Event DetectionIntermediate</v>
      </c>
      <c r="J151" s="86" t="str">
        <f>cyberControls[[#This Row],[workArea]]&amp;cyberControls[[#This Row],[Y, Y(C), N]]</f>
        <v>Event DetectionIntermediate</v>
      </c>
      <c r="K151" s="184"/>
      <c r="L151" s="184"/>
      <c r="M151" s="184" t="str">
        <f t="shared" si="4"/>
        <v>Cybersecurity Controls</v>
      </c>
      <c r="N151" s="184">
        <f>IF(cyberControls[[#This Row],[Y, Y(C), N]]=yes,1,0)</f>
        <v>0</v>
      </c>
      <c r="O151" s="184">
        <f>IF(cyberControls[[#This Row],[Y, Y(C), N]]=yesCC,1,0)</f>
        <v>0</v>
      </c>
      <c r="P151" s="184">
        <f>IF(cyberControls[[#This Row],[Y, Y(C), N]]=no,1,0)</f>
        <v>0</v>
      </c>
      <c r="Q151" s="184">
        <f>IF(cyberControls[[#This Row],[Y, Y(C), N]]=NotAvail,1,0)</f>
        <v>0</v>
      </c>
      <c r="R151" s="92"/>
    </row>
    <row r="152" spans="1:18" ht="30" x14ac:dyDescent="0.25">
      <c r="A152" s="86" t="s">
        <v>364</v>
      </c>
      <c r="B152" s="86" t="s">
        <v>410</v>
      </c>
      <c r="C152" s="86" t="s">
        <v>29</v>
      </c>
      <c r="D152" s="87"/>
      <c r="E152" s="58" t="s">
        <v>414</v>
      </c>
      <c r="F152" s="24"/>
      <c r="G152" s="237"/>
      <c r="H152" s="255" t="str">
        <f>IFERROR(HYPERLINK("#'Appendix A'!E"&amp;ROW(INDEX(Table23[DSorder],MATCH(cyberControls[[#This Row],[AppAref]],Table23[DSorder],0))),"GO"),"")</f>
        <v/>
      </c>
      <c r="I152" s="86" t="str">
        <f>cyberControls[[#This Row],[Component]]&amp;cyberControls[[#This Row],[Maturity Level]]</f>
        <v>Event DetectionIntermediate</v>
      </c>
      <c r="J152" s="86" t="str">
        <f>cyberControls[[#This Row],[workArea]]&amp;cyberControls[[#This Row],[Y, Y(C), N]]</f>
        <v>Event DetectionIntermediate</v>
      </c>
      <c r="K152" s="184"/>
      <c r="L152" s="184"/>
      <c r="M152" s="184" t="str">
        <f t="shared" si="4"/>
        <v>Cybersecurity Controls</v>
      </c>
      <c r="N152" s="184">
        <f>IF(cyberControls[[#This Row],[Y, Y(C), N]]=yes,1,0)</f>
        <v>0</v>
      </c>
      <c r="O152" s="184">
        <f>IF(cyberControls[[#This Row],[Y, Y(C), N]]=yesCC,1,0)</f>
        <v>0</v>
      </c>
      <c r="P152" s="184">
        <f>IF(cyberControls[[#This Row],[Y, Y(C), N]]=no,1,0)</f>
        <v>0</v>
      </c>
      <c r="Q152" s="184">
        <f>IF(cyberControls[[#This Row],[Y, Y(C), N]]=NotAvail,1,0)</f>
        <v>0</v>
      </c>
      <c r="R152" s="92"/>
    </row>
    <row r="153" spans="1:18" ht="30" x14ac:dyDescent="0.25">
      <c r="A153" s="86" t="s">
        <v>364</v>
      </c>
      <c r="B153" s="86" t="s">
        <v>410</v>
      </c>
      <c r="C153" s="86" t="s">
        <v>30</v>
      </c>
      <c r="D153" s="87"/>
      <c r="E153" s="58" t="s">
        <v>415</v>
      </c>
      <c r="F153" s="24"/>
      <c r="G153" s="237"/>
      <c r="H153" s="255" t="str">
        <f>IFERROR(HYPERLINK("#'Appendix A'!E"&amp;ROW(INDEX(Table23[DSorder],MATCH(cyberControls[[#This Row],[AppAref]],Table23[DSorder],0))),"GO"),"")</f>
        <v/>
      </c>
      <c r="I153" s="86" t="str">
        <f>cyberControls[[#This Row],[Component]]&amp;cyberControls[[#This Row],[Maturity Level]]</f>
        <v>Event DetectionAdvanced</v>
      </c>
      <c r="J153" s="86" t="str">
        <f>cyberControls[[#This Row],[workArea]]&amp;cyberControls[[#This Row],[Y, Y(C), N]]</f>
        <v>Event DetectionAdvanced</v>
      </c>
      <c r="K153" s="184"/>
      <c r="L153" s="184"/>
      <c r="M153" s="184" t="str">
        <f t="shared" si="4"/>
        <v>Cybersecurity Controls</v>
      </c>
      <c r="N153" s="184">
        <f>IF(cyberControls[[#This Row],[Y, Y(C), N]]=yes,1,0)</f>
        <v>0</v>
      </c>
      <c r="O153" s="184">
        <f>IF(cyberControls[[#This Row],[Y, Y(C), N]]=yesCC,1,0)</f>
        <v>0</v>
      </c>
      <c r="P153" s="184">
        <f>IF(cyberControls[[#This Row],[Y, Y(C), N]]=no,1,0)</f>
        <v>0</v>
      </c>
      <c r="Q153" s="184">
        <f>IF(cyberControls[[#This Row],[Y, Y(C), N]]=NotAvail,1,0)</f>
        <v>0</v>
      </c>
      <c r="R153" s="92"/>
    </row>
    <row r="154" spans="1:18" ht="30" x14ac:dyDescent="0.25">
      <c r="A154" s="86" t="s">
        <v>364</v>
      </c>
      <c r="B154" s="86" t="s">
        <v>410</v>
      </c>
      <c r="C154" s="86" t="s">
        <v>30</v>
      </c>
      <c r="D154" s="87"/>
      <c r="E154" s="58" t="s">
        <v>416</v>
      </c>
      <c r="F154" s="24"/>
      <c r="G154" s="237"/>
      <c r="H154" s="255" t="str">
        <f>IFERROR(HYPERLINK("#'Appendix A'!E"&amp;ROW(INDEX(Table23[DSorder],MATCH(cyberControls[[#This Row],[AppAref]],Table23[DSorder],0))),"GO"),"")</f>
        <v/>
      </c>
      <c r="I154" s="86" t="str">
        <f>cyberControls[[#This Row],[Component]]&amp;cyberControls[[#This Row],[Maturity Level]]</f>
        <v>Event DetectionAdvanced</v>
      </c>
      <c r="J154" s="86" t="str">
        <f>cyberControls[[#This Row],[workArea]]&amp;cyberControls[[#This Row],[Y, Y(C), N]]</f>
        <v>Event DetectionAdvanced</v>
      </c>
      <c r="K154" s="184"/>
      <c r="L154" s="184"/>
      <c r="M154" s="184" t="str">
        <f t="shared" si="4"/>
        <v>Cybersecurity Controls</v>
      </c>
      <c r="N154" s="184">
        <f>IF(cyberControls[[#This Row],[Y, Y(C), N]]=yes,1,0)</f>
        <v>0</v>
      </c>
      <c r="O154" s="184">
        <f>IF(cyberControls[[#This Row],[Y, Y(C), N]]=yesCC,1,0)</f>
        <v>0</v>
      </c>
      <c r="P154" s="184">
        <f>IF(cyberControls[[#This Row],[Y, Y(C), N]]=no,1,0)</f>
        <v>0</v>
      </c>
      <c r="Q154" s="184">
        <f>IF(cyberControls[[#This Row],[Y, Y(C), N]]=NotAvail,1,0)</f>
        <v>0</v>
      </c>
      <c r="R154" s="92"/>
    </row>
    <row r="155" spans="1:18" ht="30" x14ac:dyDescent="0.25">
      <c r="A155" s="86" t="s">
        <v>364</v>
      </c>
      <c r="B155" s="86" t="s">
        <v>410</v>
      </c>
      <c r="C155" s="86" t="s">
        <v>30</v>
      </c>
      <c r="D155" s="87"/>
      <c r="E155" s="58" t="s">
        <v>417</v>
      </c>
      <c r="F155" s="24"/>
      <c r="G155" s="237"/>
      <c r="H155" s="255" t="str">
        <f>IFERROR(HYPERLINK("#'Appendix A'!E"&amp;ROW(INDEX(Table23[DSorder],MATCH(cyberControls[[#This Row],[AppAref]],Table23[DSorder],0))),"GO"),"")</f>
        <v/>
      </c>
      <c r="I155" s="86" t="str">
        <f>cyberControls[[#This Row],[Component]]&amp;cyberControls[[#This Row],[Maturity Level]]</f>
        <v>Event DetectionAdvanced</v>
      </c>
      <c r="J155" s="86" t="str">
        <f>cyberControls[[#This Row],[workArea]]&amp;cyberControls[[#This Row],[Y, Y(C), N]]</f>
        <v>Event DetectionAdvanced</v>
      </c>
      <c r="K155" s="184"/>
      <c r="L155" s="184"/>
      <c r="M155" s="184" t="str">
        <f t="shared" si="4"/>
        <v>Cybersecurity Controls</v>
      </c>
      <c r="N155" s="184">
        <f>IF(cyberControls[[#This Row],[Y, Y(C), N]]=yes,1,0)</f>
        <v>0</v>
      </c>
      <c r="O155" s="184">
        <f>IF(cyberControls[[#This Row],[Y, Y(C), N]]=yesCC,1,0)</f>
        <v>0</v>
      </c>
      <c r="P155" s="184">
        <f>IF(cyberControls[[#This Row],[Y, Y(C), N]]=no,1,0)</f>
        <v>0</v>
      </c>
      <c r="Q155" s="184">
        <f>IF(cyberControls[[#This Row],[Y, Y(C), N]]=NotAvail,1,0)</f>
        <v>0</v>
      </c>
      <c r="R155" s="92"/>
    </row>
    <row r="156" spans="1:18" ht="30" x14ac:dyDescent="0.25">
      <c r="A156" s="86" t="s">
        <v>364</v>
      </c>
      <c r="B156" s="86" t="s">
        <v>410</v>
      </c>
      <c r="C156" s="86" t="s">
        <v>30</v>
      </c>
      <c r="D156" s="87"/>
      <c r="E156" s="58" t="s">
        <v>418</v>
      </c>
      <c r="F156" s="24"/>
      <c r="G156" s="237"/>
      <c r="H156" s="255" t="str">
        <f>IFERROR(HYPERLINK("#'Appendix A'!E"&amp;ROW(INDEX(Table23[DSorder],MATCH(cyberControls[[#This Row],[AppAref]],Table23[DSorder],0))),"GO"),"")</f>
        <v/>
      </c>
      <c r="I156" s="86" t="str">
        <f>cyberControls[[#This Row],[Component]]&amp;cyberControls[[#This Row],[Maturity Level]]</f>
        <v>Event DetectionAdvanced</v>
      </c>
      <c r="J156" s="86" t="str">
        <f>cyberControls[[#This Row],[workArea]]&amp;cyberControls[[#This Row],[Y, Y(C), N]]</f>
        <v>Event DetectionAdvanced</v>
      </c>
      <c r="K156" s="184"/>
      <c r="L156" s="184"/>
      <c r="M156" s="184" t="str">
        <f t="shared" si="4"/>
        <v>Cybersecurity Controls</v>
      </c>
      <c r="N156" s="184">
        <f>IF(cyberControls[[#This Row],[Y, Y(C), N]]=yes,1,0)</f>
        <v>0</v>
      </c>
      <c r="O156" s="184">
        <f>IF(cyberControls[[#This Row],[Y, Y(C), N]]=yesCC,1,0)</f>
        <v>0</v>
      </c>
      <c r="P156" s="184">
        <f>IF(cyberControls[[#This Row],[Y, Y(C), N]]=no,1,0)</f>
        <v>0</v>
      </c>
      <c r="Q156" s="184">
        <f>IF(cyberControls[[#This Row],[Y, Y(C), N]]=NotAvail,1,0)</f>
        <v>0</v>
      </c>
      <c r="R156" s="92"/>
    </row>
    <row r="157" spans="1:18" ht="30" x14ac:dyDescent="0.25">
      <c r="A157" s="86" t="s">
        <v>364</v>
      </c>
      <c r="B157" s="86" t="s">
        <v>410</v>
      </c>
      <c r="C157" s="86" t="s">
        <v>31</v>
      </c>
      <c r="D157" s="87"/>
      <c r="E157" s="58" t="s">
        <v>419</v>
      </c>
      <c r="F157" s="24"/>
      <c r="G157" s="237"/>
      <c r="H157" s="255" t="str">
        <f>IFERROR(HYPERLINK("#'Appendix A'!E"&amp;ROW(INDEX(Table23[DSorder],MATCH(cyberControls[[#This Row],[AppAref]],Table23[DSorder],0))),"GO"),"")</f>
        <v/>
      </c>
      <c r="I157" s="86" t="str">
        <f>cyberControls[[#This Row],[Component]]&amp;cyberControls[[#This Row],[Maturity Level]]</f>
        <v>Event DetectionInnovative</v>
      </c>
      <c r="J157" s="86" t="str">
        <f>cyberControls[[#This Row],[workArea]]&amp;cyberControls[[#This Row],[Y, Y(C), N]]</f>
        <v>Event DetectionInnovative</v>
      </c>
      <c r="K157" s="184"/>
      <c r="L157" s="184"/>
      <c r="M157" s="184" t="str">
        <f t="shared" si="4"/>
        <v>Cybersecurity Controls</v>
      </c>
      <c r="N157" s="184">
        <f>IF(cyberControls[[#This Row],[Y, Y(C), N]]=yes,1,0)</f>
        <v>0</v>
      </c>
      <c r="O157" s="184">
        <f>IF(cyberControls[[#This Row],[Y, Y(C), N]]=yesCC,1,0)</f>
        <v>0</v>
      </c>
      <c r="P157" s="184">
        <f>IF(cyberControls[[#This Row],[Y, Y(C), N]]=no,1,0)</f>
        <v>0</v>
      </c>
      <c r="Q157" s="184">
        <f>IF(cyberControls[[#This Row],[Y, Y(C), N]]=NotAvail,1,0)</f>
        <v>0</v>
      </c>
      <c r="R157" s="92"/>
    </row>
    <row r="158" spans="1:18" ht="30" x14ac:dyDescent="0.25">
      <c r="A158" s="86" t="s">
        <v>364</v>
      </c>
      <c r="B158" s="86" t="s">
        <v>410</v>
      </c>
      <c r="C158" s="86" t="s">
        <v>31</v>
      </c>
      <c r="D158" s="87"/>
      <c r="E158" s="58" t="s">
        <v>420</v>
      </c>
      <c r="F158" s="24"/>
      <c r="G158" s="237"/>
      <c r="H158" s="255" t="str">
        <f>IFERROR(HYPERLINK("#'Appendix A'!E"&amp;ROW(INDEX(Table23[DSorder],MATCH(cyberControls[[#This Row],[AppAref]],Table23[DSorder],0))),"GO"),"")</f>
        <v/>
      </c>
      <c r="I158" s="86" t="str">
        <f>cyberControls[[#This Row],[Component]]&amp;cyberControls[[#This Row],[Maturity Level]]</f>
        <v>Event DetectionInnovative</v>
      </c>
      <c r="J158" s="86" t="str">
        <f>cyberControls[[#This Row],[workArea]]&amp;cyberControls[[#This Row],[Y, Y(C), N]]</f>
        <v>Event DetectionInnovative</v>
      </c>
      <c r="K158" s="184"/>
      <c r="L158" s="184"/>
      <c r="M158" s="184" t="str">
        <f t="shared" si="4"/>
        <v>Cybersecurity Controls</v>
      </c>
      <c r="N158" s="184">
        <f>IF(cyberControls[[#This Row],[Y, Y(C), N]]=yes,1,0)</f>
        <v>0</v>
      </c>
      <c r="O158" s="184">
        <f>IF(cyberControls[[#This Row],[Y, Y(C), N]]=yesCC,1,0)</f>
        <v>0</v>
      </c>
      <c r="P158" s="184">
        <f>IF(cyberControls[[#This Row],[Y, Y(C), N]]=no,1,0)</f>
        <v>0</v>
      </c>
      <c r="Q158" s="184">
        <f>IF(cyberControls[[#This Row],[Y, Y(C), N]]=NotAvail,1,0)</f>
        <v>0</v>
      </c>
      <c r="R158" s="92"/>
    </row>
    <row r="159" spans="1:18" ht="45" x14ac:dyDescent="0.25">
      <c r="A159" s="86" t="s">
        <v>421</v>
      </c>
      <c r="B159" s="86" t="s">
        <v>422</v>
      </c>
      <c r="C159" s="86" t="s">
        <v>27</v>
      </c>
      <c r="D159" s="87"/>
      <c r="E159" s="58" t="s">
        <v>423</v>
      </c>
      <c r="F159"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62</v>
      </c>
      <c r="G159" s="237"/>
      <c r="H159" s="255" t="str">
        <f>IFERROR(HYPERLINK("#'Appendix A'!E"&amp;ROW(INDEX(Table23[DSorder],MATCH(cyberControls[[#This Row],[AppAref]],Table23[DSorder],0))),"GO"),"")</f>
        <v>GO</v>
      </c>
      <c r="I159" s="86" t="str">
        <f>cyberControls[[#This Row],[Component]]&amp;cyberControls[[#This Row],[Maturity Level]]</f>
        <v>Patch ManagementBaseline</v>
      </c>
      <c r="J159" s="86" t="str">
        <f>cyberControls[[#This Row],[workArea]]&amp;cyberControls[[#This Row],[Y, Y(C), N]]</f>
        <v>Patch ManagementBaseline</v>
      </c>
      <c r="K159" s="184">
        <v>84</v>
      </c>
      <c r="L159" s="202">
        <f>IFERROR(MATCH(cyberControls[[#This Row],[Ref No.]],hyperlinkLU[Reference No.],0),cyberControls[[#This Row],[Ref No.]])</f>
        <v>85</v>
      </c>
      <c r="M159" s="202" t="str">
        <f t="shared" si="4"/>
        <v>Cybersecurity Controls</v>
      </c>
      <c r="N159" s="184">
        <f>IF(cyberControls[[#This Row],[Y, Y(C), N]]=yes,1,0)</f>
        <v>0</v>
      </c>
      <c r="O159" s="184">
        <f>IF(cyberControls[[#This Row],[Y, Y(C), N]]=yesCC,1,0)</f>
        <v>0</v>
      </c>
      <c r="P159" s="184">
        <f>IF(cyberControls[[#This Row],[Y, Y(C), N]]=no,1,0)</f>
        <v>0</v>
      </c>
      <c r="Q159" s="184">
        <f>IF(cyberControls[[#This Row],[Y, Y(C), N]]=NotAvail,1,0)</f>
        <v>0</v>
      </c>
      <c r="R159" s="92">
        <v>87</v>
      </c>
    </row>
    <row r="160" spans="1:18" ht="30" x14ac:dyDescent="0.25">
      <c r="A160" s="86" t="s">
        <v>421</v>
      </c>
      <c r="B160" s="86" t="s">
        <v>422</v>
      </c>
      <c r="C160" s="86" t="s">
        <v>27</v>
      </c>
      <c r="D160" s="87"/>
      <c r="E160" s="58" t="s">
        <v>424</v>
      </c>
      <c r="F160"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Operations Booklet, page 22</v>
      </c>
      <c r="G160" s="237"/>
      <c r="H160" s="255" t="str">
        <f>IFERROR(HYPERLINK("#'Appendix A'!E"&amp;ROW(INDEX(Table23[DSorder],MATCH(cyberControls[[#This Row],[AppAref]],Table23[DSorder],0))),"GO"),"")</f>
        <v>GO</v>
      </c>
      <c r="I160" s="86" t="str">
        <f>cyberControls[[#This Row],[Component]]&amp;cyberControls[[#This Row],[Maturity Level]]</f>
        <v>Patch ManagementBaseline</v>
      </c>
      <c r="J160" s="86" t="str">
        <f>cyberControls[[#This Row],[workArea]]&amp;cyberControls[[#This Row],[Y, Y(C), N]]</f>
        <v>Patch ManagementBaseline</v>
      </c>
      <c r="K160" s="184">
        <v>85</v>
      </c>
      <c r="L160" s="202">
        <f>IFERROR(MATCH(cyberControls[[#This Row],[Ref No.]],hyperlinkLU[Reference No.],0),cyberControls[[#This Row],[Ref No.]])</f>
        <v>86</v>
      </c>
      <c r="M160" s="202" t="str">
        <f t="shared" si="4"/>
        <v>Cybersecurity Controls</v>
      </c>
      <c r="N160" s="184">
        <f>IF(cyberControls[[#This Row],[Y, Y(C), N]]=yes,1,0)</f>
        <v>0</v>
      </c>
      <c r="O160" s="184">
        <f>IF(cyberControls[[#This Row],[Y, Y(C), N]]=yesCC,1,0)</f>
        <v>0</v>
      </c>
      <c r="P160" s="184">
        <f>IF(cyberControls[[#This Row],[Y, Y(C), N]]=no,1,0)</f>
        <v>0</v>
      </c>
      <c r="Q160" s="184">
        <f>IF(cyberControls[[#This Row],[Y, Y(C), N]]=NotAvail,1,0)</f>
        <v>0</v>
      </c>
      <c r="R160" s="92">
        <v>88</v>
      </c>
    </row>
    <row r="161" spans="1:18" ht="30" x14ac:dyDescent="0.25">
      <c r="A161" s="86" t="s">
        <v>421</v>
      </c>
      <c r="B161" s="86" t="s">
        <v>422</v>
      </c>
      <c r="C161" s="86" t="s">
        <v>27</v>
      </c>
      <c r="D161" s="87"/>
      <c r="E161" s="58" t="s">
        <v>425</v>
      </c>
      <c r="F161"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Development and Acquisition Booklet, page 50</v>
      </c>
      <c r="G161" s="237"/>
      <c r="H161" s="255" t="str">
        <f>IFERROR(HYPERLINK("#'Appendix A'!E"&amp;ROW(INDEX(Table23[DSorder],MATCH(cyberControls[[#This Row],[AppAref]],Table23[DSorder],0))),"GO"),"")</f>
        <v>GO</v>
      </c>
      <c r="I161" s="86" t="str">
        <f>cyberControls[[#This Row],[Component]]&amp;cyberControls[[#This Row],[Maturity Level]]</f>
        <v>Patch ManagementBaseline</v>
      </c>
      <c r="J161" s="86" t="str">
        <f>cyberControls[[#This Row],[workArea]]&amp;cyberControls[[#This Row],[Y, Y(C), N]]</f>
        <v>Patch ManagementBaseline</v>
      </c>
      <c r="K161" s="184">
        <v>86</v>
      </c>
      <c r="L161" s="202">
        <f>IFERROR(MATCH(cyberControls[[#This Row],[Ref No.]],hyperlinkLU[Reference No.],0),cyberControls[[#This Row],[Ref No.]])</f>
        <v>87</v>
      </c>
      <c r="M161" s="202" t="str">
        <f t="shared" si="4"/>
        <v>Cybersecurity Controls</v>
      </c>
      <c r="N161" s="184">
        <f>IF(cyberControls[[#This Row],[Y, Y(C), N]]=yes,1,0)</f>
        <v>0</v>
      </c>
      <c r="O161" s="184">
        <f>IF(cyberControls[[#This Row],[Y, Y(C), N]]=yesCC,1,0)</f>
        <v>0</v>
      </c>
      <c r="P161" s="184">
        <f>IF(cyberControls[[#This Row],[Y, Y(C), N]]=no,1,0)</f>
        <v>0</v>
      </c>
      <c r="Q161" s="184">
        <f>IF(cyberControls[[#This Row],[Y, Y(C), N]]=NotAvail,1,0)</f>
        <v>0</v>
      </c>
      <c r="R161" s="92">
        <v>89</v>
      </c>
    </row>
    <row r="162" spans="1:18" ht="30" x14ac:dyDescent="0.25">
      <c r="A162" s="86" t="s">
        <v>421</v>
      </c>
      <c r="B162" s="86" t="s">
        <v>422</v>
      </c>
      <c r="C162" s="86" t="s">
        <v>28</v>
      </c>
      <c r="D162" s="87"/>
      <c r="E162" s="58" t="s">
        <v>426</v>
      </c>
      <c r="F162" s="24"/>
      <c r="G162" s="237"/>
      <c r="H162" s="255" t="str">
        <f>IFERROR(HYPERLINK("#'Appendix A'!E"&amp;ROW(INDEX(Table23[DSorder],MATCH(cyberControls[[#This Row],[AppAref]],Table23[DSorder],0))),"GO"),"")</f>
        <v/>
      </c>
      <c r="I162" s="86" t="str">
        <f>cyberControls[[#This Row],[Component]]&amp;cyberControls[[#This Row],[Maturity Level]]</f>
        <v>Patch ManagementEvolving</v>
      </c>
      <c r="J162" s="86" t="str">
        <f>cyberControls[[#This Row],[workArea]]&amp;cyberControls[[#This Row],[Y, Y(C), N]]</f>
        <v>Patch ManagementEvolving</v>
      </c>
      <c r="K162" s="184"/>
      <c r="L162" s="184"/>
      <c r="M162" s="184" t="str">
        <f t="shared" si="4"/>
        <v>Cybersecurity Controls</v>
      </c>
      <c r="N162" s="184">
        <f>IF(cyberControls[[#This Row],[Y, Y(C), N]]=yes,1,0)</f>
        <v>0</v>
      </c>
      <c r="O162" s="184">
        <f>IF(cyberControls[[#This Row],[Y, Y(C), N]]=yesCC,1,0)</f>
        <v>0</v>
      </c>
      <c r="P162" s="184">
        <f>IF(cyberControls[[#This Row],[Y, Y(C), N]]=no,1,0)</f>
        <v>0</v>
      </c>
      <c r="Q162" s="184">
        <f>IF(cyberControls[[#This Row],[Y, Y(C), N]]=NotAvail,1,0)</f>
        <v>0</v>
      </c>
      <c r="R162" s="92"/>
    </row>
    <row r="163" spans="1:18" x14ac:dyDescent="0.25">
      <c r="A163" s="86" t="s">
        <v>421</v>
      </c>
      <c r="B163" s="86" t="s">
        <v>422</v>
      </c>
      <c r="C163" s="86" t="s">
        <v>28</v>
      </c>
      <c r="D163" s="87"/>
      <c r="E163" s="58" t="s">
        <v>427</v>
      </c>
      <c r="F163" s="24"/>
      <c r="G163" s="237"/>
      <c r="H163" s="255" t="str">
        <f>IFERROR(HYPERLINK("#'Appendix A'!E"&amp;ROW(INDEX(Table23[DSorder],MATCH(cyberControls[[#This Row],[AppAref]],Table23[DSorder],0))),"GO"),"")</f>
        <v/>
      </c>
      <c r="I163" s="86" t="str">
        <f>cyberControls[[#This Row],[Component]]&amp;cyberControls[[#This Row],[Maturity Level]]</f>
        <v>Patch ManagementEvolving</v>
      </c>
      <c r="J163" s="86" t="str">
        <f>cyberControls[[#This Row],[workArea]]&amp;cyberControls[[#This Row],[Y, Y(C), N]]</f>
        <v>Patch ManagementEvolving</v>
      </c>
      <c r="K163" s="184"/>
      <c r="L163" s="184"/>
      <c r="M163" s="184" t="str">
        <f t="shared" si="4"/>
        <v>Cybersecurity Controls</v>
      </c>
      <c r="N163" s="184">
        <f>IF(cyberControls[[#This Row],[Y, Y(C), N]]=yes,1,0)</f>
        <v>0</v>
      </c>
      <c r="O163" s="184">
        <f>IF(cyberControls[[#This Row],[Y, Y(C), N]]=yesCC,1,0)</f>
        <v>0</v>
      </c>
      <c r="P163" s="184">
        <f>IF(cyberControls[[#This Row],[Y, Y(C), N]]=no,1,0)</f>
        <v>0</v>
      </c>
      <c r="Q163" s="184">
        <f>IF(cyberControls[[#This Row],[Y, Y(C), N]]=NotAvail,1,0)</f>
        <v>0</v>
      </c>
      <c r="R163" s="92"/>
    </row>
    <row r="164" spans="1:18" x14ac:dyDescent="0.25">
      <c r="A164" s="86" t="s">
        <v>421</v>
      </c>
      <c r="B164" s="86" t="s">
        <v>422</v>
      </c>
      <c r="C164" s="86" t="s">
        <v>28</v>
      </c>
      <c r="D164" s="87"/>
      <c r="E164" s="58" t="s">
        <v>428</v>
      </c>
      <c r="F164" s="24"/>
      <c r="G164" s="237"/>
      <c r="H164" s="255" t="str">
        <f>IFERROR(HYPERLINK("#'Appendix A'!E"&amp;ROW(INDEX(Table23[DSorder],MATCH(cyberControls[[#This Row],[AppAref]],Table23[DSorder],0))),"GO"),"")</f>
        <v/>
      </c>
      <c r="I164" s="86" t="str">
        <f>cyberControls[[#This Row],[Component]]&amp;cyberControls[[#This Row],[Maturity Level]]</f>
        <v>Patch ManagementEvolving</v>
      </c>
      <c r="J164" s="86" t="str">
        <f>cyberControls[[#This Row],[workArea]]&amp;cyberControls[[#This Row],[Y, Y(C), N]]</f>
        <v>Patch ManagementEvolving</v>
      </c>
      <c r="K164" s="184"/>
      <c r="L164" s="184"/>
      <c r="M164" s="184" t="str">
        <f t="shared" si="4"/>
        <v>Cybersecurity Controls</v>
      </c>
      <c r="N164" s="184">
        <f>IF(cyberControls[[#This Row],[Y, Y(C), N]]=yes,1,0)</f>
        <v>0</v>
      </c>
      <c r="O164" s="184">
        <f>IF(cyberControls[[#This Row],[Y, Y(C), N]]=yesCC,1,0)</f>
        <v>0</v>
      </c>
      <c r="P164" s="184">
        <f>IF(cyberControls[[#This Row],[Y, Y(C), N]]=no,1,0)</f>
        <v>0</v>
      </c>
      <c r="Q164" s="184">
        <f>IF(cyberControls[[#This Row],[Y, Y(C), N]]=NotAvail,1,0)</f>
        <v>0</v>
      </c>
      <c r="R164" s="92"/>
    </row>
    <row r="165" spans="1:18" ht="30" x14ac:dyDescent="0.25">
      <c r="A165" s="86" t="s">
        <v>421</v>
      </c>
      <c r="B165" s="86" t="s">
        <v>422</v>
      </c>
      <c r="C165" s="86" t="s">
        <v>28</v>
      </c>
      <c r="D165" s="87"/>
      <c r="E165" s="58" t="s">
        <v>429</v>
      </c>
      <c r="F165" s="24"/>
      <c r="G165" s="237"/>
      <c r="H165" s="255" t="str">
        <f>IFERROR(HYPERLINK("#'Appendix A'!E"&amp;ROW(INDEX(Table23[DSorder],MATCH(cyberControls[[#This Row],[AppAref]],Table23[DSorder],0))),"GO"),"")</f>
        <v/>
      </c>
      <c r="I165" s="86" t="str">
        <f>cyberControls[[#This Row],[Component]]&amp;cyberControls[[#This Row],[Maturity Level]]</f>
        <v>Patch ManagementEvolving</v>
      </c>
      <c r="J165" s="86" t="str">
        <f>cyberControls[[#This Row],[workArea]]&amp;cyberControls[[#This Row],[Y, Y(C), N]]</f>
        <v>Patch ManagementEvolving</v>
      </c>
      <c r="K165" s="184"/>
      <c r="L165" s="184"/>
      <c r="M165" s="184" t="str">
        <f t="shared" si="4"/>
        <v>Cybersecurity Controls</v>
      </c>
      <c r="N165" s="184">
        <f>IF(cyberControls[[#This Row],[Y, Y(C), N]]=yes,1,0)</f>
        <v>0</v>
      </c>
      <c r="O165" s="184">
        <f>IF(cyberControls[[#This Row],[Y, Y(C), N]]=yesCC,1,0)</f>
        <v>0</v>
      </c>
      <c r="P165" s="184">
        <f>IF(cyberControls[[#This Row],[Y, Y(C), N]]=no,1,0)</f>
        <v>0</v>
      </c>
      <c r="Q165" s="184">
        <f>IF(cyberControls[[#This Row],[Y, Y(C), N]]=NotAvail,1,0)</f>
        <v>0</v>
      </c>
      <c r="R165" s="92"/>
    </row>
    <row r="166" spans="1:18" x14ac:dyDescent="0.25">
      <c r="A166" s="86" t="s">
        <v>421</v>
      </c>
      <c r="B166" s="86" t="s">
        <v>422</v>
      </c>
      <c r="C166" s="86" t="s">
        <v>28</v>
      </c>
      <c r="D166" s="87"/>
      <c r="E166" s="58" t="s">
        <v>430</v>
      </c>
      <c r="F166" s="24"/>
      <c r="G166" s="237"/>
      <c r="H166" s="255" t="str">
        <f>IFERROR(HYPERLINK("#'Appendix A'!E"&amp;ROW(INDEX(Table23[DSorder],MATCH(cyberControls[[#This Row],[AppAref]],Table23[DSorder],0))),"GO"),"")</f>
        <v/>
      </c>
      <c r="I166" s="86" t="str">
        <f>cyberControls[[#This Row],[Component]]&amp;cyberControls[[#This Row],[Maturity Level]]</f>
        <v>Patch ManagementEvolving</v>
      </c>
      <c r="J166" s="86" t="str">
        <f>cyberControls[[#This Row],[workArea]]&amp;cyberControls[[#This Row],[Y, Y(C), N]]</f>
        <v>Patch ManagementEvolving</v>
      </c>
      <c r="K166" s="184"/>
      <c r="L166" s="184"/>
      <c r="M166" s="184" t="str">
        <f t="shared" si="4"/>
        <v>Cybersecurity Controls</v>
      </c>
      <c r="N166" s="184">
        <f>IF(cyberControls[[#This Row],[Y, Y(C), N]]=yes,1,0)</f>
        <v>0</v>
      </c>
      <c r="O166" s="184">
        <f>IF(cyberControls[[#This Row],[Y, Y(C), N]]=yesCC,1,0)</f>
        <v>0</v>
      </c>
      <c r="P166" s="184">
        <f>IF(cyberControls[[#This Row],[Y, Y(C), N]]=no,1,0)</f>
        <v>0</v>
      </c>
      <c r="Q166" s="184">
        <f>IF(cyberControls[[#This Row],[Y, Y(C), N]]=NotAvail,1,0)</f>
        <v>0</v>
      </c>
      <c r="R166" s="92"/>
    </row>
    <row r="167" spans="1:18" ht="30" x14ac:dyDescent="0.25">
      <c r="A167" s="86" t="s">
        <v>421</v>
      </c>
      <c r="B167" s="86" t="s">
        <v>422</v>
      </c>
      <c r="C167" s="86" t="s">
        <v>29</v>
      </c>
      <c r="D167" s="87"/>
      <c r="E167" s="58" t="s">
        <v>431</v>
      </c>
      <c r="F167" s="24"/>
      <c r="G167" s="237"/>
      <c r="H167" s="255" t="str">
        <f>IFERROR(HYPERLINK("#'Appendix A'!E"&amp;ROW(INDEX(Table23[DSorder],MATCH(cyberControls[[#This Row],[AppAref]],Table23[DSorder],0))),"GO"),"")</f>
        <v/>
      </c>
      <c r="I167" s="86" t="str">
        <f>cyberControls[[#This Row],[Component]]&amp;cyberControls[[#This Row],[Maturity Level]]</f>
        <v>Patch ManagementIntermediate</v>
      </c>
      <c r="J167" s="86" t="str">
        <f>cyberControls[[#This Row],[workArea]]&amp;cyberControls[[#This Row],[Y, Y(C), N]]</f>
        <v>Patch ManagementIntermediate</v>
      </c>
      <c r="K167" s="184"/>
      <c r="L167" s="184"/>
      <c r="M167" s="184" t="str">
        <f t="shared" si="4"/>
        <v>Cybersecurity Controls</v>
      </c>
      <c r="N167" s="184">
        <f>IF(cyberControls[[#This Row],[Y, Y(C), N]]=yes,1,0)</f>
        <v>0</v>
      </c>
      <c r="O167" s="184">
        <f>IF(cyberControls[[#This Row],[Y, Y(C), N]]=yesCC,1,0)</f>
        <v>0</v>
      </c>
      <c r="P167" s="184">
        <f>IF(cyberControls[[#This Row],[Y, Y(C), N]]=no,1,0)</f>
        <v>0</v>
      </c>
      <c r="Q167" s="184">
        <f>IF(cyberControls[[#This Row],[Y, Y(C), N]]=NotAvail,1,0)</f>
        <v>0</v>
      </c>
      <c r="R167" s="92"/>
    </row>
    <row r="168" spans="1:18" ht="45" x14ac:dyDescent="0.25">
      <c r="A168" s="86" t="s">
        <v>421</v>
      </c>
      <c r="B168" s="86" t="s">
        <v>422</v>
      </c>
      <c r="C168" s="86" t="s">
        <v>30</v>
      </c>
      <c r="D168" s="87"/>
      <c r="E168" s="58" t="s">
        <v>432</v>
      </c>
      <c r="F168" s="24"/>
      <c r="G168" s="237"/>
      <c r="H168" s="255" t="str">
        <f>IFERROR(HYPERLINK("#'Appendix A'!E"&amp;ROW(INDEX(Table23[DSorder],MATCH(cyberControls[[#This Row],[AppAref]],Table23[DSorder],0))),"GO"),"")</f>
        <v/>
      </c>
      <c r="I168" s="86" t="str">
        <f>cyberControls[[#This Row],[Component]]&amp;cyberControls[[#This Row],[Maturity Level]]</f>
        <v>Patch ManagementAdvanced</v>
      </c>
      <c r="J168" s="86" t="str">
        <f>cyberControls[[#This Row],[workArea]]&amp;cyberControls[[#This Row],[Y, Y(C), N]]</f>
        <v>Patch ManagementAdvanced</v>
      </c>
      <c r="K168" s="184"/>
      <c r="L168" s="184"/>
      <c r="M168" s="184" t="str">
        <f t="shared" si="4"/>
        <v>Cybersecurity Controls</v>
      </c>
      <c r="N168" s="184">
        <f>IF(cyberControls[[#This Row],[Y, Y(C), N]]=yes,1,0)</f>
        <v>0</v>
      </c>
      <c r="O168" s="184">
        <f>IF(cyberControls[[#This Row],[Y, Y(C), N]]=yesCC,1,0)</f>
        <v>0</v>
      </c>
      <c r="P168" s="184">
        <f>IF(cyberControls[[#This Row],[Y, Y(C), N]]=no,1,0)</f>
        <v>0</v>
      </c>
      <c r="Q168" s="184">
        <f>IF(cyberControls[[#This Row],[Y, Y(C), N]]=NotAvail,1,0)</f>
        <v>0</v>
      </c>
      <c r="R168" s="92"/>
    </row>
    <row r="169" spans="1:18" ht="30" x14ac:dyDescent="0.25">
      <c r="A169" s="86" t="s">
        <v>421</v>
      </c>
      <c r="B169" s="86" t="s">
        <v>422</v>
      </c>
      <c r="C169" s="86" t="s">
        <v>30</v>
      </c>
      <c r="D169" s="87"/>
      <c r="E169" s="58" t="s">
        <v>433</v>
      </c>
      <c r="F169" s="24"/>
      <c r="G169" s="237"/>
      <c r="H169" s="255" t="str">
        <f>IFERROR(HYPERLINK("#'Appendix A'!E"&amp;ROW(INDEX(Table23[DSorder],MATCH(cyberControls[[#This Row],[AppAref]],Table23[DSorder],0))),"GO"),"")</f>
        <v/>
      </c>
      <c r="I169" s="86" t="str">
        <f>cyberControls[[#This Row],[Component]]&amp;cyberControls[[#This Row],[Maturity Level]]</f>
        <v>Patch ManagementAdvanced</v>
      </c>
      <c r="J169" s="86" t="str">
        <f>cyberControls[[#This Row],[workArea]]&amp;cyberControls[[#This Row],[Y, Y(C), N]]</f>
        <v>Patch ManagementAdvanced</v>
      </c>
      <c r="K169" s="184"/>
      <c r="L169" s="184"/>
      <c r="M169" s="184" t="str">
        <f t="shared" ref="M169:M182" si="5">TRIM(MID($A$5,FIND(":",$A$5)+2,LEN($A$5)))</f>
        <v>Cybersecurity Controls</v>
      </c>
      <c r="N169" s="184">
        <f>IF(cyberControls[[#This Row],[Y, Y(C), N]]=yes,1,0)</f>
        <v>0</v>
      </c>
      <c r="O169" s="184">
        <f>IF(cyberControls[[#This Row],[Y, Y(C), N]]=yesCC,1,0)</f>
        <v>0</v>
      </c>
      <c r="P169" s="184">
        <f>IF(cyberControls[[#This Row],[Y, Y(C), N]]=no,1,0)</f>
        <v>0</v>
      </c>
      <c r="Q169" s="184">
        <f>IF(cyberControls[[#This Row],[Y, Y(C), N]]=NotAvail,1,0)</f>
        <v>0</v>
      </c>
      <c r="R169" s="92"/>
    </row>
    <row r="170" spans="1:18" ht="30" x14ac:dyDescent="0.25">
      <c r="A170" s="86" t="s">
        <v>421</v>
      </c>
      <c r="B170" s="86" t="s">
        <v>422</v>
      </c>
      <c r="C170" s="86" t="s">
        <v>31</v>
      </c>
      <c r="D170" s="87"/>
      <c r="E170" s="58" t="s">
        <v>434</v>
      </c>
      <c r="F170" s="24"/>
      <c r="G170" s="237"/>
      <c r="H170" s="255" t="str">
        <f>IFERROR(HYPERLINK("#'Appendix A'!E"&amp;ROW(INDEX(Table23[DSorder],MATCH(cyberControls[[#This Row],[AppAref]],Table23[DSorder],0))),"GO"),"")</f>
        <v/>
      </c>
      <c r="I170" s="86" t="str">
        <f>cyberControls[[#This Row],[Component]]&amp;cyberControls[[#This Row],[Maturity Level]]</f>
        <v>Patch ManagementInnovative</v>
      </c>
      <c r="J170" s="86" t="str">
        <f>cyberControls[[#This Row],[workArea]]&amp;cyberControls[[#This Row],[Y, Y(C), N]]</f>
        <v>Patch ManagementInnovative</v>
      </c>
      <c r="K170" s="184"/>
      <c r="L170" s="184"/>
      <c r="M170" s="184" t="str">
        <f t="shared" si="5"/>
        <v>Cybersecurity Controls</v>
      </c>
      <c r="N170" s="184">
        <f>IF(cyberControls[[#This Row],[Y, Y(C), N]]=yes,1,0)</f>
        <v>0</v>
      </c>
      <c r="O170" s="184">
        <f>IF(cyberControls[[#This Row],[Y, Y(C), N]]=yesCC,1,0)</f>
        <v>0</v>
      </c>
      <c r="P170" s="184">
        <f>IF(cyberControls[[#This Row],[Y, Y(C), N]]=no,1,0)</f>
        <v>0</v>
      </c>
      <c r="Q170" s="184">
        <f>IF(cyberControls[[#This Row],[Y, Y(C), N]]=NotAvail,1,0)</f>
        <v>0</v>
      </c>
      <c r="R170" s="92"/>
    </row>
    <row r="171" spans="1:18" ht="45" x14ac:dyDescent="0.25">
      <c r="A171" s="86" t="s">
        <v>421</v>
      </c>
      <c r="B171" s="86" t="s">
        <v>422</v>
      </c>
      <c r="C171" s="86" t="s">
        <v>31</v>
      </c>
      <c r="D171" s="87"/>
      <c r="E171" s="58" t="s">
        <v>435</v>
      </c>
      <c r="F171" s="24"/>
      <c r="G171" s="237"/>
      <c r="H171" s="255" t="str">
        <f>IFERROR(HYPERLINK("#'Appendix A'!E"&amp;ROW(INDEX(Table23[DSorder],MATCH(cyberControls[[#This Row],[AppAref]],Table23[DSorder],0))),"GO"),"")</f>
        <v/>
      </c>
      <c r="I171" s="86" t="str">
        <f>cyberControls[[#This Row],[Component]]&amp;cyberControls[[#This Row],[Maturity Level]]</f>
        <v>Patch ManagementInnovative</v>
      </c>
      <c r="J171" s="86" t="str">
        <f>cyberControls[[#This Row],[workArea]]&amp;cyberControls[[#This Row],[Y, Y(C), N]]</f>
        <v>Patch ManagementInnovative</v>
      </c>
      <c r="K171" s="184"/>
      <c r="L171" s="184"/>
      <c r="M171" s="184" t="str">
        <f t="shared" si="5"/>
        <v>Cybersecurity Controls</v>
      </c>
      <c r="N171" s="184">
        <f>IF(cyberControls[[#This Row],[Y, Y(C), N]]=yes,1,0)</f>
        <v>0</v>
      </c>
      <c r="O171" s="184">
        <f>IF(cyberControls[[#This Row],[Y, Y(C), N]]=yesCC,1,0)</f>
        <v>0</v>
      </c>
      <c r="P171" s="184">
        <f>IF(cyberControls[[#This Row],[Y, Y(C), N]]=no,1,0)</f>
        <v>0</v>
      </c>
      <c r="Q171" s="184">
        <f>IF(cyberControls[[#This Row],[Y, Y(C), N]]=NotAvail,1,0)</f>
        <v>0</v>
      </c>
      <c r="R171" s="92"/>
    </row>
    <row r="172" spans="1:18" ht="45" x14ac:dyDescent="0.25">
      <c r="A172" s="86" t="s">
        <v>421</v>
      </c>
      <c r="B172" s="86" t="s">
        <v>436</v>
      </c>
      <c r="C172" s="86" t="s">
        <v>27</v>
      </c>
      <c r="D172" s="87"/>
      <c r="E172" s="58" t="s">
        <v>437</v>
      </c>
      <c r="F172" s="188"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87</v>
      </c>
      <c r="G172" s="237"/>
      <c r="H172" s="255" t="str">
        <f>IFERROR(HYPERLINK("#'Appendix A'!E"&amp;ROW(INDEX(Table23[DSorder],MATCH(cyberControls[[#This Row],[AppAref]],Table23[DSorder],0))),"GO"),"")</f>
        <v>GO</v>
      </c>
      <c r="I172" s="86" t="str">
        <f>cyberControls[[#This Row],[Component]]&amp;cyberControls[[#This Row],[Maturity Level]]</f>
        <v>RemediationBaseline</v>
      </c>
      <c r="J172" s="86" t="str">
        <f>cyberControls[[#This Row],[workArea]]&amp;cyberControls[[#This Row],[Y, Y(C), N]]</f>
        <v>RemediationBaseline</v>
      </c>
      <c r="K172" s="184">
        <v>87</v>
      </c>
      <c r="L172" s="202">
        <f>IFERROR(MATCH(cyberControls[[#This Row],[Ref No.]],hyperlinkLU[Reference No.],0),cyberControls[[#This Row],[Ref No.]])</f>
        <v>88</v>
      </c>
      <c r="M172" s="202" t="str">
        <f t="shared" si="5"/>
        <v>Cybersecurity Controls</v>
      </c>
      <c r="N172" s="184">
        <f>IF(cyberControls[[#This Row],[Y, Y(C), N]]=yes,1,0)</f>
        <v>0</v>
      </c>
      <c r="O172" s="184">
        <f>IF(cyberControls[[#This Row],[Y, Y(C), N]]=yesCC,1,0)</f>
        <v>0</v>
      </c>
      <c r="P172" s="184">
        <f>IF(cyberControls[[#This Row],[Y, Y(C), N]]=no,1,0)</f>
        <v>0</v>
      </c>
      <c r="Q172" s="184">
        <f>IF(cyberControls[[#This Row],[Y, Y(C), N]]=NotAvail,1,0)</f>
        <v>0</v>
      </c>
      <c r="R172" s="92">
        <v>90</v>
      </c>
    </row>
    <row r="173" spans="1:18" ht="30" x14ac:dyDescent="0.25">
      <c r="A173" s="86" t="s">
        <v>421</v>
      </c>
      <c r="B173" s="86" t="s">
        <v>436</v>
      </c>
      <c r="C173" s="86" t="s">
        <v>28</v>
      </c>
      <c r="D173" s="87"/>
      <c r="E173" s="58" t="s">
        <v>438</v>
      </c>
      <c r="F173" s="24"/>
      <c r="G173" s="237"/>
      <c r="H173" s="203" t="str">
        <f>IFERROR(HYPERLINK("#'Appendix A'!E"&amp;ROW(INDEX(Table23[DSorder],MATCH(cyberControls[[#This Row],[AppAref]],Table23[DSorder],0))),"GO"),"")</f>
        <v/>
      </c>
      <c r="I173" s="86" t="str">
        <f>cyberControls[[#This Row],[Component]]&amp;cyberControls[[#This Row],[Maturity Level]]</f>
        <v>RemediationEvolving</v>
      </c>
      <c r="J173" s="86" t="str">
        <f>cyberControls[[#This Row],[workArea]]&amp;cyberControls[[#This Row],[Y, Y(C), N]]</f>
        <v>RemediationEvolving</v>
      </c>
      <c r="K173" s="184"/>
      <c r="L173" s="184"/>
      <c r="M173" s="184" t="str">
        <f t="shared" si="5"/>
        <v>Cybersecurity Controls</v>
      </c>
      <c r="N173" s="184">
        <f>IF(cyberControls[[#This Row],[Y, Y(C), N]]=yes,1,0)</f>
        <v>0</v>
      </c>
      <c r="O173" s="184">
        <f>IF(cyberControls[[#This Row],[Y, Y(C), N]]=yesCC,1,0)</f>
        <v>0</v>
      </c>
      <c r="P173" s="184">
        <f>IF(cyberControls[[#This Row],[Y, Y(C), N]]=no,1,0)</f>
        <v>0</v>
      </c>
      <c r="Q173" s="184">
        <f>IF(cyberControls[[#This Row],[Y, Y(C), N]]=NotAvail,1,0)</f>
        <v>0</v>
      </c>
      <c r="R173" s="92"/>
    </row>
    <row r="174" spans="1:18" ht="30" x14ac:dyDescent="0.25">
      <c r="A174" s="86" t="s">
        <v>421</v>
      </c>
      <c r="B174" s="86" t="s">
        <v>436</v>
      </c>
      <c r="C174" s="86" t="s">
        <v>28</v>
      </c>
      <c r="D174" s="87"/>
      <c r="E174" s="58" t="s">
        <v>439</v>
      </c>
      <c r="F174" s="24"/>
      <c r="G174" s="237"/>
      <c r="H174" s="203" t="str">
        <f>IFERROR(HYPERLINK("#'Appendix A'!E"&amp;ROW(INDEX(Table23[DSorder],MATCH(cyberControls[[#This Row],[AppAref]],Table23[DSorder],0))),"GO"),"")</f>
        <v/>
      </c>
      <c r="I174" s="86" t="str">
        <f>cyberControls[[#This Row],[Component]]&amp;cyberControls[[#This Row],[Maturity Level]]</f>
        <v>RemediationEvolving</v>
      </c>
      <c r="J174" s="86" t="str">
        <f>cyberControls[[#This Row],[workArea]]&amp;cyberControls[[#This Row],[Y, Y(C), N]]</f>
        <v>RemediationEvolving</v>
      </c>
      <c r="K174" s="184"/>
      <c r="L174" s="184"/>
      <c r="M174" s="184" t="str">
        <f t="shared" si="5"/>
        <v>Cybersecurity Controls</v>
      </c>
      <c r="N174" s="184">
        <f>IF(cyberControls[[#This Row],[Y, Y(C), N]]=yes,1,0)</f>
        <v>0</v>
      </c>
      <c r="O174" s="184">
        <f>IF(cyberControls[[#This Row],[Y, Y(C), N]]=yesCC,1,0)</f>
        <v>0</v>
      </c>
      <c r="P174" s="184">
        <f>IF(cyberControls[[#This Row],[Y, Y(C), N]]=no,1,0)</f>
        <v>0</v>
      </c>
      <c r="Q174" s="184">
        <f>IF(cyberControls[[#This Row],[Y, Y(C), N]]=NotAvail,1,0)</f>
        <v>0</v>
      </c>
      <c r="R174" s="92"/>
    </row>
    <row r="175" spans="1:18" x14ac:dyDescent="0.25">
      <c r="A175" s="86" t="s">
        <v>421</v>
      </c>
      <c r="B175" s="86" t="s">
        <v>436</v>
      </c>
      <c r="C175" s="86" t="s">
        <v>29</v>
      </c>
      <c r="D175" s="87"/>
      <c r="E175" s="58" t="s">
        <v>440</v>
      </c>
      <c r="F175" s="24"/>
      <c r="G175" s="237"/>
      <c r="H175" s="203" t="str">
        <f>IFERROR(HYPERLINK("#'Appendix A'!E"&amp;ROW(INDEX(Table23[DSorder],MATCH(cyberControls[[#This Row],[AppAref]],Table23[DSorder],0))),"GO"),"")</f>
        <v/>
      </c>
      <c r="I175" s="86" t="str">
        <f>cyberControls[[#This Row],[Component]]&amp;cyberControls[[#This Row],[Maturity Level]]</f>
        <v>RemediationIntermediate</v>
      </c>
      <c r="J175" s="86" t="str">
        <f>cyberControls[[#This Row],[workArea]]&amp;cyberControls[[#This Row],[Y, Y(C), N]]</f>
        <v>RemediationIntermediate</v>
      </c>
      <c r="K175" s="184"/>
      <c r="L175" s="184"/>
      <c r="M175" s="184" t="str">
        <f t="shared" si="5"/>
        <v>Cybersecurity Controls</v>
      </c>
      <c r="N175" s="184">
        <f>IF(cyberControls[[#This Row],[Y, Y(C), N]]=yes,1,0)</f>
        <v>0</v>
      </c>
      <c r="O175" s="184">
        <f>IF(cyberControls[[#This Row],[Y, Y(C), N]]=yesCC,1,0)</f>
        <v>0</v>
      </c>
      <c r="P175" s="184">
        <f>IF(cyberControls[[#This Row],[Y, Y(C), N]]=no,1,0)</f>
        <v>0</v>
      </c>
      <c r="Q175" s="184">
        <f>IF(cyberControls[[#This Row],[Y, Y(C), N]]=NotAvail,1,0)</f>
        <v>0</v>
      </c>
      <c r="R175" s="92"/>
    </row>
    <row r="176" spans="1:18" ht="30" x14ac:dyDescent="0.25">
      <c r="A176" s="86" t="s">
        <v>421</v>
      </c>
      <c r="B176" s="86" t="s">
        <v>436</v>
      </c>
      <c r="C176" s="86" t="s">
        <v>29</v>
      </c>
      <c r="D176" s="87"/>
      <c r="E176" s="58" t="s">
        <v>441</v>
      </c>
      <c r="F176" s="24"/>
      <c r="G176" s="237"/>
      <c r="H176" s="203" t="str">
        <f>IFERROR(HYPERLINK("#'Appendix A'!E"&amp;ROW(INDEX(Table23[DSorder],MATCH(cyberControls[[#This Row],[AppAref]],Table23[DSorder],0))),"GO"),"")</f>
        <v/>
      </c>
      <c r="I176" s="86" t="str">
        <f>cyberControls[[#This Row],[Component]]&amp;cyberControls[[#This Row],[Maturity Level]]</f>
        <v>RemediationIntermediate</v>
      </c>
      <c r="J176" s="86" t="str">
        <f>cyberControls[[#This Row],[workArea]]&amp;cyberControls[[#This Row],[Y, Y(C), N]]</f>
        <v>RemediationIntermediate</v>
      </c>
      <c r="K176" s="184"/>
      <c r="L176" s="184"/>
      <c r="M176" s="184" t="str">
        <f t="shared" si="5"/>
        <v>Cybersecurity Controls</v>
      </c>
      <c r="N176" s="184">
        <f>IF(cyberControls[[#This Row],[Y, Y(C), N]]=yes,1,0)</f>
        <v>0</v>
      </c>
      <c r="O176" s="184">
        <f>IF(cyberControls[[#This Row],[Y, Y(C), N]]=yesCC,1,0)</f>
        <v>0</v>
      </c>
      <c r="P176" s="184">
        <f>IF(cyberControls[[#This Row],[Y, Y(C), N]]=no,1,0)</f>
        <v>0</v>
      </c>
      <c r="Q176" s="184">
        <f>IF(cyberControls[[#This Row],[Y, Y(C), N]]=NotAvail,1,0)</f>
        <v>0</v>
      </c>
      <c r="R176" s="92"/>
    </row>
    <row r="177" spans="1:18" ht="30" x14ac:dyDescent="0.25">
      <c r="A177" s="86" t="s">
        <v>421</v>
      </c>
      <c r="B177" s="86" t="s">
        <v>436</v>
      </c>
      <c r="C177" s="86" t="s">
        <v>29</v>
      </c>
      <c r="D177" s="87"/>
      <c r="E177" s="58" t="s">
        <v>442</v>
      </c>
      <c r="F177" s="24"/>
      <c r="G177" s="237"/>
      <c r="H177" s="203" t="str">
        <f>IFERROR(HYPERLINK("#'Appendix A'!E"&amp;ROW(INDEX(Table23[DSorder],MATCH(cyberControls[[#This Row],[AppAref]],Table23[DSorder],0))),"GO"),"")</f>
        <v/>
      </c>
      <c r="I177" s="86" t="str">
        <f>cyberControls[[#This Row],[Component]]&amp;cyberControls[[#This Row],[Maturity Level]]</f>
        <v>RemediationIntermediate</v>
      </c>
      <c r="J177" s="86" t="str">
        <f>cyberControls[[#This Row],[workArea]]&amp;cyberControls[[#This Row],[Y, Y(C), N]]</f>
        <v>RemediationIntermediate</v>
      </c>
      <c r="K177" s="184"/>
      <c r="L177" s="184"/>
      <c r="M177" s="184" t="str">
        <f t="shared" si="5"/>
        <v>Cybersecurity Controls</v>
      </c>
      <c r="N177" s="184">
        <f>IF(cyberControls[[#This Row],[Y, Y(C), N]]=yes,1,0)</f>
        <v>0</v>
      </c>
      <c r="O177" s="184">
        <f>IF(cyberControls[[#This Row],[Y, Y(C), N]]=yesCC,1,0)</f>
        <v>0</v>
      </c>
      <c r="P177" s="184">
        <f>IF(cyberControls[[#This Row],[Y, Y(C), N]]=no,1,0)</f>
        <v>0</v>
      </c>
      <c r="Q177" s="184">
        <f>IF(cyberControls[[#This Row],[Y, Y(C), N]]=NotAvail,1,0)</f>
        <v>0</v>
      </c>
      <c r="R177" s="92"/>
    </row>
    <row r="178" spans="1:18" ht="45" x14ac:dyDescent="0.25">
      <c r="A178" s="86" t="s">
        <v>421</v>
      </c>
      <c r="B178" s="86" t="s">
        <v>436</v>
      </c>
      <c r="C178" s="86" t="s">
        <v>29</v>
      </c>
      <c r="D178" s="87"/>
      <c r="E178" s="58" t="s">
        <v>443</v>
      </c>
      <c r="F178" s="24"/>
      <c r="G178" s="237"/>
      <c r="H178" s="203" t="str">
        <f>IFERROR(HYPERLINK("#'Appendix A'!E"&amp;ROW(INDEX(Table23[DSorder],MATCH(cyberControls[[#This Row],[AppAref]],Table23[DSorder],0))),"GO"),"")</f>
        <v/>
      </c>
      <c r="I178" s="86" t="str">
        <f>cyberControls[[#This Row],[Component]]&amp;cyberControls[[#This Row],[Maturity Level]]</f>
        <v>RemediationIntermediate</v>
      </c>
      <c r="J178" s="86" t="str">
        <f>cyberControls[[#This Row],[workArea]]&amp;cyberControls[[#This Row],[Y, Y(C), N]]</f>
        <v>RemediationIntermediate</v>
      </c>
      <c r="K178" s="184"/>
      <c r="L178" s="184"/>
      <c r="M178" s="184" t="str">
        <f t="shared" si="5"/>
        <v>Cybersecurity Controls</v>
      </c>
      <c r="N178" s="184">
        <f>IF(cyberControls[[#This Row],[Y, Y(C), N]]=yes,1,0)</f>
        <v>0</v>
      </c>
      <c r="O178" s="184">
        <f>IF(cyberControls[[#This Row],[Y, Y(C), N]]=yesCC,1,0)</f>
        <v>0</v>
      </c>
      <c r="P178" s="184">
        <f>IF(cyberControls[[#This Row],[Y, Y(C), N]]=no,1,0)</f>
        <v>0</v>
      </c>
      <c r="Q178" s="184">
        <f>IF(cyberControls[[#This Row],[Y, Y(C), N]]=NotAvail,1,0)</f>
        <v>0</v>
      </c>
      <c r="R178" s="92"/>
    </row>
    <row r="179" spans="1:18" ht="30" x14ac:dyDescent="0.25">
      <c r="A179" s="86" t="s">
        <v>421</v>
      </c>
      <c r="B179" s="86" t="s">
        <v>436</v>
      </c>
      <c r="C179" s="86" t="s">
        <v>29</v>
      </c>
      <c r="D179" s="87"/>
      <c r="E179" s="58" t="s">
        <v>444</v>
      </c>
      <c r="F179" s="24"/>
      <c r="G179" s="237"/>
      <c r="H179" s="203" t="str">
        <f>IFERROR(HYPERLINK("#'Appendix A'!E"&amp;ROW(INDEX(Table23[DSorder],MATCH(cyberControls[[#This Row],[AppAref]],Table23[DSorder],0))),"GO"),"")</f>
        <v/>
      </c>
      <c r="I179" s="86" t="str">
        <f>cyberControls[[#This Row],[Component]]&amp;cyberControls[[#This Row],[Maturity Level]]</f>
        <v>RemediationIntermediate</v>
      </c>
      <c r="J179" s="86" t="str">
        <f>cyberControls[[#This Row],[workArea]]&amp;cyberControls[[#This Row],[Y, Y(C), N]]</f>
        <v>RemediationIntermediate</v>
      </c>
      <c r="K179" s="184"/>
      <c r="L179" s="184"/>
      <c r="M179" s="184" t="str">
        <f t="shared" si="5"/>
        <v>Cybersecurity Controls</v>
      </c>
      <c r="N179" s="184">
        <f>IF(cyberControls[[#This Row],[Y, Y(C), N]]=yes,1,0)</f>
        <v>0</v>
      </c>
      <c r="O179" s="184">
        <f>IF(cyberControls[[#This Row],[Y, Y(C), N]]=yesCC,1,0)</f>
        <v>0</v>
      </c>
      <c r="P179" s="184">
        <f>IF(cyberControls[[#This Row],[Y, Y(C), N]]=no,1,0)</f>
        <v>0</v>
      </c>
      <c r="Q179" s="184">
        <f>IF(cyberControls[[#This Row],[Y, Y(C), N]]=NotAvail,1,0)</f>
        <v>0</v>
      </c>
      <c r="R179" s="92"/>
    </row>
    <row r="180" spans="1:18" ht="30" x14ac:dyDescent="0.25">
      <c r="A180" s="86" t="s">
        <v>421</v>
      </c>
      <c r="B180" s="86" t="s">
        <v>436</v>
      </c>
      <c r="C180" s="86" t="s">
        <v>29</v>
      </c>
      <c r="D180" s="87"/>
      <c r="E180" s="58" t="s">
        <v>445</v>
      </c>
      <c r="F180" s="24"/>
      <c r="G180" s="237"/>
      <c r="H180" s="203" t="str">
        <f>IFERROR(HYPERLINK("#'Appendix A'!E"&amp;ROW(INDEX(Table23[DSorder],MATCH(cyberControls[[#This Row],[AppAref]],Table23[DSorder],0))),"GO"),"")</f>
        <v/>
      </c>
      <c r="I180" s="86" t="str">
        <f>cyberControls[[#This Row],[Component]]&amp;cyberControls[[#This Row],[Maturity Level]]</f>
        <v>RemediationIntermediate</v>
      </c>
      <c r="J180" s="86" t="str">
        <f>cyberControls[[#This Row],[workArea]]&amp;cyberControls[[#This Row],[Y, Y(C), N]]</f>
        <v>RemediationIntermediate</v>
      </c>
      <c r="K180" s="184"/>
      <c r="L180" s="184"/>
      <c r="M180" s="184" t="str">
        <f t="shared" si="5"/>
        <v>Cybersecurity Controls</v>
      </c>
      <c r="N180" s="184">
        <f>IF(cyberControls[[#This Row],[Y, Y(C), N]]=yes,1,0)</f>
        <v>0</v>
      </c>
      <c r="O180" s="184">
        <f>IF(cyberControls[[#This Row],[Y, Y(C), N]]=yesCC,1,0)</f>
        <v>0</v>
      </c>
      <c r="P180" s="184">
        <f>IF(cyberControls[[#This Row],[Y, Y(C), N]]=no,1,0)</f>
        <v>0</v>
      </c>
      <c r="Q180" s="184">
        <f>IF(cyberControls[[#This Row],[Y, Y(C), N]]=NotAvail,1,0)</f>
        <v>0</v>
      </c>
      <c r="R180" s="92"/>
    </row>
    <row r="181" spans="1:18" ht="60" x14ac:dyDescent="0.25">
      <c r="A181" s="86" t="s">
        <v>421</v>
      </c>
      <c r="B181" s="86" t="s">
        <v>436</v>
      </c>
      <c r="C181" s="86" t="s">
        <v>30</v>
      </c>
      <c r="D181" s="87"/>
      <c r="E181" s="58" t="s">
        <v>446</v>
      </c>
      <c r="F181" s="24"/>
      <c r="G181" s="237"/>
      <c r="H181" s="203" t="str">
        <f>IFERROR(HYPERLINK("#'Appendix A'!E"&amp;ROW(INDEX(Table23[DSorder],MATCH(cyberControls[[#This Row],[AppAref]],Table23[DSorder],0))),"GO"),"")</f>
        <v/>
      </c>
      <c r="I181" s="86" t="str">
        <f>cyberControls[[#This Row],[Component]]&amp;cyberControls[[#This Row],[Maturity Level]]</f>
        <v>RemediationAdvanced</v>
      </c>
      <c r="J181" s="86" t="str">
        <f>cyberControls[[#This Row],[workArea]]&amp;cyberControls[[#This Row],[Y, Y(C), N]]</f>
        <v>RemediationAdvanced</v>
      </c>
      <c r="K181" s="184"/>
      <c r="L181" s="184"/>
      <c r="M181" s="184" t="str">
        <f t="shared" si="5"/>
        <v>Cybersecurity Controls</v>
      </c>
      <c r="N181" s="184">
        <f>IF(cyberControls[[#This Row],[Y, Y(C), N]]=yes,1,0)</f>
        <v>0</v>
      </c>
      <c r="O181" s="184">
        <f>IF(cyberControls[[#This Row],[Y, Y(C), N]]=yesCC,1,0)</f>
        <v>0</v>
      </c>
      <c r="P181" s="184">
        <f>IF(cyberControls[[#This Row],[Y, Y(C), N]]=no,1,0)</f>
        <v>0</v>
      </c>
      <c r="Q181" s="184">
        <f>IF(cyberControls[[#This Row],[Y, Y(C), N]]=NotAvail,1,0)</f>
        <v>0</v>
      </c>
      <c r="R181" s="92"/>
    </row>
    <row r="182" spans="1:18" ht="30" x14ac:dyDescent="0.25">
      <c r="A182" s="86" t="s">
        <v>421</v>
      </c>
      <c r="B182" s="86" t="s">
        <v>436</v>
      </c>
      <c r="C182" s="86" t="s">
        <v>31</v>
      </c>
      <c r="D182" s="87"/>
      <c r="E182" s="58" t="s">
        <v>447</v>
      </c>
      <c r="F182" s="24"/>
      <c r="G182" s="237"/>
      <c r="H182" s="203" t="str">
        <f>IFERROR(HYPERLINK("#'Appendix A'!E"&amp;ROW(INDEX(Table23[DSorder],MATCH(cyberControls[[#This Row],[AppAref]],Table23[DSorder],0))),"GO"),"")</f>
        <v/>
      </c>
      <c r="I182" s="86" t="str">
        <f>cyberControls[[#This Row],[Component]]&amp;cyberControls[[#This Row],[Maturity Level]]</f>
        <v>RemediationInnovative</v>
      </c>
      <c r="J182" s="86" t="str">
        <f>cyberControls[[#This Row],[workArea]]&amp;cyberControls[[#This Row],[Y, Y(C), N]]</f>
        <v>RemediationInnovative</v>
      </c>
      <c r="K182" s="184"/>
      <c r="L182" s="184"/>
      <c r="M182" s="184" t="str">
        <f t="shared" si="5"/>
        <v>Cybersecurity Controls</v>
      </c>
      <c r="N182" s="184">
        <f>IF(cyberControls[[#This Row],[Y, Y(C), N]]=yes,1,0)</f>
        <v>0</v>
      </c>
      <c r="O182" s="184">
        <f>IF(cyberControls[[#This Row],[Y, Y(C), N]]=yesCC,1,0)</f>
        <v>0</v>
      </c>
      <c r="P182" s="184">
        <f>IF(cyberControls[[#This Row],[Y, Y(C), N]]=no,1,0)</f>
        <v>0</v>
      </c>
      <c r="Q182" s="184">
        <f>IF(cyberControls[[#This Row],[Y, Y(C), N]]=NotAvail,1,0)</f>
        <v>0</v>
      </c>
      <c r="R182" s="92"/>
    </row>
  </sheetData>
  <sheetProtection sheet="1" objects="1" scenarios="1" formatCells="0" formatColumns="0" formatRows="0" sort="0" autoFilter="0"/>
  <mergeCells count="2">
    <mergeCell ref="A6:H7"/>
    <mergeCell ref="A5:H5"/>
  </mergeCells>
  <conditionalFormatting sqref="T9:T187">
    <cfRule type="cellIs" dxfId="21" priority="5" operator="equal">
      <formula>"Not OK"</formula>
    </cfRule>
  </conditionalFormatting>
  <conditionalFormatting sqref="V9:V187">
    <cfRule type="cellIs" dxfId="20" priority="4" operator="equal">
      <formula>"Not OK"</formula>
    </cfRule>
  </conditionalFormatting>
  <conditionalFormatting sqref="X9:X187">
    <cfRule type="cellIs" dxfId="19" priority="3" operator="equal">
      <formula>"Not OK"</formula>
    </cfRule>
  </conditionalFormatting>
  <conditionalFormatting sqref="Z9:Z187">
    <cfRule type="cellIs" dxfId="18" priority="2" operator="equal">
      <formula>"Not OK"</formula>
    </cfRule>
  </conditionalFormatting>
  <conditionalFormatting sqref="T8:AA8">
    <cfRule type="cellIs" dxfId="17" priority="1" operator="equal">
      <formula>"Not OK"</formula>
    </cfRule>
  </conditionalFormatting>
  <dataValidations count="2">
    <dataValidation type="list" allowBlank="1" showInputMessage="1" showErrorMessage="1" sqref="D9:D182" xr:uid="{00000000-0002-0000-0E00-000000000000}">
      <formula1>yesNo</formula1>
    </dataValidation>
    <dataValidation type="list" allowBlank="1" showInputMessage="1" showErrorMessage="1" sqref="F4" xr:uid="{00000000-0002-0000-0E00-000001000000}">
      <formula1>prefLink</formula1>
    </dataValidation>
  </dataValidations>
  <hyperlinks>
    <hyperlink ref="G3" location="disclaimer" display="disclaimer" xr:uid="{00000000-0004-0000-0E00-000000000000}"/>
    <hyperlink ref="G2" location="workbookInfo" display="Workbook Information" xr:uid="{00000000-0004-0000-0E00-000001000000}"/>
  </hyperlinks>
  <pageMargins left="0.25" right="0.25" top="0.75" bottom="0.75" header="0.3" footer="0.3"/>
  <pageSetup scale="56" fitToHeight="0" orientation="landscape" r:id="rId1"/>
  <headerFooter>
    <oddHeader>&amp;C&amp;A</oddHeader>
    <oddFooter>&amp;L&amp;"-,Bold"Confidential-Authorized Use Only&amp;C&amp;D&amp;RPage &amp;P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5" tint="0.59999389629810485"/>
    <pageSetUpPr fitToPage="1"/>
  </sheetPr>
  <dimension ref="A1:AH59"/>
  <sheetViews>
    <sheetView zoomScaleNormal="100" workbookViewId="0">
      <pane ySplit="8" topLeftCell="A9" activePane="bottomLeft" state="frozen"/>
      <selection pane="bottomLeft" activeCell="D9" sqref="D9"/>
    </sheetView>
  </sheetViews>
  <sheetFormatPr defaultColWidth="8.85546875" defaultRowHeight="15" x14ac:dyDescent="0.25"/>
  <cols>
    <col min="1" max="2" width="25.7109375" style="10" customWidth="1"/>
    <col min="3" max="3" width="18.7109375" style="10" customWidth="1"/>
    <col min="4" max="4" width="12.7109375" style="10" customWidth="1"/>
    <col min="5" max="5" width="75.7109375" style="10" customWidth="1"/>
    <col min="6" max="6" width="30.7109375" style="46" customWidth="1"/>
    <col min="7" max="7" width="65.7109375" style="10" customWidth="1"/>
    <col min="8" max="8" width="13.7109375" style="295" customWidth="1"/>
    <col min="9" max="9" width="20.7109375" style="10" hidden="1" customWidth="1"/>
    <col min="10" max="10" width="27.85546875" style="10" hidden="1" customWidth="1"/>
    <col min="11" max="11" width="9.5703125" style="10" hidden="1" customWidth="1"/>
    <col min="12" max="12" width="8.85546875" style="10" hidden="1" customWidth="1"/>
    <col min="13" max="13" width="8.85546875" style="251" hidden="1" customWidth="1"/>
    <col min="14" max="15" width="8.85546875" style="10" hidden="1" customWidth="1"/>
    <col min="16" max="18" width="8.85546875" style="209" hidden="1" customWidth="1"/>
    <col min="19" max="24" width="8.85546875" style="209" customWidth="1"/>
    <col min="25" max="25" width="8.85546875" style="10" customWidth="1"/>
    <col min="26" max="16384" width="8.85546875" style="10"/>
  </cols>
  <sheetData>
    <row r="1" spans="1:34" s="112" customFormat="1" ht="20.100000000000001" customHeight="1" x14ac:dyDescent="0.25">
      <c r="A1" s="6" t="str">
        <f>HYPERLINK(websiteHTTP&amp;webSiteURL,"Watkins Consulting")</f>
        <v>Watkins Consulting</v>
      </c>
      <c r="B1" s="132"/>
      <c r="C1" s="132"/>
      <c r="D1" s="132"/>
      <c r="E1" s="136" t="str">
        <f>IF(firmName&gt;0,firmName,"")</f>
        <v/>
      </c>
      <c r="F1" s="132"/>
      <c r="G1" s="8" t="str">
        <f>HYPERLINK(websiteHTTP&amp;webSiteURL&amp;userManualrURL,"User Manual")</f>
        <v>User Manual</v>
      </c>
      <c r="H1" s="8"/>
      <c r="M1" s="252"/>
      <c r="P1" s="209"/>
      <c r="Q1" s="209"/>
      <c r="R1" s="209"/>
      <c r="S1" s="209"/>
      <c r="T1" s="209"/>
      <c r="U1" s="209"/>
      <c r="V1" s="209"/>
      <c r="W1" s="209"/>
      <c r="X1" s="209"/>
    </row>
    <row r="2" spans="1:34" s="112" customFormat="1" ht="20.100000000000001" customHeight="1" x14ac:dyDescent="0.25">
      <c r="A2" s="256" t="str">
        <f ca="1">workbookVersionLabel</f>
        <v xml:space="preserve"> Excel Workbook Version: 3.4.2</v>
      </c>
      <c r="B2" s="132"/>
      <c r="C2" s="132"/>
      <c r="D2" s="132"/>
      <c r="E2" s="133" t="str">
        <f>Information</f>
        <v>FFIEC Cybersecurity Assessment Tool (May 2017)</v>
      </c>
      <c r="F2" s="137"/>
      <c r="G2" s="8" t="s">
        <v>1094</v>
      </c>
      <c r="H2" s="8"/>
      <c r="M2" s="252"/>
      <c r="P2" s="209"/>
      <c r="Q2" s="209"/>
      <c r="R2" s="209"/>
      <c r="S2" s="209"/>
      <c r="T2" s="209"/>
      <c r="U2" s="209"/>
      <c r="V2" s="209"/>
      <c r="W2" s="209"/>
      <c r="X2" s="209"/>
    </row>
    <row r="3" spans="1:34" s="112" customFormat="1" ht="20.100000000000001" customHeight="1" thickBot="1" x14ac:dyDescent="0.3">
      <c r="A3" s="139" t="str">
        <f ca="1">MID(CELL("filename",A1),FIND("]",CELL("filename",A1))+1,256)</f>
        <v>External Dependency</v>
      </c>
      <c r="B3" s="140"/>
      <c r="C3" s="140"/>
      <c r="D3" s="141"/>
      <c r="E3" s="142" t="str">
        <f>IF(assessmentDate&gt;0,assessmentDate,"")</f>
        <v/>
      </c>
      <c r="F3" s="141"/>
      <c r="G3" s="155" t="s">
        <v>620</v>
      </c>
      <c r="H3" s="141"/>
      <c r="M3" s="252"/>
      <c r="P3" s="209"/>
      <c r="Q3" s="209"/>
      <c r="R3" s="209"/>
      <c r="S3" s="209"/>
      <c r="T3" s="209"/>
      <c r="U3" s="209"/>
      <c r="V3" s="209"/>
      <c r="W3" s="209"/>
      <c r="X3" s="209"/>
    </row>
    <row r="4" spans="1:34" ht="15.75" thickTop="1" x14ac:dyDescent="0.25">
      <c r="A4" s="283" t="str">
        <f>IF('Maturity Roll Up'!S30&gt;0,warn1&amp;'Maturity Roll Up'!S30&amp;warn2,"")</f>
        <v/>
      </c>
      <c r="F4" s="317" t="s">
        <v>925</v>
      </c>
      <c r="G4" s="179" t="s">
        <v>927</v>
      </c>
      <c r="H4" s="179"/>
    </row>
    <row r="5" spans="1:34" ht="20.25" thickBot="1" x14ac:dyDescent="0.35">
      <c r="A5" s="408" t="s">
        <v>260</v>
      </c>
      <c r="B5" s="408"/>
      <c r="C5" s="408"/>
      <c r="D5" s="408"/>
      <c r="E5" s="408"/>
      <c r="F5" s="408"/>
      <c r="G5" s="408"/>
      <c r="H5" s="408"/>
      <c r="I5" s="90"/>
    </row>
    <row r="6" spans="1:34" ht="15" customHeight="1" x14ac:dyDescent="0.25">
      <c r="A6" s="401" t="s">
        <v>259</v>
      </c>
      <c r="B6" s="402"/>
      <c r="C6" s="402"/>
      <c r="D6" s="402"/>
      <c r="E6" s="402"/>
      <c r="F6" s="402"/>
      <c r="G6" s="402"/>
      <c r="H6" s="403"/>
      <c r="I6" s="77"/>
    </row>
    <row r="7" spans="1:34" ht="15" customHeight="1" thickBot="1" x14ac:dyDescent="0.3">
      <c r="A7" s="404"/>
      <c r="B7" s="405"/>
      <c r="C7" s="405"/>
      <c r="D7" s="405"/>
      <c r="E7" s="405"/>
      <c r="F7" s="405"/>
      <c r="G7" s="405"/>
      <c r="H7" s="406"/>
    </row>
    <row r="8" spans="1:34" x14ac:dyDescent="0.25">
      <c r="A8" s="46" t="s">
        <v>25</v>
      </c>
      <c r="B8" s="46" t="s">
        <v>26</v>
      </c>
      <c r="C8" s="46" t="s">
        <v>23</v>
      </c>
      <c r="D8" s="57" t="s">
        <v>879</v>
      </c>
      <c r="E8" s="46" t="s">
        <v>48</v>
      </c>
      <c r="F8" s="46" t="s">
        <v>49</v>
      </c>
      <c r="G8" s="91" t="s">
        <v>10</v>
      </c>
      <c r="H8" s="303" t="s">
        <v>2076</v>
      </c>
      <c r="I8" s="46" t="s">
        <v>50</v>
      </c>
      <c r="J8" s="46" t="s">
        <v>51</v>
      </c>
      <c r="K8" s="180" t="s">
        <v>956</v>
      </c>
      <c r="L8" s="180" t="s">
        <v>957</v>
      </c>
      <c r="M8" s="180" t="s">
        <v>24</v>
      </c>
      <c r="N8" s="180" t="s">
        <v>1281</v>
      </c>
      <c r="O8" s="180" t="s">
        <v>1282</v>
      </c>
      <c r="P8" s="180" t="s">
        <v>1283</v>
      </c>
      <c r="Q8" s="180" t="s">
        <v>1284</v>
      </c>
      <c r="R8" s="180" t="s">
        <v>2077</v>
      </c>
    </row>
    <row r="9" spans="1:34" ht="30" x14ac:dyDescent="0.25">
      <c r="A9" s="86" t="s">
        <v>448</v>
      </c>
      <c r="B9" s="58" t="s">
        <v>448</v>
      </c>
      <c r="C9" s="86" t="s">
        <v>27</v>
      </c>
      <c r="D9" s="87"/>
      <c r="E9" s="58" t="s">
        <v>449</v>
      </c>
      <c r="F9"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9</v>
      </c>
      <c r="G9" s="237"/>
      <c r="H9" s="255" t="str">
        <f>IFERROR(HYPERLINK("#'Appendix A'!E"&amp;ROW(INDEX(Table23[DSorder],MATCH(ExtDep[[#This Row],[AppAref]],Table23[DSorder],0))),"GO"),"")</f>
        <v>GO</v>
      </c>
      <c r="I9" s="86" t="str">
        <f>ExtDep[[#This Row],[Component]]&amp;ExtDep[[#This Row],[Maturity Level]]</f>
        <v>ConnectionsBaseline</v>
      </c>
      <c r="J9" s="86" t="str">
        <f>ExtDep[[#This Row],[workArea]]&amp;ExtDep[[#This Row],[Y ,Y(C), N]]</f>
        <v>ConnectionsBaseline</v>
      </c>
      <c r="K9" s="184">
        <v>88</v>
      </c>
      <c r="L9" s="184">
        <f>IFERROR(MATCH(ExtDep[[#This Row],[Ref No.]],hyperlinkLU[Reference No.],0),ExtDep[[#This Row],[Ref No.]])</f>
        <v>89</v>
      </c>
      <c r="M9" s="184" t="str">
        <f t="shared" ref="M9:M40" si="0">TRIM(MID($A$5,FIND(":",$A$5)+2,LEN($A$5)))</f>
        <v>External Dependency Management</v>
      </c>
      <c r="N9" s="184">
        <f>IF(ExtDep[[#This Row],[Y ,Y(C), N]]=yes,1,0)</f>
        <v>0</v>
      </c>
      <c r="O9" s="184">
        <f>IF(ExtDep[[#This Row],[Y ,Y(C), N]]=yesCC,1,0)</f>
        <v>0</v>
      </c>
      <c r="P9" s="184">
        <f>IF(ExtDep[[#This Row],[Y ,Y(C), N]]=no,1,0)</f>
        <v>0</v>
      </c>
      <c r="Q9" s="184">
        <f>IF(ExtDep[[#This Row],[Y ,Y(C), N]]=NotAvail,1,0)</f>
        <v>0</v>
      </c>
      <c r="R9" s="92">
        <v>91</v>
      </c>
    </row>
    <row r="10" spans="1:34" ht="30" x14ac:dyDescent="0.25">
      <c r="A10" s="86" t="s">
        <v>448</v>
      </c>
      <c r="B10" s="58" t="s">
        <v>448</v>
      </c>
      <c r="C10" s="86" t="s">
        <v>27</v>
      </c>
      <c r="D10" s="89"/>
      <c r="E10" s="58" t="s">
        <v>450</v>
      </c>
      <c r="F10"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17</v>
      </c>
      <c r="G10" s="237"/>
      <c r="H10" s="255" t="str">
        <f>IFERROR(HYPERLINK("#'Appendix A'!E"&amp;ROW(INDEX(Table23[DSorder],MATCH(ExtDep[[#This Row],[AppAref]],Table23[DSorder],0))),"GO"),"")</f>
        <v>GO</v>
      </c>
      <c r="I10" s="86" t="str">
        <f>ExtDep[[#This Row],[Component]]&amp;ExtDep[[#This Row],[Maturity Level]]</f>
        <v>ConnectionsBaseline</v>
      </c>
      <c r="J10" s="86" t="str">
        <f>ExtDep[[#This Row],[workArea]]&amp;ExtDep[[#This Row],[Y ,Y(C), N]]</f>
        <v>ConnectionsBaseline</v>
      </c>
      <c r="K10" s="184">
        <v>89</v>
      </c>
      <c r="L10" s="184">
        <f>IFERROR(MATCH(ExtDep[[#This Row],[Ref No.]],hyperlinkLU[Reference No.],0),ExtDep[[#This Row],[Ref No.]])</f>
        <v>90</v>
      </c>
      <c r="M10" s="184" t="str">
        <f t="shared" si="0"/>
        <v>External Dependency Management</v>
      </c>
      <c r="N10" s="184">
        <f>IF(ExtDep[[#This Row],[Y ,Y(C), N]]=yes,1,0)</f>
        <v>0</v>
      </c>
      <c r="O10" s="184">
        <f>IF(ExtDep[[#This Row],[Y ,Y(C), N]]=yesCC,1,0)</f>
        <v>0</v>
      </c>
      <c r="P10" s="184">
        <f>IF(ExtDep[[#This Row],[Y ,Y(C), N]]=no,1,0)</f>
        <v>0</v>
      </c>
      <c r="Q10" s="184">
        <f>IF(ExtDep[[#This Row],[Y ,Y(C), N]]=NotAvail,1,0)</f>
        <v>0</v>
      </c>
      <c r="R10" s="92">
        <v>92</v>
      </c>
    </row>
    <row r="11" spans="1:34" ht="30" x14ac:dyDescent="0.25">
      <c r="A11" s="86" t="s">
        <v>448</v>
      </c>
      <c r="B11" s="58" t="s">
        <v>448</v>
      </c>
      <c r="C11" s="86" t="s">
        <v>27</v>
      </c>
      <c r="D11" s="87"/>
      <c r="E11" s="58" t="s">
        <v>451</v>
      </c>
      <c r="F11"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9</v>
      </c>
      <c r="G11" s="237"/>
      <c r="H11" s="255" t="str">
        <f>IFERROR(HYPERLINK("#'Appendix A'!E"&amp;ROW(INDEX(Table23[DSorder],MATCH(ExtDep[[#This Row],[AppAref]],Table23[DSorder],0))),"GO"),"")</f>
        <v>GO</v>
      </c>
      <c r="I11" s="86" t="str">
        <f>ExtDep[[#This Row],[Component]]&amp;ExtDep[[#This Row],[Maturity Level]]</f>
        <v>ConnectionsBaseline</v>
      </c>
      <c r="J11" s="86" t="str">
        <f>ExtDep[[#This Row],[workArea]]&amp;ExtDep[[#This Row],[Y ,Y(C), N]]</f>
        <v>ConnectionsBaseline</v>
      </c>
      <c r="K11" s="184">
        <v>90</v>
      </c>
      <c r="L11" s="184">
        <f>IFERROR(MATCH(ExtDep[[#This Row],[Ref No.]],hyperlinkLU[Reference No.],0),ExtDep[[#This Row],[Ref No.]])</f>
        <v>91</v>
      </c>
      <c r="M11" s="184" t="str">
        <f t="shared" si="0"/>
        <v>External Dependency Management</v>
      </c>
      <c r="N11" s="184">
        <f>IF(ExtDep[[#This Row],[Y ,Y(C), N]]=yes,1,0)</f>
        <v>0</v>
      </c>
      <c r="O11" s="184">
        <f>IF(ExtDep[[#This Row],[Y ,Y(C), N]]=yesCC,1,0)</f>
        <v>0</v>
      </c>
      <c r="P11" s="184">
        <f>IF(ExtDep[[#This Row],[Y ,Y(C), N]]=no,1,0)</f>
        <v>0</v>
      </c>
      <c r="Q11" s="184">
        <f>IF(ExtDep[[#This Row],[Y ,Y(C), N]]=NotAvail,1,0)</f>
        <v>0</v>
      </c>
      <c r="R11" s="92">
        <v>93</v>
      </c>
    </row>
    <row r="12" spans="1:34" ht="30" x14ac:dyDescent="0.25">
      <c r="A12" s="86" t="s">
        <v>448</v>
      </c>
      <c r="B12" s="58" t="s">
        <v>448</v>
      </c>
      <c r="C12" s="86" t="s">
        <v>27</v>
      </c>
      <c r="D12" s="87"/>
      <c r="E12" s="58" t="s">
        <v>452</v>
      </c>
      <c r="F12"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10</v>
      </c>
      <c r="G12" s="237"/>
      <c r="H12" s="255" t="str">
        <f>IFERROR(HYPERLINK("#'Appendix A'!E"&amp;ROW(INDEX(Table23[DSorder],MATCH(ExtDep[[#This Row],[AppAref]],Table23[DSorder],0))),"GO"),"")</f>
        <v>GO</v>
      </c>
      <c r="I12" s="86" t="str">
        <f>ExtDep[[#This Row],[Component]]&amp;ExtDep[[#This Row],[Maturity Level]]</f>
        <v>ConnectionsBaseline</v>
      </c>
      <c r="J12" s="86" t="str">
        <f>ExtDep[[#This Row],[workArea]]&amp;ExtDep[[#This Row],[Y ,Y(C), N]]</f>
        <v>ConnectionsBaseline</v>
      </c>
      <c r="K12" s="184">
        <v>91</v>
      </c>
      <c r="L12" s="184">
        <f>IFERROR(MATCH(ExtDep[[#This Row],[Ref No.]],hyperlinkLU[Reference No.],0),ExtDep[[#This Row],[Ref No.]])</f>
        <v>92</v>
      </c>
      <c r="M12" s="184" t="str">
        <f t="shared" si="0"/>
        <v>External Dependency Management</v>
      </c>
      <c r="N12" s="184">
        <f>IF(ExtDep[[#This Row],[Y ,Y(C), N]]=yes,1,0)</f>
        <v>0</v>
      </c>
      <c r="O12" s="184">
        <f>IF(ExtDep[[#This Row],[Y ,Y(C), N]]=yesCC,1,0)</f>
        <v>0</v>
      </c>
      <c r="P12" s="184">
        <f>IF(ExtDep[[#This Row],[Y ,Y(C), N]]=no,1,0)</f>
        <v>0</v>
      </c>
      <c r="Q12" s="184">
        <f>IF(ExtDep[[#This Row],[Y ,Y(C), N]]=NotAvail,1,0)</f>
        <v>0</v>
      </c>
      <c r="R12" s="92">
        <v>94</v>
      </c>
    </row>
    <row r="13" spans="1:34" s="46" customFormat="1" ht="30" x14ac:dyDescent="0.25">
      <c r="A13" s="86" t="s">
        <v>448</v>
      </c>
      <c r="B13" s="58" t="s">
        <v>448</v>
      </c>
      <c r="C13" s="86" t="s">
        <v>28</v>
      </c>
      <c r="D13" s="87"/>
      <c r="E13" s="58" t="s">
        <v>453</v>
      </c>
      <c r="F13" s="24"/>
      <c r="G13" s="237"/>
      <c r="H13" s="255" t="str">
        <f>IFERROR(HYPERLINK("#'Appendix A'!E"&amp;ROW(INDEX(Table23[DSorder],MATCH(ExtDep[[#This Row],[AppAref]],Table23[DSorder],0))),"GO"),"")</f>
        <v/>
      </c>
      <c r="I13" s="86" t="str">
        <f>ExtDep[[#This Row],[Component]]&amp;ExtDep[[#This Row],[Maturity Level]]</f>
        <v>ConnectionsEvolving</v>
      </c>
      <c r="J13" s="86" t="str">
        <f>ExtDep[[#This Row],[workArea]]&amp;ExtDep[[#This Row],[Y ,Y(C), N]]</f>
        <v>ConnectionsEvolving</v>
      </c>
      <c r="K13" s="192"/>
      <c r="L13" s="184"/>
      <c r="M13" s="184" t="str">
        <f t="shared" si="0"/>
        <v>External Dependency Management</v>
      </c>
      <c r="N13" s="184">
        <f>IF(ExtDep[[#This Row],[Y ,Y(C), N]]=yes,1,0)</f>
        <v>0</v>
      </c>
      <c r="O13" s="250">
        <f>IF(ExtDep[[#This Row],[Y ,Y(C), N]]=yesCC,1,0)</f>
        <v>0</v>
      </c>
      <c r="P13" s="184">
        <f>IF(ExtDep[[#This Row],[Y ,Y(C), N]]=no,1,0)</f>
        <v>0</v>
      </c>
      <c r="Q13" s="184">
        <f>IF(ExtDep[[#This Row],[Y ,Y(C), N]]=NotAvail,1,0)</f>
        <v>0</v>
      </c>
      <c r="R13" s="92"/>
      <c r="S13" s="209"/>
      <c r="T13" s="209"/>
      <c r="U13" s="209"/>
      <c r="V13" s="209"/>
      <c r="W13" s="209"/>
      <c r="X13" s="209"/>
      <c r="Y13" s="175"/>
      <c r="Z13" s="175"/>
      <c r="AA13" s="175"/>
      <c r="AB13" s="175"/>
      <c r="AC13" s="175"/>
      <c r="AD13" s="175"/>
      <c r="AE13" s="175"/>
      <c r="AF13" s="175"/>
      <c r="AG13" s="175"/>
      <c r="AH13" s="175"/>
    </row>
    <row r="14" spans="1:34" ht="30" x14ac:dyDescent="0.25">
      <c r="A14" s="86" t="s">
        <v>448</v>
      </c>
      <c r="B14" s="58" t="s">
        <v>448</v>
      </c>
      <c r="C14" s="86" t="s">
        <v>28</v>
      </c>
      <c r="D14" s="87"/>
      <c r="E14" s="58" t="s">
        <v>454</v>
      </c>
      <c r="F14" s="24"/>
      <c r="G14" s="237"/>
      <c r="H14" s="255" t="str">
        <f>IFERROR(HYPERLINK("#'Appendix A'!E"&amp;ROW(INDEX(Table23[DSorder],MATCH(ExtDep[[#This Row],[AppAref]],Table23[DSorder],0))),"GO"),"")</f>
        <v/>
      </c>
      <c r="I14" s="86" t="str">
        <f>ExtDep[[#This Row],[Component]]&amp;ExtDep[[#This Row],[Maturity Level]]</f>
        <v>ConnectionsEvolving</v>
      </c>
      <c r="J14" s="86" t="str">
        <f>ExtDep[[#This Row],[workArea]]&amp;ExtDep[[#This Row],[Y ,Y(C), N]]</f>
        <v>ConnectionsEvolving</v>
      </c>
      <c r="K14" s="184"/>
      <c r="L14" s="184"/>
      <c r="M14" s="184" t="str">
        <f t="shared" si="0"/>
        <v>External Dependency Management</v>
      </c>
      <c r="N14" s="184">
        <f>IF(ExtDep[[#This Row],[Y ,Y(C), N]]=yes,1,0)</f>
        <v>0</v>
      </c>
      <c r="O14" s="184">
        <f>IF(ExtDep[[#This Row],[Y ,Y(C), N]]=yesCC,1,0)</f>
        <v>0</v>
      </c>
      <c r="P14" s="184">
        <f>IF(ExtDep[[#This Row],[Y ,Y(C), N]]=no,1,0)</f>
        <v>0</v>
      </c>
      <c r="Q14" s="184">
        <f>IF(ExtDep[[#This Row],[Y ,Y(C), N]]=NotAvail,1,0)</f>
        <v>0</v>
      </c>
      <c r="R14" s="92"/>
    </row>
    <row r="15" spans="1:34" ht="30" x14ac:dyDescent="0.25">
      <c r="A15" s="86" t="s">
        <v>448</v>
      </c>
      <c r="B15" s="58" t="s">
        <v>448</v>
      </c>
      <c r="C15" s="86" t="s">
        <v>28</v>
      </c>
      <c r="D15" s="87"/>
      <c r="E15" s="192" t="s">
        <v>455</v>
      </c>
      <c r="F15" s="24"/>
      <c r="G15" s="237"/>
      <c r="H15" s="255" t="str">
        <f>IFERROR(HYPERLINK("#'Appendix A'!E"&amp;ROW(INDEX(Table23[DSorder],MATCH(ExtDep[[#This Row],[AppAref]],Table23[DSorder],0))),"GO"),"")</f>
        <v/>
      </c>
      <c r="I15" s="58" t="str">
        <f>ExtDep[[#This Row],[Component]]&amp;ExtDep[[#This Row],[Maturity Level]]</f>
        <v>ConnectionsEvolving</v>
      </c>
      <c r="J15" s="58" t="str">
        <f>ExtDep[[#This Row],[workArea]]&amp;ExtDep[[#This Row],[Y ,Y(C), N]]</f>
        <v>ConnectionsEvolving</v>
      </c>
      <c r="K15" s="184"/>
      <c r="L15" s="184"/>
      <c r="M15" s="184" t="str">
        <f t="shared" si="0"/>
        <v>External Dependency Management</v>
      </c>
      <c r="N15" s="184">
        <f>IF(ExtDep[[#This Row],[Y ,Y(C), N]]=yes,1,0)</f>
        <v>0</v>
      </c>
      <c r="O15" s="184">
        <f>IF(ExtDep[[#This Row],[Y ,Y(C), N]]=yesCC,1,0)</f>
        <v>0</v>
      </c>
      <c r="P15" s="184">
        <f>IF(ExtDep[[#This Row],[Y ,Y(C), N]]=no,1,0)</f>
        <v>0</v>
      </c>
      <c r="Q15" s="184">
        <f>IF(ExtDep[[#This Row],[Y ,Y(C), N]]=NotAvail,1,0)</f>
        <v>0</v>
      </c>
      <c r="R15" s="92"/>
    </row>
    <row r="16" spans="1:34" ht="30" x14ac:dyDescent="0.25">
      <c r="A16" s="86" t="s">
        <v>448</v>
      </c>
      <c r="B16" s="58" t="s">
        <v>448</v>
      </c>
      <c r="C16" s="86" t="s">
        <v>28</v>
      </c>
      <c r="D16" s="87"/>
      <c r="E16" s="58" t="s">
        <v>456</v>
      </c>
      <c r="F16" s="24"/>
      <c r="G16" s="237"/>
      <c r="H16" s="255" t="str">
        <f>IFERROR(HYPERLINK("#'Appendix A'!E"&amp;ROW(INDEX(Table23[DSorder],MATCH(ExtDep[[#This Row],[AppAref]],Table23[DSorder],0))),"GO"),"")</f>
        <v/>
      </c>
      <c r="I16" s="86" t="str">
        <f>ExtDep[[#This Row],[Component]]&amp;ExtDep[[#This Row],[Maturity Level]]</f>
        <v>ConnectionsEvolving</v>
      </c>
      <c r="J16" s="86" t="str">
        <f>ExtDep[[#This Row],[workArea]]&amp;ExtDep[[#This Row],[Y ,Y(C), N]]</f>
        <v>ConnectionsEvolving</v>
      </c>
      <c r="K16" s="184"/>
      <c r="L16" s="184"/>
      <c r="M16" s="184" t="str">
        <f t="shared" si="0"/>
        <v>External Dependency Management</v>
      </c>
      <c r="N16" s="184">
        <f>IF(ExtDep[[#This Row],[Y ,Y(C), N]]=yes,1,0)</f>
        <v>0</v>
      </c>
      <c r="O16" s="184">
        <f>IF(ExtDep[[#This Row],[Y ,Y(C), N]]=yesCC,1,0)</f>
        <v>0</v>
      </c>
      <c r="P16" s="184">
        <f>IF(ExtDep[[#This Row],[Y ,Y(C), N]]=no,1,0)</f>
        <v>0</v>
      </c>
      <c r="Q16" s="184">
        <f>IF(ExtDep[[#This Row],[Y ,Y(C), N]]=NotAvail,1,0)</f>
        <v>0</v>
      </c>
      <c r="R16" s="92"/>
    </row>
    <row r="17" spans="1:18" ht="30" x14ac:dyDescent="0.25">
      <c r="A17" s="86" t="s">
        <v>448</v>
      </c>
      <c r="B17" s="58" t="s">
        <v>448</v>
      </c>
      <c r="C17" s="86" t="s">
        <v>29</v>
      </c>
      <c r="D17" s="87"/>
      <c r="E17" s="58" t="s">
        <v>457</v>
      </c>
      <c r="F17" s="24"/>
      <c r="G17" s="237"/>
      <c r="H17" s="255" t="str">
        <f>IFERROR(HYPERLINK("#'Appendix A'!E"&amp;ROW(INDEX(Table23[DSorder],MATCH(ExtDep[[#This Row],[AppAref]],Table23[DSorder],0))),"GO"),"")</f>
        <v/>
      </c>
      <c r="I17" s="86" t="str">
        <f>ExtDep[[#This Row],[Component]]&amp;ExtDep[[#This Row],[Maturity Level]]</f>
        <v>ConnectionsIntermediate</v>
      </c>
      <c r="J17" s="86" t="str">
        <f>ExtDep[[#This Row],[workArea]]&amp;ExtDep[[#This Row],[Y ,Y(C), N]]</f>
        <v>ConnectionsIntermediate</v>
      </c>
      <c r="K17" s="184"/>
      <c r="L17" s="184"/>
      <c r="M17" s="184" t="str">
        <f t="shared" si="0"/>
        <v>External Dependency Management</v>
      </c>
      <c r="N17" s="184">
        <f>IF(ExtDep[[#This Row],[Y ,Y(C), N]]=yes,1,0)</f>
        <v>0</v>
      </c>
      <c r="O17" s="184">
        <f>IF(ExtDep[[#This Row],[Y ,Y(C), N]]=yesCC,1,0)</f>
        <v>0</v>
      </c>
      <c r="P17" s="184">
        <f>IF(ExtDep[[#This Row],[Y ,Y(C), N]]=no,1,0)</f>
        <v>0</v>
      </c>
      <c r="Q17" s="184">
        <f>IF(ExtDep[[#This Row],[Y ,Y(C), N]]=NotAvail,1,0)</f>
        <v>0</v>
      </c>
      <c r="R17" s="92"/>
    </row>
    <row r="18" spans="1:18" ht="30" x14ac:dyDescent="0.25">
      <c r="A18" s="86" t="s">
        <v>448</v>
      </c>
      <c r="B18" s="58" t="s">
        <v>448</v>
      </c>
      <c r="C18" s="86" t="s">
        <v>29</v>
      </c>
      <c r="D18" s="87"/>
      <c r="E18" s="58" t="s">
        <v>458</v>
      </c>
      <c r="F18" s="24"/>
      <c r="G18" s="237"/>
      <c r="H18" s="255" t="str">
        <f>IFERROR(HYPERLINK("#'Appendix A'!E"&amp;ROW(INDEX(Table23[DSorder],MATCH(ExtDep[[#This Row],[AppAref]],Table23[DSorder],0))),"GO"),"")</f>
        <v/>
      </c>
      <c r="I18" s="86" t="str">
        <f>ExtDep[[#This Row],[Component]]&amp;ExtDep[[#This Row],[Maturity Level]]</f>
        <v>ConnectionsIntermediate</v>
      </c>
      <c r="J18" s="86" t="str">
        <f>ExtDep[[#This Row],[workArea]]&amp;ExtDep[[#This Row],[Y ,Y(C), N]]</f>
        <v>ConnectionsIntermediate</v>
      </c>
      <c r="K18" s="184"/>
      <c r="L18" s="184"/>
      <c r="M18" s="184" t="str">
        <f t="shared" si="0"/>
        <v>External Dependency Management</v>
      </c>
      <c r="N18" s="184">
        <f>IF(ExtDep[[#This Row],[Y ,Y(C), N]]=yes,1,0)</f>
        <v>0</v>
      </c>
      <c r="O18" s="184">
        <f>IF(ExtDep[[#This Row],[Y ,Y(C), N]]=yesCC,1,0)</f>
        <v>0</v>
      </c>
      <c r="P18" s="184">
        <f>IF(ExtDep[[#This Row],[Y ,Y(C), N]]=no,1,0)</f>
        <v>0</v>
      </c>
      <c r="Q18" s="184">
        <f>IF(ExtDep[[#This Row],[Y ,Y(C), N]]=NotAvail,1,0)</f>
        <v>0</v>
      </c>
      <c r="R18" s="92"/>
    </row>
    <row r="19" spans="1:18" ht="30" x14ac:dyDescent="0.25">
      <c r="A19" s="86" t="s">
        <v>448</v>
      </c>
      <c r="B19" s="58" t="s">
        <v>448</v>
      </c>
      <c r="C19" s="86" t="s">
        <v>29</v>
      </c>
      <c r="D19" s="87"/>
      <c r="E19" s="58" t="s">
        <v>459</v>
      </c>
      <c r="F19" s="24"/>
      <c r="G19" s="237"/>
      <c r="H19" s="255" t="str">
        <f>IFERROR(HYPERLINK("#'Appendix A'!E"&amp;ROW(INDEX(Table23[DSorder],MATCH(ExtDep[[#This Row],[AppAref]],Table23[DSorder],0))),"GO"),"")</f>
        <v/>
      </c>
      <c r="I19" s="86" t="str">
        <f>ExtDep[[#This Row],[Component]]&amp;ExtDep[[#This Row],[Maturity Level]]</f>
        <v>ConnectionsIntermediate</v>
      </c>
      <c r="J19" s="86" t="str">
        <f>ExtDep[[#This Row],[workArea]]&amp;ExtDep[[#This Row],[Y ,Y(C), N]]</f>
        <v>ConnectionsIntermediate</v>
      </c>
      <c r="K19" s="184"/>
      <c r="L19" s="184"/>
      <c r="M19" s="184" t="str">
        <f t="shared" si="0"/>
        <v>External Dependency Management</v>
      </c>
      <c r="N19" s="184">
        <f>IF(ExtDep[[#This Row],[Y ,Y(C), N]]=yes,1,0)</f>
        <v>0</v>
      </c>
      <c r="O19" s="184">
        <f>IF(ExtDep[[#This Row],[Y ,Y(C), N]]=yesCC,1,0)</f>
        <v>0</v>
      </c>
      <c r="P19" s="184">
        <f>IF(ExtDep[[#This Row],[Y ,Y(C), N]]=no,1,0)</f>
        <v>0</v>
      </c>
      <c r="Q19" s="184">
        <f>IF(ExtDep[[#This Row],[Y ,Y(C), N]]=NotAvail,1,0)</f>
        <v>0</v>
      </c>
      <c r="R19" s="92"/>
    </row>
    <row r="20" spans="1:18" x14ac:dyDescent="0.25">
      <c r="A20" s="86" t="s">
        <v>448</v>
      </c>
      <c r="B20" s="58" t="s">
        <v>448</v>
      </c>
      <c r="C20" s="86" t="s">
        <v>29</v>
      </c>
      <c r="D20" s="87"/>
      <c r="E20" s="58" t="s">
        <v>460</v>
      </c>
      <c r="F20" s="24"/>
      <c r="G20" s="237"/>
      <c r="H20" s="255" t="str">
        <f>IFERROR(HYPERLINK("#'Appendix A'!E"&amp;ROW(INDEX(Table23[DSorder],MATCH(ExtDep[[#This Row],[AppAref]],Table23[DSorder],0))),"GO"),"")</f>
        <v/>
      </c>
      <c r="I20" s="86" t="str">
        <f>ExtDep[[#This Row],[Component]]&amp;ExtDep[[#This Row],[Maturity Level]]</f>
        <v>ConnectionsIntermediate</v>
      </c>
      <c r="J20" s="86" t="str">
        <f>ExtDep[[#This Row],[workArea]]&amp;ExtDep[[#This Row],[Y ,Y(C), N]]</f>
        <v>ConnectionsIntermediate</v>
      </c>
      <c r="K20" s="184"/>
      <c r="L20" s="184"/>
      <c r="M20" s="184" t="str">
        <f t="shared" si="0"/>
        <v>External Dependency Management</v>
      </c>
      <c r="N20" s="184">
        <f>IF(ExtDep[[#This Row],[Y ,Y(C), N]]=yes,1,0)</f>
        <v>0</v>
      </c>
      <c r="O20" s="184">
        <f>IF(ExtDep[[#This Row],[Y ,Y(C), N]]=yesCC,1,0)</f>
        <v>0</v>
      </c>
      <c r="P20" s="184">
        <f>IF(ExtDep[[#This Row],[Y ,Y(C), N]]=no,1,0)</f>
        <v>0</v>
      </c>
      <c r="Q20" s="184">
        <f>IF(ExtDep[[#This Row],[Y ,Y(C), N]]=NotAvail,1,0)</f>
        <v>0</v>
      </c>
      <c r="R20" s="92"/>
    </row>
    <row r="21" spans="1:18" ht="30" x14ac:dyDescent="0.25">
      <c r="A21" s="86" t="s">
        <v>448</v>
      </c>
      <c r="B21" s="58" t="s">
        <v>448</v>
      </c>
      <c r="C21" s="86" t="s">
        <v>30</v>
      </c>
      <c r="D21" s="87"/>
      <c r="E21" s="58" t="s">
        <v>461</v>
      </c>
      <c r="F21" s="24"/>
      <c r="G21" s="237"/>
      <c r="H21" s="255" t="str">
        <f>IFERROR(HYPERLINK("#'Appendix A'!E"&amp;ROW(INDEX(Table23[DSorder],MATCH(ExtDep[[#This Row],[AppAref]],Table23[DSorder],0))),"GO"),"")</f>
        <v/>
      </c>
      <c r="I21" s="86" t="str">
        <f>ExtDep[[#This Row],[Component]]&amp;ExtDep[[#This Row],[Maturity Level]]</f>
        <v>ConnectionsAdvanced</v>
      </c>
      <c r="J21" s="86" t="str">
        <f>ExtDep[[#This Row],[workArea]]&amp;ExtDep[[#This Row],[Y ,Y(C), N]]</f>
        <v>ConnectionsAdvanced</v>
      </c>
      <c r="K21" s="184"/>
      <c r="L21" s="184"/>
      <c r="M21" s="184" t="str">
        <f t="shared" si="0"/>
        <v>External Dependency Management</v>
      </c>
      <c r="N21" s="184">
        <f>IF(ExtDep[[#This Row],[Y ,Y(C), N]]=yes,1,0)</f>
        <v>0</v>
      </c>
      <c r="O21" s="184">
        <f>IF(ExtDep[[#This Row],[Y ,Y(C), N]]=yesCC,1,0)</f>
        <v>0</v>
      </c>
      <c r="P21" s="184">
        <f>IF(ExtDep[[#This Row],[Y ,Y(C), N]]=no,1,0)</f>
        <v>0</v>
      </c>
      <c r="Q21" s="184">
        <f>IF(ExtDep[[#This Row],[Y ,Y(C), N]]=NotAvail,1,0)</f>
        <v>0</v>
      </c>
      <c r="R21" s="92"/>
    </row>
    <row r="22" spans="1:18" ht="30" x14ac:dyDescent="0.25">
      <c r="A22" s="86" t="s">
        <v>448</v>
      </c>
      <c r="B22" s="58" t="s">
        <v>448</v>
      </c>
      <c r="C22" s="86" t="s">
        <v>30</v>
      </c>
      <c r="D22" s="87"/>
      <c r="E22" s="58" t="s">
        <v>462</v>
      </c>
      <c r="F22" s="24"/>
      <c r="G22" s="237"/>
      <c r="H22" s="255" t="str">
        <f>IFERROR(HYPERLINK("#'Appendix A'!E"&amp;ROW(INDEX(Table23[DSorder],MATCH(ExtDep[[#This Row],[AppAref]],Table23[DSorder],0))),"GO"),"")</f>
        <v/>
      </c>
      <c r="I22" s="86" t="str">
        <f>ExtDep[[#This Row],[Component]]&amp;ExtDep[[#This Row],[Maturity Level]]</f>
        <v>ConnectionsAdvanced</v>
      </c>
      <c r="J22" s="86" t="str">
        <f>ExtDep[[#This Row],[workArea]]&amp;ExtDep[[#This Row],[Y ,Y(C), N]]</f>
        <v>ConnectionsAdvanced</v>
      </c>
      <c r="K22" s="184"/>
      <c r="L22" s="184"/>
      <c r="M22" s="184" t="str">
        <f t="shared" si="0"/>
        <v>External Dependency Management</v>
      </c>
      <c r="N22" s="184">
        <f>IF(ExtDep[[#This Row],[Y ,Y(C), N]]=yes,1,0)</f>
        <v>0</v>
      </c>
      <c r="O22" s="184">
        <f>IF(ExtDep[[#This Row],[Y ,Y(C), N]]=yesCC,1,0)</f>
        <v>0</v>
      </c>
      <c r="P22" s="184">
        <f>IF(ExtDep[[#This Row],[Y ,Y(C), N]]=no,1,0)</f>
        <v>0</v>
      </c>
      <c r="Q22" s="184">
        <f>IF(ExtDep[[#This Row],[Y ,Y(C), N]]=NotAvail,1,0)</f>
        <v>0</v>
      </c>
      <c r="R22" s="92"/>
    </row>
    <row r="23" spans="1:18" ht="45" x14ac:dyDescent="0.25">
      <c r="A23" s="86" t="s">
        <v>448</v>
      </c>
      <c r="B23" s="58" t="s">
        <v>448</v>
      </c>
      <c r="C23" s="86" t="s">
        <v>31</v>
      </c>
      <c r="D23" s="87"/>
      <c r="E23" s="58" t="s">
        <v>463</v>
      </c>
      <c r="F23" s="24"/>
      <c r="G23" s="237"/>
      <c r="H23" s="255" t="str">
        <f>IFERROR(HYPERLINK("#'Appendix A'!E"&amp;ROW(INDEX(Table23[DSorder],MATCH(ExtDep[[#This Row],[AppAref]],Table23[DSorder],0))),"GO"),"")</f>
        <v/>
      </c>
      <c r="I23" s="86" t="str">
        <f>ExtDep[[#This Row],[Component]]&amp;ExtDep[[#This Row],[Maturity Level]]</f>
        <v>ConnectionsInnovative</v>
      </c>
      <c r="J23" s="86" t="str">
        <f>ExtDep[[#This Row],[workArea]]&amp;ExtDep[[#This Row],[Y ,Y(C), N]]</f>
        <v>ConnectionsInnovative</v>
      </c>
      <c r="K23" s="184"/>
      <c r="L23" s="184"/>
      <c r="M23" s="184" t="str">
        <f t="shared" si="0"/>
        <v>External Dependency Management</v>
      </c>
      <c r="N23" s="184">
        <f>IF(ExtDep[[#This Row],[Y ,Y(C), N]]=yes,1,0)</f>
        <v>0</v>
      </c>
      <c r="O23" s="184">
        <f>IF(ExtDep[[#This Row],[Y ,Y(C), N]]=yesCC,1,0)</f>
        <v>0</v>
      </c>
      <c r="P23" s="184">
        <f>IF(ExtDep[[#This Row],[Y ,Y(C), N]]=no,1,0)</f>
        <v>0</v>
      </c>
      <c r="Q23" s="184">
        <f>IF(ExtDep[[#This Row],[Y ,Y(C), N]]=NotAvail,1,0)</f>
        <v>0</v>
      </c>
      <c r="R23" s="92"/>
    </row>
    <row r="24" spans="1:18" ht="30" x14ac:dyDescent="0.25">
      <c r="A24" s="86" t="s">
        <v>448</v>
      </c>
      <c r="B24" s="58" t="s">
        <v>448</v>
      </c>
      <c r="C24" s="86" t="s">
        <v>31</v>
      </c>
      <c r="D24" s="87"/>
      <c r="E24" s="58" t="s">
        <v>464</v>
      </c>
      <c r="F24" s="24"/>
      <c r="G24" s="237"/>
      <c r="H24" s="255" t="str">
        <f>IFERROR(HYPERLINK("#'Appendix A'!E"&amp;ROW(INDEX(Table23[DSorder],MATCH(ExtDep[[#This Row],[AppAref]],Table23[DSorder],0))),"GO"),"")</f>
        <v/>
      </c>
      <c r="I24" s="86" t="str">
        <f>ExtDep[[#This Row],[Component]]&amp;ExtDep[[#This Row],[Maturity Level]]</f>
        <v>ConnectionsInnovative</v>
      </c>
      <c r="J24" s="86" t="str">
        <f>ExtDep[[#This Row],[workArea]]&amp;ExtDep[[#This Row],[Y ,Y(C), N]]</f>
        <v>ConnectionsInnovative</v>
      </c>
      <c r="K24" s="184"/>
      <c r="L24" s="184"/>
      <c r="M24" s="184" t="str">
        <f t="shared" si="0"/>
        <v>External Dependency Management</v>
      </c>
      <c r="N24" s="184">
        <f>IF(ExtDep[[#This Row],[Y ,Y(C), N]]=yes,1,0)</f>
        <v>0</v>
      </c>
      <c r="O24" s="184">
        <f>IF(ExtDep[[#This Row],[Y ,Y(C), N]]=yesCC,1,0)</f>
        <v>0</v>
      </c>
      <c r="P24" s="184">
        <f>IF(ExtDep[[#This Row],[Y ,Y(C), N]]=no,1,0)</f>
        <v>0</v>
      </c>
      <c r="Q24" s="184">
        <f>IF(ExtDep[[#This Row],[Y ,Y(C), N]]=NotAvail,1,0)</f>
        <v>0</v>
      </c>
      <c r="R24" s="92"/>
    </row>
    <row r="25" spans="1:18" ht="60" x14ac:dyDescent="0.25">
      <c r="A25" s="58" t="s">
        <v>465</v>
      </c>
      <c r="B25" s="58" t="s">
        <v>466</v>
      </c>
      <c r="C25" s="86" t="s">
        <v>27</v>
      </c>
      <c r="D25" s="87"/>
      <c r="E25" s="58" t="s">
        <v>467</v>
      </c>
      <c r="F25"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69</v>
      </c>
      <c r="G25" s="237"/>
      <c r="H25" s="255" t="str">
        <f>IFERROR(HYPERLINK("#'Appendix A'!E"&amp;ROW(INDEX(Table23[DSorder],MATCH(ExtDep[[#This Row],[AppAref]],Table23[DSorder],0))),"GO"),"")</f>
        <v>GO</v>
      </c>
      <c r="I25" s="86" t="str">
        <f>ExtDep[[#This Row],[Component]]&amp;ExtDep[[#This Row],[Maturity Level]]</f>
        <v>Due DiligenceBaseline</v>
      </c>
      <c r="J25" s="86" t="str">
        <f>ExtDep[[#This Row],[workArea]]&amp;ExtDep[[#This Row],[Y ,Y(C), N]]</f>
        <v>Due DiligenceBaseline</v>
      </c>
      <c r="K25" s="184">
        <v>92</v>
      </c>
      <c r="L25" s="184">
        <f>IFERROR(MATCH(ExtDep[[#This Row],[Ref No.]],hyperlinkLU[Reference No.],0),ExtDep[[#This Row],[Ref No.]])</f>
        <v>93</v>
      </c>
      <c r="M25" s="184" t="str">
        <f t="shared" si="0"/>
        <v>External Dependency Management</v>
      </c>
      <c r="N25" s="184">
        <f>IF(ExtDep[[#This Row],[Y ,Y(C), N]]=yes,1,0)</f>
        <v>0</v>
      </c>
      <c r="O25" s="184">
        <f>IF(ExtDep[[#This Row],[Y ,Y(C), N]]=yesCC,1,0)</f>
        <v>0</v>
      </c>
      <c r="P25" s="184">
        <f>IF(ExtDep[[#This Row],[Y ,Y(C), N]]=no,1,0)</f>
        <v>0</v>
      </c>
      <c r="Q25" s="184">
        <f>IF(ExtDep[[#This Row],[Y ,Y(C), N]]=NotAvail,1,0)</f>
        <v>0</v>
      </c>
      <c r="R25" s="92">
        <v>95</v>
      </c>
    </row>
    <row r="26" spans="1:18" ht="30" x14ac:dyDescent="0.25">
      <c r="A26" s="58" t="s">
        <v>465</v>
      </c>
      <c r="B26" s="58" t="s">
        <v>466</v>
      </c>
      <c r="C26" s="86" t="s">
        <v>27</v>
      </c>
      <c r="D26" s="87"/>
      <c r="E26" s="58" t="s">
        <v>468</v>
      </c>
      <c r="F26"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19</v>
      </c>
      <c r="G26" s="237"/>
      <c r="H26" s="255" t="str">
        <f>IFERROR(HYPERLINK("#'Appendix A'!E"&amp;ROW(INDEX(Table23[DSorder],MATCH(ExtDep[[#This Row],[AppAref]],Table23[DSorder],0))),"GO"),"")</f>
        <v>GO</v>
      </c>
      <c r="I26" s="86" t="str">
        <f>ExtDep[[#This Row],[Component]]&amp;ExtDep[[#This Row],[Maturity Level]]</f>
        <v>Due DiligenceBaseline</v>
      </c>
      <c r="J26" s="86" t="str">
        <f>ExtDep[[#This Row],[workArea]]&amp;ExtDep[[#This Row],[Y ,Y(C), N]]</f>
        <v>Due DiligenceBaseline</v>
      </c>
      <c r="K26" s="184">
        <v>93</v>
      </c>
      <c r="L26" s="184">
        <f>IFERROR(MATCH(ExtDep[[#This Row],[Ref No.]],hyperlinkLU[Reference No.],0),ExtDep[[#This Row],[Ref No.]])</f>
        <v>94</v>
      </c>
      <c r="M26" s="184" t="str">
        <f t="shared" si="0"/>
        <v>External Dependency Management</v>
      </c>
      <c r="N26" s="184">
        <f>IF(ExtDep[[#This Row],[Y ,Y(C), N]]=yes,1,0)</f>
        <v>0</v>
      </c>
      <c r="O26" s="184">
        <f>IF(ExtDep[[#This Row],[Y ,Y(C), N]]=yesCC,1,0)</f>
        <v>0</v>
      </c>
      <c r="P26" s="184">
        <f>IF(ExtDep[[#This Row],[Y ,Y(C), N]]=no,1,0)</f>
        <v>0</v>
      </c>
      <c r="Q26" s="184">
        <f>IF(ExtDep[[#This Row],[Y ,Y(C), N]]=NotAvail,1,0)</f>
        <v>0</v>
      </c>
      <c r="R26" s="92">
        <v>96</v>
      </c>
    </row>
    <row r="27" spans="1:18" ht="30" customHeight="1" x14ac:dyDescent="0.25">
      <c r="A27" s="58" t="s">
        <v>465</v>
      </c>
      <c r="B27" s="58" t="s">
        <v>466</v>
      </c>
      <c r="C27" s="86" t="s">
        <v>27</v>
      </c>
      <c r="D27" s="87"/>
      <c r="E27" s="58" t="s">
        <v>469</v>
      </c>
      <c r="F27"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6</v>
      </c>
      <c r="G27" s="237"/>
      <c r="H27" s="255" t="str">
        <f>IFERROR(HYPERLINK("#'Appendix A'!E"&amp;ROW(INDEX(Table23[DSorder],MATCH(ExtDep[[#This Row],[AppAref]],Table23[DSorder],0))),"GO"),"")</f>
        <v>GO</v>
      </c>
      <c r="I27" s="86" t="str">
        <f>ExtDep[[#This Row],[Component]]&amp;ExtDep[[#This Row],[Maturity Level]]</f>
        <v>Due DiligenceBaseline</v>
      </c>
      <c r="J27" s="86" t="str">
        <f>ExtDep[[#This Row],[workArea]]&amp;ExtDep[[#This Row],[Y ,Y(C), N]]</f>
        <v>Due DiligenceBaseline</v>
      </c>
      <c r="K27" s="184">
        <v>94</v>
      </c>
      <c r="L27" s="184">
        <f>IFERROR(MATCH(ExtDep[[#This Row],[Ref No.]],hyperlinkLU[Reference No.],0),ExtDep[[#This Row],[Ref No.]])</f>
        <v>95</v>
      </c>
      <c r="M27" s="184" t="str">
        <f t="shared" si="0"/>
        <v>External Dependency Management</v>
      </c>
      <c r="N27" s="184">
        <f>IF(ExtDep[[#This Row],[Y ,Y(C), N]]=yes,1,0)</f>
        <v>0</v>
      </c>
      <c r="O27" s="184">
        <f>IF(ExtDep[[#This Row],[Y ,Y(C), N]]=yesCC,1,0)</f>
        <v>0</v>
      </c>
      <c r="P27" s="184">
        <f>IF(ExtDep[[#This Row],[Y ,Y(C), N]]=no,1,0)</f>
        <v>0</v>
      </c>
      <c r="Q27" s="184">
        <f>IF(ExtDep[[#This Row],[Y ,Y(C), N]]=NotAvail,1,0)</f>
        <v>0</v>
      </c>
      <c r="R27" s="92">
        <v>97</v>
      </c>
    </row>
    <row r="28" spans="1:18" ht="30" x14ac:dyDescent="0.25">
      <c r="A28" s="58" t="s">
        <v>465</v>
      </c>
      <c r="B28" s="58" t="s">
        <v>466</v>
      </c>
      <c r="C28" s="86" t="s">
        <v>28</v>
      </c>
      <c r="D28" s="87"/>
      <c r="E28" s="58" t="s">
        <v>470</v>
      </c>
      <c r="F28" s="24"/>
      <c r="G28" s="237"/>
      <c r="H28" s="255" t="str">
        <f>IFERROR(HYPERLINK("#'Appendix A'!E"&amp;ROW(INDEX(Table23[DSorder],MATCH(ExtDep[[#This Row],[AppAref]],Table23[DSorder],0))),"GO"),"")</f>
        <v/>
      </c>
      <c r="I28" s="86" t="str">
        <f>ExtDep[[#This Row],[Component]]&amp;ExtDep[[#This Row],[Maturity Level]]</f>
        <v>Due DiligenceEvolving</v>
      </c>
      <c r="J28" s="86" t="str">
        <f>ExtDep[[#This Row],[workArea]]&amp;ExtDep[[#This Row],[Y ,Y(C), N]]</f>
        <v>Due DiligenceEvolving</v>
      </c>
      <c r="K28" s="184"/>
      <c r="L28" s="184"/>
      <c r="M28" s="184" t="str">
        <f t="shared" si="0"/>
        <v>External Dependency Management</v>
      </c>
      <c r="N28" s="184">
        <f>IF(ExtDep[[#This Row],[Y ,Y(C), N]]=yes,1,0)</f>
        <v>0</v>
      </c>
      <c r="O28" s="184">
        <f>IF(ExtDep[[#This Row],[Y ,Y(C), N]]=yesCC,1,0)</f>
        <v>0</v>
      </c>
      <c r="P28" s="184">
        <f>IF(ExtDep[[#This Row],[Y ,Y(C), N]]=no,1,0)</f>
        <v>0</v>
      </c>
      <c r="Q28" s="184">
        <f>IF(ExtDep[[#This Row],[Y ,Y(C), N]]=NotAvail,1,0)</f>
        <v>0</v>
      </c>
      <c r="R28" s="92"/>
    </row>
    <row r="29" spans="1:18" ht="45" x14ac:dyDescent="0.25">
      <c r="A29" s="58" t="s">
        <v>465</v>
      </c>
      <c r="B29" s="58" t="s">
        <v>466</v>
      </c>
      <c r="C29" s="86" t="s">
        <v>28</v>
      </c>
      <c r="D29" s="87"/>
      <c r="E29" s="58" t="s">
        <v>471</v>
      </c>
      <c r="F29" s="24"/>
      <c r="G29" s="237"/>
      <c r="H29" s="255" t="str">
        <f>IFERROR(HYPERLINK("#'Appendix A'!E"&amp;ROW(INDEX(Table23[DSorder],MATCH(ExtDep[[#This Row],[AppAref]],Table23[DSorder],0))),"GO"),"")</f>
        <v/>
      </c>
      <c r="I29" s="86" t="str">
        <f>ExtDep[[#This Row],[Component]]&amp;ExtDep[[#This Row],[Maturity Level]]</f>
        <v>Due DiligenceEvolving</v>
      </c>
      <c r="J29" s="86" t="str">
        <f>ExtDep[[#This Row],[workArea]]&amp;ExtDep[[#This Row],[Y ,Y(C), N]]</f>
        <v>Due DiligenceEvolving</v>
      </c>
      <c r="K29" s="184"/>
      <c r="L29" s="184"/>
      <c r="M29" s="184" t="str">
        <f t="shared" si="0"/>
        <v>External Dependency Management</v>
      </c>
      <c r="N29" s="184">
        <f>IF(ExtDep[[#This Row],[Y ,Y(C), N]]=yes,1,0)</f>
        <v>0</v>
      </c>
      <c r="O29" s="184">
        <f>IF(ExtDep[[#This Row],[Y ,Y(C), N]]=yesCC,1,0)</f>
        <v>0</v>
      </c>
      <c r="P29" s="184">
        <f>IF(ExtDep[[#This Row],[Y ,Y(C), N]]=no,1,0)</f>
        <v>0</v>
      </c>
      <c r="Q29" s="184">
        <f>IF(ExtDep[[#This Row],[Y ,Y(C), N]]=NotAvail,1,0)</f>
        <v>0</v>
      </c>
      <c r="R29" s="92"/>
    </row>
    <row r="30" spans="1:18" ht="30" x14ac:dyDescent="0.25">
      <c r="A30" s="58" t="s">
        <v>465</v>
      </c>
      <c r="B30" s="58" t="s">
        <v>466</v>
      </c>
      <c r="C30" s="86" t="s">
        <v>29</v>
      </c>
      <c r="D30" s="87"/>
      <c r="E30" s="58" t="s">
        <v>472</v>
      </c>
      <c r="F30" s="24"/>
      <c r="G30" s="237"/>
      <c r="H30" s="255" t="str">
        <f>IFERROR(HYPERLINK("#'Appendix A'!E"&amp;ROW(INDEX(Table23[DSorder],MATCH(ExtDep[[#This Row],[AppAref]],Table23[DSorder],0))),"GO"),"")</f>
        <v/>
      </c>
      <c r="I30" s="92" t="str">
        <f>ExtDep[[#This Row],[Component]]&amp;ExtDep[[#This Row],[Maturity Level]]</f>
        <v>Due DiligenceIntermediate</v>
      </c>
      <c r="J30" s="92" t="str">
        <f>ExtDep[[#This Row],[workArea]]&amp;ExtDep[[#This Row],[Y ,Y(C), N]]</f>
        <v>Due DiligenceIntermediate</v>
      </c>
      <c r="K30" s="184"/>
      <c r="L30" s="184"/>
      <c r="M30" s="184" t="str">
        <f t="shared" si="0"/>
        <v>External Dependency Management</v>
      </c>
      <c r="N30" s="184">
        <f>IF(ExtDep[[#This Row],[Y ,Y(C), N]]=yes,1,0)</f>
        <v>0</v>
      </c>
      <c r="O30" s="184">
        <f>IF(ExtDep[[#This Row],[Y ,Y(C), N]]=yesCC,1,0)</f>
        <v>0</v>
      </c>
      <c r="P30" s="184">
        <f>IF(ExtDep[[#This Row],[Y ,Y(C), N]]=no,1,0)</f>
        <v>0</v>
      </c>
      <c r="Q30" s="184">
        <f>IF(ExtDep[[#This Row],[Y ,Y(C), N]]=NotAvail,1,0)</f>
        <v>0</v>
      </c>
      <c r="R30" s="92"/>
    </row>
    <row r="31" spans="1:18" ht="30" x14ac:dyDescent="0.25">
      <c r="A31" s="58" t="s">
        <v>465</v>
      </c>
      <c r="B31" s="58" t="s">
        <v>466</v>
      </c>
      <c r="C31" s="86" t="s">
        <v>29</v>
      </c>
      <c r="D31" s="87"/>
      <c r="E31" s="58" t="s">
        <v>473</v>
      </c>
      <c r="F31" s="24"/>
      <c r="G31" s="237"/>
      <c r="H31" s="255" t="str">
        <f>IFERROR(HYPERLINK("#'Appendix A'!E"&amp;ROW(INDEX(Table23[DSorder],MATCH(ExtDep[[#This Row],[AppAref]],Table23[DSorder],0))),"GO"),"")</f>
        <v/>
      </c>
      <c r="I31" s="92" t="str">
        <f>ExtDep[[#This Row],[Component]]&amp;ExtDep[[#This Row],[Maturity Level]]</f>
        <v>Due DiligenceIntermediate</v>
      </c>
      <c r="J31" s="92" t="str">
        <f>ExtDep[[#This Row],[workArea]]&amp;ExtDep[[#This Row],[Y ,Y(C), N]]</f>
        <v>Due DiligenceIntermediate</v>
      </c>
      <c r="K31" s="184"/>
      <c r="L31" s="184"/>
      <c r="M31" s="184" t="str">
        <f t="shared" si="0"/>
        <v>External Dependency Management</v>
      </c>
      <c r="N31" s="184">
        <f>IF(ExtDep[[#This Row],[Y ,Y(C), N]]=yes,1,0)</f>
        <v>0</v>
      </c>
      <c r="O31" s="184">
        <f>IF(ExtDep[[#This Row],[Y ,Y(C), N]]=yesCC,1,0)</f>
        <v>0</v>
      </c>
      <c r="P31" s="184">
        <f>IF(ExtDep[[#This Row],[Y ,Y(C), N]]=no,1,0)</f>
        <v>0</v>
      </c>
      <c r="Q31" s="184">
        <f>IF(ExtDep[[#This Row],[Y ,Y(C), N]]=NotAvail,1,0)</f>
        <v>0</v>
      </c>
      <c r="R31" s="92"/>
    </row>
    <row r="32" spans="1:18" ht="30" x14ac:dyDescent="0.25">
      <c r="A32" s="58" t="s">
        <v>465</v>
      </c>
      <c r="B32" s="58" t="s">
        <v>466</v>
      </c>
      <c r="C32" s="86" t="s">
        <v>30</v>
      </c>
      <c r="D32" s="87"/>
      <c r="E32" s="58" t="s">
        <v>474</v>
      </c>
      <c r="F32" s="24"/>
      <c r="G32" s="237"/>
      <c r="H32" s="255" t="str">
        <f>IFERROR(HYPERLINK("#'Appendix A'!E"&amp;ROW(INDEX(Table23[DSorder],MATCH(ExtDep[[#This Row],[AppAref]],Table23[DSorder],0))),"GO"),"")</f>
        <v/>
      </c>
      <c r="I32" s="92" t="str">
        <f>ExtDep[[#This Row],[Component]]&amp;ExtDep[[#This Row],[Maturity Level]]</f>
        <v>Due DiligenceAdvanced</v>
      </c>
      <c r="J32" s="92" t="str">
        <f>ExtDep[[#This Row],[workArea]]&amp;ExtDep[[#This Row],[Y ,Y(C), N]]</f>
        <v>Due DiligenceAdvanced</v>
      </c>
      <c r="K32" s="184"/>
      <c r="L32" s="184"/>
      <c r="M32" s="184" t="str">
        <f t="shared" si="0"/>
        <v>External Dependency Management</v>
      </c>
      <c r="N32" s="184">
        <f>IF(ExtDep[[#This Row],[Y ,Y(C), N]]=yes,1,0)</f>
        <v>0</v>
      </c>
      <c r="O32" s="184">
        <f>IF(ExtDep[[#This Row],[Y ,Y(C), N]]=yesCC,1,0)</f>
        <v>0</v>
      </c>
      <c r="P32" s="184">
        <f>IF(ExtDep[[#This Row],[Y ,Y(C), N]]=no,1,0)</f>
        <v>0</v>
      </c>
      <c r="Q32" s="184">
        <f>IF(ExtDep[[#This Row],[Y ,Y(C), N]]=NotAvail,1,0)</f>
        <v>0</v>
      </c>
      <c r="R32" s="92"/>
    </row>
    <row r="33" spans="1:18" x14ac:dyDescent="0.25">
      <c r="A33" s="58" t="s">
        <v>465</v>
      </c>
      <c r="B33" s="58" t="s">
        <v>466</v>
      </c>
      <c r="C33" s="86" t="s">
        <v>30</v>
      </c>
      <c r="D33" s="87"/>
      <c r="E33" s="58" t="s">
        <v>475</v>
      </c>
      <c r="F33" s="24"/>
      <c r="G33" s="237"/>
      <c r="H33" s="255" t="str">
        <f>IFERROR(HYPERLINK("#'Appendix A'!E"&amp;ROW(INDEX(Table23[DSorder],MATCH(ExtDep[[#This Row],[AppAref]],Table23[DSorder],0))),"GO"),"")</f>
        <v/>
      </c>
      <c r="I33" s="92" t="str">
        <f>ExtDep[[#This Row],[Component]]&amp;ExtDep[[#This Row],[Maturity Level]]</f>
        <v>Due DiligenceAdvanced</v>
      </c>
      <c r="J33" s="92" t="str">
        <f>ExtDep[[#This Row],[workArea]]&amp;ExtDep[[#This Row],[Y ,Y(C), N]]</f>
        <v>Due DiligenceAdvanced</v>
      </c>
      <c r="K33" s="184"/>
      <c r="L33" s="184"/>
      <c r="M33" s="184" t="str">
        <f t="shared" si="0"/>
        <v>External Dependency Management</v>
      </c>
      <c r="N33" s="184">
        <f>IF(ExtDep[[#This Row],[Y ,Y(C), N]]=yes,1,0)</f>
        <v>0</v>
      </c>
      <c r="O33" s="184">
        <f>IF(ExtDep[[#This Row],[Y ,Y(C), N]]=yesCC,1,0)</f>
        <v>0</v>
      </c>
      <c r="P33" s="184">
        <f>IF(ExtDep[[#This Row],[Y ,Y(C), N]]=no,1,0)</f>
        <v>0</v>
      </c>
      <c r="Q33" s="184">
        <f>IF(ExtDep[[#This Row],[Y ,Y(C), N]]=NotAvail,1,0)</f>
        <v>0</v>
      </c>
      <c r="R33" s="92"/>
    </row>
    <row r="34" spans="1:18" ht="30" x14ac:dyDescent="0.25">
      <c r="A34" s="58" t="s">
        <v>465</v>
      </c>
      <c r="B34" s="58" t="s">
        <v>466</v>
      </c>
      <c r="C34" s="86" t="s">
        <v>31</v>
      </c>
      <c r="D34" s="87"/>
      <c r="E34" s="58" t="s">
        <v>476</v>
      </c>
      <c r="F34" s="24"/>
      <c r="G34" s="237"/>
      <c r="H34" s="255" t="str">
        <f>IFERROR(HYPERLINK("#'Appendix A'!E"&amp;ROW(INDEX(Table23[DSorder],MATCH(ExtDep[[#This Row],[AppAref]],Table23[DSorder],0))),"GO"),"")</f>
        <v/>
      </c>
      <c r="I34" s="92" t="str">
        <f>ExtDep[[#This Row],[Component]]&amp;ExtDep[[#This Row],[Maturity Level]]</f>
        <v>Due DiligenceInnovative</v>
      </c>
      <c r="J34" s="92" t="str">
        <f>ExtDep[[#This Row],[workArea]]&amp;ExtDep[[#This Row],[Y ,Y(C), N]]</f>
        <v>Due DiligenceInnovative</v>
      </c>
      <c r="K34" s="184"/>
      <c r="L34" s="184"/>
      <c r="M34" s="184" t="str">
        <f t="shared" si="0"/>
        <v>External Dependency Management</v>
      </c>
      <c r="N34" s="184">
        <f>IF(ExtDep[[#This Row],[Y ,Y(C), N]]=yes,1,0)</f>
        <v>0</v>
      </c>
      <c r="O34" s="184">
        <f>IF(ExtDep[[#This Row],[Y ,Y(C), N]]=yesCC,1,0)</f>
        <v>0</v>
      </c>
      <c r="P34" s="184">
        <f>IF(ExtDep[[#This Row],[Y ,Y(C), N]]=no,1,0)</f>
        <v>0</v>
      </c>
      <c r="Q34" s="184">
        <f>IF(ExtDep[[#This Row],[Y ,Y(C), N]]=NotAvail,1,0)</f>
        <v>0</v>
      </c>
      <c r="R34" s="92"/>
    </row>
    <row r="35" spans="1:18" ht="45" x14ac:dyDescent="0.25">
      <c r="A35" s="58" t="s">
        <v>465</v>
      </c>
      <c r="B35" s="58" t="s">
        <v>466</v>
      </c>
      <c r="C35" s="86" t="s">
        <v>31</v>
      </c>
      <c r="D35" s="87"/>
      <c r="E35" s="58" t="s">
        <v>477</v>
      </c>
      <c r="F35" s="24"/>
      <c r="G35" s="237"/>
      <c r="H35" s="255" t="str">
        <f>IFERROR(HYPERLINK("#'Appendix A'!E"&amp;ROW(INDEX(Table23[DSorder],MATCH(ExtDep[[#This Row],[AppAref]],Table23[DSorder],0))),"GO"),"")</f>
        <v/>
      </c>
      <c r="I35" s="92" t="str">
        <f>ExtDep[[#This Row],[Component]]&amp;ExtDep[[#This Row],[Maturity Level]]</f>
        <v>Due DiligenceInnovative</v>
      </c>
      <c r="J35" s="92" t="str">
        <f>ExtDep[[#This Row],[workArea]]&amp;ExtDep[[#This Row],[Y ,Y(C), N]]</f>
        <v>Due DiligenceInnovative</v>
      </c>
      <c r="K35" s="184"/>
      <c r="L35" s="184"/>
      <c r="M35" s="184" t="str">
        <f t="shared" si="0"/>
        <v>External Dependency Management</v>
      </c>
      <c r="N35" s="184">
        <f>IF(ExtDep[[#This Row],[Y ,Y(C), N]]=yes,1,0)</f>
        <v>0</v>
      </c>
      <c r="O35" s="184">
        <f>IF(ExtDep[[#This Row],[Y ,Y(C), N]]=yesCC,1,0)</f>
        <v>0</v>
      </c>
      <c r="P35" s="184">
        <f>IF(ExtDep[[#This Row],[Y ,Y(C), N]]=no,1,0)</f>
        <v>0</v>
      </c>
      <c r="Q35" s="184">
        <f>IF(ExtDep[[#This Row],[Y ,Y(C), N]]=NotAvail,1,0)</f>
        <v>0</v>
      </c>
      <c r="R35" s="92"/>
    </row>
    <row r="36" spans="1:18" ht="45" x14ac:dyDescent="0.25">
      <c r="A36" s="86" t="s">
        <v>465</v>
      </c>
      <c r="B36" s="86" t="s">
        <v>478</v>
      </c>
      <c r="C36" s="86" t="s">
        <v>27</v>
      </c>
      <c r="D36" s="87"/>
      <c r="E36" s="58" t="s">
        <v>479</v>
      </c>
      <c r="F36"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7</v>
      </c>
      <c r="G36" s="237"/>
      <c r="H36" s="255" t="str">
        <f>IFERROR(HYPERLINK("#'Appendix A'!E"&amp;ROW(INDEX(Table23[DSorder],MATCH(ExtDep[[#This Row],[AppAref]],Table23[DSorder],0))),"GO"),"")</f>
        <v>GO</v>
      </c>
      <c r="I36" s="92" t="str">
        <f>ExtDep[[#This Row],[Component]]&amp;ExtDep[[#This Row],[Maturity Level]]</f>
        <v>ContractsBaseline</v>
      </c>
      <c r="J36" s="92" t="str">
        <f>ExtDep[[#This Row],[workArea]]&amp;ExtDep[[#This Row],[Y ,Y(C), N]]</f>
        <v>ContractsBaseline</v>
      </c>
      <c r="K36" s="184">
        <v>95</v>
      </c>
      <c r="L36" s="184">
        <f>IFERROR(MATCH(ExtDep[[#This Row],[Ref No.]],hyperlinkLU[Reference No.],0),ExtDep[[#This Row],[Ref No.]])</f>
        <v>96</v>
      </c>
      <c r="M36" s="184" t="str">
        <f t="shared" si="0"/>
        <v>External Dependency Management</v>
      </c>
      <c r="N36" s="184">
        <f>IF(ExtDep[[#This Row],[Y ,Y(C), N]]=yes,1,0)</f>
        <v>0</v>
      </c>
      <c r="O36" s="184">
        <f>IF(ExtDep[[#This Row],[Y ,Y(C), N]]=yesCC,1,0)</f>
        <v>0</v>
      </c>
      <c r="P36" s="184">
        <f>IF(ExtDep[[#This Row],[Y ,Y(C), N]]=no,1,0)</f>
        <v>0</v>
      </c>
      <c r="Q36" s="184">
        <f>IF(ExtDep[[#This Row],[Y ,Y(C), N]]=NotAvail,1,0)</f>
        <v>0</v>
      </c>
      <c r="R36" s="92">
        <v>98</v>
      </c>
    </row>
    <row r="37" spans="1:18" ht="45" x14ac:dyDescent="0.25">
      <c r="A37" s="86" t="s">
        <v>465</v>
      </c>
      <c r="B37" s="86" t="s">
        <v>478</v>
      </c>
      <c r="C37" s="86" t="s">
        <v>27</v>
      </c>
      <c r="D37" s="87"/>
      <c r="E37" s="58" t="s">
        <v>480</v>
      </c>
      <c r="F37"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12</v>
      </c>
      <c r="G37" s="237"/>
      <c r="H37" s="255" t="str">
        <f>IFERROR(HYPERLINK("#'Appendix A'!E"&amp;ROW(INDEX(Table23[DSorder],MATCH(ExtDep[[#This Row],[AppAref]],Table23[DSorder],0))),"GO"),"")</f>
        <v>GO</v>
      </c>
      <c r="I37" s="92" t="str">
        <f>ExtDep[[#This Row],[Component]]&amp;ExtDep[[#This Row],[Maturity Level]]</f>
        <v>ContractsBaseline</v>
      </c>
      <c r="J37" s="92" t="str">
        <f>ExtDep[[#This Row],[workArea]]&amp;ExtDep[[#This Row],[Y ,Y(C), N]]</f>
        <v>ContractsBaseline</v>
      </c>
      <c r="K37" s="184">
        <v>96</v>
      </c>
      <c r="L37" s="184">
        <f>IFERROR(MATCH(ExtDep[[#This Row],[Ref No.]],hyperlinkLU[Reference No.],0),ExtDep[[#This Row],[Ref No.]])</f>
        <v>97</v>
      </c>
      <c r="M37" s="184" t="str">
        <f t="shared" si="0"/>
        <v>External Dependency Management</v>
      </c>
      <c r="N37" s="184">
        <f>IF(ExtDep[[#This Row],[Y ,Y(C), N]]=yes,1,0)</f>
        <v>0</v>
      </c>
      <c r="O37" s="184">
        <f>IF(ExtDep[[#This Row],[Y ,Y(C), N]]=yesCC,1,0)</f>
        <v>0</v>
      </c>
      <c r="P37" s="184">
        <f>IF(ExtDep[[#This Row],[Y ,Y(C), N]]=no,1,0)</f>
        <v>0</v>
      </c>
      <c r="Q37" s="184">
        <f>IF(ExtDep[[#This Row],[Y ,Y(C), N]]=NotAvail,1,0)</f>
        <v>0</v>
      </c>
      <c r="R37" s="92">
        <v>99</v>
      </c>
    </row>
    <row r="38" spans="1:18" ht="45" x14ac:dyDescent="0.25">
      <c r="A38" s="86" t="s">
        <v>465</v>
      </c>
      <c r="B38" s="86" t="s">
        <v>478</v>
      </c>
      <c r="C38" s="86" t="s">
        <v>27</v>
      </c>
      <c r="D38" s="87"/>
      <c r="E38" s="58" t="s">
        <v>481</v>
      </c>
      <c r="F38"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12</v>
      </c>
      <c r="G38" s="237"/>
      <c r="H38" s="255" t="str">
        <f>IFERROR(HYPERLINK("#'Appendix A'!E"&amp;ROW(INDEX(Table23[DSorder],MATCH(ExtDep[[#This Row],[AppAref]],Table23[DSorder],0))),"GO"),"")</f>
        <v>GO</v>
      </c>
      <c r="I38" s="92" t="str">
        <f>ExtDep[[#This Row],[Component]]&amp;ExtDep[[#This Row],[Maturity Level]]</f>
        <v>ContractsBaseline</v>
      </c>
      <c r="J38" s="92" t="str">
        <f>ExtDep[[#This Row],[workArea]]&amp;ExtDep[[#This Row],[Y ,Y(C), N]]</f>
        <v>ContractsBaseline</v>
      </c>
      <c r="K38" s="184">
        <v>97</v>
      </c>
      <c r="L38" s="184">
        <f>IFERROR(MATCH(ExtDep[[#This Row],[Ref No.]],hyperlinkLU[Reference No.],0),ExtDep[[#This Row],[Ref No.]])</f>
        <v>98</v>
      </c>
      <c r="M38" s="184" t="str">
        <f t="shared" si="0"/>
        <v>External Dependency Management</v>
      </c>
      <c r="N38" s="184">
        <f>IF(ExtDep[[#This Row],[Y ,Y(C), N]]=yes,1,0)</f>
        <v>0</v>
      </c>
      <c r="O38" s="184">
        <f>IF(ExtDep[[#This Row],[Y ,Y(C), N]]=yesCC,1,0)</f>
        <v>0</v>
      </c>
      <c r="P38" s="184">
        <f>IF(ExtDep[[#This Row],[Y ,Y(C), N]]=no,1,0)</f>
        <v>0</v>
      </c>
      <c r="Q38" s="184">
        <f>IF(ExtDep[[#This Row],[Y ,Y(C), N]]=NotAvail,1,0)</f>
        <v>0</v>
      </c>
      <c r="R38" s="92">
        <v>100</v>
      </c>
    </row>
    <row r="39" spans="1:18" ht="30" x14ac:dyDescent="0.25">
      <c r="A39" s="86" t="s">
        <v>465</v>
      </c>
      <c r="B39" s="86" t="s">
        <v>478</v>
      </c>
      <c r="C39" s="86" t="s">
        <v>27</v>
      </c>
      <c r="D39" s="87"/>
      <c r="E39" s="58" t="s">
        <v>482</v>
      </c>
      <c r="F39"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12</v>
      </c>
      <c r="G39" s="237"/>
      <c r="H39" s="255" t="str">
        <f>IFERROR(HYPERLINK("#'Appendix A'!E"&amp;ROW(INDEX(Table23[DSorder],MATCH(ExtDep[[#This Row],[AppAref]],Table23[DSorder],0))),"GO"),"")</f>
        <v>GO</v>
      </c>
      <c r="I39" s="92" t="str">
        <f>ExtDep[[#This Row],[Component]]&amp;ExtDep[[#This Row],[Maturity Level]]</f>
        <v>ContractsBaseline</v>
      </c>
      <c r="J39" s="92" t="str">
        <f>ExtDep[[#This Row],[workArea]]&amp;ExtDep[[#This Row],[Y ,Y(C), N]]</f>
        <v>ContractsBaseline</v>
      </c>
      <c r="K39" s="184">
        <v>98</v>
      </c>
      <c r="L39" s="184">
        <f>IFERROR(MATCH(ExtDep[[#This Row],[Ref No.]],hyperlinkLU[Reference No.],0),ExtDep[[#This Row],[Ref No.]])</f>
        <v>99</v>
      </c>
      <c r="M39" s="184" t="str">
        <f t="shared" si="0"/>
        <v>External Dependency Management</v>
      </c>
      <c r="N39" s="184">
        <f>IF(ExtDep[[#This Row],[Y ,Y(C), N]]=yes,1,0)</f>
        <v>0</v>
      </c>
      <c r="O39" s="184">
        <f>IF(ExtDep[[#This Row],[Y ,Y(C), N]]=yesCC,1,0)</f>
        <v>0</v>
      </c>
      <c r="P39" s="184">
        <f>IF(ExtDep[[#This Row],[Y ,Y(C), N]]=no,1,0)</f>
        <v>0</v>
      </c>
      <c r="Q39" s="184">
        <f>IF(ExtDep[[#This Row],[Y ,Y(C), N]]=NotAvail,1,0)</f>
        <v>0</v>
      </c>
      <c r="R39" s="92">
        <v>101</v>
      </c>
    </row>
    <row r="40" spans="1:18" ht="30" x14ac:dyDescent="0.25">
      <c r="A40" s="86" t="s">
        <v>465</v>
      </c>
      <c r="B40" s="86" t="s">
        <v>478</v>
      </c>
      <c r="C40" s="86" t="s">
        <v>27</v>
      </c>
      <c r="D40" s="87"/>
      <c r="E40" s="58" t="s">
        <v>483</v>
      </c>
      <c r="F40"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E-Banking Booklet, page 22</v>
      </c>
      <c r="G40" s="237"/>
      <c r="H40" s="255" t="str">
        <f>IFERROR(HYPERLINK("#'Appendix A'!E"&amp;ROW(INDEX(Table23[DSorder],MATCH(ExtDep[[#This Row],[AppAref]],Table23[DSorder],0))),"GO"),"")</f>
        <v>GO</v>
      </c>
      <c r="I40" s="92" t="str">
        <f>ExtDep[[#This Row],[Component]]&amp;ExtDep[[#This Row],[Maturity Level]]</f>
        <v>ContractsBaseline</v>
      </c>
      <c r="J40" s="92" t="str">
        <f>ExtDep[[#This Row],[workArea]]&amp;ExtDep[[#This Row],[Y ,Y(C), N]]</f>
        <v>ContractsBaseline</v>
      </c>
      <c r="K40" s="184">
        <v>99</v>
      </c>
      <c r="L40" s="184">
        <f>IFERROR(MATCH(ExtDep[[#This Row],[Ref No.]],hyperlinkLU[Reference No.],0),ExtDep[[#This Row],[Ref No.]])</f>
        <v>100</v>
      </c>
      <c r="M40" s="184" t="str">
        <f t="shared" si="0"/>
        <v>External Dependency Management</v>
      </c>
      <c r="N40" s="184">
        <f>IF(ExtDep[[#This Row],[Y ,Y(C), N]]=yes,1,0)</f>
        <v>0</v>
      </c>
      <c r="O40" s="184">
        <f>IF(ExtDep[[#This Row],[Y ,Y(C), N]]=yesCC,1,0)</f>
        <v>0</v>
      </c>
      <c r="P40" s="184">
        <f>IF(ExtDep[[#This Row],[Y ,Y(C), N]]=no,1,0)</f>
        <v>0</v>
      </c>
      <c r="Q40" s="184">
        <f>IF(ExtDep[[#This Row],[Y ,Y(C), N]]=NotAvail,1,0)</f>
        <v>0</v>
      </c>
      <c r="R40" s="92">
        <v>102</v>
      </c>
    </row>
    <row r="41" spans="1:18" ht="30" x14ac:dyDescent="0.25">
      <c r="A41" s="86" t="s">
        <v>465</v>
      </c>
      <c r="B41" s="86" t="s">
        <v>478</v>
      </c>
      <c r="C41" s="86" t="s">
        <v>27</v>
      </c>
      <c r="D41" s="87"/>
      <c r="E41" s="58" t="s">
        <v>484</v>
      </c>
      <c r="F41"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15</v>
      </c>
      <c r="G41" s="237"/>
      <c r="H41" s="255" t="str">
        <f>IFERROR(HYPERLINK("#'Appendix A'!E"&amp;ROW(INDEX(Table23[DSorder],MATCH(ExtDep[[#This Row],[AppAref]],Table23[DSorder],0))),"GO"),"")</f>
        <v>GO</v>
      </c>
      <c r="I41" s="92" t="str">
        <f>ExtDep[[#This Row],[Component]]&amp;ExtDep[[#This Row],[Maturity Level]]</f>
        <v>ContractsBaseline</v>
      </c>
      <c r="J41" s="92" t="str">
        <f>ExtDep[[#This Row],[workArea]]&amp;ExtDep[[#This Row],[Y ,Y(C), N]]</f>
        <v>ContractsBaseline</v>
      </c>
      <c r="K41" s="184">
        <v>100</v>
      </c>
      <c r="L41" s="184">
        <f>IFERROR(MATCH(ExtDep[[#This Row],[Ref No.]],hyperlinkLU[Reference No.],0),ExtDep[[#This Row],[Ref No.]])</f>
        <v>101</v>
      </c>
      <c r="M41" s="184" t="str">
        <f t="shared" ref="M41:M59" si="1">TRIM(MID($A$5,FIND(":",$A$5)+2,LEN($A$5)))</f>
        <v>External Dependency Management</v>
      </c>
      <c r="N41" s="184">
        <f>IF(ExtDep[[#This Row],[Y ,Y(C), N]]=yes,1,0)</f>
        <v>0</v>
      </c>
      <c r="O41" s="184">
        <f>IF(ExtDep[[#This Row],[Y ,Y(C), N]]=yesCC,1,0)</f>
        <v>0</v>
      </c>
      <c r="P41" s="184">
        <f>IF(ExtDep[[#This Row],[Y ,Y(C), N]]=no,1,0)</f>
        <v>0</v>
      </c>
      <c r="Q41" s="184">
        <f>IF(ExtDep[[#This Row],[Y ,Y(C), N]]=NotAvail,1,0)</f>
        <v>0</v>
      </c>
      <c r="R41" s="92">
        <v>103</v>
      </c>
    </row>
    <row r="42" spans="1:18" ht="30" x14ac:dyDescent="0.25">
      <c r="A42" s="86" t="s">
        <v>465</v>
      </c>
      <c r="B42" s="86" t="s">
        <v>478</v>
      </c>
      <c r="C42" s="86" t="s">
        <v>28</v>
      </c>
      <c r="D42" s="87"/>
      <c r="E42" s="58" t="s">
        <v>485</v>
      </c>
      <c r="F42" s="24"/>
      <c r="G42" s="237"/>
      <c r="H42" s="255" t="str">
        <f>IFERROR(HYPERLINK("#'Appendix A'!E"&amp;ROW(INDEX(Table23[DSorder],MATCH(ExtDep[[#This Row],[AppAref]],Table23[DSorder],0))),"GO"),"")</f>
        <v/>
      </c>
      <c r="I42" s="92" t="str">
        <f>ExtDep[[#This Row],[Component]]&amp;ExtDep[[#This Row],[Maturity Level]]</f>
        <v>ContractsEvolving</v>
      </c>
      <c r="J42" s="92" t="str">
        <f>ExtDep[[#This Row],[workArea]]&amp;ExtDep[[#This Row],[Y ,Y(C), N]]</f>
        <v>ContractsEvolving</v>
      </c>
      <c r="K42" s="184"/>
      <c r="L42" s="184"/>
      <c r="M42" s="184" t="str">
        <f t="shared" si="1"/>
        <v>External Dependency Management</v>
      </c>
      <c r="N42" s="184">
        <f>IF(ExtDep[[#This Row],[Y ,Y(C), N]]=yes,1,0)</f>
        <v>0</v>
      </c>
      <c r="O42" s="184">
        <f>IF(ExtDep[[#This Row],[Y ,Y(C), N]]=yesCC,1,0)</f>
        <v>0</v>
      </c>
      <c r="P42" s="184">
        <f>IF(ExtDep[[#This Row],[Y ,Y(C), N]]=no,1,0)</f>
        <v>0</v>
      </c>
      <c r="Q42" s="184">
        <f>IF(ExtDep[[#This Row],[Y ,Y(C), N]]=NotAvail,1,0)</f>
        <v>0</v>
      </c>
      <c r="R42" s="92"/>
    </row>
    <row r="43" spans="1:18" ht="30" x14ac:dyDescent="0.25">
      <c r="A43" s="86" t="s">
        <v>465</v>
      </c>
      <c r="B43" s="86" t="s">
        <v>478</v>
      </c>
      <c r="C43" s="86" t="s">
        <v>28</v>
      </c>
      <c r="D43" s="87"/>
      <c r="E43" s="58" t="s">
        <v>486</v>
      </c>
      <c r="F43" s="24"/>
      <c r="G43" s="237"/>
      <c r="H43" s="255" t="str">
        <f>IFERROR(HYPERLINK("#'Appendix A'!E"&amp;ROW(INDEX(Table23[DSorder],MATCH(ExtDep[[#This Row],[AppAref]],Table23[DSorder],0))),"GO"),"")</f>
        <v/>
      </c>
      <c r="I43" s="92" t="str">
        <f>ExtDep[[#This Row],[Component]]&amp;ExtDep[[#This Row],[Maturity Level]]</f>
        <v>ContractsEvolving</v>
      </c>
      <c r="J43" s="92" t="str">
        <f>ExtDep[[#This Row],[workArea]]&amp;ExtDep[[#This Row],[Y ,Y(C), N]]</f>
        <v>ContractsEvolving</v>
      </c>
      <c r="K43" s="184"/>
      <c r="L43" s="184"/>
      <c r="M43" s="184" t="str">
        <f t="shared" si="1"/>
        <v>External Dependency Management</v>
      </c>
      <c r="N43" s="184">
        <f>IF(ExtDep[[#This Row],[Y ,Y(C), N]]=yes,1,0)</f>
        <v>0</v>
      </c>
      <c r="O43" s="184">
        <f>IF(ExtDep[[#This Row],[Y ,Y(C), N]]=yesCC,1,0)</f>
        <v>0</v>
      </c>
      <c r="P43" s="184">
        <f>IF(ExtDep[[#This Row],[Y ,Y(C), N]]=no,1,0)</f>
        <v>0</v>
      </c>
      <c r="Q43" s="184">
        <f>IF(ExtDep[[#This Row],[Y ,Y(C), N]]=NotAvail,1,0)</f>
        <v>0</v>
      </c>
      <c r="R43" s="92"/>
    </row>
    <row r="44" spans="1:18" x14ac:dyDescent="0.25">
      <c r="A44" s="86" t="s">
        <v>465</v>
      </c>
      <c r="B44" s="86" t="s">
        <v>478</v>
      </c>
      <c r="C44" s="86" t="s">
        <v>28</v>
      </c>
      <c r="D44" s="87"/>
      <c r="E44" s="58" t="s">
        <v>487</v>
      </c>
      <c r="F44" s="24"/>
      <c r="G44" s="237"/>
      <c r="H44" s="255" t="str">
        <f>IFERROR(HYPERLINK("#'Appendix A'!E"&amp;ROW(INDEX(Table23[DSorder],MATCH(ExtDep[[#This Row],[AppAref]],Table23[DSorder],0))),"GO"),"")</f>
        <v/>
      </c>
      <c r="I44" s="92" t="str">
        <f>ExtDep[[#This Row],[Component]]&amp;ExtDep[[#This Row],[Maturity Level]]</f>
        <v>ContractsEvolving</v>
      </c>
      <c r="J44" s="92" t="str">
        <f>ExtDep[[#This Row],[workArea]]&amp;ExtDep[[#This Row],[Y ,Y(C), N]]</f>
        <v>ContractsEvolving</v>
      </c>
      <c r="K44" s="184"/>
      <c r="L44" s="184"/>
      <c r="M44" s="184" t="str">
        <f t="shared" si="1"/>
        <v>External Dependency Management</v>
      </c>
      <c r="N44" s="184">
        <f>IF(ExtDep[[#This Row],[Y ,Y(C), N]]=yes,1,0)</f>
        <v>0</v>
      </c>
      <c r="O44" s="184">
        <f>IF(ExtDep[[#This Row],[Y ,Y(C), N]]=yesCC,1,0)</f>
        <v>0</v>
      </c>
      <c r="P44" s="184">
        <f>IF(ExtDep[[#This Row],[Y ,Y(C), N]]=no,1,0)</f>
        <v>0</v>
      </c>
      <c r="Q44" s="184">
        <f>IF(ExtDep[[#This Row],[Y ,Y(C), N]]=NotAvail,1,0)</f>
        <v>0</v>
      </c>
      <c r="R44" s="92"/>
    </row>
    <row r="45" spans="1:18" ht="30" x14ac:dyDescent="0.25">
      <c r="A45" s="86" t="s">
        <v>465</v>
      </c>
      <c r="B45" s="86" t="s">
        <v>478</v>
      </c>
      <c r="C45" s="86" t="s">
        <v>29</v>
      </c>
      <c r="D45" s="87"/>
      <c r="E45" s="58" t="s">
        <v>488</v>
      </c>
      <c r="F45" s="24"/>
      <c r="G45" s="237"/>
      <c r="H45" s="255" t="str">
        <f>IFERROR(HYPERLINK("#'Appendix A'!E"&amp;ROW(INDEX(Table23[DSorder],MATCH(ExtDep[[#This Row],[AppAref]],Table23[DSorder],0))),"GO"),"")</f>
        <v/>
      </c>
      <c r="I45" s="92" t="str">
        <f>ExtDep[[#This Row],[Component]]&amp;ExtDep[[#This Row],[Maturity Level]]</f>
        <v>ContractsIntermediate</v>
      </c>
      <c r="J45" s="92" t="str">
        <f>ExtDep[[#This Row],[workArea]]&amp;ExtDep[[#This Row],[Y ,Y(C), N]]</f>
        <v>ContractsIntermediate</v>
      </c>
      <c r="K45" s="184"/>
      <c r="L45" s="184"/>
      <c r="M45" s="184" t="str">
        <f t="shared" si="1"/>
        <v>External Dependency Management</v>
      </c>
      <c r="N45" s="184">
        <f>IF(ExtDep[[#This Row],[Y ,Y(C), N]]=yes,1,0)</f>
        <v>0</v>
      </c>
      <c r="O45" s="184">
        <f>IF(ExtDep[[#This Row],[Y ,Y(C), N]]=yesCC,1,0)</f>
        <v>0</v>
      </c>
      <c r="P45" s="184">
        <f>IF(ExtDep[[#This Row],[Y ,Y(C), N]]=no,1,0)</f>
        <v>0</v>
      </c>
      <c r="Q45" s="184">
        <f>IF(ExtDep[[#This Row],[Y ,Y(C), N]]=NotAvail,1,0)</f>
        <v>0</v>
      </c>
      <c r="R45" s="92"/>
    </row>
    <row r="46" spans="1:18" ht="30" x14ac:dyDescent="0.25">
      <c r="A46" s="86" t="s">
        <v>465</v>
      </c>
      <c r="B46" s="86" t="s">
        <v>478</v>
      </c>
      <c r="C46" s="86" t="s">
        <v>30</v>
      </c>
      <c r="D46" s="87"/>
      <c r="E46" s="58" t="s">
        <v>489</v>
      </c>
      <c r="F46" s="24"/>
      <c r="G46" s="237"/>
      <c r="H46" s="255" t="str">
        <f>IFERROR(HYPERLINK("#'Appendix A'!E"&amp;ROW(INDEX(Table23[DSorder],MATCH(ExtDep[[#This Row],[AppAref]],Table23[DSorder],0))),"GO"),"")</f>
        <v/>
      </c>
      <c r="I46" s="92" t="str">
        <f>ExtDep[[#This Row],[Component]]&amp;ExtDep[[#This Row],[Maturity Level]]</f>
        <v>ContractsAdvanced</v>
      </c>
      <c r="J46" s="92" t="str">
        <f>ExtDep[[#This Row],[workArea]]&amp;ExtDep[[#This Row],[Y ,Y(C), N]]</f>
        <v>ContractsAdvanced</v>
      </c>
      <c r="K46" s="184"/>
      <c r="L46" s="184"/>
      <c r="M46" s="184" t="str">
        <f t="shared" si="1"/>
        <v>External Dependency Management</v>
      </c>
      <c r="N46" s="184">
        <f>IF(ExtDep[[#This Row],[Y ,Y(C), N]]=yes,1,0)</f>
        <v>0</v>
      </c>
      <c r="O46" s="184">
        <f>IF(ExtDep[[#This Row],[Y ,Y(C), N]]=yesCC,1,0)</f>
        <v>0</v>
      </c>
      <c r="P46" s="184">
        <f>IF(ExtDep[[#This Row],[Y ,Y(C), N]]=no,1,0)</f>
        <v>0</v>
      </c>
      <c r="Q46" s="184">
        <f>IF(ExtDep[[#This Row],[Y ,Y(C), N]]=NotAvail,1,0)</f>
        <v>0</v>
      </c>
      <c r="R46" s="92"/>
    </row>
    <row r="47" spans="1:18" ht="30" x14ac:dyDescent="0.25">
      <c r="A47" s="86" t="s">
        <v>465</v>
      </c>
      <c r="B47" s="86" t="s">
        <v>478</v>
      </c>
      <c r="C47" s="86" t="s">
        <v>30</v>
      </c>
      <c r="D47" s="87"/>
      <c r="E47" s="58" t="s">
        <v>490</v>
      </c>
      <c r="F47" s="24"/>
      <c r="G47" s="237"/>
      <c r="H47" s="255" t="str">
        <f>IFERROR(HYPERLINK("#'Appendix A'!E"&amp;ROW(INDEX(Table23[DSorder],MATCH(ExtDep[[#This Row],[AppAref]],Table23[DSorder],0))),"GO"),"")</f>
        <v/>
      </c>
      <c r="I47" s="92" t="str">
        <f>ExtDep[[#This Row],[Component]]&amp;ExtDep[[#This Row],[Maturity Level]]</f>
        <v>ContractsAdvanced</v>
      </c>
      <c r="J47" s="92" t="str">
        <f>ExtDep[[#This Row],[workArea]]&amp;ExtDep[[#This Row],[Y ,Y(C), N]]</f>
        <v>ContractsAdvanced</v>
      </c>
      <c r="K47" s="184"/>
      <c r="L47" s="184"/>
      <c r="M47" s="184" t="str">
        <f t="shared" si="1"/>
        <v>External Dependency Management</v>
      </c>
      <c r="N47" s="184">
        <f>IF(ExtDep[[#This Row],[Y ,Y(C), N]]=yes,1,0)</f>
        <v>0</v>
      </c>
      <c r="O47" s="184">
        <f>IF(ExtDep[[#This Row],[Y ,Y(C), N]]=yesCC,1,0)</f>
        <v>0</v>
      </c>
      <c r="P47" s="184">
        <f>IF(ExtDep[[#This Row],[Y ,Y(C), N]]=no,1,0)</f>
        <v>0</v>
      </c>
      <c r="Q47" s="184">
        <f>IF(ExtDep[[#This Row],[Y ,Y(C), N]]=NotAvail,1,0)</f>
        <v>0</v>
      </c>
      <c r="R47" s="92"/>
    </row>
    <row r="48" spans="1:18" ht="30" x14ac:dyDescent="0.25">
      <c r="A48" s="86" t="s">
        <v>465</v>
      </c>
      <c r="B48" s="86" t="s">
        <v>478</v>
      </c>
      <c r="C48" s="86" t="s">
        <v>31</v>
      </c>
      <c r="D48" s="87"/>
      <c r="E48" s="58" t="s">
        <v>491</v>
      </c>
      <c r="F48" s="24"/>
      <c r="G48" s="237"/>
      <c r="H48" s="255" t="str">
        <f>IFERROR(HYPERLINK("#'Appendix A'!E"&amp;ROW(INDEX(Table23[DSorder],MATCH(ExtDep[[#This Row],[AppAref]],Table23[DSorder],0))),"GO"),"")</f>
        <v/>
      </c>
      <c r="I48" s="92" t="str">
        <f>ExtDep[[#This Row],[Component]]&amp;ExtDep[[#This Row],[Maturity Level]]</f>
        <v>ContractsInnovative</v>
      </c>
      <c r="J48" s="92" t="str">
        <f>ExtDep[[#This Row],[workArea]]&amp;ExtDep[[#This Row],[Y ,Y(C), N]]</f>
        <v>ContractsInnovative</v>
      </c>
      <c r="K48" s="184"/>
      <c r="L48" s="184"/>
      <c r="M48" s="184" t="str">
        <f t="shared" si="1"/>
        <v>External Dependency Management</v>
      </c>
      <c r="N48" s="184">
        <f>IF(ExtDep[[#This Row],[Y ,Y(C), N]]=yes,1,0)</f>
        <v>0</v>
      </c>
      <c r="O48" s="184">
        <f>IF(ExtDep[[#This Row],[Y ,Y(C), N]]=yesCC,1,0)</f>
        <v>0</v>
      </c>
      <c r="P48" s="184">
        <f>IF(ExtDep[[#This Row],[Y ,Y(C), N]]=no,1,0)</f>
        <v>0</v>
      </c>
      <c r="Q48" s="184">
        <f>IF(ExtDep[[#This Row],[Y ,Y(C), N]]=NotAvail,1,0)</f>
        <v>0</v>
      </c>
      <c r="R48" s="92"/>
    </row>
    <row r="49" spans="1:18" ht="30" x14ac:dyDescent="0.25">
      <c r="A49" s="86" t="s">
        <v>465</v>
      </c>
      <c r="B49" s="86" t="s">
        <v>492</v>
      </c>
      <c r="C49" s="86" t="s">
        <v>27</v>
      </c>
      <c r="D49" s="87"/>
      <c r="E49" s="58" t="s">
        <v>493</v>
      </c>
      <c r="F49"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3</v>
      </c>
      <c r="G49" s="237"/>
      <c r="H49" s="255" t="str">
        <f>IFERROR(HYPERLINK("#'Appendix A'!E"&amp;ROW(INDEX(Table23[DSorder],MATCH(ExtDep[[#This Row],[AppAref]],Table23[DSorder],0))),"GO"),"")</f>
        <v>GO</v>
      </c>
      <c r="I49" s="92" t="str">
        <f>ExtDep[[#This Row],[Component]]&amp;ExtDep[[#This Row],[Maturity Level]]</f>
        <v>Ongoing MonitoringBaseline</v>
      </c>
      <c r="J49" s="92" t="str">
        <f>ExtDep[[#This Row],[workArea]]&amp;ExtDep[[#This Row],[Y ,Y(C), N]]</f>
        <v>Ongoing MonitoringBaseline</v>
      </c>
      <c r="K49" s="184">
        <v>101</v>
      </c>
      <c r="L49" s="184">
        <f>IFERROR(MATCH(ExtDep[[#This Row],[Ref No.]],hyperlinkLU[Reference No.],0),ExtDep[[#This Row],[Ref No.]])</f>
        <v>102</v>
      </c>
      <c r="M49" s="184" t="str">
        <f t="shared" si="1"/>
        <v>External Dependency Management</v>
      </c>
      <c r="N49" s="184">
        <f>IF(ExtDep[[#This Row],[Y ,Y(C), N]]=yes,1,0)</f>
        <v>0</v>
      </c>
      <c r="O49" s="184">
        <f>IF(ExtDep[[#This Row],[Y ,Y(C), N]]=yesCC,1,0)</f>
        <v>0</v>
      </c>
      <c r="P49" s="184">
        <f>IF(ExtDep[[#This Row],[Y ,Y(C), N]]=no,1,0)</f>
        <v>0</v>
      </c>
      <c r="Q49" s="184">
        <f>IF(ExtDep[[#This Row],[Y ,Y(C), N]]=NotAvail,1,0)</f>
        <v>0</v>
      </c>
      <c r="R49" s="92">
        <v>104</v>
      </c>
    </row>
    <row r="50" spans="1:18" ht="45" x14ac:dyDescent="0.25">
      <c r="A50" s="86" t="s">
        <v>465</v>
      </c>
      <c r="B50" s="86" t="s">
        <v>492</v>
      </c>
      <c r="C50" s="86" t="s">
        <v>27</v>
      </c>
      <c r="D50" s="87"/>
      <c r="E50" s="58" t="s">
        <v>494</v>
      </c>
      <c r="F50"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86</v>
      </c>
      <c r="G50" s="237"/>
      <c r="H50" s="255" t="str">
        <f>IFERROR(HYPERLINK("#'Appendix A'!E"&amp;ROW(INDEX(Table23[DSorder],MATCH(ExtDep[[#This Row],[AppAref]],Table23[DSorder],0))),"GO"),"")</f>
        <v>GO</v>
      </c>
      <c r="I50" s="92" t="str">
        <f>ExtDep[[#This Row],[Component]]&amp;ExtDep[[#This Row],[Maturity Level]]</f>
        <v>Ongoing MonitoringBaseline</v>
      </c>
      <c r="J50" s="92" t="str">
        <f>ExtDep[[#This Row],[workArea]]&amp;ExtDep[[#This Row],[Y ,Y(C), N]]</f>
        <v>Ongoing MonitoringBaseline</v>
      </c>
      <c r="K50" s="184">
        <v>102</v>
      </c>
      <c r="L50" s="184">
        <f>IFERROR(MATCH(ExtDep[[#This Row],[Ref No.]],hyperlinkLU[Reference No.],0),ExtDep[[#This Row],[Ref No.]])</f>
        <v>103</v>
      </c>
      <c r="M50" s="184" t="str">
        <f t="shared" si="1"/>
        <v>External Dependency Management</v>
      </c>
      <c r="N50" s="184">
        <f>IF(ExtDep[[#This Row],[Y ,Y(C), N]]=yes,1,0)</f>
        <v>0</v>
      </c>
      <c r="O50" s="184">
        <f>IF(ExtDep[[#This Row],[Y ,Y(C), N]]=yesCC,1,0)</f>
        <v>0</v>
      </c>
      <c r="P50" s="184">
        <f>IF(ExtDep[[#This Row],[Y ,Y(C), N]]=no,1,0)</f>
        <v>0</v>
      </c>
      <c r="Q50" s="184">
        <f>IF(ExtDep[[#This Row],[Y ,Y(C), N]]=NotAvail,1,0)</f>
        <v>0</v>
      </c>
      <c r="R50" s="92">
        <v>105</v>
      </c>
    </row>
    <row r="51" spans="1:18" ht="30" x14ac:dyDescent="0.25">
      <c r="A51" s="86" t="s">
        <v>465</v>
      </c>
      <c r="B51" s="86" t="s">
        <v>492</v>
      </c>
      <c r="C51" s="86" t="s">
        <v>27</v>
      </c>
      <c r="D51" s="87"/>
      <c r="E51" s="58" t="s">
        <v>495</v>
      </c>
      <c r="F51" s="188"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19</v>
      </c>
      <c r="G51" s="237"/>
      <c r="H51" s="255" t="str">
        <f>IFERROR(HYPERLINK("#'Appendix A'!E"&amp;ROW(INDEX(Table23[DSorder],MATCH(ExtDep[[#This Row],[AppAref]],Table23[DSorder],0))),"GO"),"")</f>
        <v>GO</v>
      </c>
      <c r="I51" s="92" t="str">
        <f>ExtDep[[#This Row],[Component]]&amp;ExtDep[[#This Row],[Maturity Level]]</f>
        <v>Ongoing MonitoringBaseline</v>
      </c>
      <c r="J51" s="92" t="str">
        <f>ExtDep[[#This Row],[workArea]]&amp;ExtDep[[#This Row],[Y ,Y(C), N]]</f>
        <v>Ongoing MonitoringBaseline</v>
      </c>
      <c r="K51" s="184">
        <v>103</v>
      </c>
      <c r="L51" s="184">
        <f>IFERROR(MATCH(ExtDep[[#This Row],[Ref No.]],hyperlinkLU[Reference No.],0),ExtDep[[#This Row],[Ref No.]])</f>
        <v>104</v>
      </c>
      <c r="M51" s="184" t="str">
        <f t="shared" si="1"/>
        <v>External Dependency Management</v>
      </c>
      <c r="N51" s="184">
        <f>IF(ExtDep[[#This Row],[Y ,Y(C), N]]=yes,1,0)</f>
        <v>0</v>
      </c>
      <c r="O51" s="184">
        <f>IF(ExtDep[[#This Row],[Y ,Y(C), N]]=yesCC,1,0)</f>
        <v>0</v>
      </c>
      <c r="P51" s="184">
        <f>IF(ExtDep[[#This Row],[Y ,Y(C), N]]=no,1,0)</f>
        <v>0</v>
      </c>
      <c r="Q51" s="184">
        <f>IF(ExtDep[[#This Row],[Y ,Y(C), N]]=NotAvail,1,0)</f>
        <v>0</v>
      </c>
      <c r="R51" s="92">
        <v>106</v>
      </c>
    </row>
    <row r="52" spans="1:18" ht="30" x14ac:dyDescent="0.25">
      <c r="A52" s="86" t="s">
        <v>465</v>
      </c>
      <c r="B52" s="86" t="s">
        <v>492</v>
      </c>
      <c r="C52" s="86" t="s">
        <v>28</v>
      </c>
      <c r="D52" s="87"/>
      <c r="E52" s="58" t="s">
        <v>496</v>
      </c>
      <c r="F52" s="24"/>
      <c r="G52" s="237"/>
      <c r="H52" s="255" t="str">
        <f>IFERROR(HYPERLINK("#'Appendix A'!E"&amp;ROW(INDEX(Table23[DSorder],MATCH(ExtDep[[#This Row],[AppAref]],Table23[DSorder],0))),"GO"),"")</f>
        <v/>
      </c>
      <c r="I52" s="92" t="str">
        <f>ExtDep[[#This Row],[Component]]&amp;ExtDep[[#This Row],[Maturity Level]]</f>
        <v>Ongoing MonitoringEvolving</v>
      </c>
      <c r="J52" s="92" t="str">
        <f>ExtDep[[#This Row],[workArea]]&amp;ExtDep[[#This Row],[Y ,Y(C), N]]</f>
        <v>Ongoing MonitoringEvolving</v>
      </c>
      <c r="K52" s="184"/>
      <c r="L52" s="184"/>
      <c r="M52" s="184" t="str">
        <f t="shared" si="1"/>
        <v>External Dependency Management</v>
      </c>
      <c r="N52" s="184">
        <f>IF(ExtDep[[#This Row],[Y ,Y(C), N]]=yes,1,0)</f>
        <v>0</v>
      </c>
      <c r="O52" s="184">
        <f>IF(ExtDep[[#This Row],[Y ,Y(C), N]]=yesCC,1,0)</f>
        <v>0</v>
      </c>
      <c r="P52" s="184">
        <f>IF(ExtDep[[#This Row],[Y ,Y(C), N]]=no,1,0)</f>
        <v>0</v>
      </c>
      <c r="Q52" s="184">
        <f>IF(ExtDep[[#This Row],[Y ,Y(C), N]]=NotAvail,1,0)</f>
        <v>0</v>
      </c>
      <c r="R52" s="92"/>
    </row>
    <row r="53" spans="1:18" ht="30" x14ac:dyDescent="0.25">
      <c r="A53" s="86" t="s">
        <v>465</v>
      </c>
      <c r="B53" s="86" t="s">
        <v>492</v>
      </c>
      <c r="C53" s="86" t="s">
        <v>28</v>
      </c>
      <c r="D53" s="87"/>
      <c r="E53" s="58" t="s">
        <v>497</v>
      </c>
      <c r="F53" s="24"/>
      <c r="G53" s="237"/>
      <c r="H53" s="255" t="str">
        <f>IFERROR(HYPERLINK("#'Appendix A'!E"&amp;ROW(INDEX(Table23[DSorder],MATCH(ExtDep[[#This Row],[AppAref]],Table23[DSorder],0))),"GO"),"")</f>
        <v/>
      </c>
      <c r="I53" s="92" t="str">
        <f>ExtDep[[#This Row],[Component]]&amp;ExtDep[[#This Row],[Maturity Level]]</f>
        <v>Ongoing MonitoringEvolving</v>
      </c>
      <c r="J53" s="92" t="str">
        <f>ExtDep[[#This Row],[workArea]]&amp;ExtDep[[#This Row],[Y ,Y(C), N]]</f>
        <v>Ongoing MonitoringEvolving</v>
      </c>
      <c r="K53" s="184"/>
      <c r="L53" s="184"/>
      <c r="M53" s="184" t="str">
        <f t="shared" si="1"/>
        <v>External Dependency Management</v>
      </c>
      <c r="N53" s="184">
        <f>IF(ExtDep[[#This Row],[Y ,Y(C), N]]=yes,1,0)</f>
        <v>0</v>
      </c>
      <c r="O53" s="184">
        <f>IF(ExtDep[[#This Row],[Y ,Y(C), N]]=yesCC,1,0)</f>
        <v>0</v>
      </c>
      <c r="P53" s="184">
        <f>IF(ExtDep[[#This Row],[Y ,Y(C), N]]=no,1,0)</f>
        <v>0</v>
      </c>
      <c r="Q53" s="184">
        <f>IF(ExtDep[[#This Row],[Y ,Y(C), N]]=NotAvail,1,0)</f>
        <v>0</v>
      </c>
      <c r="R53" s="92"/>
    </row>
    <row r="54" spans="1:18" ht="30" x14ac:dyDescent="0.25">
      <c r="A54" s="86" t="s">
        <v>465</v>
      </c>
      <c r="B54" s="86" t="s">
        <v>492</v>
      </c>
      <c r="C54" s="86" t="s">
        <v>28</v>
      </c>
      <c r="D54" s="87"/>
      <c r="E54" s="58" t="s">
        <v>498</v>
      </c>
      <c r="F54" s="24"/>
      <c r="G54" s="237"/>
      <c r="H54" s="255" t="str">
        <f>IFERROR(HYPERLINK("#'Appendix A'!E"&amp;ROW(INDEX(Table23[DSorder],MATCH(ExtDep[[#This Row],[AppAref]],Table23[DSorder],0))),"GO"),"")</f>
        <v/>
      </c>
      <c r="I54" s="92" t="str">
        <f>ExtDep[[#This Row],[Component]]&amp;ExtDep[[#This Row],[Maturity Level]]</f>
        <v>Ongoing MonitoringEvolving</v>
      </c>
      <c r="J54" s="92" t="str">
        <f>ExtDep[[#This Row],[workArea]]&amp;ExtDep[[#This Row],[Y ,Y(C), N]]</f>
        <v>Ongoing MonitoringEvolving</v>
      </c>
      <c r="K54" s="184"/>
      <c r="L54" s="184"/>
      <c r="M54" s="184" t="str">
        <f t="shared" si="1"/>
        <v>External Dependency Management</v>
      </c>
      <c r="N54" s="184">
        <f>IF(ExtDep[[#This Row],[Y ,Y(C), N]]=yes,1,0)</f>
        <v>0</v>
      </c>
      <c r="O54" s="184">
        <f>IF(ExtDep[[#This Row],[Y ,Y(C), N]]=yesCC,1,0)</f>
        <v>0</v>
      </c>
      <c r="P54" s="184">
        <f>IF(ExtDep[[#This Row],[Y ,Y(C), N]]=no,1,0)</f>
        <v>0</v>
      </c>
      <c r="Q54" s="184">
        <f>IF(ExtDep[[#This Row],[Y ,Y(C), N]]=NotAvail,1,0)</f>
        <v>0</v>
      </c>
      <c r="R54" s="92"/>
    </row>
    <row r="55" spans="1:18" ht="30" x14ac:dyDescent="0.25">
      <c r="A55" s="86" t="s">
        <v>465</v>
      </c>
      <c r="B55" s="86" t="s">
        <v>492</v>
      </c>
      <c r="C55" s="86" t="s">
        <v>28</v>
      </c>
      <c r="D55" s="87"/>
      <c r="E55" s="58" t="s">
        <v>499</v>
      </c>
      <c r="F55" s="24"/>
      <c r="G55" s="237"/>
      <c r="H55" s="255" t="str">
        <f>IFERROR(HYPERLINK("#'Appendix A'!E"&amp;ROW(INDEX(Table23[DSorder],MATCH(ExtDep[[#This Row],[AppAref]],Table23[DSorder],0))),"GO"),"")</f>
        <v/>
      </c>
      <c r="I55" s="92" t="str">
        <f>ExtDep[[#This Row],[Component]]&amp;ExtDep[[#This Row],[Maturity Level]]</f>
        <v>Ongoing MonitoringEvolving</v>
      </c>
      <c r="J55" s="92" t="str">
        <f>ExtDep[[#This Row],[workArea]]&amp;ExtDep[[#This Row],[Y ,Y(C), N]]</f>
        <v>Ongoing MonitoringEvolving</v>
      </c>
      <c r="K55" s="184"/>
      <c r="L55" s="184"/>
      <c r="M55" s="184" t="str">
        <f t="shared" si="1"/>
        <v>External Dependency Management</v>
      </c>
      <c r="N55" s="184">
        <f>IF(ExtDep[[#This Row],[Y ,Y(C), N]]=yes,1,0)</f>
        <v>0</v>
      </c>
      <c r="O55" s="184">
        <f>IF(ExtDep[[#This Row],[Y ,Y(C), N]]=yesCC,1,0)</f>
        <v>0</v>
      </c>
      <c r="P55" s="184">
        <f>IF(ExtDep[[#This Row],[Y ,Y(C), N]]=no,1,0)</f>
        <v>0</v>
      </c>
      <c r="Q55" s="184">
        <f>IF(ExtDep[[#This Row],[Y ,Y(C), N]]=NotAvail,1,0)</f>
        <v>0</v>
      </c>
      <c r="R55" s="92"/>
    </row>
    <row r="56" spans="1:18" ht="30" x14ac:dyDescent="0.25">
      <c r="A56" s="86" t="s">
        <v>465</v>
      </c>
      <c r="B56" s="86" t="s">
        <v>492</v>
      </c>
      <c r="C56" s="86" t="s">
        <v>29</v>
      </c>
      <c r="D56" s="87"/>
      <c r="E56" s="58" t="s">
        <v>500</v>
      </c>
      <c r="F56" s="24"/>
      <c r="G56" s="237"/>
      <c r="H56" s="255" t="str">
        <f>IFERROR(HYPERLINK("#'Appendix A'!E"&amp;ROW(INDEX(Table23[DSorder],MATCH(ExtDep[[#This Row],[AppAref]],Table23[DSorder],0))),"GO"),"")</f>
        <v/>
      </c>
      <c r="I56" s="92" t="str">
        <f>ExtDep[[#This Row],[Component]]&amp;ExtDep[[#This Row],[Maturity Level]]</f>
        <v>Ongoing MonitoringIntermediate</v>
      </c>
      <c r="J56" s="92" t="str">
        <f>ExtDep[[#This Row],[workArea]]&amp;ExtDep[[#This Row],[Y ,Y(C), N]]</f>
        <v>Ongoing MonitoringIntermediate</v>
      </c>
      <c r="K56" s="184"/>
      <c r="L56" s="184"/>
      <c r="M56" s="184" t="str">
        <f t="shared" si="1"/>
        <v>External Dependency Management</v>
      </c>
      <c r="N56" s="184">
        <f>IF(ExtDep[[#This Row],[Y ,Y(C), N]]=yes,1,0)</f>
        <v>0</v>
      </c>
      <c r="O56" s="184">
        <f>IF(ExtDep[[#This Row],[Y ,Y(C), N]]=yesCC,1,0)</f>
        <v>0</v>
      </c>
      <c r="P56" s="184">
        <f>IF(ExtDep[[#This Row],[Y ,Y(C), N]]=no,1,0)</f>
        <v>0</v>
      </c>
      <c r="Q56" s="184">
        <f>IF(ExtDep[[#This Row],[Y ,Y(C), N]]=NotAvail,1,0)</f>
        <v>0</v>
      </c>
      <c r="R56" s="92"/>
    </row>
    <row r="57" spans="1:18" ht="30" x14ac:dyDescent="0.25">
      <c r="A57" s="86" t="s">
        <v>465</v>
      </c>
      <c r="B57" s="86" t="s">
        <v>492</v>
      </c>
      <c r="C57" s="86" t="s">
        <v>29</v>
      </c>
      <c r="D57" s="87"/>
      <c r="E57" s="58" t="s">
        <v>501</v>
      </c>
      <c r="F57" s="24"/>
      <c r="G57" s="237"/>
      <c r="H57" s="255" t="str">
        <f>IFERROR(HYPERLINK("#'Appendix A'!E"&amp;ROW(INDEX(Table23[DSorder],MATCH(ExtDep[[#This Row],[AppAref]],Table23[DSorder],0))),"GO"),"")</f>
        <v/>
      </c>
      <c r="I57" s="92" t="str">
        <f>ExtDep[[#This Row],[Component]]&amp;ExtDep[[#This Row],[Maturity Level]]</f>
        <v>Ongoing MonitoringIntermediate</v>
      </c>
      <c r="J57" s="92" t="str">
        <f>ExtDep[[#This Row],[workArea]]&amp;ExtDep[[#This Row],[Y ,Y(C), N]]</f>
        <v>Ongoing MonitoringIntermediate</v>
      </c>
      <c r="K57" s="184"/>
      <c r="L57" s="184"/>
      <c r="M57" s="184" t="str">
        <f t="shared" si="1"/>
        <v>External Dependency Management</v>
      </c>
      <c r="N57" s="184">
        <f>IF(ExtDep[[#This Row],[Y ,Y(C), N]]=yes,1,0)</f>
        <v>0</v>
      </c>
      <c r="O57" s="184">
        <f>IF(ExtDep[[#This Row],[Y ,Y(C), N]]=yesCC,1,0)</f>
        <v>0</v>
      </c>
      <c r="P57" s="184">
        <f>IF(ExtDep[[#This Row],[Y ,Y(C), N]]=no,1,0)</f>
        <v>0</v>
      </c>
      <c r="Q57" s="184">
        <f>IF(ExtDep[[#This Row],[Y ,Y(C), N]]=NotAvail,1,0)</f>
        <v>0</v>
      </c>
      <c r="R57" s="92"/>
    </row>
    <row r="58" spans="1:18" ht="30" x14ac:dyDescent="0.25">
      <c r="A58" s="86" t="s">
        <v>465</v>
      </c>
      <c r="B58" s="86" t="s">
        <v>492</v>
      </c>
      <c r="C58" s="86" t="s">
        <v>30</v>
      </c>
      <c r="D58" s="87"/>
      <c r="E58" s="58" t="s">
        <v>502</v>
      </c>
      <c r="F58" s="24"/>
      <c r="G58" s="237"/>
      <c r="H58" s="255" t="str">
        <f>IFERROR(HYPERLINK("#'Appendix A'!E"&amp;ROW(INDEX(Table23[DSorder],MATCH(ExtDep[[#This Row],[AppAref]],Table23[DSorder],0))),"GO"),"")</f>
        <v/>
      </c>
      <c r="I58" s="92" t="str">
        <f>ExtDep[[#This Row],[Component]]&amp;ExtDep[[#This Row],[Maturity Level]]</f>
        <v>Ongoing MonitoringAdvanced</v>
      </c>
      <c r="J58" s="92" t="str">
        <f>ExtDep[[#This Row],[workArea]]&amp;ExtDep[[#This Row],[Y ,Y(C), N]]</f>
        <v>Ongoing MonitoringAdvanced</v>
      </c>
      <c r="K58" s="184"/>
      <c r="L58" s="184"/>
      <c r="M58" s="184" t="str">
        <f t="shared" si="1"/>
        <v>External Dependency Management</v>
      </c>
      <c r="N58" s="184">
        <f>IF(ExtDep[[#This Row],[Y ,Y(C), N]]=yes,1,0)</f>
        <v>0</v>
      </c>
      <c r="O58" s="184">
        <f>IF(ExtDep[[#This Row],[Y ,Y(C), N]]=yesCC,1,0)</f>
        <v>0</v>
      </c>
      <c r="P58" s="184">
        <f>IF(ExtDep[[#This Row],[Y ,Y(C), N]]=no,1,0)</f>
        <v>0</v>
      </c>
      <c r="Q58" s="184">
        <f>IF(ExtDep[[#This Row],[Y ,Y(C), N]]=NotAvail,1,0)</f>
        <v>0</v>
      </c>
      <c r="R58" s="92"/>
    </row>
    <row r="59" spans="1:18" ht="30" x14ac:dyDescent="0.25">
      <c r="A59" s="86" t="s">
        <v>465</v>
      </c>
      <c r="B59" s="86" t="s">
        <v>492</v>
      </c>
      <c r="C59" s="86" t="s">
        <v>31</v>
      </c>
      <c r="D59" s="87"/>
      <c r="E59" s="58" t="s">
        <v>503</v>
      </c>
      <c r="F59" s="24"/>
      <c r="G59" s="237"/>
      <c r="H59" s="255" t="str">
        <f>IFERROR(HYPERLINK("#'Appendix A'!E"&amp;ROW(INDEX(Table23[DSorder],MATCH(ExtDep[[#This Row],[AppAref]],Table23[DSorder],0))),"GO"),"")</f>
        <v/>
      </c>
      <c r="I59" s="92" t="str">
        <f>ExtDep[[#This Row],[Component]]&amp;ExtDep[[#This Row],[Maturity Level]]</f>
        <v>Ongoing MonitoringInnovative</v>
      </c>
      <c r="J59" s="92" t="str">
        <f>ExtDep[[#This Row],[workArea]]&amp;ExtDep[[#This Row],[Y ,Y(C), N]]</f>
        <v>Ongoing MonitoringInnovative</v>
      </c>
      <c r="K59" s="184"/>
      <c r="L59" s="184"/>
      <c r="M59" s="184" t="str">
        <f t="shared" si="1"/>
        <v>External Dependency Management</v>
      </c>
      <c r="N59" s="184">
        <f>IF(ExtDep[[#This Row],[Y ,Y(C), N]]=yes,1,0)</f>
        <v>0</v>
      </c>
      <c r="O59" s="184">
        <f>IF(ExtDep[[#This Row],[Y ,Y(C), N]]=yesCC,1,0)</f>
        <v>0</v>
      </c>
      <c r="P59" s="184">
        <f>IF(ExtDep[[#This Row],[Y ,Y(C), N]]=no,1,0)</f>
        <v>0</v>
      </c>
      <c r="Q59" s="184">
        <f>IF(ExtDep[[#This Row],[Y ,Y(C), N]]=NotAvail,1,0)</f>
        <v>0</v>
      </c>
      <c r="R59" s="92"/>
    </row>
  </sheetData>
  <sheetProtection algorithmName="SHA-512" hashValue="sQ/OiluWFqfc3sDX+QCwqOTh4Sg5efZ4eFRP6WFvJkZMPnx+be25sDFfNNtTGWV9awE8gvdaz5eTL0XK6ZPvOA==" saltValue="E6UQsM3veAhw8EWBJnA9jg==" spinCount="100000" sheet="1" objects="1" scenarios="1" formatCells="0" formatColumns="0" formatRows="0" sort="0" autoFilter="0"/>
  <mergeCells count="2">
    <mergeCell ref="A6:H7"/>
    <mergeCell ref="A5:H5"/>
  </mergeCells>
  <conditionalFormatting sqref="R9:R59">
    <cfRule type="cellIs" dxfId="16" priority="5" operator="equal">
      <formula>"Not OK"</formula>
    </cfRule>
  </conditionalFormatting>
  <conditionalFormatting sqref="T9:T59">
    <cfRule type="cellIs" dxfId="15" priority="4" operator="equal">
      <formula>"Not OK"</formula>
    </cfRule>
  </conditionalFormatting>
  <conditionalFormatting sqref="V9:V59">
    <cfRule type="cellIs" dxfId="14" priority="3" operator="equal">
      <formula>"Not OK"</formula>
    </cfRule>
  </conditionalFormatting>
  <conditionalFormatting sqref="X9:X59">
    <cfRule type="cellIs" dxfId="13" priority="2" operator="equal">
      <formula>"Not OK"</formula>
    </cfRule>
  </conditionalFormatting>
  <conditionalFormatting sqref="R8:X8">
    <cfRule type="cellIs" dxfId="12" priority="1" operator="equal">
      <formula>"Not OK"</formula>
    </cfRule>
  </conditionalFormatting>
  <dataValidations count="2">
    <dataValidation type="list" allowBlank="1" showInputMessage="1" showErrorMessage="1" sqref="D9:D59" xr:uid="{00000000-0002-0000-0F00-000000000000}">
      <formula1>yesNo</formula1>
    </dataValidation>
    <dataValidation type="list" allowBlank="1" showInputMessage="1" showErrorMessage="1" sqref="F4" xr:uid="{00000000-0002-0000-0F00-000001000000}">
      <formula1>prefLink</formula1>
    </dataValidation>
  </dataValidations>
  <hyperlinks>
    <hyperlink ref="G3" location="disclaimer" display="disclaimer" xr:uid="{00000000-0004-0000-0F00-000000000000}"/>
    <hyperlink ref="G2" location="workbookInfo" display="Workbook Information" xr:uid="{00000000-0004-0000-0F00-000001000000}"/>
  </hyperlinks>
  <pageMargins left="0.25" right="0.25" top="0.75" bottom="0.75" header="0.3" footer="0.3"/>
  <pageSetup scale="56" fitToHeight="0" orientation="landscape" r:id="rId1"/>
  <headerFooter>
    <oddHeader>&amp;C&amp;A</oddHeader>
    <oddFooter>&amp;L&amp;"-,Bold"Confidential-Authorized Use Only&amp;C&amp;D&amp;RPage &amp;P</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5" tint="0.59999389629810485"/>
    <pageSetUpPr fitToPage="1"/>
  </sheetPr>
  <dimension ref="A1:X91"/>
  <sheetViews>
    <sheetView zoomScaleNormal="100" workbookViewId="0">
      <pane ySplit="8" topLeftCell="A9" activePane="bottomLeft" state="frozen"/>
      <selection pane="bottomLeft" activeCell="D9" sqref="D9"/>
    </sheetView>
  </sheetViews>
  <sheetFormatPr defaultColWidth="8.85546875" defaultRowHeight="15" x14ac:dyDescent="0.25"/>
  <cols>
    <col min="1" max="1" width="25.7109375" style="46" customWidth="1"/>
    <col min="2" max="2" width="25.7109375" style="10" customWidth="1"/>
    <col min="3" max="3" width="18.7109375" style="10" customWidth="1"/>
    <col min="4" max="4" width="12.7109375" style="10" customWidth="1"/>
    <col min="5" max="5" width="75.7109375" style="10" customWidth="1"/>
    <col min="6" max="6" width="30.7109375" style="46" customWidth="1"/>
    <col min="7" max="7" width="65.7109375" style="10" customWidth="1"/>
    <col min="8" max="8" width="13.7109375" style="295" customWidth="1"/>
    <col min="9" max="9" width="6.7109375" style="10" hidden="1" customWidth="1"/>
    <col min="10" max="10" width="19" style="10" hidden="1" customWidth="1"/>
    <col min="11" max="11" width="6.5703125" style="10" hidden="1" customWidth="1"/>
    <col min="12" max="12" width="8.85546875" style="10" hidden="1" customWidth="1"/>
    <col min="13" max="13" width="8.85546875" style="251" hidden="1" customWidth="1"/>
    <col min="14" max="15" width="8.85546875" style="10" hidden="1" customWidth="1"/>
    <col min="16" max="18" width="8.85546875" style="209" hidden="1" customWidth="1"/>
    <col min="19" max="24" width="8.85546875" style="209" customWidth="1"/>
    <col min="25" max="25" width="8.85546875" style="10" customWidth="1"/>
    <col min="26" max="16384" width="8.85546875" style="10"/>
  </cols>
  <sheetData>
    <row r="1" spans="1:24" s="112" customFormat="1" ht="20.100000000000001" customHeight="1" x14ac:dyDescent="0.25">
      <c r="A1" s="6" t="str">
        <f>HYPERLINK(websiteHTTP&amp;webSiteURL,"Watkins Consulting")</f>
        <v>Watkins Consulting</v>
      </c>
      <c r="B1" s="132"/>
      <c r="C1" s="132"/>
      <c r="D1" s="132"/>
      <c r="E1" s="136" t="str">
        <f>IF(firmName&gt;0,firmName,"")</f>
        <v/>
      </c>
      <c r="F1" s="132"/>
      <c r="G1" s="8" t="str">
        <f>HYPERLINK(websiteHTTP&amp;webSiteURL&amp;userManualrURL,"User Manual")</f>
        <v>User Manual</v>
      </c>
      <c r="H1" s="8"/>
      <c r="M1" s="252"/>
      <c r="P1" s="209"/>
      <c r="Q1" s="209"/>
      <c r="R1" s="209"/>
      <c r="S1" s="209"/>
      <c r="T1" s="209"/>
      <c r="U1" s="209"/>
      <c r="V1" s="209"/>
      <c r="W1" s="209"/>
      <c r="X1" s="209"/>
    </row>
    <row r="2" spans="1:24" s="112" customFormat="1" ht="20.100000000000001" customHeight="1" x14ac:dyDescent="0.25">
      <c r="A2" s="256" t="str">
        <f ca="1">workbookVersionLabel</f>
        <v xml:space="preserve"> Excel Workbook Version: 3.4.2</v>
      </c>
      <c r="B2" s="132"/>
      <c r="C2" s="132"/>
      <c r="D2" s="132"/>
      <c r="E2" s="133" t="str">
        <f>Information</f>
        <v>FFIEC Cybersecurity Assessment Tool (May 2017)</v>
      </c>
      <c r="F2" s="137"/>
      <c r="G2" s="8" t="s">
        <v>1094</v>
      </c>
      <c r="H2" s="8"/>
      <c r="M2" s="252"/>
      <c r="P2" s="209"/>
      <c r="Q2" s="209"/>
      <c r="R2" s="209"/>
      <c r="S2" s="209"/>
      <c r="T2" s="209"/>
      <c r="U2" s="209"/>
      <c r="V2" s="209"/>
      <c r="W2" s="209"/>
      <c r="X2" s="209"/>
    </row>
    <row r="3" spans="1:24" s="112" customFormat="1" ht="20.100000000000001" customHeight="1" thickBot="1" x14ac:dyDescent="0.3">
      <c r="A3" s="139" t="str">
        <f ca="1">MID(CELL("filename",A1),FIND("]",CELL("filename",A1))+1,256)</f>
        <v>Cyber Incidence</v>
      </c>
      <c r="B3" s="140"/>
      <c r="C3" s="140"/>
      <c r="D3" s="141"/>
      <c r="E3" s="142" t="str">
        <f>IF(assessmentDate&gt;0,assessmentDate,"")</f>
        <v/>
      </c>
      <c r="F3" s="141"/>
      <c r="G3" s="155" t="s">
        <v>620</v>
      </c>
      <c r="H3" s="141"/>
      <c r="M3" s="252"/>
      <c r="P3" s="209"/>
      <c r="Q3" s="209"/>
      <c r="R3" s="209"/>
      <c r="S3" s="209"/>
      <c r="T3" s="209"/>
      <c r="U3" s="209"/>
      <c r="V3" s="209"/>
      <c r="W3" s="209"/>
      <c r="X3" s="209"/>
    </row>
    <row r="4" spans="1:24" ht="15.75" thickTop="1" x14ac:dyDescent="0.25">
      <c r="A4" s="283" t="str">
        <f>IF('Maturity Roll Up'!S35&gt;0,warn1&amp;'Maturity Roll Up'!S35&amp;warn2,"")</f>
        <v/>
      </c>
      <c r="F4" s="317" t="s">
        <v>925</v>
      </c>
      <c r="G4" s="179" t="s">
        <v>927</v>
      </c>
      <c r="H4" s="179"/>
    </row>
    <row r="5" spans="1:24" ht="20.25" thickBot="1" x14ac:dyDescent="0.35">
      <c r="A5" s="415" t="s">
        <v>261</v>
      </c>
      <c r="B5" s="415"/>
      <c r="C5" s="415"/>
      <c r="D5" s="415"/>
      <c r="E5" s="415"/>
      <c r="F5" s="415"/>
      <c r="G5" s="415"/>
      <c r="H5" s="415"/>
      <c r="I5" s="90"/>
    </row>
    <row r="6" spans="1:24" ht="15" customHeight="1" x14ac:dyDescent="0.25">
      <c r="A6" s="409" t="s">
        <v>262</v>
      </c>
      <c r="B6" s="410"/>
      <c r="C6" s="410"/>
      <c r="D6" s="410"/>
      <c r="E6" s="410"/>
      <c r="F6" s="410"/>
      <c r="G6" s="410"/>
      <c r="H6" s="411"/>
      <c r="I6" s="77"/>
    </row>
    <row r="7" spans="1:24" ht="15" customHeight="1" thickBot="1" x14ac:dyDescent="0.3">
      <c r="A7" s="412"/>
      <c r="B7" s="413"/>
      <c r="C7" s="413"/>
      <c r="D7" s="413"/>
      <c r="E7" s="413"/>
      <c r="F7" s="413"/>
      <c r="G7" s="413"/>
      <c r="H7" s="414"/>
    </row>
    <row r="8" spans="1:24" ht="15" customHeight="1" x14ac:dyDescent="0.25">
      <c r="A8" s="46" t="s">
        <v>25</v>
      </c>
      <c r="B8" s="46" t="s">
        <v>26</v>
      </c>
      <c r="C8" s="46" t="s">
        <v>23</v>
      </c>
      <c r="D8" s="57" t="s">
        <v>879</v>
      </c>
      <c r="E8" s="46" t="s">
        <v>48</v>
      </c>
      <c r="F8" s="46" t="s">
        <v>49</v>
      </c>
      <c r="G8" s="91" t="s">
        <v>10</v>
      </c>
      <c r="H8" s="296" t="s">
        <v>2076</v>
      </c>
      <c r="I8" s="46" t="s">
        <v>50</v>
      </c>
      <c r="J8" s="46" t="s">
        <v>51</v>
      </c>
      <c r="K8" s="180" t="s">
        <v>956</v>
      </c>
      <c r="L8" s="180" t="s">
        <v>957</v>
      </c>
      <c r="M8" s="180" t="s">
        <v>24</v>
      </c>
      <c r="N8" s="180" t="s">
        <v>1281</v>
      </c>
      <c r="O8" s="180" t="s">
        <v>1282</v>
      </c>
      <c r="P8" s="180" t="s">
        <v>1283</v>
      </c>
      <c r="Q8" s="180" t="s">
        <v>1284</v>
      </c>
      <c r="R8" s="180" t="s">
        <v>2077</v>
      </c>
    </row>
    <row r="9" spans="1:24" ht="30" x14ac:dyDescent="0.25">
      <c r="A9" s="58" t="s">
        <v>510</v>
      </c>
      <c r="B9" s="58" t="s">
        <v>511</v>
      </c>
      <c r="C9" s="86" t="s">
        <v>27</v>
      </c>
      <c r="D9" s="87"/>
      <c r="E9" s="58" t="s">
        <v>504</v>
      </c>
      <c r="F9"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FFEIC Business Continuity Planning Booklet, page 4</v>
      </c>
      <c r="G9" s="237"/>
      <c r="H9" s="255" t="str">
        <f>IFERROR(HYPERLINK("#'Appendix A'!E"&amp;ROW(INDEX(Table23[DSorder],MATCH(cyberInc[[#This Row],[AppAref]],Table23[DSorder],0))),"GO"),"")</f>
        <v>GO</v>
      </c>
      <c r="I9" s="86" t="str">
        <f>cyberInc[[#This Row],[Component]]&amp;cyberInc[[#This Row],[Maturity Level]]</f>
        <v>PlanningBaseline</v>
      </c>
      <c r="J9" s="86" t="str">
        <f>cyberInc[[#This Row],[workArea]]&amp;cyberInc[[#This Row],[Y ,Y(C), N]]</f>
        <v>PlanningBaseline</v>
      </c>
      <c r="K9" s="184">
        <v>104</v>
      </c>
      <c r="L9" s="184">
        <f>IFERROR(MATCH(cyberInc[[#This Row],[Ref No.]],hyperlinkLU[Reference No.],0),cyberInc[[#This Row],[Ref No.]])</f>
        <v>105</v>
      </c>
      <c r="M9" s="184" t="str">
        <f t="shared" ref="M9:M40" si="0">TRIM(MID($A$5,FIND(":",$A$5)+2,LEN($A$5)))</f>
        <v>Cyber Incident Management and Resilience</v>
      </c>
      <c r="N9" s="184">
        <f>IF(cyberInc[[#This Row],[Y ,Y(C), N]]=yes,1,0)</f>
        <v>0</v>
      </c>
      <c r="O9" s="184">
        <f>IF(cyberInc[[#This Row],[Y ,Y(C), N]]=yesCC,1,0)</f>
        <v>0</v>
      </c>
      <c r="P9" s="184">
        <f>IF(cyberInc[[#This Row],[Y ,Y(C), N]]=no,1,0)</f>
        <v>0</v>
      </c>
      <c r="Q9" s="184">
        <f>IF(cyberInc[[#This Row],[Y ,Y(C), N]]=NotAvail,1,0)</f>
        <v>0</v>
      </c>
      <c r="R9" s="92">
        <v>107</v>
      </c>
    </row>
    <row r="10" spans="1:24" ht="45" x14ac:dyDescent="0.25">
      <c r="A10" s="58" t="s">
        <v>510</v>
      </c>
      <c r="B10" s="58" t="s">
        <v>511</v>
      </c>
      <c r="C10" s="86" t="s">
        <v>27</v>
      </c>
      <c r="D10" s="89"/>
      <c r="E10" s="58" t="s">
        <v>505</v>
      </c>
      <c r="F10"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83</v>
      </c>
      <c r="G10" s="237"/>
      <c r="H10" s="255" t="str">
        <f>IFERROR(HYPERLINK("#'Appendix A'!E"&amp;ROW(INDEX(Table23[DSorder],MATCH(cyberInc[[#This Row],[AppAref]],Table23[DSorder],0))),"GO"),"")</f>
        <v>GO</v>
      </c>
      <c r="I10" s="86" t="str">
        <f>cyberInc[[#This Row],[Component]]&amp;cyberInc[[#This Row],[Maturity Level]]</f>
        <v>PlanningBaseline</v>
      </c>
      <c r="J10" s="86" t="str">
        <f>cyberInc[[#This Row],[workArea]]&amp;cyberInc[[#This Row],[Y ,Y(C), N]]</f>
        <v>PlanningBaseline</v>
      </c>
      <c r="K10" s="184">
        <v>105</v>
      </c>
      <c r="L10" s="184">
        <f>IFERROR(MATCH(cyberInc[[#This Row],[Ref No.]],hyperlinkLU[Reference No.],0),cyberInc[[#This Row],[Ref No.]])</f>
        <v>106</v>
      </c>
      <c r="M10" s="184" t="str">
        <f t="shared" si="0"/>
        <v>Cyber Incident Management and Resilience</v>
      </c>
      <c r="N10" s="184">
        <f>IF(cyberInc[[#This Row],[Y ,Y(C), N]]=yes,1,0)</f>
        <v>0</v>
      </c>
      <c r="O10" s="184">
        <f>IF(cyberInc[[#This Row],[Y ,Y(C), N]]=yesCC,1,0)</f>
        <v>0</v>
      </c>
      <c r="P10" s="184">
        <f>IF(cyberInc[[#This Row],[Y ,Y(C), N]]=no,1,0)</f>
        <v>0</v>
      </c>
      <c r="Q10" s="184">
        <f>IF(cyberInc[[#This Row],[Y ,Y(C), N]]=NotAvail,1,0)</f>
        <v>0</v>
      </c>
      <c r="R10" s="92">
        <v>108</v>
      </c>
    </row>
    <row r="11" spans="1:24" ht="30" x14ac:dyDescent="0.25">
      <c r="A11" s="58" t="s">
        <v>510</v>
      </c>
      <c r="B11" s="58" t="s">
        <v>511</v>
      </c>
      <c r="C11" s="86" t="s">
        <v>27</v>
      </c>
      <c r="D11" s="87"/>
      <c r="E11" s="58" t="s">
        <v>506</v>
      </c>
      <c r="F11"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11" s="237"/>
      <c r="H11" s="255" t="str">
        <f>IFERROR(HYPERLINK("#'Appendix A'!E"&amp;ROW(INDEX(Table23[DSorder],MATCH(cyberInc[[#This Row],[AppAref]],Table23[DSorder],0))),"GO"),"")</f>
        <v>GO</v>
      </c>
      <c r="I11" s="92" t="str">
        <f>cyberInc[[#This Row],[Component]]&amp;cyberInc[[#This Row],[Maturity Level]]</f>
        <v>PlanningBaseline</v>
      </c>
      <c r="J11" s="92" t="str">
        <f>cyberInc[[#This Row],[workArea]]&amp;cyberInc[[#This Row],[Y ,Y(C), N]]</f>
        <v>PlanningBaseline</v>
      </c>
      <c r="K11" s="184">
        <v>106</v>
      </c>
      <c r="L11" s="184">
        <f>IFERROR(MATCH(cyberInc[[#This Row],[Ref No.]],hyperlinkLU[Reference No.],0),cyberInc[[#This Row],[Ref No.]])</f>
        <v>107</v>
      </c>
      <c r="M11" s="184" t="str">
        <f t="shared" si="0"/>
        <v>Cyber Incident Management and Resilience</v>
      </c>
      <c r="N11" s="184">
        <f>IF(cyberInc[[#This Row],[Y ,Y(C), N]]=yes,1,0)</f>
        <v>0</v>
      </c>
      <c r="O11" s="184">
        <f>IF(cyberInc[[#This Row],[Y ,Y(C), N]]=yesCC,1,0)</f>
        <v>0</v>
      </c>
      <c r="P11" s="184">
        <f>IF(cyberInc[[#This Row],[Y ,Y(C), N]]=no,1,0)</f>
        <v>0</v>
      </c>
      <c r="Q11" s="184">
        <f>IF(cyberInc[[#This Row],[Y ,Y(C), N]]=NotAvail,1,0)</f>
        <v>0</v>
      </c>
      <c r="R11" s="92">
        <v>109</v>
      </c>
    </row>
    <row r="12" spans="1:24" ht="60" x14ac:dyDescent="0.25">
      <c r="A12" s="58" t="s">
        <v>510</v>
      </c>
      <c r="B12" s="58" t="s">
        <v>511</v>
      </c>
      <c r="C12" s="86" t="s">
        <v>27</v>
      </c>
      <c r="D12" s="89"/>
      <c r="E12" s="58" t="s">
        <v>507</v>
      </c>
      <c r="F12"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12" s="237"/>
      <c r="H12" s="255" t="str">
        <f>IFERROR(HYPERLINK("#'Appendix A'!E"&amp;ROW(INDEX(Table23[DSorder],MATCH(cyberInc[[#This Row],[AppAref]],Table23[DSorder],0))),"GO"),"")</f>
        <v>GO</v>
      </c>
      <c r="I12" s="92" t="str">
        <f>cyberInc[[#This Row],[Component]]&amp;cyberInc[[#This Row],[Maturity Level]]</f>
        <v>PlanningBaseline</v>
      </c>
      <c r="J12" s="92" t="str">
        <f>cyberInc[[#This Row],[workArea]]&amp;cyberInc[[#This Row],[Y ,Y(C), N]]</f>
        <v>PlanningBaseline</v>
      </c>
      <c r="K12" s="184">
        <v>107</v>
      </c>
      <c r="L12" s="184">
        <f>IFERROR(MATCH(cyberInc[[#This Row],[Ref No.]],hyperlinkLU[Reference No.],0),cyberInc[[#This Row],[Ref No.]])</f>
        <v>108</v>
      </c>
      <c r="M12" s="184" t="str">
        <f t="shared" si="0"/>
        <v>Cyber Incident Management and Resilience</v>
      </c>
      <c r="N12" s="184">
        <f>IF(cyberInc[[#This Row],[Y ,Y(C), N]]=yes,1,0)</f>
        <v>0</v>
      </c>
      <c r="O12" s="184">
        <f>IF(cyberInc[[#This Row],[Y ,Y(C), N]]=yesCC,1,0)</f>
        <v>0</v>
      </c>
      <c r="P12" s="184">
        <f>IF(cyberInc[[#This Row],[Y ,Y(C), N]]=no,1,0)</f>
        <v>0</v>
      </c>
      <c r="Q12" s="184">
        <f>IF(cyberInc[[#This Row],[Y ,Y(C), N]]=NotAvail,1,0)</f>
        <v>0</v>
      </c>
      <c r="R12" s="92">
        <v>110</v>
      </c>
    </row>
    <row r="13" spans="1:24" ht="30" x14ac:dyDescent="0.25">
      <c r="A13" s="58" t="s">
        <v>510</v>
      </c>
      <c r="B13" s="58" t="s">
        <v>511</v>
      </c>
      <c r="C13" s="86" t="s">
        <v>27</v>
      </c>
      <c r="D13" s="87"/>
      <c r="E13" s="58" t="s">
        <v>508</v>
      </c>
      <c r="F13"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Business Continuity Planning Booklet, page 4</v>
      </c>
      <c r="G13" s="237"/>
      <c r="H13" s="255" t="str">
        <f>IFERROR(HYPERLINK("#'Appendix A'!E"&amp;ROW(INDEX(Table23[DSorder],MATCH(cyberInc[[#This Row],[AppAref]],Table23[DSorder],0))),"GO"),"")</f>
        <v>GO</v>
      </c>
      <c r="I13" s="92" t="str">
        <f>cyberInc[[#This Row],[Component]]&amp;cyberInc[[#This Row],[Maturity Level]]</f>
        <v>PlanningBaseline</v>
      </c>
      <c r="J13" s="92" t="str">
        <f>cyberInc[[#This Row],[workArea]]&amp;cyberInc[[#This Row],[Y ,Y(C), N]]</f>
        <v>PlanningBaseline</v>
      </c>
      <c r="K13" s="184">
        <v>108</v>
      </c>
      <c r="L13" s="184">
        <f>IFERROR(MATCH(cyberInc[[#This Row],[Ref No.]],hyperlinkLU[Reference No.],0),cyberInc[[#This Row],[Ref No.]])</f>
        <v>109</v>
      </c>
      <c r="M13" s="184" t="str">
        <f t="shared" si="0"/>
        <v>Cyber Incident Management and Resilience</v>
      </c>
      <c r="N13" s="184">
        <f>IF(cyberInc[[#This Row],[Y ,Y(C), N]]=yes,1,0)</f>
        <v>0</v>
      </c>
      <c r="O13" s="184">
        <f>IF(cyberInc[[#This Row],[Y ,Y(C), N]]=yesCC,1,0)</f>
        <v>0</v>
      </c>
      <c r="P13" s="184">
        <f>IF(cyberInc[[#This Row],[Y ,Y(C), N]]=no,1,0)</f>
        <v>0</v>
      </c>
      <c r="Q13" s="184">
        <f>IF(cyberInc[[#This Row],[Y ,Y(C), N]]=NotAvail,1,0)</f>
        <v>0</v>
      </c>
      <c r="R13" s="92">
        <v>111</v>
      </c>
    </row>
    <row r="14" spans="1:24" ht="45" x14ac:dyDescent="0.25">
      <c r="A14" s="58" t="s">
        <v>510</v>
      </c>
      <c r="B14" s="58" t="s">
        <v>511</v>
      </c>
      <c r="C14" s="86" t="s">
        <v>27</v>
      </c>
      <c r="D14" s="89"/>
      <c r="E14" s="58" t="s">
        <v>509</v>
      </c>
      <c r="F14"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71</v>
      </c>
      <c r="G14" s="237"/>
      <c r="H14" s="255" t="str">
        <f>IFERROR(HYPERLINK("#'Appendix A'!E"&amp;ROW(INDEX(Table23[DSorder],MATCH(cyberInc[[#This Row],[AppAref]],Table23[DSorder],0))),"GO"),"")</f>
        <v>GO</v>
      </c>
      <c r="I14" s="92" t="str">
        <f>cyberInc[[#This Row],[Component]]&amp;cyberInc[[#This Row],[Maturity Level]]</f>
        <v>PlanningBaseline</v>
      </c>
      <c r="J14" s="92" t="str">
        <f>cyberInc[[#This Row],[workArea]]&amp;cyberInc[[#This Row],[Y ,Y(C), N]]</f>
        <v>PlanningBaseline</v>
      </c>
      <c r="K14" s="184">
        <v>109</v>
      </c>
      <c r="L14" s="184">
        <f>IFERROR(MATCH(cyberInc[[#This Row],[Ref No.]],hyperlinkLU[Reference No.],0),cyberInc[[#This Row],[Ref No.]])</f>
        <v>110</v>
      </c>
      <c r="M14" s="184" t="str">
        <f t="shared" si="0"/>
        <v>Cyber Incident Management and Resilience</v>
      </c>
      <c r="N14" s="184">
        <f>IF(cyberInc[[#This Row],[Y ,Y(C), N]]=yes,1,0)</f>
        <v>0</v>
      </c>
      <c r="O14" s="184">
        <f>IF(cyberInc[[#This Row],[Y ,Y(C), N]]=yesCC,1,0)</f>
        <v>0</v>
      </c>
      <c r="P14" s="184">
        <f>IF(cyberInc[[#This Row],[Y ,Y(C), N]]=no,1,0)</f>
        <v>0</v>
      </c>
      <c r="Q14" s="184">
        <f>IF(cyberInc[[#This Row],[Y ,Y(C), N]]=NotAvail,1,0)</f>
        <v>0</v>
      </c>
      <c r="R14" s="92">
        <v>112</v>
      </c>
    </row>
    <row r="15" spans="1:24" ht="30" x14ac:dyDescent="0.25">
      <c r="A15" s="58" t="s">
        <v>510</v>
      </c>
      <c r="B15" s="58" t="s">
        <v>511</v>
      </c>
      <c r="C15" s="86" t="s">
        <v>28</v>
      </c>
      <c r="D15" s="87"/>
      <c r="E15" s="58" t="s">
        <v>512</v>
      </c>
      <c r="F15" s="24"/>
      <c r="G15" s="237"/>
      <c r="H15" s="255" t="str">
        <f>IFERROR(HYPERLINK("#'Appendix A'!E"&amp;ROW(INDEX(Table23[DSorder],MATCH(cyberInc[[#This Row],[AppAref]],Table23[DSorder],0))),"GO"),"")</f>
        <v/>
      </c>
      <c r="I15" s="92" t="str">
        <f>cyberInc[[#This Row],[Component]]&amp;cyberInc[[#This Row],[Maturity Level]]</f>
        <v>PlanningEvolving</v>
      </c>
      <c r="J15" s="92" t="str">
        <f>cyberInc[[#This Row],[workArea]]&amp;cyberInc[[#This Row],[Y ,Y(C), N]]</f>
        <v>PlanningEvolving</v>
      </c>
      <c r="K15" s="184"/>
      <c r="L15" s="184"/>
      <c r="M15" s="184" t="str">
        <f t="shared" si="0"/>
        <v>Cyber Incident Management and Resilience</v>
      </c>
      <c r="N15" s="184">
        <f>IF(cyberInc[[#This Row],[Y ,Y(C), N]]=yes,1,0)</f>
        <v>0</v>
      </c>
      <c r="O15" s="184">
        <f>IF(cyberInc[[#This Row],[Y ,Y(C), N]]=yesCC,1,0)</f>
        <v>0</v>
      </c>
      <c r="P15" s="184">
        <f>IF(cyberInc[[#This Row],[Y ,Y(C), N]]=no,1,0)</f>
        <v>0</v>
      </c>
      <c r="Q15" s="184">
        <f>IF(cyberInc[[#This Row],[Y ,Y(C), N]]=NotAvail,1,0)</f>
        <v>0</v>
      </c>
      <c r="R15" s="92"/>
    </row>
    <row r="16" spans="1:24" ht="30" x14ac:dyDescent="0.25">
      <c r="A16" s="58" t="s">
        <v>510</v>
      </c>
      <c r="B16" s="58" t="s">
        <v>511</v>
      </c>
      <c r="C16" s="86" t="s">
        <v>28</v>
      </c>
      <c r="D16" s="89"/>
      <c r="E16" s="58" t="s">
        <v>513</v>
      </c>
      <c r="F16" s="24"/>
      <c r="G16" s="237"/>
      <c r="H16" s="255" t="str">
        <f>IFERROR(HYPERLINK("#'Appendix A'!E"&amp;ROW(INDEX(Table23[DSorder],MATCH(cyberInc[[#This Row],[AppAref]],Table23[DSorder],0))),"GO"),"")</f>
        <v/>
      </c>
      <c r="I16" s="92" t="str">
        <f>cyberInc[[#This Row],[Component]]&amp;cyberInc[[#This Row],[Maturity Level]]</f>
        <v>PlanningEvolving</v>
      </c>
      <c r="J16" s="92" t="str">
        <f>cyberInc[[#This Row],[workArea]]&amp;cyberInc[[#This Row],[Y ,Y(C), N]]</f>
        <v>PlanningEvolving</v>
      </c>
      <c r="K16" s="184"/>
      <c r="L16" s="184"/>
      <c r="M16" s="184" t="str">
        <f t="shared" si="0"/>
        <v>Cyber Incident Management and Resilience</v>
      </c>
      <c r="N16" s="184">
        <f>IF(cyberInc[[#This Row],[Y ,Y(C), N]]=yes,1,0)</f>
        <v>0</v>
      </c>
      <c r="O16" s="184">
        <f>IF(cyberInc[[#This Row],[Y ,Y(C), N]]=yesCC,1,0)</f>
        <v>0</v>
      </c>
      <c r="P16" s="184">
        <f>IF(cyberInc[[#This Row],[Y ,Y(C), N]]=no,1,0)</f>
        <v>0</v>
      </c>
      <c r="Q16" s="184">
        <f>IF(cyberInc[[#This Row],[Y ,Y(C), N]]=NotAvail,1,0)</f>
        <v>0</v>
      </c>
      <c r="R16" s="92"/>
    </row>
    <row r="17" spans="1:18" ht="30" x14ac:dyDescent="0.25">
      <c r="A17" s="58" t="s">
        <v>510</v>
      </c>
      <c r="B17" s="58" t="s">
        <v>511</v>
      </c>
      <c r="C17" s="86" t="s">
        <v>28</v>
      </c>
      <c r="D17" s="87"/>
      <c r="E17" s="58" t="s">
        <v>514</v>
      </c>
      <c r="F17" s="24"/>
      <c r="G17" s="237"/>
      <c r="H17" s="255" t="str">
        <f>IFERROR(HYPERLINK("#'Appendix A'!E"&amp;ROW(INDEX(Table23[DSorder],MATCH(cyberInc[[#This Row],[AppAref]],Table23[DSorder],0))),"GO"),"")</f>
        <v/>
      </c>
      <c r="I17" s="92" t="str">
        <f>cyberInc[[#This Row],[Component]]&amp;cyberInc[[#This Row],[Maturity Level]]</f>
        <v>PlanningEvolving</v>
      </c>
      <c r="J17" s="92" t="str">
        <f>cyberInc[[#This Row],[workArea]]&amp;cyberInc[[#This Row],[Y ,Y(C), N]]</f>
        <v>PlanningEvolving</v>
      </c>
      <c r="K17" s="184"/>
      <c r="L17" s="184"/>
      <c r="M17" s="184" t="str">
        <f t="shared" si="0"/>
        <v>Cyber Incident Management and Resilience</v>
      </c>
      <c r="N17" s="184">
        <f>IF(cyberInc[[#This Row],[Y ,Y(C), N]]=yes,1,0)</f>
        <v>0</v>
      </c>
      <c r="O17" s="184">
        <f>IF(cyberInc[[#This Row],[Y ,Y(C), N]]=yesCC,1,0)</f>
        <v>0</v>
      </c>
      <c r="P17" s="184">
        <f>IF(cyberInc[[#This Row],[Y ,Y(C), N]]=no,1,0)</f>
        <v>0</v>
      </c>
      <c r="Q17" s="184">
        <f>IF(cyberInc[[#This Row],[Y ,Y(C), N]]=NotAvail,1,0)</f>
        <v>0</v>
      </c>
      <c r="R17" s="92"/>
    </row>
    <row r="18" spans="1:18" ht="30" x14ac:dyDescent="0.25">
      <c r="A18" s="58" t="s">
        <v>510</v>
      </c>
      <c r="B18" s="58" t="s">
        <v>511</v>
      </c>
      <c r="C18" s="86" t="s">
        <v>28</v>
      </c>
      <c r="D18" s="87"/>
      <c r="E18" s="58" t="s">
        <v>515</v>
      </c>
      <c r="F18" s="24"/>
      <c r="G18" s="237"/>
      <c r="H18" s="255" t="str">
        <f>IFERROR(HYPERLINK("#'Appendix A'!E"&amp;ROW(INDEX(Table23[DSorder],MATCH(cyberInc[[#This Row],[AppAref]],Table23[DSorder],0))),"GO"),"")</f>
        <v/>
      </c>
      <c r="I18" s="92" t="str">
        <f>cyberInc[[#This Row],[Component]]&amp;cyberInc[[#This Row],[Maturity Level]]</f>
        <v>PlanningEvolving</v>
      </c>
      <c r="J18" s="92" t="str">
        <f>cyberInc[[#This Row],[workArea]]&amp;cyberInc[[#This Row],[Y ,Y(C), N]]</f>
        <v>PlanningEvolving</v>
      </c>
      <c r="K18" s="184"/>
      <c r="L18" s="184"/>
      <c r="M18" s="184" t="str">
        <f t="shared" si="0"/>
        <v>Cyber Incident Management and Resilience</v>
      </c>
      <c r="N18" s="184">
        <f>IF(cyberInc[[#This Row],[Y ,Y(C), N]]=yes,1,0)</f>
        <v>0</v>
      </c>
      <c r="O18" s="184">
        <f>IF(cyberInc[[#This Row],[Y ,Y(C), N]]=yesCC,1,0)</f>
        <v>0</v>
      </c>
      <c r="P18" s="184">
        <f>IF(cyberInc[[#This Row],[Y ,Y(C), N]]=no,1,0)</f>
        <v>0</v>
      </c>
      <c r="Q18" s="184">
        <f>IF(cyberInc[[#This Row],[Y ,Y(C), N]]=NotAvail,1,0)</f>
        <v>0</v>
      </c>
      <c r="R18" s="92"/>
    </row>
    <row r="19" spans="1:18" ht="45" x14ac:dyDescent="0.25">
      <c r="A19" s="58" t="s">
        <v>510</v>
      </c>
      <c r="B19" s="58" t="s">
        <v>511</v>
      </c>
      <c r="C19" s="86" t="s">
        <v>28</v>
      </c>
      <c r="D19" s="89"/>
      <c r="E19" s="58" t="s">
        <v>516</v>
      </c>
      <c r="F19" s="24"/>
      <c r="G19" s="237"/>
      <c r="H19" s="255" t="str">
        <f>IFERROR(HYPERLINK("#'Appendix A'!E"&amp;ROW(INDEX(Table23[DSorder],MATCH(cyberInc[[#This Row],[AppAref]],Table23[DSorder],0))),"GO"),"")</f>
        <v/>
      </c>
      <c r="I19" s="92" t="str">
        <f>cyberInc[[#This Row],[Component]]&amp;cyberInc[[#This Row],[Maturity Level]]</f>
        <v>PlanningEvolving</v>
      </c>
      <c r="J19" s="92" t="str">
        <f>cyberInc[[#This Row],[workArea]]&amp;cyberInc[[#This Row],[Y ,Y(C), N]]</f>
        <v>PlanningEvolving</v>
      </c>
      <c r="K19" s="184"/>
      <c r="L19" s="184"/>
      <c r="M19" s="184" t="str">
        <f t="shared" si="0"/>
        <v>Cyber Incident Management and Resilience</v>
      </c>
      <c r="N19" s="184">
        <f>IF(cyberInc[[#This Row],[Y ,Y(C), N]]=yes,1,0)</f>
        <v>0</v>
      </c>
      <c r="O19" s="184">
        <f>IF(cyberInc[[#This Row],[Y ,Y(C), N]]=yesCC,1,0)</f>
        <v>0</v>
      </c>
      <c r="P19" s="184">
        <f>IF(cyberInc[[#This Row],[Y ,Y(C), N]]=no,1,0)</f>
        <v>0</v>
      </c>
      <c r="Q19" s="184">
        <f>IF(cyberInc[[#This Row],[Y ,Y(C), N]]=NotAvail,1,0)</f>
        <v>0</v>
      </c>
      <c r="R19" s="92"/>
    </row>
    <row r="20" spans="1:18" ht="30" x14ac:dyDescent="0.25">
      <c r="A20" s="58" t="s">
        <v>510</v>
      </c>
      <c r="B20" s="58" t="s">
        <v>511</v>
      </c>
      <c r="C20" s="86" t="s">
        <v>29</v>
      </c>
      <c r="D20" s="87"/>
      <c r="E20" s="58" t="s">
        <v>517</v>
      </c>
      <c r="F20" s="24"/>
      <c r="G20" s="237"/>
      <c r="H20" s="255" t="str">
        <f>IFERROR(HYPERLINK("#'Appendix A'!E"&amp;ROW(INDEX(Table23[DSorder],MATCH(cyberInc[[#This Row],[AppAref]],Table23[DSorder],0))),"GO"),"")</f>
        <v/>
      </c>
      <c r="I20" s="92" t="str">
        <f>cyberInc[[#This Row],[Component]]&amp;cyberInc[[#This Row],[Maturity Level]]</f>
        <v>PlanningIntermediate</v>
      </c>
      <c r="J20" s="92" t="str">
        <f>cyberInc[[#This Row],[workArea]]&amp;cyberInc[[#This Row],[Y ,Y(C), N]]</f>
        <v>PlanningIntermediate</v>
      </c>
      <c r="K20" s="184"/>
      <c r="L20" s="184"/>
      <c r="M20" s="184" t="str">
        <f t="shared" si="0"/>
        <v>Cyber Incident Management and Resilience</v>
      </c>
      <c r="N20" s="184">
        <f>IF(cyberInc[[#This Row],[Y ,Y(C), N]]=yes,1,0)</f>
        <v>0</v>
      </c>
      <c r="O20" s="184">
        <f>IF(cyberInc[[#This Row],[Y ,Y(C), N]]=yesCC,1,0)</f>
        <v>0</v>
      </c>
      <c r="P20" s="184">
        <f>IF(cyberInc[[#This Row],[Y ,Y(C), N]]=no,1,0)</f>
        <v>0</v>
      </c>
      <c r="Q20" s="184">
        <f>IF(cyberInc[[#This Row],[Y ,Y(C), N]]=NotAvail,1,0)</f>
        <v>0</v>
      </c>
      <c r="R20" s="92"/>
    </row>
    <row r="21" spans="1:18" ht="30" x14ac:dyDescent="0.25">
      <c r="A21" s="58" t="s">
        <v>510</v>
      </c>
      <c r="B21" s="58" t="s">
        <v>511</v>
      </c>
      <c r="C21" s="86" t="s">
        <v>29</v>
      </c>
      <c r="D21" s="87"/>
      <c r="E21" s="58" t="s">
        <v>518</v>
      </c>
      <c r="F21" s="24"/>
      <c r="G21" s="237"/>
      <c r="H21" s="255" t="str">
        <f>IFERROR(HYPERLINK("#'Appendix A'!E"&amp;ROW(INDEX(Table23[DSorder],MATCH(cyberInc[[#This Row],[AppAref]],Table23[DSorder],0))),"GO"),"")</f>
        <v/>
      </c>
      <c r="I21" s="92" t="str">
        <f>cyberInc[[#This Row],[Component]]&amp;cyberInc[[#This Row],[Maturity Level]]</f>
        <v>PlanningIntermediate</v>
      </c>
      <c r="J21" s="92" t="str">
        <f>cyberInc[[#This Row],[workArea]]&amp;cyberInc[[#This Row],[Y ,Y(C), N]]</f>
        <v>PlanningIntermediate</v>
      </c>
      <c r="K21" s="184"/>
      <c r="L21" s="184"/>
      <c r="M21" s="184" t="str">
        <f t="shared" si="0"/>
        <v>Cyber Incident Management and Resilience</v>
      </c>
      <c r="N21" s="184">
        <f>IF(cyberInc[[#This Row],[Y ,Y(C), N]]=yes,1,0)</f>
        <v>0</v>
      </c>
      <c r="O21" s="184">
        <f>IF(cyberInc[[#This Row],[Y ,Y(C), N]]=yesCC,1,0)</f>
        <v>0</v>
      </c>
      <c r="P21" s="184">
        <f>IF(cyberInc[[#This Row],[Y ,Y(C), N]]=no,1,0)</f>
        <v>0</v>
      </c>
      <c r="Q21" s="184">
        <f>IF(cyberInc[[#This Row],[Y ,Y(C), N]]=NotAvail,1,0)</f>
        <v>0</v>
      </c>
      <c r="R21" s="92"/>
    </row>
    <row r="22" spans="1:18" ht="30" x14ac:dyDescent="0.25">
      <c r="A22" s="58" t="s">
        <v>510</v>
      </c>
      <c r="B22" s="58" t="s">
        <v>511</v>
      </c>
      <c r="C22" s="86" t="s">
        <v>29</v>
      </c>
      <c r="D22" s="87"/>
      <c r="E22" s="58" t="s">
        <v>519</v>
      </c>
      <c r="F22" s="24"/>
      <c r="G22" s="237"/>
      <c r="H22" s="255" t="str">
        <f>IFERROR(HYPERLINK("#'Appendix A'!E"&amp;ROW(INDEX(Table23[DSorder],MATCH(cyberInc[[#This Row],[AppAref]],Table23[DSorder],0))),"GO"),"")</f>
        <v/>
      </c>
      <c r="I22" s="92" t="str">
        <f>cyberInc[[#This Row],[Component]]&amp;cyberInc[[#This Row],[Maturity Level]]</f>
        <v>PlanningIntermediate</v>
      </c>
      <c r="J22" s="92" t="str">
        <f>cyberInc[[#This Row],[workArea]]&amp;cyberInc[[#This Row],[Y ,Y(C), N]]</f>
        <v>PlanningIntermediate</v>
      </c>
      <c r="K22" s="184"/>
      <c r="L22" s="184"/>
      <c r="M22" s="184" t="str">
        <f t="shared" si="0"/>
        <v>Cyber Incident Management and Resilience</v>
      </c>
      <c r="N22" s="184">
        <f>IF(cyberInc[[#This Row],[Y ,Y(C), N]]=yes,1,0)</f>
        <v>0</v>
      </c>
      <c r="O22" s="184">
        <f>IF(cyberInc[[#This Row],[Y ,Y(C), N]]=yesCC,1,0)</f>
        <v>0</v>
      </c>
      <c r="P22" s="184">
        <f>IF(cyberInc[[#This Row],[Y ,Y(C), N]]=no,1,0)</f>
        <v>0</v>
      </c>
      <c r="Q22" s="184">
        <f>IF(cyberInc[[#This Row],[Y ,Y(C), N]]=NotAvail,1,0)</f>
        <v>0</v>
      </c>
      <c r="R22" s="92"/>
    </row>
    <row r="23" spans="1:18" ht="45" x14ac:dyDescent="0.25">
      <c r="A23" s="58" t="s">
        <v>510</v>
      </c>
      <c r="B23" s="58" t="s">
        <v>511</v>
      </c>
      <c r="C23" s="86" t="s">
        <v>29</v>
      </c>
      <c r="D23" s="87"/>
      <c r="E23" s="58" t="s">
        <v>520</v>
      </c>
      <c r="F23" s="24"/>
      <c r="G23" s="237"/>
      <c r="H23" s="255" t="str">
        <f>IFERROR(HYPERLINK("#'Appendix A'!E"&amp;ROW(INDEX(Table23[DSorder],MATCH(cyberInc[[#This Row],[AppAref]],Table23[DSorder],0))),"GO"),"")</f>
        <v/>
      </c>
      <c r="I23" s="92" t="str">
        <f>cyberInc[[#This Row],[Component]]&amp;cyberInc[[#This Row],[Maturity Level]]</f>
        <v>PlanningIntermediate</v>
      </c>
      <c r="J23" s="92" t="str">
        <f>cyberInc[[#This Row],[workArea]]&amp;cyberInc[[#This Row],[Y ,Y(C), N]]</f>
        <v>PlanningIntermediate</v>
      </c>
      <c r="K23" s="184"/>
      <c r="L23" s="184"/>
      <c r="M23" s="184" t="str">
        <f t="shared" si="0"/>
        <v>Cyber Incident Management and Resilience</v>
      </c>
      <c r="N23" s="184">
        <f>IF(cyberInc[[#This Row],[Y ,Y(C), N]]=yes,1,0)</f>
        <v>0</v>
      </c>
      <c r="O23" s="184">
        <f>IF(cyberInc[[#This Row],[Y ,Y(C), N]]=yesCC,1,0)</f>
        <v>0</v>
      </c>
      <c r="P23" s="184">
        <f>IF(cyberInc[[#This Row],[Y ,Y(C), N]]=no,1,0)</f>
        <v>0</v>
      </c>
      <c r="Q23" s="184">
        <f>IF(cyberInc[[#This Row],[Y ,Y(C), N]]=NotAvail,1,0)</f>
        <v>0</v>
      </c>
      <c r="R23" s="92"/>
    </row>
    <row r="24" spans="1:18" ht="45" x14ac:dyDescent="0.25">
      <c r="A24" s="58" t="s">
        <v>510</v>
      </c>
      <c r="B24" s="58" t="s">
        <v>511</v>
      </c>
      <c r="C24" s="86" t="s">
        <v>30</v>
      </c>
      <c r="D24" s="87"/>
      <c r="E24" s="58" t="s">
        <v>521</v>
      </c>
      <c r="F24" s="24"/>
      <c r="G24" s="237"/>
      <c r="H24" s="255" t="str">
        <f>IFERROR(HYPERLINK("#'Appendix A'!E"&amp;ROW(INDEX(Table23[DSorder],MATCH(cyberInc[[#This Row],[AppAref]],Table23[DSorder],0))),"GO"),"")</f>
        <v/>
      </c>
      <c r="I24" s="92" t="str">
        <f>cyberInc[[#This Row],[Component]]&amp;cyberInc[[#This Row],[Maturity Level]]</f>
        <v>PlanningAdvanced</v>
      </c>
      <c r="J24" s="92" t="str">
        <f>cyberInc[[#This Row],[workArea]]&amp;cyberInc[[#This Row],[Y ,Y(C), N]]</f>
        <v>PlanningAdvanced</v>
      </c>
      <c r="K24" s="184"/>
      <c r="L24" s="184"/>
      <c r="M24" s="184" t="str">
        <f t="shared" si="0"/>
        <v>Cyber Incident Management and Resilience</v>
      </c>
      <c r="N24" s="184">
        <f>IF(cyberInc[[#This Row],[Y ,Y(C), N]]=yes,1,0)</f>
        <v>0</v>
      </c>
      <c r="O24" s="184">
        <f>IF(cyberInc[[#This Row],[Y ,Y(C), N]]=yesCC,1,0)</f>
        <v>0</v>
      </c>
      <c r="P24" s="184">
        <f>IF(cyberInc[[#This Row],[Y ,Y(C), N]]=no,1,0)</f>
        <v>0</v>
      </c>
      <c r="Q24" s="184">
        <f>IF(cyberInc[[#This Row],[Y ,Y(C), N]]=NotAvail,1,0)</f>
        <v>0</v>
      </c>
      <c r="R24" s="92"/>
    </row>
    <row r="25" spans="1:18" ht="45" x14ac:dyDescent="0.25">
      <c r="A25" s="58" t="s">
        <v>510</v>
      </c>
      <c r="B25" s="58" t="s">
        <v>511</v>
      </c>
      <c r="C25" s="86" t="s">
        <v>30</v>
      </c>
      <c r="D25" s="87"/>
      <c r="E25" s="58" t="s">
        <v>522</v>
      </c>
      <c r="F25" s="24"/>
      <c r="G25" s="237"/>
      <c r="H25" s="255" t="str">
        <f>IFERROR(HYPERLINK("#'Appendix A'!E"&amp;ROW(INDEX(Table23[DSorder],MATCH(cyberInc[[#This Row],[AppAref]],Table23[DSorder],0))),"GO"),"")</f>
        <v/>
      </c>
      <c r="I25" s="92" t="str">
        <f>cyberInc[[#This Row],[Component]]&amp;cyberInc[[#This Row],[Maturity Level]]</f>
        <v>PlanningAdvanced</v>
      </c>
      <c r="J25" s="92" t="str">
        <f>cyberInc[[#This Row],[workArea]]&amp;cyberInc[[#This Row],[Y ,Y(C), N]]</f>
        <v>PlanningAdvanced</v>
      </c>
      <c r="K25" s="184"/>
      <c r="L25" s="184"/>
      <c r="M25" s="184" t="str">
        <f t="shared" si="0"/>
        <v>Cyber Incident Management and Resilience</v>
      </c>
      <c r="N25" s="184">
        <f>IF(cyberInc[[#This Row],[Y ,Y(C), N]]=yes,1,0)</f>
        <v>0</v>
      </c>
      <c r="O25" s="184">
        <f>IF(cyberInc[[#This Row],[Y ,Y(C), N]]=yesCC,1,0)</f>
        <v>0</v>
      </c>
      <c r="P25" s="184">
        <f>IF(cyberInc[[#This Row],[Y ,Y(C), N]]=no,1,0)</f>
        <v>0</v>
      </c>
      <c r="Q25" s="184">
        <f>IF(cyberInc[[#This Row],[Y ,Y(C), N]]=NotAvail,1,0)</f>
        <v>0</v>
      </c>
      <c r="R25" s="92"/>
    </row>
    <row r="26" spans="1:18" ht="30" x14ac:dyDescent="0.25">
      <c r="A26" s="58" t="s">
        <v>510</v>
      </c>
      <c r="B26" s="58" t="s">
        <v>511</v>
      </c>
      <c r="C26" s="86" t="s">
        <v>30</v>
      </c>
      <c r="D26" s="87"/>
      <c r="E26" s="58" t="s">
        <v>523</v>
      </c>
      <c r="F26" s="24"/>
      <c r="G26" s="237"/>
      <c r="H26" s="255" t="str">
        <f>IFERROR(HYPERLINK("#'Appendix A'!E"&amp;ROW(INDEX(Table23[DSorder],MATCH(cyberInc[[#This Row],[AppAref]],Table23[DSorder],0))),"GO"),"")</f>
        <v/>
      </c>
      <c r="I26" s="92" t="str">
        <f>cyberInc[[#This Row],[Component]]&amp;cyberInc[[#This Row],[Maturity Level]]</f>
        <v>PlanningAdvanced</v>
      </c>
      <c r="J26" s="92" t="str">
        <f>cyberInc[[#This Row],[workArea]]&amp;cyberInc[[#This Row],[Y ,Y(C), N]]</f>
        <v>PlanningAdvanced</v>
      </c>
      <c r="K26" s="184"/>
      <c r="L26" s="184"/>
      <c r="M26" s="184" t="str">
        <f t="shared" si="0"/>
        <v>Cyber Incident Management and Resilience</v>
      </c>
      <c r="N26" s="184">
        <f>IF(cyberInc[[#This Row],[Y ,Y(C), N]]=yes,1,0)</f>
        <v>0</v>
      </c>
      <c r="O26" s="184">
        <f>IF(cyberInc[[#This Row],[Y ,Y(C), N]]=yesCC,1,0)</f>
        <v>0</v>
      </c>
      <c r="P26" s="184">
        <f>IF(cyberInc[[#This Row],[Y ,Y(C), N]]=no,1,0)</f>
        <v>0</v>
      </c>
      <c r="Q26" s="184">
        <f>IF(cyberInc[[#This Row],[Y ,Y(C), N]]=NotAvail,1,0)</f>
        <v>0</v>
      </c>
      <c r="R26" s="92"/>
    </row>
    <row r="27" spans="1:18" ht="45" x14ac:dyDescent="0.25">
      <c r="A27" s="58" t="s">
        <v>510</v>
      </c>
      <c r="B27" s="58" t="s">
        <v>511</v>
      </c>
      <c r="C27" s="86" t="s">
        <v>31</v>
      </c>
      <c r="D27" s="87"/>
      <c r="E27" s="58" t="s">
        <v>524</v>
      </c>
      <c r="F27" s="24"/>
      <c r="G27" s="237"/>
      <c r="H27" s="255" t="str">
        <f>IFERROR(HYPERLINK("#'Appendix A'!E"&amp;ROW(INDEX(Table23[DSorder],MATCH(cyberInc[[#This Row],[AppAref]],Table23[DSorder],0))),"GO"),"")</f>
        <v/>
      </c>
      <c r="I27" s="92" t="str">
        <f>cyberInc[[#This Row],[Component]]&amp;cyberInc[[#This Row],[Maturity Level]]</f>
        <v>PlanningInnovative</v>
      </c>
      <c r="J27" s="92" t="str">
        <f>cyberInc[[#This Row],[workArea]]&amp;cyberInc[[#This Row],[Y ,Y(C), N]]</f>
        <v>PlanningInnovative</v>
      </c>
      <c r="K27" s="184"/>
      <c r="L27" s="184"/>
      <c r="M27" s="184" t="str">
        <f t="shared" si="0"/>
        <v>Cyber Incident Management and Resilience</v>
      </c>
      <c r="N27" s="184">
        <f>IF(cyberInc[[#This Row],[Y ,Y(C), N]]=yes,1,0)</f>
        <v>0</v>
      </c>
      <c r="O27" s="184">
        <f>IF(cyberInc[[#This Row],[Y ,Y(C), N]]=yesCC,1,0)</f>
        <v>0</v>
      </c>
      <c r="P27" s="184">
        <f>IF(cyberInc[[#This Row],[Y ,Y(C), N]]=no,1,0)</f>
        <v>0</v>
      </c>
      <c r="Q27" s="184">
        <f>IF(cyberInc[[#This Row],[Y ,Y(C), N]]=NotAvail,1,0)</f>
        <v>0</v>
      </c>
      <c r="R27" s="92"/>
    </row>
    <row r="28" spans="1:18" ht="30" x14ac:dyDescent="0.25">
      <c r="A28" s="58" t="s">
        <v>510</v>
      </c>
      <c r="B28" s="58" t="s">
        <v>511</v>
      </c>
      <c r="C28" s="86" t="s">
        <v>31</v>
      </c>
      <c r="D28" s="87"/>
      <c r="E28" s="58" t="s">
        <v>525</v>
      </c>
      <c r="F28" s="24"/>
      <c r="G28" s="237"/>
      <c r="H28" s="255" t="str">
        <f>IFERROR(HYPERLINK("#'Appendix A'!E"&amp;ROW(INDEX(Table23[DSorder],MATCH(cyberInc[[#This Row],[AppAref]],Table23[DSorder],0))),"GO"),"")</f>
        <v/>
      </c>
      <c r="I28" s="92" t="str">
        <f>cyberInc[[#This Row],[Component]]&amp;cyberInc[[#This Row],[Maturity Level]]</f>
        <v>PlanningInnovative</v>
      </c>
      <c r="J28" s="92" t="str">
        <f>cyberInc[[#This Row],[workArea]]&amp;cyberInc[[#This Row],[Y ,Y(C), N]]</f>
        <v>PlanningInnovative</v>
      </c>
      <c r="K28" s="184"/>
      <c r="L28" s="184"/>
      <c r="M28" s="184" t="str">
        <f t="shared" si="0"/>
        <v>Cyber Incident Management and Resilience</v>
      </c>
      <c r="N28" s="184">
        <f>IF(cyberInc[[#This Row],[Y ,Y(C), N]]=yes,1,0)</f>
        <v>0</v>
      </c>
      <c r="O28" s="184">
        <f>IF(cyberInc[[#This Row],[Y ,Y(C), N]]=yesCC,1,0)</f>
        <v>0</v>
      </c>
      <c r="P28" s="184">
        <f>IF(cyberInc[[#This Row],[Y ,Y(C), N]]=no,1,0)</f>
        <v>0</v>
      </c>
      <c r="Q28" s="184">
        <f>IF(cyberInc[[#This Row],[Y ,Y(C), N]]=NotAvail,1,0)</f>
        <v>0</v>
      </c>
      <c r="R28" s="92"/>
    </row>
    <row r="29" spans="1:18" ht="30" x14ac:dyDescent="0.25">
      <c r="A29" s="58" t="s">
        <v>510</v>
      </c>
      <c r="B29" s="58" t="s">
        <v>529</v>
      </c>
      <c r="C29" s="86" t="s">
        <v>27</v>
      </c>
      <c r="D29" s="87"/>
      <c r="E29" s="58" t="s">
        <v>526</v>
      </c>
      <c r="F29"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71</v>
      </c>
      <c r="G29" s="237"/>
      <c r="H29" s="255" t="str">
        <f>IFERROR(HYPERLINK("#'Appendix A'!E"&amp;ROW(INDEX(Table23[DSorder],MATCH(cyberInc[[#This Row],[AppAref]],Table23[DSorder],0))),"GO"),"")</f>
        <v>GO</v>
      </c>
      <c r="I29" s="92" t="str">
        <f>cyberInc[[#This Row],[Component]]&amp;cyberInc[[#This Row],[Maturity Level]]</f>
        <v>TestingBaseline</v>
      </c>
      <c r="J29" s="92" t="str">
        <f>cyberInc[[#This Row],[workArea]]&amp;cyberInc[[#This Row],[Y ,Y(C), N]]</f>
        <v>TestingBaseline</v>
      </c>
      <c r="K29" s="184">
        <v>110</v>
      </c>
      <c r="L29" s="184">
        <f>IFERROR(MATCH(cyberInc[[#This Row],[Ref No.]],hyperlinkLU[Reference No.],0),cyberInc[[#This Row],[Ref No.]])</f>
        <v>111</v>
      </c>
      <c r="M29" s="184" t="str">
        <f t="shared" si="0"/>
        <v>Cyber Incident Management and Resilience</v>
      </c>
      <c r="N29" s="184">
        <f>IF(cyberInc[[#This Row],[Y ,Y(C), N]]=yes,1,0)</f>
        <v>0</v>
      </c>
      <c r="O29" s="184">
        <f>IF(cyberInc[[#This Row],[Y ,Y(C), N]]=yesCC,1,0)</f>
        <v>0</v>
      </c>
      <c r="P29" s="184">
        <f>IF(cyberInc[[#This Row],[Y ,Y(C), N]]=no,1,0)</f>
        <v>0</v>
      </c>
      <c r="Q29" s="184">
        <f>IF(cyberInc[[#This Row],[Y ,Y(C), N]]=NotAvail,1,0)</f>
        <v>0</v>
      </c>
      <c r="R29" s="92">
        <v>113</v>
      </c>
    </row>
    <row r="30" spans="1:18" ht="30" x14ac:dyDescent="0.25">
      <c r="A30" s="58" t="s">
        <v>510</v>
      </c>
      <c r="B30" s="58" t="s">
        <v>529</v>
      </c>
      <c r="C30" s="86" t="s">
        <v>27</v>
      </c>
      <c r="D30" s="87"/>
      <c r="E30" s="58" t="s">
        <v>527</v>
      </c>
      <c r="F30"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Business Continuity Planning Booklet, page J-6</v>
      </c>
      <c r="G30" s="237"/>
      <c r="H30" s="255" t="str">
        <f>IFERROR(HYPERLINK("#'Appendix A'!E"&amp;ROW(INDEX(Table23[DSorder],MATCH(cyberInc[[#This Row],[AppAref]],Table23[DSorder],0))),"GO"),"")</f>
        <v>GO</v>
      </c>
      <c r="I30" s="92" t="str">
        <f>cyberInc[[#This Row],[Component]]&amp;cyberInc[[#This Row],[Maturity Level]]</f>
        <v>TestingBaseline</v>
      </c>
      <c r="J30" s="92" t="str">
        <f>cyberInc[[#This Row],[workArea]]&amp;cyberInc[[#This Row],[Y ,Y(C), N]]</f>
        <v>TestingBaseline</v>
      </c>
      <c r="K30" s="184">
        <v>111</v>
      </c>
      <c r="L30" s="184">
        <f>IFERROR(MATCH(cyberInc[[#This Row],[Ref No.]],hyperlinkLU[Reference No.],0),cyberInc[[#This Row],[Ref No.]])</f>
        <v>112</v>
      </c>
      <c r="M30" s="184" t="str">
        <f t="shared" si="0"/>
        <v>Cyber Incident Management and Resilience</v>
      </c>
      <c r="N30" s="184">
        <f>IF(cyberInc[[#This Row],[Y ,Y(C), N]]=yes,1,0)</f>
        <v>0</v>
      </c>
      <c r="O30" s="184">
        <f>IF(cyberInc[[#This Row],[Y ,Y(C), N]]=yesCC,1,0)</f>
        <v>0</v>
      </c>
      <c r="P30" s="184">
        <f>IF(cyberInc[[#This Row],[Y ,Y(C), N]]=no,1,0)</f>
        <v>0</v>
      </c>
      <c r="Q30" s="184">
        <f>IF(cyberInc[[#This Row],[Y ,Y(C), N]]=NotAvail,1,0)</f>
        <v>0</v>
      </c>
      <c r="R30" s="92">
        <v>114</v>
      </c>
    </row>
    <row r="31" spans="1:18" ht="30" x14ac:dyDescent="0.25">
      <c r="A31" s="58" t="s">
        <v>510</v>
      </c>
      <c r="B31" s="58" t="s">
        <v>529</v>
      </c>
      <c r="C31" s="86" t="s">
        <v>27</v>
      </c>
      <c r="D31" s="87"/>
      <c r="E31" s="58" t="s">
        <v>528</v>
      </c>
      <c r="F31"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Business Continuity Planning Booklet, page J-7</v>
      </c>
      <c r="G31" s="237"/>
      <c r="H31" s="255" t="str">
        <f>IFERROR(HYPERLINK("#'Appendix A'!E"&amp;ROW(INDEX(Table23[DSorder],MATCH(cyberInc[[#This Row],[AppAref]],Table23[DSorder],0))),"GO"),"")</f>
        <v>GO</v>
      </c>
      <c r="I31" s="92" t="str">
        <f>cyberInc[[#This Row],[Component]]&amp;cyberInc[[#This Row],[Maturity Level]]</f>
        <v>TestingBaseline</v>
      </c>
      <c r="J31" s="92" t="str">
        <f>cyberInc[[#This Row],[workArea]]&amp;cyberInc[[#This Row],[Y ,Y(C), N]]</f>
        <v>TestingBaseline</v>
      </c>
      <c r="K31" s="184">
        <v>112</v>
      </c>
      <c r="L31" s="184">
        <f>IFERROR(MATCH(cyberInc[[#This Row],[Ref No.]],hyperlinkLU[Reference No.],0),cyberInc[[#This Row],[Ref No.]])</f>
        <v>113</v>
      </c>
      <c r="M31" s="184" t="str">
        <f t="shared" si="0"/>
        <v>Cyber Incident Management and Resilience</v>
      </c>
      <c r="N31" s="184">
        <f>IF(cyberInc[[#This Row],[Y ,Y(C), N]]=yes,1,0)</f>
        <v>0</v>
      </c>
      <c r="O31" s="184">
        <f>IF(cyberInc[[#This Row],[Y ,Y(C), N]]=yesCC,1,0)</f>
        <v>0</v>
      </c>
      <c r="P31" s="184">
        <f>IF(cyberInc[[#This Row],[Y ,Y(C), N]]=no,1,0)</f>
        <v>0</v>
      </c>
      <c r="Q31" s="184">
        <f>IF(cyberInc[[#This Row],[Y ,Y(C), N]]=NotAvail,1,0)</f>
        <v>0</v>
      </c>
      <c r="R31" s="92">
        <v>115</v>
      </c>
    </row>
    <row r="32" spans="1:18" ht="30" x14ac:dyDescent="0.25">
      <c r="A32" s="58" t="s">
        <v>510</v>
      </c>
      <c r="B32" s="58" t="s">
        <v>529</v>
      </c>
      <c r="C32" s="86" t="s">
        <v>28</v>
      </c>
      <c r="D32" s="87"/>
      <c r="E32" s="58" t="s">
        <v>530</v>
      </c>
      <c r="F32" s="24"/>
      <c r="G32" s="237"/>
      <c r="H32" s="255" t="str">
        <f>IFERROR(HYPERLINK("#'Appendix A'!E"&amp;ROW(INDEX(Table23[DSorder],MATCH(cyberInc[[#This Row],[AppAref]],Table23[DSorder],0))),"GO"),"")</f>
        <v/>
      </c>
      <c r="I32" s="92" t="str">
        <f>cyberInc[[#This Row],[Component]]&amp;cyberInc[[#This Row],[Maturity Level]]</f>
        <v>TestingEvolving</v>
      </c>
      <c r="J32" s="92" t="str">
        <f>cyberInc[[#This Row],[workArea]]&amp;cyberInc[[#This Row],[Y ,Y(C), N]]</f>
        <v>TestingEvolving</v>
      </c>
      <c r="K32" s="184"/>
      <c r="L32" s="184"/>
      <c r="M32" s="184" t="str">
        <f t="shared" si="0"/>
        <v>Cyber Incident Management and Resilience</v>
      </c>
      <c r="N32" s="184">
        <f>IF(cyberInc[[#This Row],[Y ,Y(C), N]]=yes,1,0)</f>
        <v>0</v>
      </c>
      <c r="O32" s="184">
        <f>IF(cyberInc[[#This Row],[Y ,Y(C), N]]=yesCC,1,0)</f>
        <v>0</v>
      </c>
      <c r="P32" s="184">
        <f>IF(cyberInc[[#This Row],[Y ,Y(C), N]]=no,1,0)</f>
        <v>0</v>
      </c>
      <c r="Q32" s="184">
        <f>IF(cyberInc[[#This Row],[Y ,Y(C), N]]=NotAvail,1,0)</f>
        <v>0</v>
      </c>
      <c r="R32" s="92"/>
    </row>
    <row r="33" spans="1:18" ht="30" x14ac:dyDescent="0.25">
      <c r="A33" s="58" t="s">
        <v>510</v>
      </c>
      <c r="B33" s="58" t="s">
        <v>529</v>
      </c>
      <c r="C33" s="86" t="s">
        <v>28</v>
      </c>
      <c r="D33" s="87"/>
      <c r="E33" s="58" t="s">
        <v>531</v>
      </c>
      <c r="F33" s="24"/>
      <c r="G33" s="237"/>
      <c r="H33" s="255" t="str">
        <f>IFERROR(HYPERLINK("#'Appendix A'!E"&amp;ROW(INDEX(Table23[DSorder],MATCH(cyberInc[[#This Row],[AppAref]],Table23[DSorder],0))),"GO"),"")</f>
        <v/>
      </c>
      <c r="I33" s="92" t="str">
        <f>cyberInc[[#This Row],[Component]]&amp;cyberInc[[#This Row],[Maturity Level]]</f>
        <v>TestingEvolving</v>
      </c>
      <c r="J33" s="92" t="str">
        <f>cyberInc[[#This Row],[workArea]]&amp;cyberInc[[#This Row],[Y ,Y(C), N]]</f>
        <v>TestingEvolving</v>
      </c>
      <c r="K33" s="184"/>
      <c r="L33" s="184"/>
      <c r="M33" s="184" t="str">
        <f t="shared" si="0"/>
        <v>Cyber Incident Management and Resilience</v>
      </c>
      <c r="N33" s="184">
        <f>IF(cyberInc[[#This Row],[Y ,Y(C), N]]=yes,1,0)</f>
        <v>0</v>
      </c>
      <c r="O33" s="184">
        <f>IF(cyberInc[[#This Row],[Y ,Y(C), N]]=yesCC,1,0)</f>
        <v>0</v>
      </c>
      <c r="P33" s="184">
        <f>IF(cyberInc[[#This Row],[Y ,Y(C), N]]=no,1,0)</f>
        <v>0</v>
      </c>
      <c r="Q33" s="184">
        <f>IF(cyberInc[[#This Row],[Y ,Y(C), N]]=NotAvail,1,0)</f>
        <v>0</v>
      </c>
      <c r="R33" s="92"/>
    </row>
    <row r="34" spans="1:18" ht="30" x14ac:dyDescent="0.25">
      <c r="A34" s="58" t="s">
        <v>510</v>
      </c>
      <c r="B34" s="58" t="s">
        <v>529</v>
      </c>
      <c r="C34" s="86" t="s">
        <v>28</v>
      </c>
      <c r="D34" s="87"/>
      <c r="E34" s="58" t="s">
        <v>532</v>
      </c>
      <c r="F34" s="24"/>
      <c r="G34" s="237"/>
      <c r="H34" s="255" t="str">
        <f>IFERROR(HYPERLINK("#'Appendix A'!E"&amp;ROW(INDEX(Table23[DSorder],MATCH(cyberInc[[#This Row],[AppAref]],Table23[DSorder],0))),"GO"),"")</f>
        <v/>
      </c>
      <c r="I34" s="92" t="str">
        <f>cyberInc[[#This Row],[Component]]&amp;cyberInc[[#This Row],[Maturity Level]]</f>
        <v>TestingEvolving</v>
      </c>
      <c r="J34" s="92" t="str">
        <f>cyberInc[[#This Row],[workArea]]&amp;cyberInc[[#This Row],[Y ,Y(C), N]]</f>
        <v>TestingEvolving</v>
      </c>
      <c r="K34" s="184"/>
      <c r="L34" s="184"/>
      <c r="M34" s="184" t="str">
        <f t="shared" si="0"/>
        <v>Cyber Incident Management and Resilience</v>
      </c>
      <c r="N34" s="184">
        <f>IF(cyberInc[[#This Row],[Y ,Y(C), N]]=yes,1,0)</f>
        <v>0</v>
      </c>
      <c r="O34" s="184">
        <f>IF(cyberInc[[#This Row],[Y ,Y(C), N]]=yesCC,1,0)</f>
        <v>0</v>
      </c>
      <c r="P34" s="184">
        <f>IF(cyberInc[[#This Row],[Y ,Y(C), N]]=no,1,0)</f>
        <v>0</v>
      </c>
      <c r="Q34" s="184">
        <f>IF(cyberInc[[#This Row],[Y ,Y(C), N]]=NotAvail,1,0)</f>
        <v>0</v>
      </c>
      <c r="R34" s="92"/>
    </row>
    <row r="35" spans="1:18" ht="30" x14ac:dyDescent="0.25">
      <c r="A35" s="58" t="s">
        <v>510</v>
      </c>
      <c r="B35" s="58" t="s">
        <v>529</v>
      </c>
      <c r="C35" s="86" t="s">
        <v>29</v>
      </c>
      <c r="D35" s="87"/>
      <c r="E35" s="58" t="s">
        <v>533</v>
      </c>
      <c r="F35" s="24"/>
      <c r="G35" s="237"/>
      <c r="H35" s="255" t="str">
        <f>IFERROR(HYPERLINK("#'Appendix A'!E"&amp;ROW(INDEX(Table23[DSorder],MATCH(cyberInc[[#This Row],[AppAref]],Table23[DSorder],0))),"GO"),"")</f>
        <v/>
      </c>
      <c r="I35" s="92" t="str">
        <f>cyberInc[[#This Row],[Component]]&amp;cyberInc[[#This Row],[Maturity Level]]</f>
        <v>TestingIntermediate</v>
      </c>
      <c r="J35" s="92" t="str">
        <f>cyberInc[[#This Row],[workArea]]&amp;cyberInc[[#This Row],[Y ,Y(C), N]]</f>
        <v>TestingIntermediate</v>
      </c>
      <c r="K35" s="184"/>
      <c r="L35" s="184"/>
      <c r="M35" s="184" t="str">
        <f t="shared" si="0"/>
        <v>Cyber Incident Management and Resilience</v>
      </c>
      <c r="N35" s="184">
        <f>IF(cyberInc[[#This Row],[Y ,Y(C), N]]=yes,1,0)</f>
        <v>0</v>
      </c>
      <c r="O35" s="184">
        <f>IF(cyberInc[[#This Row],[Y ,Y(C), N]]=yesCC,1,0)</f>
        <v>0</v>
      </c>
      <c r="P35" s="184">
        <f>IF(cyberInc[[#This Row],[Y ,Y(C), N]]=no,1,0)</f>
        <v>0</v>
      </c>
      <c r="Q35" s="184">
        <f>IF(cyberInc[[#This Row],[Y ,Y(C), N]]=NotAvail,1,0)</f>
        <v>0</v>
      </c>
      <c r="R35" s="92"/>
    </row>
    <row r="36" spans="1:18" ht="30" x14ac:dyDescent="0.25">
      <c r="A36" s="58" t="s">
        <v>510</v>
      </c>
      <c r="B36" s="58" t="s">
        <v>529</v>
      </c>
      <c r="C36" s="86" t="s">
        <v>29</v>
      </c>
      <c r="D36" s="87"/>
      <c r="E36" s="58" t="s">
        <v>534</v>
      </c>
      <c r="F36" s="24"/>
      <c r="G36" s="237"/>
      <c r="H36" s="255" t="str">
        <f>IFERROR(HYPERLINK("#'Appendix A'!E"&amp;ROW(INDEX(Table23[DSorder],MATCH(cyberInc[[#This Row],[AppAref]],Table23[DSorder],0))),"GO"),"")</f>
        <v/>
      </c>
      <c r="I36" s="92" t="str">
        <f>cyberInc[[#This Row],[Component]]&amp;cyberInc[[#This Row],[Maturity Level]]</f>
        <v>TestingIntermediate</v>
      </c>
      <c r="J36" s="92" t="str">
        <f>cyberInc[[#This Row],[workArea]]&amp;cyberInc[[#This Row],[Y ,Y(C), N]]</f>
        <v>TestingIntermediate</v>
      </c>
      <c r="K36" s="184"/>
      <c r="L36" s="184"/>
      <c r="M36" s="184" t="str">
        <f t="shared" si="0"/>
        <v>Cyber Incident Management and Resilience</v>
      </c>
      <c r="N36" s="184">
        <f>IF(cyberInc[[#This Row],[Y ,Y(C), N]]=yes,1,0)</f>
        <v>0</v>
      </c>
      <c r="O36" s="184">
        <f>IF(cyberInc[[#This Row],[Y ,Y(C), N]]=yesCC,1,0)</f>
        <v>0</v>
      </c>
      <c r="P36" s="184">
        <f>IF(cyberInc[[#This Row],[Y ,Y(C), N]]=no,1,0)</f>
        <v>0</v>
      </c>
      <c r="Q36" s="184">
        <f>IF(cyberInc[[#This Row],[Y ,Y(C), N]]=NotAvail,1,0)</f>
        <v>0</v>
      </c>
      <c r="R36" s="92"/>
    </row>
    <row r="37" spans="1:18" ht="30" x14ac:dyDescent="0.25">
      <c r="A37" s="58" t="s">
        <v>510</v>
      </c>
      <c r="B37" s="58" t="s">
        <v>529</v>
      </c>
      <c r="C37" s="86" t="s">
        <v>29</v>
      </c>
      <c r="D37" s="87"/>
      <c r="E37" s="58" t="s">
        <v>535</v>
      </c>
      <c r="F37" s="24"/>
      <c r="G37" s="237"/>
      <c r="H37" s="255" t="str">
        <f>IFERROR(HYPERLINK("#'Appendix A'!E"&amp;ROW(INDEX(Table23[DSorder],MATCH(cyberInc[[#This Row],[AppAref]],Table23[DSorder],0))),"GO"),"")</f>
        <v/>
      </c>
      <c r="I37" s="92" t="str">
        <f>cyberInc[[#This Row],[Component]]&amp;cyberInc[[#This Row],[Maturity Level]]</f>
        <v>TestingIntermediate</v>
      </c>
      <c r="J37" s="92" t="str">
        <f>cyberInc[[#This Row],[workArea]]&amp;cyberInc[[#This Row],[Y ,Y(C), N]]</f>
        <v>TestingIntermediate</v>
      </c>
      <c r="K37" s="184"/>
      <c r="L37" s="184"/>
      <c r="M37" s="184" t="str">
        <f t="shared" si="0"/>
        <v>Cyber Incident Management and Resilience</v>
      </c>
      <c r="N37" s="184">
        <f>IF(cyberInc[[#This Row],[Y ,Y(C), N]]=yes,1,0)</f>
        <v>0</v>
      </c>
      <c r="O37" s="184">
        <f>IF(cyberInc[[#This Row],[Y ,Y(C), N]]=yesCC,1,0)</f>
        <v>0</v>
      </c>
      <c r="P37" s="184">
        <f>IF(cyberInc[[#This Row],[Y ,Y(C), N]]=no,1,0)</f>
        <v>0</v>
      </c>
      <c r="Q37" s="184">
        <f>IF(cyberInc[[#This Row],[Y ,Y(C), N]]=NotAvail,1,0)</f>
        <v>0</v>
      </c>
      <c r="R37" s="92"/>
    </row>
    <row r="38" spans="1:18" ht="30" x14ac:dyDescent="0.25">
      <c r="A38" s="58" t="s">
        <v>510</v>
      </c>
      <c r="B38" s="58" t="s">
        <v>529</v>
      </c>
      <c r="C38" s="86" t="s">
        <v>29</v>
      </c>
      <c r="D38" s="87"/>
      <c r="E38" s="58" t="s">
        <v>536</v>
      </c>
      <c r="F38" s="24"/>
      <c r="G38" s="237"/>
      <c r="H38" s="255" t="str">
        <f>IFERROR(HYPERLINK("#'Appendix A'!E"&amp;ROW(INDEX(Table23[DSorder],MATCH(cyberInc[[#This Row],[AppAref]],Table23[DSorder],0))),"GO"),"")</f>
        <v/>
      </c>
      <c r="I38" s="92" t="str">
        <f>cyberInc[[#This Row],[Component]]&amp;cyberInc[[#This Row],[Maturity Level]]</f>
        <v>TestingIntermediate</v>
      </c>
      <c r="J38" s="92" t="str">
        <f>cyberInc[[#This Row],[workArea]]&amp;cyberInc[[#This Row],[Y ,Y(C), N]]</f>
        <v>TestingIntermediate</v>
      </c>
      <c r="K38" s="184"/>
      <c r="L38" s="184"/>
      <c r="M38" s="184" t="str">
        <f t="shared" si="0"/>
        <v>Cyber Incident Management and Resilience</v>
      </c>
      <c r="N38" s="184">
        <f>IF(cyberInc[[#This Row],[Y ,Y(C), N]]=yes,1,0)</f>
        <v>0</v>
      </c>
      <c r="O38" s="184">
        <f>IF(cyberInc[[#This Row],[Y ,Y(C), N]]=yesCC,1,0)</f>
        <v>0</v>
      </c>
      <c r="P38" s="184">
        <f>IF(cyberInc[[#This Row],[Y ,Y(C), N]]=no,1,0)</f>
        <v>0</v>
      </c>
      <c r="Q38" s="184">
        <f>IF(cyberInc[[#This Row],[Y ,Y(C), N]]=NotAvail,1,0)</f>
        <v>0</v>
      </c>
      <c r="R38" s="92"/>
    </row>
    <row r="39" spans="1:18" ht="30" x14ac:dyDescent="0.25">
      <c r="A39" s="58" t="s">
        <v>510</v>
      </c>
      <c r="B39" s="58" t="s">
        <v>529</v>
      </c>
      <c r="C39" s="86" t="s">
        <v>29</v>
      </c>
      <c r="D39" s="87"/>
      <c r="E39" s="58" t="s">
        <v>537</v>
      </c>
      <c r="F39" s="24"/>
      <c r="G39" s="237"/>
      <c r="H39" s="255" t="str">
        <f>IFERROR(HYPERLINK("#'Appendix A'!E"&amp;ROW(INDEX(Table23[DSorder],MATCH(cyberInc[[#This Row],[AppAref]],Table23[DSorder],0))),"GO"),"")</f>
        <v/>
      </c>
      <c r="I39" s="92" t="str">
        <f>cyberInc[[#This Row],[Component]]&amp;cyberInc[[#This Row],[Maturity Level]]</f>
        <v>TestingIntermediate</v>
      </c>
      <c r="J39" s="92" t="str">
        <f>cyberInc[[#This Row],[workArea]]&amp;cyberInc[[#This Row],[Y ,Y(C), N]]</f>
        <v>TestingIntermediate</v>
      </c>
      <c r="K39" s="184"/>
      <c r="L39" s="184"/>
      <c r="M39" s="184" t="str">
        <f t="shared" si="0"/>
        <v>Cyber Incident Management and Resilience</v>
      </c>
      <c r="N39" s="184">
        <f>IF(cyberInc[[#This Row],[Y ,Y(C), N]]=yes,1,0)</f>
        <v>0</v>
      </c>
      <c r="O39" s="184">
        <f>IF(cyberInc[[#This Row],[Y ,Y(C), N]]=yesCC,1,0)</f>
        <v>0</v>
      </c>
      <c r="P39" s="184">
        <f>IF(cyberInc[[#This Row],[Y ,Y(C), N]]=no,1,0)</f>
        <v>0</v>
      </c>
      <c r="Q39" s="184">
        <f>IF(cyberInc[[#This Row],[Y ,Y(C), N]]=NotAvail,1,0)</f>
        <v>0</v>
      </c>
      <c r="R39" s="92"/>
    </row>
    <row r="40" spans="1:18" ht="30" x14ac:dyDescent="0.25">
      <c r="A40" s="58" t="s">
        <v>510</v>
      </c>
      <c r="B40" s="58" t="s">
        <v>529</v>
      </c>
      <c r="C40" s="86" t="s">
        <v>30</v>
      </c>
      <c r="D40" s="87"/>
      <c r="E40" s="58" t="s">
        <v>538</v>
      </c>
      <c r="F40" s="24"/>
      <c r="G40" s="237"/>
      <c r="H40" s="255" t="str">
        <f>IFERROR(HYPERLINK("#'Appendix A'!E"&amp;ROW(INDEX(Table23[DSorder],MATCH(cyberInc[[#This Row],[AppAref]],Table23[DSorder],0))),"GO"),"")</f>
        <v/>
      </c>
      <c r="I40" s="92" t="str">
        <f>cyberInc[[#This Row],[Component]]&amp;cyberInc[[#This Row],[Maturity Level]]</f>
        <v>TestingAdvanced</v>
      </c>
      <c r="J40" s="92" t="str">
        <f>cyberInc[[#This Row],[workArea]]&amp;cyberInc[[#This Row],[Y ,Y(C), N]]</f>
        <v>TestingAdvanced</v>
      </c>
      <c r="K40" s="184"/>
      <c r="L40" s="184"/>
      <c r="M40" s="184" t="str">
        <f t="shared" si="0"/>
        <v>Cyber Incident Management and Resilience</v>
      </c>
      <c r="N40" s="184">
        <f>IF(cyberInc[[#This Row],[Y ,Y(C), N]]=yes,1,0)</f>
        <v>0</v>
      </c>
      <c r="O40" s="184">
        <f>IF(cyberInc[[#This Row],[Y ,Y(C), N]]=yesCC,1,0)</f>
        <v>0</v>
      </c>
      <c r="P40" s="184">
        <f>IF(cyberInc[[#This Row],[Y ,Y(C), N]]=no,1,0)</f>
        <v>0</v>
      </c>
      <c r="Q40" s="184">
        <f>IF(cyberInc[[#This Row],[Y ,Y(C), N]]=NotAvail,1,0)</f>
        <v>0</v>
      </c>
      <c r="R40" s="92"/>
    </row>
    <row r="41" spans="1:18" ht="30" x14ac:dyDescent="0.25">
      <c r="A41" s="58" t="s">
        <v>510</v>
      </c>
      <c r="B41" s="58" t="s">
        <v>529</v>
      </c>
      <c r="C41" s="86" t="s">
        <v>30</v>
      </c>
      <c r="D41" s="87"/>
      <c r="E41" s="58" t="s">
        <v>539</v>
      </c>
      <c r="F41" s="24"/>
      <c r="G41" s="237"/>
      <c r="H41" s="255" t="str">
        <f>IFERROR(HYPERLINK("#'Appendix A'!E"&amp;ROW(INDEX(Table23[DSorder],MATCH(cyberInc[[#This Row],[AppAref]],Table23[DSorder],0))),"GO"),"")</f>
        <v/>
      </c>
      <c r="I41" s="92" t="str">
        <f>cyberInc[[#This Row],[Component]]&amp;cyberInc[[#This Row],[Maturity Level]]</f>
        <v>TestingAdvanced</v>
      </c>
      <c r="J41" s="92" t="str">
        <f>cyberInc[[#This Row],[workArea]]&amp;cyberInc[[#This Row],[Y ,Y(C), N]]</f>
        <v>TestingAdvanced</v>
      </c>
      <c r="K41" s="184"/>
      <c r="L41" s="184"/>
      <c r="M41" s="184" t="str">
        <f t="shared" ref="M41:M72" si="1">TRIM(MID($A$5,FIND(":",$A$5)+2,LEN($A$5)))</f>
        <v>Cyber Incident Management and Resilience</v>
      </c>
      <c r="N41" s="184">
        <f>IF(cyberInc[[#This Row],[Y ,Y(C), N]]=yes,1,0)</f>
        <v>0</v>
      </c>
      <c r="O41" s="184">
        <f>IF(cyberInc[[#This Row],[Y ,Y(C), N]]=yesCC,1,0)</f>
        <v>0</v>
      </c>
      <c r="P41" s="184">
        <f>IF(cyberInc[[#This Row],[Y ,Y(C), N]]=no,1,0)</f>
        <v>0</v>
      </c>
      <c r="Q41" s="184">
        <f>IF(cyberInc[[#This Row],[Y ,Y(C), N]]=NotAvail,1,0)</f>
        <v>0</v>
      </c>
      <c r="R41" s="92"/>
    </row>
    <row r="42" spans="1:18" ht="45" x14ac:dyDescent="0.25">
      <c r="A42" s="58" t="s">
        <v>510</v>
      </c>
      <c r="B42" s="58" t="s">
        <v>529</v>
      </c>
      <c r="C42" s="86" t="s">
        <v>30</v>
      </c>
      <c r="D42" s="87"/>
      <c r="E42" s="58" t="s">
        <v>540</v>
      </c>
      <c r="F42" s="24"/>
      <c r="G42" s="237"/>
      <c r="H42" s="255" t="str">
        <f>IFERROR(HYPERLINK("#'Appendix A'!E"&amp;ROW(INDEX(Table23[DSorder],MATCH(cyberInc[[#This Row],[AppAref]],Table23[DSorder],0))),"GO"),"")</f>
        <v/>
      </c>
      <c r="I42" s="92" t="str">
        <f>cyberInc[[#This Row],[Component]]&amp;cyberInc[[#This Row],[Maturity Level]]</f>
        <v>TestingAdvanced</v>
      </c>
      <c r="J42" s="92" t="str">
        <f>cyberInc[[#This Row],[workArea]]&amp;cyberInc[[#This Row],[Y ,Y(C), N]]</f>
        <v>TestingAdvanced</v>
      </c>
      <c r="K42" s="184"/>
      <c r="L42" s="184"/>
      <c r="M42" s="184" t="str">
        <f t="shared" si="1"/>
        <v>Cyber Incident Management and Resilience</v>
      </c>
      <c r="N42" s="184">
        <f>IF(cyberInc[[#This Row],[Y ,Y(C), N]]=yes,1,0)</f>
        <v>0</v>
      </c>
      <c r="O42" s="184">
        <f>IF(cyberInc[[#This Row],[Y ,Y(C), N]]=yesCC,1,0)</f>
        <v>0</v>
      </c>
      <c r="P42" s="184">
        <f>IF(cyberInc[[#This Row],[Y ,Y(C), N]]=no,1,0)</f>
        <v>0</v>
      </c>
      <c r="Q42" s="184">
        <f>IF(cyberInc[[#This Row],[Y ,Y(C), N]]=NotAvail,1,0)</f>
        <v>0</v>
      </c>
      <c r="R42" s="92"/>
    </row>
    <row r="43" spans="1:18" ht="30" x14ac:dyDescent="0.25">
      <c r="A43" s="58" t="s">
        <v>510</v>
      </c>
      <c r="B43" s="58" t="s">
        <v>529</v>
      </c>
      <c r="C43" s="86" t="s">
        <v>30</v>
      </c>
      <c r="D43" s="87"/>
      <c r="E43" s="58" t="s">
        <v>541</v>
      </c>
      <c r="F43" s="24"/>
      <c r="G43" s="237"/>
      <c r="H43" s="255" t="str">
        <f>IFERROR(HYPERLINK("#'Appendix A'!E"&amp;ROW(INDEX(Table23[DSorder],MATCH(cyberInc[[#This Row],[AppAref]],Table23[DSorder],0))),"GO"),"")</f>
        <v/>
      </c>
      <c r="I43" s="92" t="str">
        <f>cyberInc[[#This Row],[Component]]&amp;cyberInc[[#This Row],[Maturity Level]]</f>
        <v>TestingAdvanced</v>
      </c>
      <c r="J43" s="92" t="str">
        <f>cyberInc[[#This Row],[workArea]]&amp;cyberInc[[#This Row],[Y ,Y(C), N]]</f>
        <v>TestingAdvanced</v>
      </c>
      <c r="K43" s="184"/>
      <c r="L43" s="184"/>
      <c r="M43" s="184" t="str">
        <f t="shared" si="1"/>
        <v>Cyber Incident Management and Resilience</v>
      </c>
      <c r="N43" s="184">
        <f>IF(cyberInc[[#This Row],[Y ,Y(C), N]]=yes,1,0)</f>
        <v>0</v>
      </c>
      <c r="O43" s="184">
        <f>IF(cyberInc[[#This Row],[Y ,Y(C), N]]=yesCC,1,0)</f>
        <v>0</v>
      </c>
      <c r="P43" s="184">
        <f>IF(cyberInc[[#This Row],[Y ,Y(C), N]]=no,1,0)</f>
        <v>0</v>
      </c>
      <c r="Q43" s="184">
        <f>IF(cyberInc[[#This Row],[Y ,Y(C), N]]=NotAvail,1,0)</f>
        <v>0</v>
      </c>
      <c r="R43" s="92"/>
    </row>
    <row r="44" spans="1:18" ht="30" x14ac:dyDescent="0.25">
      <c r="A44" s="58" t="s">
        <v>510</v>
      </c>
      <c r="B44" s="58" t="s">
        <v>529</v>
      </c>
      <c r="C44" s="86" t="s">
        <v>30</v>
      </c>
      <c r="D44" s="87"/>
      <c r="E44" s="58" t="s">
        <v>542</v>
      </c>
      <c r="F44" s="24"/>
      <c r="G44" s="237"/>
      <c r="H44" s="255" t="str">
        <f>IFERROR(HYPERLINK("#'Appendix A'!E"&amp;ROW(INDEX(Table23[DSorder],MATCH(cyberInc[[#This Row],[AppAref]],Table23[DSorder],0))),"GO"),"")</f>
        <v/>
      </c>
      <c r="I44" s="92" t="str">
        <f>cyberInc[[#This Row],[Component]]&amp;cyberInc[[#This Row],[Maturity Level]]</f>
        <v>TestingAdvanced</v>
      </c>
      <c r="J44" s="92" t="str">
        <f>cyberInc[[#This Row],[workArea]]&amp;cyberInc[[#This Row],[Y ,Y(C), N]]</f>
        <v>TestingAdvanced</v>
      </c>
      <c r="K44" s="184"/>
      <c r="L44" s="184"/>
      <c r="M44" s="184" t="str">
        <f t="shared" si="1"/>
        <v>Cyber Incident Management and Resilience</v>
      </c>
      <c r="N44" s="184">
        <f>IF(cyberInc[[#This Row],[Y ,Y(C), N]]=yes,1,0)</f>
        <v>0</v>
      </c>
      <c r="O44" s="184">
        <f>IF(cyberInc[[#This Row],[Y ,Y(C), N]]=yesCC,1,0)</f>
        <v>0</v>
      </c>
      <c r="P44" s="184">
        <f>IF(cyberInc[[#This Row],[Y ,Y(C), N]]=no,1,0)</f>
        <v>0</v>
      </c>
      <c r="Q44" s="184">
        <f>IF(cyberInc[[#This Row],[Y ,Y(C), N]]=NotAvail,1,0)</f>
        <v>0</v>
      </c>
      <c r="R44" s="92"/>
    </row>
    <row r="45" spans="1:18" ht="45" x14ac:dyDescent="0.25">
      <c r="A45" s="58" t="s">
        <v>510</v>
      </c>
      <c r="B45" s="58" t="s">
        <v>529</v>
      </c>
      <c r="C45" s="86" t="s">
        <v>31</v>
      </c>
      <c r="D45" s="87"/>
      <c r="E45" s="58" t="s">
        <v>543</v>
      </c>
      <c r="F45" s="24"/>
      <c r="G45" s="237"/>
      <c r="H45" s="255" t="str">
        <f>IFERROR(HYPERLINK("#'Appendix A'!E"&amp;ROW(INDEX(Table23[DSorder],MATCH(cyberInc[[#This Row],[AppAref]],Table23[DSorder],0))),"GO"),"")</f>
        <v/>
      </c>
      <c r="I45" s="92" t="str">
        <f>cyberInc[[#This Row],[Component]]&amp;cyberInc[[#This Row],[Maturity Level]]</f>
        <v>TestingInnovative</v>
      </c>
      <c r="J45" s="92" t="str">
        <f>cyberInc[[#This Row],[workArea]]&amp;cyberInc[[#This Row],[Y ,Y(C), N]]</f>
        <v>TestingInnovative</v>
      </c>
      <c r="K45" s="184"/>
      <c r="L45" s="184"/>
      <c r="M45" s="184" t="str">
        <f t="shared" si="1"/>
        <v>Cyber Incident Management and Resilience</v>
      </c>
      <c r="N45" s="184">
        <f>IF(cyberInc[[#This Row],[Y ,Y(C), N]]=yes,1,0)</f>
        <v>0</v>
      </c>
      <c r="O45" s="184">
        <f>IF(cyberInc[[#This Row],[Y ,Y(C), N]]=yesCC,1,0)</f>
        <v>0</v>
      </c>
      <c r="P45" s="184">
        <f>IF(cyberInc[[#This Row],[Y ,Y(C), N]]=no,1,0)</f>
        <v>0</v>
      </c>
      <c r="Q45" s="184">
        <f>IF(cyberInc[[#This Row],[Y ,Y(C), N]]=NotAvail,1,0)</f>
        <v>0</v>
      </c>
      <c r="R45" s="92"/>
    </row>
    <row r="46" spans="1:18" ht="30" x14ac:dyDescent="0.25">
      <c r="A46" s="58" t="s">
        <v>510</v>
      </c>
      <c r="B46" s="58" t="s">
        <v>529</v>
      </c>
      <c r="C46" s="86" t="s">
        <v>31</v>
      </c>
      <c r="D46" s="87"/>
      <c r="E46" s="58" t="s">
        <v>544</v>
      </c>
      <c r="F46" s="24"/>
      <c r="G46" s="237"/>
      <c r="H46" s="255" t="str">
        <f>IFERROR(HYPERLINK("#'Appendix A'!E"&amp;ROW(INDEX(Table23[DSorder],MATCH(cyberInc[[#This Row],[AppAref]],Table23[DSorder],0))),"GO"),"")</f>
        <v/>
      </c>
      <c r="I46" s="92" t="str">
        <f>cyberInc[[#This Row],[Component]]&amp;cyberInc[[#This Row],[Maturity Level]]</f>
        <v>TestingInnovative</v>
      </c>
      <c r="J46" s="92" t="str">
        <f>cyberInc[[#This Row],[workArea]]&amp;cyberInc[[#This Row],[Y ,Y(C), N]]</f>
        <v>TestingInnovative</v>
      </c>
      <c r="K46" s="184"/>
      <c r="L46" s="184"/>
      <c r="M46" s="184" t="str">
        <f t="shared" si="1"/>
        <v>Cyber Incident Management and Resilience</v>
      </c>
      <c r="N46" s="184">
        <f>IF(cyberInc[[#This Row],[Y ,Y(C), N]]=yes,1,0)</f>
        <v>0</v>
      </c>
      <c r="O46" s="184">
        <f>IF(cyberInc[[#This Row],[Y ,Y(C), N]]=yesCC,1,0)</f>
        <v>0</v>
      </c>
      <c r="P46" s="184">
        <f>IF(cyberInc[[#This Row],[Y ,Y(C), N]]=no,1,0)</f>
        <v>0</v>
      </c>
      <c r="Q46" s="184">
        <f>IF(cyberInc[[#This Row],[Y ,Y(C), N]]=NotAvail,1,0)</f>
        <v>0</v>
      </c>
      <c r="R46" s="92"/>
    </row>
    <row r="47" spans="1:18" ht="30" x14ac:dyDescent="0.25">
      <c r="A47" s="58" t="s">
        <v>510</v>
      </c>
      <c r="B47" s="58" t="s">
        <v>529</v>
      </c>
      <c r="C47" s="86" t="s">
        <v>31</v>
      </c>
      <c r="D47" s="87"/>
      <c r="E47" s="58" t="s">
        <v>545</v>
      </c>
      <c r="F47" s="24"/>
      <c r="G47" s="237"/>
      <c r="H47" s="255" t="str">
        <f>IFERROR(HYPERLINK("#'Appendix A'!E"&amp;ROW(INDEX(Table23[DSorder],MATCH(cyberInc[[#This Row],[AppAref]],Table23[DSorder],0))),"GO"),"")</f>
        <v/>
      </c>
      <c r="I47" s="92" t="str">
        <f>cyberInc[[#This Row],[Component]]&amp;cyberInc[[#This Row],[Maturity Level]]</f>
        <v>TestingInnovative</v>
      </c>
      <c r="J47" s="92" t="str">
        <f>cyberInc[[#This Row],[workArea]]&amp;cyberInc[[#This Row],[Y ,Y(C), N]]</f>
        <v>TestingInnovative</v>
      </c>
      <c r="K47" s="184"/>
      <c r="L47" s="184"/>
      <c r="M47" s="184" t="str">
        <f t="shared" si="1"/>
        <v>Cyber Incident Management and Resilience</v>
      </c>
      <c r="N47" s="184">
        <f>IF(cyberInc[[#This Row],[Y ,Y(C), N]]=yes,1,0)</f>
        <v>0</v>
      </c>
      <c r="O47" s="184">
        <f>IF(cyberInc[[#This Row],[Y ,Y(C), N]]=yesCC,1,0)</f>
        <v>0</v>
      </c>
      <c r="P47" s="184">
        <f>IF(cyberInc[[#This Row],[Y ,Y(C), N]]=no,1,0)</f>
        <v>0</v>
      </c>
      <c r="Q47" s="184">
        <f>IF(cyberInc[[#This Row],[Y ,Y(C), N]]=NotAvail,1,0)</f>
        <v>0</v>
      </c>
      <c r="R47" s="92"/>
    </row>
    <row r="48" spans="1:18" ht="30" x14ac:dyDescent="0.25">
      <c r="A48" s="58" t="s">
        <v>510</v>
      </c>
      <c r="B48" s="58" t="s">
        <v>529</v>
      </c>
      <c r="C48" s="86" t="s">
        <v>31</v>
      </c>
      <c r="D48" s="87"/>
      <c r="E48" s="58" t="s">
        <v>546</v>
      </c>
      <c r="F48" s="24"/>
      <c r="G48" s="237"/>
      <c r="H48" s="255" t="str">
        <f>IFERROR(HYPERLINK("#'Appendix A'!E"&amp;ROW(INDEX(Table23[DSorder],MATCH(cyberInc[[#This Row],[AppAref]],Table23[DSorder],0))),"GO"),"")</f>
        <v/>
      </c>
      <c r="I48" s="92" t="str">
        <f>cyberInc[[#This Row],[Component]]&amp;cyberInc[[#This Row],[Maturity Level]]</f>
        <v>TestingInnovative</v>
      </c>
      <c r="J48" s="92" t="str">
        <f>cyberInc[[#This Row],[workArea]]&amp;cyberInc[[#This Row],[Y ,Y(C), N]]</f>
        <v>TestingInnovative</v>
      </c>
      <c r="K48" s="184"/>
      <c r="L48" s="184"/>
      <c r="M48" s="184" t="str">
        <f t="shared" si="1"/>
        <v>Cyber Incident Management and Resilience</v>
      </c>
      <c r="N48" s="184">
        <f>IF(cyberInc[[#This Row],[Y ,Y(C), N]]=yes,1,0)</f>
        <v>0</v>
      </c>
      <c r="O48" s="184">
        <f>IF(cyberInc[[#This Row],[Y ,Y(C), N]]=yesCC,1,0)</f>
        <v>0</v>
      </c>
      <c r="P48" s="184">
        <f>IF(cyberInc[[#This Row],[Y ,Y(C), N]]=no,1,0)</f>
        <v>0</v>
      </c>
      <c r="Q48" s="184">
        <f>IF(cyberInc[[#This Row],[Y ,Y(C), N]]=NotAvail,1,0)</f>
        <v>0</v>
      </c>
      <c r="R48" s="92"/>
    </row>
    <row r="49" spans="1:18" ht="30" x14ac:dyDescent="0.25">
      <c r="A49" s="58" t="s">
        <v>547</v>
      </c>
      <c r="B49" s="58" t="s">
        <v>548</v>
      </c>
      <c r="C49" s="86" t="s">
        <v>27</v>
      </c>
      <c r="D49" s="87"/>
      <c r="E49" s="58" t="s">
        <v>549</v>
      </c>
      <c r="F49"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43</v>
      </c>
      <c r="G49" s="237"/>
      <c r="H49" s="255" t="str">
        <f>IFERROR(HYPERLINK("#'Appendix A'!E"&amp;ROW(INDEX(Table23[DSorder],MATCH(cyberInc[[#This Row],[AppAref]],Table23[DSorder],0))),"GO"),"")</f>
        <v>GO</v>
      </c>
      <c r="I49" s="92" t="str">
        <f>cyberInc[[#This Row],[Component]]&amp;cyberInc[[#This Row],[Maturity Level]]</f>
        <v>DetectionBaseline</v>
      </c>
      <c r="J49" s="92" t="str">
        <f>cyberInc[[#This Row],[workArea]]&amp;cyberInc[[#This Row],[Y ,Y(C), N]]</f>
        <v>DetectionBaseline</v>
      </c>
      <c r="K49" s="184">
        <v>113</v>
      </c>
      <c r="L49" s="184">
        <f>IFERROR(MATCH(cyberInc[[#This Row],[Ref No.]],hyperlinkLU[Reference No.],0),cyberInc[[#This Row],[Ref No.]])</f>
        <v>114</v>
      </c>
      <c r="M49" s="184" t="str">
        <f t="shared" si="1"/>
        <v>Cyber Incident Management and Resilience</v>
      </c>
      <c r="N49" s="184">
        <f>IF(cyberInc[[#This Row],[Y ,Y(C), N]]=yes,1,0)</f>
        <v>0</v>
      </c>
      <c r="O49" s="184">
        <f>IF(cyberInc[[#This Row],[Y ,Y(C), N]]=yesCC,1,0)</f>
        <v>0</v>
      </c>
      <c r="P49" s="184">
        <f>IF(cyberInc[[#This Row],[Y ,Y(C), N]]=no,1,0)</f>
        <v>0</v>
      </c>
      <c r="Q49" s="184">
        <f>IF(cyberInc[[#This Row],[Y ,Y(C), N]]=NotAvail,1,0)</f>
        <v>0</v>
      </c>
      <c r="R49" s="92">
        <v>116</v>
      </c>
    </row>
    <row r="50" spans="1:18" ht="45" x14ac:dyDescent="0.25">
      <c r="A50" s="58" t="s">
        <v>547</v>
      </c>
      <c r="B50" s="58" t="s">
        <v>548</v>
      </c>
      <c r="C50" s="86" t="s">
        <v>27</v>
      </c>
      <c r="D50" s="87"/>
      <c r="E50" s="58" t="s">
        <v>550</v>
      </c>
      <c r="F50"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86</v>
      </c>
      <c r="G50" s="237"/>
      <c r="H50" s="255" t="str">
        <f>IFERROR(HYPERLINK("#'Appendix A'!E"&amp;ROW(INDEX(Table23[DSorder],MATCH(cyberInc[[#This Row],[AppAref]],Table23[DSorder],0))),"GO"),"")</f>
        <v>GO</v>
      </c>
      <c r="I50" s="92" t="str">
        <f>cyberInc[[#This Row],[Component]]&amp;cyberInc[[#This Row],[Maturity Level]]</f>
        <v>DetectionBaseline</v>
      </c>
      <c r="J50" s="92" t="str">
        <f>cyberInc[[#This Row],[workArea]]&amp;cyberInc[[#This Row],[Y ,Y(C), N]]</f>
        <v>DetectionBaseline</v>
      </c>
      <c r="K50" s="184">
        <v>114</v>
      </c>
      <c r="L50" s="184">
        <f>IFERROR(MATCH(cyberInc[[#This Row],[Ref No.]],hyperlinkLU[Reference No.],0),cyberInc[[#This Row],[Ref No.]])</f>
        <v>115</v>
      </c>
      <c r="M50" s="184" t="str">
        <f t="shared" si="1"/>
        <v>Cyber Incident Management and Resilience</v>
      </c>
      <c r="N50" s="184">
        <f>IF(cyberInc[[#This Row],[Y ,Y(C), N]]=yes,1,0)</f>
        <v>0</v>
      </c>
      <c r="O50" s="184">
        <f>IF(cyberInc[[#This Row],[Y ,Y(C), N]]=yesCC,1,0)</f>
        <v>0</v>
      </c>
      <c r="P50" s="184">
        <f>IF(cyberInc[[#This Row],[Y ,Y(C), N]]=no,1,0)</f>
        <v>0</v>
      </c>
      <c r="Q50" s="184">
        <f>IF(cyberInc[[#This Row],[Y ,Y(C), N]]=NotAvail,1,0)</f>
        <v>0</v>
      </c>
      <c r="R50" s="92">
        <v>117</v>
      </c>
    </row>
    <row r="51" spans="1:18" ht="30" x14ac:dyDescent="0.25">
      <c r="A51" s="58" t="s">
        <v>547</v>
      </c>
      <c r="B51" s="58" t="s">
        <v>548</v>
      </c>
      <c r="C51" s="86" t="s">
        <v>27</v>
      </c>
      <c r="D51" s="87"/>
      <c r="E51" s="58" t="s">
        <v>551</v>
      </c>
      <c r="F51"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51" s="237"/>
      <c r="H51" s="255" t="str">
        <f>IFERROR(HYPERLINK("#'Appendix A'!E"&amp;ROW(INDEX(Table23[DSorder],MATCH(cyberInc[[#This Row],[AppAref]],Table23[DSorder],0))),"GO"),"")</f>
        <v>GO</v>
      </c>
      <c r="I51" s="92" t="str">
        <f>cyberInc[[#This Row],[Component]]&amp;cyberInc[[#This Row],[Maturity Level]]</f>
        <v>DetectionBaseline</v>
      </c>
      <c r="J51" s="92" t="str">
        <f>cyberInc[[#This Row],[workArea]]&amp;cyberInc[[#This Row],[Y ,Y(C), N]]</f>
        <v>DetectionBaseline</v>
      </c>
      <c r="K51" s="184">
        <v>115</v>
      </c>
      <c r="L51" s="184">
        <f>IFERROR(MATCH(cyberInc[[#This Row],[Ref No.]],hyperlinkLU[Reference No.],0),cyberInc[[#This Row],[Ref No.]])</f>
        <v>116</v>
      </c>
      <c r="M51" s="184" t="str">
        <f t="shared" si="1"/>
        <v>Cyber Incident Management and Resilience</v>
      </c>
      <c r="N51" s="184">
        <f>IF(cyberInc[[#This Row],[Y ,Y(C), N]]=yes,1,0)</f>
        <v>0</v>
      </c>
      <c r="O51" s="184">
        <f>IF(cyberInc[[#This Row],[Y ,Y(C), N]]=yesCC,1,0)</f>
        <v>0</v>
      </c>
      <c r="P51" s="184">
        <f>IF(cyberInc[[#This Row],[Y ,Y(C), N]]=no,1,0)</f>
        <v>0</v>
      </c>
      <c r="Q51" s="184">
        <f>IF(cyberInc[[#This Row],[Y ,Y(C), N]]=NotAvail,1,0)</f>
        <v>0</v>
      </c>
      <c r="R51" s="92">
        <v>118</v>
      </c>
    </row>
    <row r="52" spans="1:18" ht="30" x14ac:dyDescent="0.25">
      <c r="A52" s="58" t="s">
        <v>547</v>
      </c>
      <c r="B52" s="58" t="s">
        <v>548</v>
      </c>
      <c r="C52" s="86" t="s">
        <v>28</v>
      </c>
      <c r="D52" s="87"/>
      <c r="E52" s="58" t="s">
        <v>552</v>
      </c>
      <c r="F52" s="24"/>
      <c r="G52" s="237"/>
      <c r="H52" s="255" t="str">
        <f>IFERROR(HYPERLINK("#'Appendix A'!E"&amp;ROW(INDEX(Table23[DSorder],MATCH(cyberInc[[#This Row],[AppAref]],Table23[DSorder],0))),"GO"),"")</f>
        <v/>
      </c>
      <c r="I52" s="92" t="str">
        <f>cyberInc[[#This Row],[Component]]&amp;cyberInc[[#This Row],[Maturity Level]]</f>
        <v>DetectionEvolving</v>
      </c>
      <c r="J52" s="92" t="str">
        <f>cyberInc[[#This Row],[workArea]]&amp;cyberInc[[#This Row],[Y ,Y(C), N]]</f>
        <v>DetectionEvolving</v>
      </c>
      <c r="K52" s="184"/>
      <c r="L52" s="184"/>
      <c r="M52" s="184" t="str">
        <f t="shared" si="1"/>
        <v>Cyber Incident Management and Resilience</v>
      </c>
      <c r="N52" s="184">
        <f>IF(cyberInc[[#This Row],[Y ,Y(C), N]]=yes,1,0)</f>
        <v>0</v>
      </c>
      <c r="O52" s="184">
        <f>IF(cyberInc[[#This Row],[Y ,Y(C), N]]=yesCC,1,0)</f>
        <v>0</v>
      </c>
      <c r="P52" s="184">
        <f>IF(cyberInc[[#This Row],[Y ,Y(C), N]]=no,1,0)</f>
        <v>0</v>
      </c>
      <c r="Q52" s="184">
        <f>IF(cyberInc[[#This Row],[Y ,Y(C), N]]=NotAvail,1,0)</f>
        <v>0</v>
      </c>
      <c r="R52" s="92"/>
    </row>
    <row r="53" spans="1:18" ht="30" x14ac:dyDescent="0.25">
      <c r="A53" s="58" t="s">
        <v>547</v>
      </c>
      <c r="B53" s="58" t="s">
        <v>548</v>
      </c>
      <c r="C53" s="86" t="s">
        <v>29</v>
      </c>
      <c r="D53" s="87"/>
      <c r="E53" s="58" t="s">
        <v>553</v>
      </c>
      <c r="F53" s="24"/>
      <c r="G53" s="237"/>
      <c r="H53" s="255" t="str">
        <f>IFERROR(HYPERLINK("#'Appendix A'!E"&amp;ROW(INDEX(Table23[DSorder],MATCH(cyberInc[[#This Row],[AppAref]],Table23[DSorder],0))),"GO"),"")</f>
        <v/>
      </c>
      <c r="I53" s="92" t="str">
        <f>cyberInc[[#This Row],[Component]]&amp;cyberInc[[#This Row],[Maturity Level]]</f>
        <v>DetectionIntermediate</v>
      </c>
      <c r="J53" s="92" t="str">
        <f>cyberInc[[#This Row],[workArea]]&amp;cyberInc[[#This Row],[Y ,Y(C), N]]</f>
        <v>DetectionIntermediate</v>
      </c>
      <c r="K53" s="184"/>
      <c r="L53" s="184"/>
      <c r="M53" s="184" t="str">
        <f t="shared" si="1"/>
        <v>Cyber Incident Management and Resilience</v>
      </c>
      <c r="N53" s="184">
        <f>IF(cyberInc[[#This Row],[Y ,Y(C), N]]=yes,1,0)</f>
        <v>0</v>
      </c>
      <c r="O53" s="184">
        <f>IF(cyberInc[[#This Row],[Y ,Y(C), N]]=yesCC,1,0)</f>
        <v>0</v>
      </c>
      <c r="P53" s="184">
        <f>IF(cyberInc[[#This Row],[Y ,Y(C), N]]=no,1,0)</f>
        <v>0</v>
      </c>
      <c r="Q53" s="184">
        <f>IF(cyberInc[[#This Row],[Y ,Y(C), N]]=NotAvail,1,0)</f>
        <v>0</v>
      </c>
      <c r="R53" s="92"/>
    </row>
    <row r="54" spans="1:18" ht="45" x14ac:dyDescent="0.25">
      <c r="A54" s="58" t="s">
        <v>547</v>
      </c>
      <c r="B54" s="58" t="s">
        <v>548</v>
      </c>
      <c r="C54" s="86" t="s">
        <v>29</v>
      </c>
      <c r="D54" s="87"/>
      <c r="E54" s="58" t="s">
        <v>554</v>
      </c>
      <c r="F54" s="24"/>
      <c r="G54" s="237"/>
      <c r="H54" s="255" t="str">
        <f>IFERROR(HYPERLINK("#'Appendix A'!E"&amp;ROW(INDEX(Table23[DSorder],MATCH(cyberInc[[#This Row],[AppAref]],Table23[DSorder],0))),"GO"),"")</f>
        <v/>
      </c>
      <c r="I54" s="92" t="str">
        <f>cyberInc[[#This Row],[Component]]&amp;cyberInc[[#This Row],[Maturity Level]]</f>
        <v>DetectionIntermediate</v>
      </c>
      <c r="J54" s="92" t="str">
        <f>cyberInc[[#This Row],[workArea]]&amp;cyberInc[[#This Row],[Y ,Y(C), N]]</f>
        <v>DetectionIntermediate</v>
      </c>
      <c r="K54" s="184"/>
      <c r="L54" s="184"/>
      <c r="M54" s="184" t="str">
        <f t="shared" si="1"/>
        <v>Cyber Incident Management and Resilience</v>
      </c>
      <c r="N54" s="184">
        <f>IF(cyberInc[[#This Row],[Y ,Y(C), N]]=yes,1,0)</f>
        <v>0</v>
      </c>
      <c r="O54" s="184">
        <f>IF(cyberInc[[#This Row],[Y ,Y(C), N]]=yesCC,1,0)</f>
        <v>0</v>
      </c>
      <c r="P54" s="184">
        <f>IF(cyberInc[[#This Row],[Y ,Y(C), N]]=no,1,0)</f>
        <v>0</v>
      </c>
      <c r="Q54" s="184">
        <f>IF(cyberInc[[#This Row],[Y ,Y(C), N]]=NotAvail,1,0)</f>
        <v>0</v>
      </c>
      <c r="R54" s="92"/>
    </row>
    <row r="55" spans="1:18" ht="30" x14ac:dyDescent="0.25">
      <c r="A55" s="58" t="s">
        <v>547</v>
      </c>
      <c r="B55" s="58" t="s">
        <v>548</v>
      </c>
      <c r="C55" s="86" t="s">
        <v>29</v>
      </c>
      <c r="D55" s="87"/>
      <c r="E55" s="58" t="s">
        <v>555</v>
      </c>
      <c r="F55" s="24"/>
      <c r="G55" s="237"/>
      <c r="H55" s="255" t="str">
        <f>IFERROR(HYPERLINK("#'Appendix A'!E"&amp;ROW(INDEX(Table23[DSorder],MATCH(cyberInc[[#This Row],[AppAref]],Table23[DSorder],0))),"GO"),"")</f>
        <v/>
      </c>
      <c r="I55" s="92" t="str">
        <f>cyberInc[[#This Row],[Component]]&amp;cyberInc[[#This Row],[Maturity Level]]</f>
        <v>DetectionIntermediate</v>
      </c>
      <c r="J55" s="92" t="str">
        <f>cyberInc[[#This Row],[workArea]]&amp;cyberInc[[#This Row],[Y ,Y(C), N]]</f>
        <v>DetectionIntermediate</v>
      </c>
      <c r="K55" s="184"/>
      <c r="L55" s="184"/>
      <c r="M55" s="184" t="str">
        <f t="shared" si="1"/>
        <v>Cyber Incident Management and Resilience</v>
      </c>
      <c r="N55" s="184">
        <f>IF(cyberInc[[#This Row],[Y ,Y(C), N]]=yes,1,0)</f>
        <v>0</v>
      </c>
      <c r="O55" s="184">
        <f>IF(cyberInc[[#This Row],[Y ,Y(C), N]]=yesCC,1,0)</f>
        <v>0</v>
      </c>
      <c r="P55" s="184">
        <f>IF(cyberInc[[#This Row],[Y ,Y(C), N]]=no,1,0)</f>
        <v>0</v>
      </c>
      <c r="Q55" s="184">
        <f>IF(cyberInc[[#This Row],[Y ,Y(C), N]]=NotAvail,1,0)</f>
        <v>0</v>
      </c>
      <c r="R55" s="92"/>
    </row>
    <row r="56" spans="1:18" ht="45" x14ac:dyDescent="0.25">
      <c r="A56" s="58" t="s">
        <v>547</v>
      </c>
      <c r="B56" s="58" t="s">
        <v>548</v>
      </c>
      <c r="C56" s="86" t="s">
        <v>29</v>
      </c>
      <c r="D56" s="87"/>
      <c r="E56" s="58" t="s">
        <v>556</v>
      </c>
      <c r="F56" s="24"/>
      <c r="G56" s="237"/>
      <c r="H56" s="255" t="str">
        <f>IFERROR(HYPERLINK("#'Appendix A'!E"&amp;ROW(INDEX(Table23[DSorder],MATCH(cyberInc[[#This Row],[AppAref]],Table23[DSorder],0))),"GO"),"")</f>
        <v/>
      </c>
      <c r="I56" s="92" t="str">
        <f>cyberInc[[#This Row],[Component]]&amp;cyberInc[[#This Row],[Maturity Level]]</f>
        <v>DetectionIntermediate</v>
      </c>
      <c r="J56" s="92" t="str">
        <f>cyberInc[[#This Row],[workArea]]&amp;cyberInc[[#This Row],[Y ,Y(C), N]]</f>
        <v>DetectionIntermediate</v>
      </c>
      <c r="K56" s="184"/>
      <c r="L56" s="184"/>
      <c r="M56" s="184" t="str">
        <f t="shared" si="1"/>
        <v>Cyber Incident Management and Resilience</v>
      </c>
      <c r="N56" s="184">
        <f>IF(cyberInc[[#This Row],[Y ,Y(C), N]]=yes,1,0)</f>
        <v>0</v>
      </c>
      <c r="O56" s="184">
        <f>IF(cyberInc[[#This Row],[Y ,Y(C), N]]=yesCC,1,0)</f>
        <v>0</v>
      </c>
      <c r="P56" s="184">
        <f>IF(cyberInc[[#This Row],[Y ,Y(C), N]]=no,1,0)</f>
        <v>0</v>
      </c>
      <c r="Q56" s="184">
        <f>IF(cyberInc[[#This Row],[Y ,Y(C), N]]=NotAvail,1,0)</f>
        <v>0</v>
      </c>
      <c r="R56" s="92"/>
    </row>
    <row r="57" spans="1:18" ht="30" x14ac:dyDescent="0.25">
      <c r="A57" s="58" t="s">
        <v>547</v>
      </c>
      <c r="B57" s="58" t="s">
        <v>548</v>
      </c>
      <c r="C57" s="86" t="s">
        <v>29</v>
      </c>
      <c r="D57" s="87"/>
      <c r="E57" s="58" t="s">
        <v>557</v>
      </c>
      <c r="F57" s="24"/>
      <c r="G57" s="237"/>
      <c r="H57" s="255" t="str">
        <f>IFERROR(HYPERLINK("#'Appendix A'!E"&amp;ROW(INDEX(Table23[DSorder],MATCH(cyberInc[[#This Row],[AppAref]],Table23[DSorder],0))),"GO"),"")</f>
        <v/>
      </c>
      <c r="I57" s="92" t="str">
        <f>cyberInc[[#This Row],[Component]]&amp;cyberInc[[#This Row],[Maturity Level]]</f>
        <v>DetectionIntermediate</v>
      </c>
      <c r="J57" s="92" t="str">
        <f>cyberInc[[#This Row],[workArea]]&amp;cyberInc[[#This Row],[Y ,Y(C), N]]</f>
        <v>DetectionIntermediate</v>
      </c>
      <c r="K57" s="184"/>
      <c r="L57" s="184"/>
      <c r="M57" s="184" t="str">
        <f t="shared" si="1"/>
        <v>Cyber Incident Management and Resilience</v>
      </c>
      <c r="N57" s="184">
        <f>IF(cyberInc[[#This Row],[Y ,Y(C), N]]=yes,1,0)</f>
        <v>0</v>
      </c>
      <c r="O57" s="184">
        <f>IF(cyberInc[[#This Row],[Y ,Y(C), N]]=yesCC,1,0)</f>
        <v>0</v>
      </c>
      <c r="P57" s="184">
        <f>IF(cyberInc[[#This Row],[Y ,Y(C), N]]=no,1,0)</f>
        <v>0</v>
      </c>
      <c r="Q57" s="184">
        <f>IF(cyberInc[[#This Row],[Y ,Y(C), N]]=NotAvail,1,0)</f>
        <v>0</v>
      </c>
      <c r="R57" s="92"/>
    </row>
    <row r="58" spans="1:18" ht="45" x14ac:dyDescent="0.25">
      <c r="A58" s="58" t="s">
        <v>547</v>
      </c>
      <c r="B58" s="58" t="s">
        <v>548</v>
      </c>
      <c r="C58" s="86" t="s">
        <v>30</v>
      </c>
      <c r="D58" s="87"/>
      <c r="E58" s="58" t="s">
        <v>558</v>
      </c>
      <c r="F58" s="24"/>
      <c r="G58" s="237"/>
      <c r="H58" s="255" t="str">
        <f>IFERROR(HYPERLINK("#'Appendix A'!E"&amp;ROW(INDEX(Table23[DSorder],MATCH(cyberInc[[#This Row],[AppAref]],Table23[DSorder],0))),"GO"),"")</f>
        <v/>
      </c>
      <c r="I58" s="92" t="str">
        <f>cyberInc[[#This Row],[Component]]&amp;cyberInc[[#This Row],[Maturity Level]]</f>
        <v>DetectionAdvanced</v>
      </c>
      <c r="J58" s="92" t="str">
        <f>cyberInc[[#This Row],[workArea]]&amp;cyberInc[[#This Row],[Y ,Y(C), N]]</f>
        <v>DetectionAdvanced</v>
      </c>
      <c r="K58" s="184"/>
      <c r="L58" s="184"/>
      <c r="M58" s="184" t="str">
        <f t="shared" si="1"/>
        <v>Cyber Incident Management and Resilience</v>
      </c>
      <c r="N58" s="184">
        <f>IF(cyberInc[[#This Row],[Y ,Y(C), N]]=yes,1,0)</f>
        <v>0</v>
      </c>
      <c r="O58" s="184">
        <f>IF(cyberInc[[#This Row],[Y ,Y(C), N]]=yesCC,1,0)</f>
        <v>0</v>
      </c>
      <c r="P58" s="184">
        <f>IF(cyberInc[[#This Row],[Y ,Y(C), N]]=no,1,0)</f>
        <v>0</v>
      </c>
      <c r="Q58" s="184">
        <f>IF(cyberInc[[#This Row],[Y ,Y(C), N]]=NotAvail,1,0)</f>
        <v>0</v>
      </c>
      <c r="R58" s="92"/>
    </row>
    <row r="59" spans="1:18" ht="45" x14ac:dyDescent="0.25">
      <c r="A59" s="58" t="s">
        <v>547</v>
      </c>
      <c r="B59" s="58" t="s">
        <v>548</v>
      </c>
      <c r="C59" s="86" t="s">
        <v>30</v>
      </c>
      <c r="D59" s="87"/>
      <c r="E59" s="58" t="s">
        <v>559</v>
      </c>
      <c r="F59" s="24"/>
      <c r="G59" s="237"/>
      <c r="H59" s="255" t="str">
        <f>IFERROR(HYPERLINK("#'Appendix A'!E"&amp;ROW(INDEX(Table23[DSorder],MATCH(cyberInc[[#This Row],[AppAref]],Table23[DSorder],0))),"GO"),"")</f>
        <v/>
      </c>
      <c r="I59" s="92" t="str">
        <f>cyberInc[[#This Row],[Component]]&amp;cyberInc[[#This Row],[Maturity Level]]</f>
        <v>DetectionAdvanced</v>
      </c>
      <c r="J59" s="92" t="str">
        <f>cyberInc[[#This Row],[workArea]]&amp;cyberInc[[#This Row],[Y ,Y(C), N]]</f>
        <v>DetectionAdvanced</v>
      </c>
      <c r="K59" s="184"/>
      <c r="L59" s="184"/>
      <c r="M59" s="184" t="str">
        <f t="shared" si="1"/>
        <v>Cyber Incident Management and Resilience</v>
      </c>
      <c r="N59" s="184">
        <f>IF(cyberInc[[#This Row],[Y ,Y(C), N]]=yes,1,0)</f>
        <v>0</v>
      </c>
      <c r="O59" s="184">
        <f>IF(cyberInc[[#This Row],[Y ,Y(C), N]]=yesCC,1,0)</f>
        <v>0</v>
      </c>
      <c r="P59" s="184">
        <f>IF(cyberInc[[#This Row],[Y ,Y(C), N]]=no,1,0)</f>
        <v>0</v>
      </c>
      <c r="Q59" s="184">
        <f>IF(cyberInc[[#This Row],[Y ,Y(C), N]]=NotAvail,1,0)</f>
        <v>0</v>
      </c>
      <c r="R59" s="92"/>
    </row>
    <row r="60" spans="1:18" ht="30" x14ac:dyDescent="0.25">
      <c r="A60" s="58" t="s">
        <v>547</v>
      </c>
      <c r="B60" s="58" t="s">
        <v>548</v>
      </c>
      <c r="C60" s="86" t="s">
        <v>31</v>
      </c>
      <c r="D60" s="87"/>
      <c r="E60" s="58" t="s">
        <v>560</v>
      </c>
      <c r="F60" s="24"/>
      <c r="G60" s="237"/>
      <c r="H60" s="255" t="str">
        <f>IFERROR(HYPERLINK("#'Appendix A'!E"&amp;ROW(INDEX(Table23[DSorder],MATCH(cyberInc[[#This Row],[AppAref]],Table23[DSorder],0))),"GO"),"")</f>
        <v/>
      </c>
      <c r="I60" s="92" t="str">
        <f>cyberInc[[#This Row],[Component]]&amp;cyberInc[[#This Row],[Maturity Level]]</f>
        <v>DetectionInnovative</v>
      </c>
      <c r="J60" s="92" t="str">
        <f>cyberInc[[#This Row],[workArea]]&amp;cyberInc[[#This Row],[Y ,Y(C), N]]</f>
        <v>DetectionInnovative</v>
      </c>
      <c r="K60" s="184"/>
      <c r="L60" s="184"/>
      <c r="M60" s="184" t="str">
        <f t="shared" si="1"/>
        <v>Cyber Incident Management and Resilience</v>
      </c>
      <c r="N60" s="184">
        <f>IF(cyberInc[[#This Row],[Y ,Y(C), N]]=yes,1,0)</f>
        <v>0</v>
      </c>
      <c r="O60" s="184">
        <f>IF(cyberInc[[#This Row],[Y ,Y(C), N]]=yesCC,1,0)</f>
        <v>0</v>
      </c>
      <c r="P60" s="184">
        <f>IF(cyberInc[[#This Row],[Y ,Y(C), N]]=no,1,0)</f>
        <v>0</v>
      </c>
      <c r="Q60" s="184">
        <f>IF(cyberInc[[#This Row],[Y ,Y(C), N]]=NotAvail,1,0)</f>
        <v>0</v>
      </c>
      <c r="R60" s="92"/>
    </row>
    <row r="61" spans="1:18" ht="45" x14ac:dyDescent="0.25">
      <c r="A61" s="58" t="s">
        <v>547</v>
      </c>
      <c r="B61" s="58" t="s">
        <v>562</v>
      </c>
      <c r="C61" s="86" t="s">
        <v>27</v>
      </c>
      <c r="D61" s="87"/>
      <c r="E61" s="58" t="s">
        <v>561</v>
      </c>
      <c r="F61"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61" s="237"/>
      <c r="H61" s="255" t="str">
        <f>IFERROR(HYPERLINK("#'Appendix A'!E"&amp;ROW(INDEX(Table23[DSorder],MATCH(cyberInc[[#This Row],[AppAref]],Table23[DSorder],0))),"GO"),"")</f>
        <v>GO</v>
      </c>
      <c r="I61" s="92" t="str">
        <f>cyberInc[[#This Row],[Component]]&amp;cyberInc[[#This Row],[Maturity Level]]</f>
        <v>Response and MitigationBaseline</v>
      </c>
      <c r="J61" s="92" t="str">
        <f>cyberInc[[#This Row],[workArea]]&amp;cyberInc[[#This Row],[Y ,Y(C), N]]</f>
        <v>Response and MitigationBaseline</v>
      </c>
      <c r="K61" s="184">
        <v>116</v>
      </c>
      <c r="L61" s="184">
        <f>IFERROR(MATCH(cyberInc[[#This Row],[Ref No.]],hyperlinkLU[Reference No.],0),cyberInc[[#This Row],[Ref No.]])</f>
        <v>117</v>
      </c>
      <c r="M61" s="184" t="str">
        <f t="shared" si="1"/>
        <v>Cyber Incident Management and Resilience</v>
      </c>
      <c r="N61" s="184">
        <f>IF(cyberInc[[#This Row],[Y ,Y(C), N]]=yes,1,0)</f>
        <v>0</v>
      </c>
      <c r="O61" s="184">
        <f>IF(cyberInc[[#This Row],[Y ,Y(C), N]]=yesCC,1,0)</f>
        <v>0</v>
      </c>
      <c r="P61" s="184">
        <f>IF(cyberInc[[#This Row],[Y ,Y(C), N]]=no,1,0)</f>
        <v>0</v>
      </c>
      <c r="Q61" s="184">
        <f>IF(cyberInc[[#This Row],[Y ,Y(C), N]]=NotAvail,1,0)</f>
        <v>0</v>
      </c>
      <c r="R61" s="92">
        <v>119</v>
      </c>
    </row>
    <row r="62" spans="1:18" ht="30" x14ac:dyDescent="0.25">
      <c r="A62" s="58" t="s">
        <v>547</v>
      </c>
      <c r="B62" s="58" t="s">
        <v>562</v>
      </c>
      <c r="C62" s="86" t="s">
        <v>28</v>
      </c>
      <c r="D62" s="87"/>
      <c r="E62" s="58" t="s">
        <v>563</v>
      </c>
      <c r="F62" s="24"/>
      <c r="G62" s="237"/>
      <c r="H62" s="255" t="str">
        <f>IFERROR(HYPERLINK("#'Appendix A'!E"&amp;ROW(INDEX(Table23[DSorder],MATCH(cyberInc[[#This Row],[AppAref]],Table23[DSorder],0))),"GO"),"")</f>
        <v/>
      </c>
      <c r="I62" s="92" t="str">
        <f>cyberInc[[#This Row],[Component]]&amp;cyberInc[[#This Row],[Maturity Level]]</f>
        <v>Response and MitigationEvolving</v>
      </c>
      <c r="J62" s="92" t="str">
        <f>cyberInc[[#This Row],[workArea]]&amp;cyberInc[[#This Row],[Y ,Y(C), N]]</f>
        <v>Response and MitigationEvolving</v>
      </c>
      <c r="K62" s="184"/>
      <c r="L62" s="184"/>
      <c r="M62" s="184" t="str">
        <f t="shared" si="1"/>
        <v>Cyber Incident Management and Resilience</v>
      </c>
      <c r="N62" s="184">
        <f>IF(cyberInc[[#This Row],[Y ,Y(C), N]]=yes,1,0)</f>
        <v>0</v>
      </c>
      <c r="O62" s="184">
        <f>IF(cyberInc[[#This Row],[Y ,Y(C), N]]=yesCC,1,0)</f>
        <v>0</v>
      </c>
      <c r="P62" s="184">
        <f>IF(cyberInc[[#This Row],[Y ,Y(C), N]]=no,1,0)</f>
        <v>0</v>
      </c>
      <c r="Q62" s="184">
        <f>IF(cyberInc[[#This Row],[Y ,Y(C), N]]=NotAvail,1,0)</f>
        <v>0</v>
      </c>
      <c r="R62" s="92"/>
    </row>
    <row r="63" spans="1:18" ht="30" x14ac:dyDescent="0.25">
      <c r="A63" s="58" t="s">
        <v>547</v>
      </c>
      <c r="B63" s="58" t="s">
        <v>562</v>
      </c>
      <c r="C63" s="86" t="s">
        <v>28</v>
      </c>
      <c r="D63" s="87"/>
      <c r="E63" s="58" t="s">
        <v>564</v>
      </c>
      <c r="F63" s="24"/>
      <c r="G63" s="237"/>
      <c r="H63" s="255" t="str">
        <f>IFERROR(HYPERLINK("#'Appendix A'!E"&amp;ROW(INDEX(Table23[DSorder],MATCH(cyberInc[[#This Row],[AppAref]],Table23[DSorder],0))),"GO"),"")</f>
        <v/>
      </c>
      <c r="I63" s="92" t="str">
        <f>cyberInc[[#This Row],[Component]]&amp;cyberInc[[#This Row],[Maturity Level]]</f>
        <v>Response and MitigationEvolving</v>
      </c>
      <c r="J63" s="92" t="str">
        <f>cyberInc[[#This Row],[workArea]]&amp;cyberInc[[#This Row],[Y ,Y(C), N]]</f>
        <v>Response and MitigationEvolving</v>
      </c>
      <c r="K63" s="184"/>
      <c r="L63" s="184"/>
      <c r="M63" s="184" t="str">
        <f t="shared" si="1"/>
        <v>Cyber Incident Management and Resilience</v>
      </c>
      <c r="N63" s="184">
        <f>IF(cyberInc[[#This Row],[Y ,Y(C), N]]=yes,1,0)</f>
        <v>0</v>
      </c>
      <c r="O63" s="184">
        <f>IF(cyberInc[[#This Row],[Y ,Y(C), N]]=yesCC,1,0)</f>
        <v>0</v>
      </c>
      <c r="P63" s="184">
        <f>IF(cyberInc[[#This Row],[Y ,Y(C), N]]=no,1,0)</f>
        <v>0</v>
      </c>
      <c r="Q63" s="184">
        <f>IF(cyberInc[[#This Row],[Y ,Y(C), N]]=NotAvail,1,0)</f>
        <v>0</v>
      </c>
      <c r="R63" s="92"/>
    </row>
    <row r="64" spans="1:18" ht="30" x14ac:dyDescent="0.25">
      <c r="A64" s="58" t="s">
        <v>547</v>
      </c>
      <c r="B64" s="58" t="s">
        <v>562</v>
      </c>
      <c r="C64" s="86" t="s">
        <v>28</v>
      </c>
      <c r="D64" s="87"/>
      <c r="E64" s="58" t="s">
        <v>565</v>
      </c>
      <c r="F64" s="24"/>
      <c r="G64" s="237"/>
      <c r="H64" s="255" t="str">
        <f>IFERROR(HYPERLINK("#'Appendix A'!E"&amp;ROW(INDEX(Table23[DSorder],MATCH(cyberInc[[#This Row],[AppAref]],Table23[DSorder],0))),"GO"),"")</f>
        <v/>
      </c>
      <c r="I64" s="92" t="str">
        <f>cyberInc[[#This Row],[Component]]&amp;cyberInc[[#This Row],[Maturity Level]]</f>
        <v>Response and MitigationEvolving</v>
      </c>
      <c r="J64" s="92" t="str">
        <f>cyberInc[[#This Row],[workArea]]&amp;cyberInc[[#This Row],[Y ,Y(C), N]]</f>
        <v>Response and MitigationEvolving</v>
      </c>
      <c r="K64" s="184"/>
      <c r="L64" s="184"/>
      <c r="M64" s="184" t="str">
        <f t="shared" si="1"/>
        <v>Cyber Incident Management and Resilience</v>
      </c>
      <c r="N64" s="184">
        <f>IF(cyberInc[[#This Row],[Y ,Y(C), N]]=yes,1,0)</f>
        <v>0</v>
      </c>
      <c r="O64" s="184">
        <f>IF(cyberInc[[#This Row],[Y ,Y(C), N]]=yesCC,1,0)</f>
        <v>0</v>
      </c>
      <c r="P64" s="184">
        <f>IF(cyberInc[[#This Row],[Y ,Y(C), N]]=no,1,0)</f>
        <v>0</v>
      </c>
      <c r="Q64" s="184">
        <f>IF(cyberInc[[#This Row],[Y ,Y(C), N]]=NotAvail,1,0)</f>
        <v>0</v>
      </c>
      <c r="R64" s="92"/>
    </row>
    <row r="65" spans="1:18" ht="30" x14ac:dyDescent="0.25">
      <c r="A65" s="58" t="s">
        <v>547</v>
      </c>
      <c r="B65" s="58" t="s">
        <v>562</v>
      </c>
      <c r="C65" s="86" t="s">
        <v>28</v>
      </c>
      <c r="D65" s="87"/>
      <c r="E65" s="58" t="s">
        <v>566</v>
      </c>
      <c r="F65" s="24"/>
      <c r="G65" s="237"/>
      <c r="H65" s="255" t="str">
        <f>IFERROR(HYPERLINK("#'Appendix A'!E"&amp;ROW(INDEX(Table23[DSorder],MATCH(cyberInc[[#This Row],[AppAref]],Table23[DSorder],0))),"GO"),"")</f>
        <v/>
      </c>
      <c r="I65" s="92" t="str">
        <f>cyberInc[[#This Row],[Component]]&amp;cyberInc[[#This Row],[Maturity Level]]</f>
        <v>Response and MitigationEvolving</v>
      </c>
      <c r="J65" s="92" t="str">
        <f>cyberInc[[#This Row],[workArea]]&amp;cyberInc[[#This Row],[Y ,Y(C), N]]</f>
        <v>Response and MitigationEvolving</v>
      </c>
      <c r="K65" s="184"/>
      <c r="L65" s="184"/>
      <c r="M65" s="184" t="str">
        <f t="shared" si="1"/>
        <v>Cyber Incident Management and Resilience</v>
      </c>
      <c r="N65" s="184">
        <f>IF(cyberInc[[#This Row],[Y ,Y(C), N]]=yes,1,0)</f>
        <v>0</v>
      </c>
      <c r="O65" s="184">
        <f>IF(cyberInc[[#This Row],[Y ,Y(C), N]]=yesCC,1,0)</f>
        <v>0</v>
      </c>
      <c r="P65" s="184">
        <f>IF(cyberInc[[#This Row],[Y ,Y(C), N]]=no,1,0)</f>
        <v>0</v>
      </c>
      <c r="Q65" s="184">
        <f>IF(cyberInc[[#This Row],[Y ,Y(C), N]]=NotAvail,1,0)</f>
        <v>0</v>
      </c>
      <c r="R65" s="92"/>
    </row>
    <row r="66" spans="1:18" ht="30" x14ac:dyDescent="0.25">
      <c r="A66" s="58" t="s">
        <v>547</v>
      </c>
      <c r="B66" s="58" t="s">
        <v>562</v>
      </c>
      <c r="C66" s="86" t="s">
        <v>28</v>
      </c>
      <c r="D66" s="87"/>
      <c r="E66" s="58" t="s">
        <v>567</v>
      </c>
      <c r="F66" s="24"/>
      <c r="G66" s="237"/>
      <c r="H66" s="255" t="str">
        <f>IFERROR(HYPERLINK("#'Appendix A'!E"&amp;ROW(INDEX(Table23[DSorder],MATCH(cyberInc[[#This Row],[AppAref]],Table23[DSorder],0))),"GO"),"")</f>
        <v/>
      </c>
      <c r="I66" s="92" t="str">
        <f>cyberInc[[#This Row],[Component]]&amp;cyberInc[[#This Row],[Maturity Level]]</f>
        <v>Response and MitigationEvolving</v>
      </c>
      <c r="J66" s="92" t="str">
        <f>cyberInc[[#This Row],[workArea]]&amp;cyberInc[[#This Row],[Y ,Y(C), N]]</f>
        <v>Response and MitigationEvolving</v>
      </c>
      <c r="K66" s="184"/>
      <c r="L66" s="184"/>
      <c r="M66" s="184" t="str">
        <f t="shared" si="1"/>
        <v>Cyber Incident Management and Resilience</v>
      </c>
      <c r="N66" s="184">
        <f>IF(cyberInc[[#This Row],[Y ,Y(C), N]]=yes,1,0)</f>
        <v>0</v>
      </c>
      <c r="O66" s="184">
        <f>IF(cyberInc[[#This Row],[Y ,Y(C), N]]=yesCC,1,0)</f>
        <v>0</v>
      </c>
      <c r="P66" s="184">
        <f>IF(cyberInc[[#This Row],[Y ,Y(C), N]]=no,1,0)</f>
        <v>0</v>
      </c>
      <c r="Q66" s="184">
        <f>IF(cyberInc[[#This Row],[Y ,Y(C), N]]=NotAvail,1,0)</f>
        <v>0</v>
      </c>
      <c r="R66" s="92"/>
    </row>
    <row r="67" spans="1:18" ht="30" x14ac:dyDescent="0.25">
      <c r="A67" s="58" t="s">
        <v>547</v>
      </c>
      <c r="B67" s="58" t="s">
        <v>562</v>
      </c>
      <c r="C67" s="86" t="s">
        <v>28</v>
      </c>
      <c r="D67" s="87"/>
      <c r="E67" s="58" t="s">
        <v>568</v>
      </c>
      <c r="F67" s="24"/>
      <c r="G67" s="237"/>
      <c r="H67" s="255" t="str">
        <f>IFERROR(HYPERLINK("#'Appendix A'!E"&amp;ROW(INDEX(Table23[DSorder],MATCH(cyberInc[[#This Row],[AppAref]],Table23[DSorder],0))),"GO"),"")</f>
        <v/>
      </c>
      <c r="I67" s="92" t="str">
        <f>cyberInc[[#This Row],[Component]]&amp;cyberInc[[#This Row],[Maturity Level]]</f>
        <v>Response and MitigationEvolving</v>
      </c>
      <c r="J67" s="92" t="str">
        <f>cyberInc[[#This Row],[workArea]]&amp;cyberInc[[#This Row],[Y ,Y(C), N]]</f>
        <v>Response and MitigationEvolving</v>
      </c>
      <c r="K67" s="184"/>
      <c r="L67" s="184"/>
      <c r="M67" s="184" t="str">
        <f t="shared" si="1"/>
        <v>Cyber Incident Management and Resilience</v>
      </c>
      <c r="N67" s="184">
        <f>IF(cyberInc[[#This Row],[Y ,Y(C), N]]=yes,1,0)</f>
        <v>0</v>
      </c>
      <c r="O67" s="184">
        <f>IF(cyberInc[[#This Row],[Y ,Y(C), N]]=yesCC,1,0)</f>
        <v>0</v>
      </c>
      <c r="P67" s="184">
        <f>IF(cyberInc[[#This Row],[Y ,Y(C), N]]=no,1,0)</f>
        <v>0</v>
      </c>
      <c r="Q67" s="184">
        <f>IF(cyberInc[[#This Row],[Y ,Y(C), N]]=NotAvail,1,0)</f>
        <v>0</v>
      </c>
      <c r="R67" s="92"/>
    </row>
    <row r="68" spans="1:18" ht="30" x14ac:dyDescent="0.25">
      <c r="A68" s="58" t="s">
        <v>547</v>
      </c>
      <c r="B68" s="58" t="s">
        <v>562</v>
      </c>
      <c r="C68" s="86" t="s">
        <v>28</v>
      </c>
      <c r="D68" s="87"/>
      <c r="E68" s="58" t="s">
        <v>569</v>
      </c>
      <c r="F68" s="24"/>
      <c r="G68" s="237"/>
      <c r="H68" s="255" t="str">
        <f>IFERROR(HYPERLINK("#'Appendix A'!E"&amp;ROW(INDEX(Table23[DSorder],MATCH(cyberInc[[#This Row],[AppAref]],Table23[DSorder],0))),"GO"),"")</f>
        <v/>
      </c>
      <c r="I68" s="92" t="str">
        <f>cyberInc[[#This Row],[Component]]&amp;cyberInc[[#This Row],[Maturity Level]]</f>
        <v>Response and MitigationEvolving</v>
      </c>
      <c r="J68" s="92" t="str">
        <f>cyberInc[[#This Row],[workArea]]&amp;cyberInc[[#This Row],[Y ,Y(C), N]]</f>
        <v>Response and MitigationEvolving</v>
      </c>
      <c r="K68" s="184"/>
      <c r="L68" s="184"/>
      <c r="M68" s="184" t="str">
        <f t="shared" si="1"/>
        <v>Cyber Incident Management and Resilience</v>
      </c>
      <c r="N68" s="184">
        <f>IF(cyberInc[[#This Row],[Y ,Y(C), N]]=yes,1,0)</f>
        <v>0</v>
      </c>
      <c r="O68" s="184">
        <f>IF(cyberInc[[#This Row],[Y ,Y(C), N]]=yesCC,1,0)</f>
        <v>0</v>
      </c>
      <c r="P68" s="184">
        <f>IF(cyberInc[[#This Row],[Y ,Y(C), N]]=no,1,0)</f>
        <v>0</v>
      </c>
      <c r="Q68" s="184">
        <f>IF(cyberInc[[#This Row],[Y ,Y(C), N]]=NotAvail,1,0)</f>
        <v>0</v>
      </c>
      <c r="R68" s="92"/>
    </row>
    <row r="69" spans="1:18" ht="30" x14ac:dyDescent="0.25">
      <c r="A69" s="58" t="s">
        <v>547</v>
      </c>
      <c r="B69" s="58" t="s">
        <v>562</v>
      </c>
      <c r="C69" s="86" t="s">
        <v>28</v>
      </c>
      <c r="D69" s="87"/>
      <c r="E69" s="58" t="s">
        <v>570</v>
      </c>
      <c r="F69" s="24"/>
      <c r="G69" s="237"/>
      <c r="H69" s="255" t="str">
        <f>IFERROR(HYPERLINK("#'Appendix A'!E"&amp;ROW(INDEX(Table23[DSorder],MATCH(cyberInc[[#This Row],[AppAref]],Table23[DSorder],0))),"GO"),"")</f>
        <v/>
      </c>
      <c r="I69" s="92" t="str">
        <f>cyberInc[[#This Row],[Component]]&amp;cyberInc[[#This Row],[Maturity Level]]</f>
        <v>Response and MitigationEvolving</v>
      </c>
      <c r="J69" s="92" t="str">
        <f>cyberInc[[#This Row],[workArea]]&amp;cyberInc[[#This Row],[Y ,Y(C), N]]</f>
        <v>Response and MitigationEvolving</v>
      </c>
      <c r="K69" s="184"/>
      <c r="L69" s="184"/>
      <c r="M69" s="184" t="str">
        <f t="shared" si="1"/>
        <v>Cyber Incident Management and Resilience</v>
      </c>
      <c r="N69" s="184">
        <f>IF(cyberInc[[#This Row],[Y ,Y(C), N]]=yes,1,0)</f>
        <v>0</v>
      </c>
      <c r="O69" s="184">
        <f>IF(cyberInc[[#This Row],[Y ,Y(C), N]]=yesCC,1,0)</f>
        <v>0</v>
      </c>
      <c r="P69" s="184">
        <f>IF(cyberInc[[#This Row],[Y ,Y(C), N]]=no,1,0)</f>
        <v>0</v>
      </c>
      <c r="Q69" s="184">
        <f>IF(cyberInc[[#This Row],[Y ,Y(C), N]]=NotAvail,1,0)</f>
        <v>0</v>
      </c>
      <c r="R69" s="92"/>
    </row>
    <row r="70" spans="1:18" ht="30" x14ac:dyDescent="0.25">
      <c r="A70" s="58" t="s">
        <v>547</v>
      </c>
      <c r="B70" s="58" t="s">
        <v>562</v>
      </c>
      <c r="C70" s="86" t="s">
        <v>29</v>
      </c>
      <c r="D70" s="87"/>
      <c r="E70" s="58" t="s">
        <v>571</v>
      </c>
      <c r="F70" s="24"/>
      <c r="G70" s="237"/>
      <c r="H70" s="255" t="str">
        <f>IFERROR(HYPERLINK("#'Appendix A'!E"&amp;ROW(INDEX(Table23[DSorder],MATCH(cyberInc[[#This Row],[AppAref]],Table23[DSorder],0))),"GO"),"")</f>
        <v/>
      </c>
      <c r="I70" s="92" t="str">
        <f>cyberInc[[#This Row],[Component]]&amp;cyberInc[[#This Row],[Maturity Level]]</f>
        <v>Response and MitigationIntermediate</v>
      </c>
      <c r="J70" s="92" t="str">
        <f>cyberInc[[#This Row],[workArea]]&amp;cyberInc[[#This Row],[Y ,Y(C), N]]</f>
        <v>Response and MitigationIntermediate</v>
      </c>
      <c r="K70" s="184"/>
      <c r="L70" s="184"/>
      <c r="M70" s="184" t="str">
        <f t="shared" si="1"/>
        <v>Cyber Incident Management and Resilience</v>
      </c>
      <c r="N70" s="184">
        <f>IF(cyberInc[[#This Row],[Y ,Y(C), N]]=yes,1,0)</f>
        <v>0</v>
      </c>
      <c r="O70" s="184">
        <f>IF(cyberInc[[#This Row],[Y ,Y(C), N]]=yesCC,1,0)</f>
        <v>0</v>
      </c>
      <c r="P70" s="184">
        <f>IF(cyberInc[[#This Row],[Y ,Y(C), N]]=no,1,0)</f>
        <v>0</v>
      </c>
      <c r="Q70" s="184">
        <f>IF(cyberInc[[#This Row],[Y ,Y(C), N]]=NotAvail,1,0)</f>
        <v>0</v>
      </c>
      <c r="R70" s="92"/>
    </row>
    <row r="71" spans="1:18" ht="45" x14ac:dyDescent="0.25">
      <c r="A71" s="58" t="s">
        <v>547</v>
      </c>
      <c r="B71" s="58" t="s">
        <v>562</v>
      </c>
      <c r="C71" s="86" t="s">
        <v>29</v>
      </c>
      <c r="D71" s="87"/>
      <c r="E71" s="58" t="s">
        <v>572</v>
      </c>
      <c r="F71" s="24"/>
      <c r="G71" s="237"/>
      <c r="H71" s="255" t="str">
        <f>IFERROR(HYPERLINK("#'Appendix A'!E"&amp;ROW(INDEX(Table23[DSorder],MATCH(cyberInc[[#This Row],[AppAref]],Table23[DSorder],0))),"GO"),"")</f>
        <v/>
      </c>
      <c r="I71" s="92" t="str">
        <f>cyberInc[[#This Row],[Component]]&amp;cyberInc[[#This Row],[Maturity Level]]</f>
        <v>Response and MitigationIntermediate</v>
      </c>
      <c r="J71" s="92" t="str">
        <f>cyberInc[[#This Row],[workArea]]&amp;cyberInc[[#This Row],[Y ,Y(C), N]]</f>
        <v>Response and MitigationIntermediate</v>
      </c>
      <c r="K71" s="184"/>
      <c r="L71" s="184"/>
      <c r="M71" s="184" t="str">
        <f t="shared" si="1"/>
        <v>Cyber Incident Management and Resilience</v>
      </c>
      <c r="N71" s="184">
        <f>IF(cyberInc[[#This Row],[Y ,Y(C), N]]=yes,1,0)</f>
        <v>0</v>
      </c>
      <c r="O71" s="184">
        <f>IF(cyberInc[[#This Row],[Y ,Y(C), N]]=yesCC,1,0)</f>
        <v>0</v>
      </c>
      <c r="P71" s="184">
        <f>IF(cyberInc[[#This Row],[Y ,Y(C), N]]=no,1,0)</f>
        <v>0</v>
      </c>
      <c r="Q71" s="184">
        <f>IF(cyberInc[[#This Row],[Y ,Y(C), N]]=NotAvail,1,0)</f>
        <v>0</v>
      </c>
      <c r="R71" s="92"/>
    </row>
    <row r="72" spans="1:18" ht="45" x14ac:dyDescent="0.25">
      <c r="A72" s="58" t="s">
        <v>547</v>
      </c>
      <c r="B72" s="58" t="s">
        <v>562</v>
      </c>
      <c r="C72" s="86" t="s">
        <v>29</v>
      </c>
      <c r="D72" s="87"/>
      <c r="E72" s="58" t="s">
        <v>573</v>
      </c>
      <c r="F72" s="24"/>
      <c r="G72" s="237"/>
      <c r="H72" s="255" t="str">
        <f>IFERROR(HYPERLINK("#'Appendix A'!E"&amp;ROW(INDEX(Table23[DSorder],MATCH(cyberInc[[#This Row],[AppAref]],Table23[DSorder],0))),"GO"),"")</f>
        <v/>
      </c>
      <c r="I72" s="92" t="str">
        <f>cyberInc[[#This Row],[Component]]&amp;cyberInc[[#This Row],[Maturity Level]]</f>
        <v>Response and MitigationIntermediate</v>
      </c>
      <c r="J72" s="92" t="str">
        <f>cyberInc[[#This Row],[workArea]]&amp;cyberInc[[#This Row],[Y ,Y(C), N]]</f>
        <v>Response and MitigationIntermediate</v>
      </c>
      <c r="K72" s="184"/>
      <c r="L72" s="184"/>
      <c r="M72" s="184" t="str">
        <f t="shared" si="1"/>
        <v>Cyber Incident Management and Resilience</v>
      </c>
      <c r="N72" s="184">
        <f>IF(cyberInc[[#This Row],[Y ,Y(C), N]]=yes,1,0)</f>
        <v>0</v>
      </c>
      <c r="O72" s="184">
        <f>IF(cyberInc[[#This Row],[Y ,Y(C), N]]=yesCC,1,0)</f>
        <v>0</v>
      </c>
      <c r="P72" s="184">
        <f>IF(cyberInc[[#This Row],[Y ,Y(C), N]]=no,1,0)</f>
        <v>0</v>
      </c>
      <c r="Q72" s="184">
        <f>IF(cyberInc[[#This Row],[Y ,Y(C), N]]=NotAvail,1,0)</f>
        <v>0</v>
      </c>
      <c r="R72" s="92"/>
    </row>
    <row r="73" spans="1:18" ht="30" x14ac:dyDescent="0.25">
      <c r="A73" s="58" t="s">
        <v>547</v>
      </c>
      <c r="B73" s="58" t="s">
        <v>562</v>
      </c>
      <c r="C73" s="86" t="s">
        <v>29</v>
      </c>
      <c r="D73" s="87"/>
      <c r="E73" s="58" t="s">
        <v>574</v>
      </c>
      <c r="F73" s="24"/>
      <c r="G73" s="237"/>
      <c r="H73" s="255" t="str">
        <f>IFERROR(HYPERLINK("#'Appendix A'!E"&amp;ROW(INDEX(Table23[DSorder],MATCH(cyberInc[[#This Row],[AppAref]],Table23[DSorder],0))),"GO"),"")</f>
        <v/>
      </c>
      <c r="I73" s="92" t="str">
        <f>cyberInc[[#This Row],[Component]]&amp;cyberInc[[#This Row],[Maturity Level]]</f>
        <v>Response and MitigationIntermediate</v>
      </c>
      <c r="J73" s="92" t="str">
        <f>cyberInc[[#This Row],[workArea]]&amp;cyberInc[[#This Row],[Y ,Y(C), N]]</f>
        <v>Response and MitigationIntermediate</v>
      </c>
      <c r="K73" s="184"/>
      <c r="L73" s="184"/>
      <c r="M73" s="184" t="str">
        <f t="shared" ref="M73:M91" si="2">TRIM(MID($A$5,FIND(":",$A$5)+2,LEN($A$5)))</f>
        <v>Cyber Incident Management and Resilience</v>
      </c>
      <c r="N73" s="184">
        <f>IF(cyberInc[[#This Row],[Y ,Y(C), N]]=yes,1,0)</f>
        <v>0</v>
      </c>
      <c r="O73" s="184">
        <f>IF(cyberInc[[#This Row],[Y ,Y(C), N]]=yesCC,1,0)</f>
        <v>0</v>
      </c>
      <c r="P73" s="184">
        <f>IF(cyberInc[[#This Row],[Y ,Y(C), N]]=no,1,0)</f>
        <v>0</v>
      </c>
      <c r="Q73" s="184">
        <f>IF(cyberInc[[#This Row],[Y ,Y(C), N]]=NotAvail,1,0)</f>
        <v>0</v>
      </c>
      <c r="R73" s="92"/>
    </row>
    <row r="74" spans="1:18" ht="30" x14ac:dyDescent="0.25">
      <c r="A74" s="58" t="s">
        <v>547</v>
      </c>
      <c r="B74" s="58" t="s">
        <v>562</v>
      </c>
      <c r="C74" s="86" t="s">
        <v>30</v>
      </c>
      <c r="D74" s="87"/>
      <c r="E74" s="58" t="s">
        <v>575</v>
      </c>
      <c r="F74" s="24"/>
      <c r="G74" s="237"/>
      <c r="H74" s="255" t="str">
        <f>IFERROR(HYPERLINK("#'Appendix A'!E"&amp;ROW(INDEX(Table23[DSorder],MATCH(cyberInc[[#This Row],[AppAref]],Table23[DSorder],0))),"GO"),"")</f>
        <v/>
      </c>
      <c r="I74" s="92" t="str">
        <f>cyberInc[[#This Row],[Component]]&amp;cyberInc[[#This Row],[Maturity Level]]</f>
        <v>Response and MitigationAdvanced</v>
      </c>
      <c r="J74" s="92" t="str">
        <f>cyberInc[[#This Row],[workArea]]&amp;cyberInc[[#This Row],[Y ,Y(C), N]]</f>
        <v>Response and MitigationAdvanced</v>
      </c>
      <c r="K74" s="184"/>
      <c r="L74" s="184"/>
      <c r="M74" s="184" t="str">
        <f t="shared" si="2"/>
        <v>Cyber Incident Management and Resilience</v>
      </c>
      <c r="N74" s="184">
        <f>IF(cyberInc[[#This Row],[Y ,Y(C), N]]=yes,1,0)</f>
        <v>0</v>
      </c>
      <c r="O74" s="184">
        <f>IF(cyberInc[[#This Row],[Y ,Y(C), N]]=yesCC,1,0)</f>
        <v>0</v>
      </c>
      <c r="P74" s="184">
        <f>IF(cyberInc[[#This Row],[Y ,Y(C), N]]=no,1,0)</f>
        <v>0</v>
      </c>
      <c r="Q74" s="184">
        <f>IF(cyberInc[[#This Row],[Y ,Y(C), N]]=NotAvail,1,0)</f>
        <v>0</v>
      </c>
      <c r="R74" s="92"/>
    </row>
    <row r="75" spans="1:18" ht="30" x14ac:dyDescent="0.25">
      <c r="A75" s="58" t="s">
        <v>547</v>
      </c>
      <c r="B75" s="58" t="s">
        <v>562</v>
      </c>
      <c r="C75" s="86" t="s">
        <v>30</v>
      </c>
      <c r="D75" s="87"/>
      <c r="E75" s="58" t="s">
        <v>576</v>
      </c>
      <c r="F75" s="24"/>
      <c r="G75" s="237"/>
      <c r="H75" s="255" t="str">
        <f>IFERROR(HYPERLINK("#'Appendix A'!E"&amp;ROW(INDEX(Table23[DSorder],MATCH(cyberInc[[#This Row],[AppAref]],Table23[DSorder],0))),"GO"),"")</f>
        <v/>
      </c>
      <c r="I75" s="92" t="str">
        <f>cyberInc[[#This Row],[Component]]&amp;cyberInc[[#This Row],[Maturity Level]]</f>
        <v>Response and MitigationAdvanced</v>
      </c>
      <c r="J75" s="92" t="str">
        <f>cyberInc[[#This Row],[workArea]]&amp;cyberInc[[#This Row],[Y ,Y(C), N]]</f>
        <v>Response and MitigationAdvanced</v>
      </c>
      <c r="K75" s="184"/>
      <c r="L75" s="184"/>
      <c r="M75" s="184" t="str">
        <f t="shared" si="2"/>
        <v>Cyber Incident Management and Resilience</v>
      </c>
      <c r="N75" s="184">
        <f>IF(cyberInc[[#This Row],[Y ,Y(C), N]]=yes,1,0)</f>
        <v>0</v>
      </c>
      <c r="O75" s="184">
        <f>IF(cyberInc[[#This Row],[Y ,Y(C), N]]=yesCC,1,0)</f>
        <v>0</v>
      </c>
      <c r="P75" s="184">
        <f>IF(cyberInc[[#This Row],[Y ,Y(C), N]]=no,1,0)</f>
        <v>0</v>
      </c>
      <c r="Q75" s="184">
        <f>IF(cyberInc[[#This Row],[Y ,Y(C), N]]=NotAvail,1,0)</f>
        <v>0</v>
      </c>
      <c r="R75" s="92"/>
    </row>
    <row r="76" spans="1:18" ht="60" x14ac:dyDescent="0.25">
      <c r="A76" s="58" t="s">
        <v>547</v>
      </c>
      <c r="B76" s="58" t="s">
        <v>562</v>
      </c>
      <c r="C76" s="86" t="s">
        <v>30</v>
      </c>
      <c r="D76" s="87"/>
      <c r="E76" s="58" t="s">
        <v>577</v>
      </c>
      <c r="F76" s="24"/>
      <c r="G76" s="237"/>
      <c r="H76" s="255" t="str">
        <f>IFERROR(HYPERLINK("#'Appendix A'!E"&amp;ROW(INDEX(Table23[DSorder],MATCH(cyberInc[[#This Row],[AppAref]],Table23[DSorder],0))),"GO"),"")</f>
        <v/>
      </c>
      <c r="I76" s="92" t="str">
        <f>cyberInc[[#This Row],[Component]]&amp;cyberInc[[#This Row],[Maturity Level]]</f>
        <v>Response and MitigationAdvanced</v>
      </c>
      <c r="J76" s="92" t="str">
        <f>cyberInc[[#This Row],[workArea]]&amp;cyberInc[[#This Row],[Y ,Y(C), N]]</f>
        <v>Response and MitigationAdvanced</v>
      </c>
      <c r="K76" s="184"/>
      <c r="L76" s="184"/>
      <c r="M76" s="184" t="str">
        <f t="shared" si="2"/>
        <v>Cyber Incident Management and Resilience</v>
      </c>
      <c r="N76" s="184">
        <f>IF(cyberInc[[#This Row],[Y ,Y(C), N]]=yes,1,0)</f>
        <v>0</v>
      </c>
      <c r="O76" s="184">
        <f>IF(cyberInc[[#This Row],[Y ,Y(C), N]]=yesCC,1,0)</f>
        <v>0</v>
      </c>
      <c r="P76" s="184">
        <f>IF(cyberInc[[#This Row],[Y ,Y(C), N]]=no,1,0)</f>
        <v>0</v>
      </c>
      <c r="Q76" s="184">
        <f>IF(cyberInc[[#This Row],[Y ,Y(C), N]]=NotAvail,1,0)</f>
        <v>0</v>
      </c>
      <c r="R76" s="92"/>
    </row>
    <row r="77" spans="1:18" ht="30" x14ac:dyDescent="0.25">
      <c r="A77" s="58" t="s">
        <v>547</v>
      </c>
      <c r="B77" s="58" t="s">
        <v>562</v>
      </c>
      <c r="C77" s="86" t="s">
        <v>31</v>
      </c>
      <c r="D77" s="87"/>
      <c r="E77" s="58" t="s">
        <v>578</v>
      </c>
      <c r="F77" s="24"/>
      <c r="G77" s="237"/>
      <c r="H77" s="255" t="str">
        <f>IFERROR(HYPERLINK("#'Appendix A'!E"&amp;ROW(INDEX(Table23[DSorder],MATCH(cyberInc[[#This Row],[AppAref]],Table23[DSorder],0))),"GO"),"")</f>
        <v/>
      </c>
      <c r="I77" s="92" t="str">
        <f>cyberInc[[#This Row],[Component]]&amp;cyberInc[[#This Row],[Maturity Level]]</f>
        <v>Response and MitigationInnovative</v>
      </c>
      <c r="J77" s="92" t="str">
        <f>cyberInc[[#This Row],[workArea]]&amp;cyberInc[[#This Row],[Y ,Y(C), N]]</f>
        <v>Response and MitigationInnovative</v>
      </c>
      <c r="K77" s="184"/>
      <c r="L77" s="184"/>
      <c r="M77" s="184" t="str">
        <f t="shared" si="2"/>
        <v>Cyber Incident Management and Resilience</v>
      </c>
      <c r="N77" s="184">
        <f>IF(cyberInc[[#This Row],[Y ,Y(C), N]]=yes,1,0)</f>
        <v>0</v>
      </c>
      <c r="O77" s="184">
        <f>IF(cyberInc[[#This Row],[Y ,Y(C), N]]=yesCC,1,0)</f>
        <v>0</v>
      </c>
      <c r="P77" s="184">
        <f>IF(cyberInc[[#This Row],[Y ,Y(C), N]]=no,1,0)</f>
        <v>0</v>
      </c>
      <c r="Q77" s="184">
        <f>IF(cyberInc[[#This Row],[Y ,Y(C), N]]=NotAvail,1,0)</f>
        <v>0</v>
      </c>
      <c r="R77" s="92"/>
    </row>
    <row r="78" spans="1:18" ht="45" x14ac:dyDescent="0.25">
      <c r="A78" s="58" t="s">
        <v>547</v>
      </c>
      <c r="B78" s="58" t="s">
        <v>562</v>
      </c>
      <c r="C78" s="86" t="s">
        <v>31</v>
      </c>
      <c r="D78" s="87"/>
      <c r="E78" s="58" t="s">
        <v>579</v>
      </c>
      <c r="F78" s="24"/>
      <c r="G78" s="237"/>
      <c r="H78" s="255" t="str">
        <f>IFERROR(HYPERLINK("#'Appendix A'!E"&amp;ROW(INDEX(Table23[DSorder],MATCH(cyberInc[[#This Row],[AppAref]],Table23[DSorder],0))),"GO"),"")</f>
        <v/>
      </c>
      <c r="I78" s="92" t="str">
        <f>cyberInc[[#This Row],[Component]]&amp;cyberInc[[#This Row],[Maturity Level]]</f>
        <v>Response and MitigationInnovative</v>
      </c>
      <c r="J78" s="92" t="str">
        <f>cyberInc[[#This Row],[workArea]]&amp;cyberInc[[#This Row],[Y ,Y(C), N]]</f>
        <v>Response and MitigationInnovative</v>
      </c>
      <c r="K78" s="184"/>
      <c r="L78" s="184"/>
      <c r="M78" s="184" t="str">
        <f t="shared" si="2"/>
        <v>Cyber Incident Management and Resilience</v>
      </c>
      <c r="N78" s="184">
        <f>IF(cyberInc[[#This Row],[Y ,Y(C), N]]=yes,1,0)</f>
        <v>0</v>
      </c>
      <c r="O78" s="184">
        <f>IF(cyberInc[[#This Row],[Y ,Y(C), N]]=yesCC,1,0)</f>
        <v>0</v>
      </c>
      <c r="P78" s="184">
        <f>IF(cyberInc[[#This Row],[Y ,Y(C), N]]=no,1,0)</f>
        <v>0</v>
      </c>
      <c r="Q78" s="184">
        <f>IF(cyberInc[[#This Row],[Y ,Y(C), N]]=NotAvail,1,0)</f>
        <v>0</v>
      </c>
      <c r="R78" s="92"/>
    </row>
    <row r="79" spans="1:18" ht="30" x14ac:dyDescent="0.25">
      <c r="A79" s="58" t="s">
        <v>580</v>
      </c>
      <c r="B79" s="58" t="s">
        <v>580</v>
      </c>
      <c r="C79" s="86" t="s">
        <v>27</v>
      </c>
      <c r="D79" s="87"/>
      <c r="E79" s="58" t="s">
        <v>581</v>
      </c>
      <c r="F79"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83</v>
      </c>
      <c r="G79" s="237"/>
      <c r="H79" s="255" t="str">
        <f>IFERROR(HYPERLINK("#'Appendix A'!E"&amp;ROW(INDEX(Table23[DSorder],MATCH(cyberInc[[#This Row],[AppAref]],Table23[DSorder],0))),"GO"),"")</f>
        <v>GO</v>
      </c>
      <c r="I79" s="92" t="str">
        <f>cyberInc[[#This Row],[Component]]&amp;cyberInc[[#This Row],[Maturity Level]]</f>
        <v>Escalation and ReportingBaseline</v>
      </c>
      <c r="J79" s="92" t="str">
        <f>cyberInc[[#This Row],[workArea]]&amp;cyberInc[[#This Row],[Y ,Y(C), N]]</f>
        <v>Escalation and ReportingBaseline</v>
      </c>
      <c r="K79" s="184">
        <v>117</v>
      </c>
      <c r="L79" s="184">
        <f>IFERROR(MATCH(cyberInc[[#This Row],[Ref No.]],hyperlinkLU[Reference No.],0),cyberInc[[#This Row],[Ref No.]])</f>
        <v>118</v>
      </c>
      <c r="M79" s="184" t="str">
        <f t="shared" si="2"/>
        <v>Cyber Incident Management and Resilience</v>
      </c>
      <c r="N79" s="184">
        <f>IF(cyberInc[[#This Row],[Y ,Y(C), N]]=yes,1,0)</f>
        <v>0</v>
      </c>
      <c r="O79" s="184">
        <f>IF(cyberInc[[#This Row],[Y ,Y(C), N]]=yesCC,1,0)</f>
        <v>0</v>
      </c>
      <c r="P79" s="184">
        <f>IF(cyberInc[[#This Row],[Y ,Y(C), N]]=no,1,0)</f>
        <v>0</v>
      </c>
      <c r="Q79" s="184">
        <f>IF(cyberInc[[#This Row],[Y ,Y(C), N]]=NotAvail,1,0)</f>
        <v>0</v>
      </c>
      <c r="R79" s="92">
        <v>120</v>
      </c>
    </row>
    <row r="80" spans="1:18" ht="60" x14ac:dyDescent="0.25">
      <c r="A80" s="58" t="s">
        <v>580</v>
      </c>
      <c r="B80" s="58" t="s">
        <v>580</v>
      </c>
      <c r="C80" s="86" t="s">
        <v>27</v>
      </c>
      <c r="D80" s="87"/>
      <c r="E80" s="58" t="s">
        <v>582</v>
      </c>
      <c r="F80"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80" s="237"/>
      <c r="H80" s="255" t="str">
        <f>IFERROR(HYPERLINK("#'Appendix A'!E"&amp;ROW(INDEX(Table23[DSorder],MATCH(cyberInc[[#This Row],[AppAref]],Table23[DSorder],0))),"GO"),"")</f>
        <v>GO</v>
      </c>
      <c r="I80" s="92" t="str">
        <f>cyberInc[[#This Row],[Component]]&amp;cyberInc[[#This Row],[Maturity Level]]</f>
        <v>Escalation and ReportingBaseline</v>
      </c>
      <c r="J80" s="92" t="str">
        <f>cyberInc[[#This Row],[workArea]]&amp;cyberInc[[#This Row],[Y ,Y(C), N]]</f>
        <v>Escalation and ReportingBaseline</v>
      </c>
      <c r="K80" s="184">
        <v>118</v>
      </c>
      <c r="L80" s="184">
        <f>IFERROR(MATCH(cyberInc[[#This Row],[Ref No.]],hyperlinkLU[Reference No.],0),cyberInc[[#This Row],[Ref No.]])</f>
        <v>119</v>
      </c>
      <c r="M80" s="184" t="str">
        <f t="shared" si="2"/>
        <v>Cyber Incident Management and Resilience</v>
      </c>
      <c r="N80" s="184">
        <f>IF(cyberInc[[#This Row],[Y ,Y(C), N]]=yes,1,0)</f>
        <v>0</v>
      </c>
      <c r="O80" s="184">
        <f>IF(cyberInc[[#This Row],[Y ,Y(C), N]]=yesCC,1,0)</f>
        <v>0</v>
      </c>
      <c r="P80" s="184">
        <f>IF(cyberInc[[#This Row],[Y ,Y(C), N]]=no,1,0)</f>
        <v>0</v>
      </c>
      <c r="Q80" s="184">
        <f>IF(cyberInc[[#This Row],[Y ,Y(C), N]]=NotAvail,1,0)</f>
        <v>0</v>
      </c>
      <c r="R80" s="92">
        <v>121</v>
      </c>
    </row>
    <row r="81" spans="1:18" ht="45" x14ac:dyDescent="0.25">
      <c r="A81" s="58" t="s">
        <v>580</v>
      </c>
      <c r="B81" s="58" t="s">
        <v>580</v>
      </c>
      <c r="C81" s="86" t="s">
        <v>27</v>
      </c>
      <c r="D81" s="87"/>
      <c r="E81" s="58" t="s">
        <v>583</v>
      </c>
      <c r="F81"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5</v>
      </c>
      <c r="G81" s="237"/>
      <c r="H81" s="255" t="str">
        <f>IFERROR(HYPERLINK("#'Appendix A'!E"&amp;ROW(INDEX(Table23[DSorder],MATCH(cyberInc[[#This Row],[AppAref]],Table23[DSorder],0))),"GO"),"")</f>
        <v>GO</v>
      </c>
      <c r="I81" s="92" t="str">
        <f>cyberInc[[#This Row],[Component]]&amp;cyberInc[[#This Row],[Maturity Level]]</f>
        <v>Escalation and ReportingBaseline</v>
      </c>
      <c r="J81" s="92" t="str">
        <f>cyberInc[[#This Row],[workArea]]&amp;cyberInc[[#This Row],[Y ,Y(C), N]]</f>
        <v>Escalation and ReportingBaseline</v>
      </c>
      <c r="K81" s="184">
        <v>119</v>
      </c>
      <c r="L81" s="184">
        <f>IFERROR(MATCH(cyberInc[[#This Row],[Ref No.]],hyperlinkLU[Reference No.],0),cyberInc[[#This Row],[Ref No.]])</f>
        <v>120</v>
      </c>
      <c r="M81" s="184" t="str">
        <f t="shared" si="2"/>
        <v>Cyber Incident Management and Resilience</v>
      </c>
      <c r="N81" s="184">
        <f>IF(cyberInc[[#This Row],[Y ,Y(C), N]]=yes,1,0)</f>
        <v>0</v>
      </c>
      <c r="O81" s="184">
        <f>IF(cyberInc[[#This Row],[Y ,Y(C), N]]=yesCC,1,0)</f>
        <v>0</v>
      </c>
      <c r="P81" s="184">
        <f>IF(cyberInc[[#This Row],[Y ,Y(C), N]]=no,1,0)</f>
        <v>0</v>
      </c>
      <c r="Q81" s="184">
        <f>IF(cyberInc[[#This Row],[Y ,Y(C), N]]=NotAvail,1,0)</f>
        <v>0</v>
      </c>
      <c r="R81" s="92">
        <v>122</v>
      </c>
    </row>
    <row r="82" spans="1:18" ht="30" x14ac:dyDescent="0.25">
      <c r="A82" s="58" t="s">
        <v>580</v>
      </c>
      <c r="B82" s="58" t="s">
        <v>580</v>
      </c>
      <c r="C82" s="86" t="s">
        <v>27</v>
      </c>
      <c r="D82" s="87"/>
      <c r="E82" s="58" t="s">
        <v>584</v>
      </c>
      <c r="F82" s="188"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Operations Booklet, page 28</v>
      </c>
      <c r="G82" s="237"/>
      <c r="H82" s="255" t="str">
        <f>IFERROR(HYPERLINK("#'Appendix A'!E"&amp;ROW(INDEX(Table23[DSorder],MATCH(cyberInc[[#This Row],[AppAref]],Table23[DSorder],0))),"GO"),"")</f>
        <v>GO</v>
      </c>
      <c r="I82" s="92" t="str">
        <f>cyberInc[[#This Row],[Component]]&amp;cyberInc[[#This Row],[Maturity Level]]</f>
        <v>Escalation and ReportingBaseline</v>
      </c>
      <c r="J82" s="92" t="str">
        <f>cyberInc[[#This Row],[workArea]]&amp;cyberInc[[#This Row],[Y ,Y(C), N]]</f>
        <v>Escalation and ReportingBaseline</v>
      </c>
      <c r="K82" s="184">
        <v>120</v>
      </c>
      <c r="L82" s="184">
        <f>IFERROR(MATCH(cyberInc[[#This Row],[Ref No.]],hyperlinkLU[Reference No.],0),cyberInc[[#This Row],[Ref No.]])</f>
        <v>121</v>
      </c>
      <c r="M82" s="184" t="str">
        <f t="shared" si="2"/>
        <v>Cyber Incident Management and Resilience</v>
      </c>
      <c r="N82" s="184">
        <f>IF(cyberInc[[#This Row],[Y ,Y(C), N]]=yes,1,0)</f>
        <v>0</v>
      </c>
      <c r="O82" s="184">
        <f>IF(cyberInc[[#This Row],[Y ,Y(C), N]]=yesCC,1,0)</f>
        <v>0</v>
      </c>
      <c r="P82" s="184">
        <f>IF(cyberInc[[#This Row],[Y ,Y(C), N]]=no,1,0)</f>
        <v>0</v>
      </c>
      <c r="Q82" s="184">
        <f>IF(cyberInc[[#This Row],[Y ,Y(C), N]]=NotAvail,1,0)</f>
        <v>0</v>
      </c>
      <c r="R82" s="92">
        <v>123</v>
      </c>
    </row>
    <row r="83" spans="1:18" ht="45" x14ac:dyDescent="0.25">
      <c r="A83" s="58" t="s">
        <v>580</v>
      </c>
      <c r="B83" s="58" t="s">
        <v>580</v>
      </c>
      <c r="C83" s="86" t="s">
        <v>28</v>
      </c>
      <c r="D83" s="87"/>
      <c r="E83" s="58" t="s">
        <v>585</v>
      </c>
      <c r="F83" s="24"/>
      <c r="G83" s="237"/>
      <c r="H83" s="255" t="str">
        <f>IFERROR(HYPERLINK("#'Appendix A'!E"&amp;ROW(INDEX(Table23[DSorder],MATCH(cyberInc[[#This Row],[AppAref]],Table23[DSorder],0))),"GO"),"")</f>
        <v/>
      </c>
      <c r="I83" s="92" t="str">
        <f>cyberInc[[#This Row],[Component]]&amp;cyberInc[[#This Row],[Maturity Level]]</f>
        <v>Escalation and ReportingEvolving</v>
      </c>
      <c r="J83" s="92" t="str">
        <f>cyberInc[[#This Row],[workArea]]&amp;cyberInc[[#This Row],[Y ,Y(C), N]]</f>
        <v>Escalation and ReportingEvolving</v>
      </c>
      <c r="K83" s="184"/>
      <c r="L83" s="184"/>
      <c r="M83" s="184" t="str">
        <f t="shared" si="2"/>
        <v>Cyber Incident Management and Resilience</v>
      </c>
      <c r="N83" s="184">
        <f>IF(cyberInc[[#This Row],[Y ,Y(C), N]]=yes,1,0)</f>
        <v>0</v>
      </c>
      <c r="O83" s="184">
        <f>IF(cyberInc[[#This Row],[Y ,Y(C), N]]=yesCC,1,0)</f>
        <v>0</v>
      </c>
      <c r="P83" s="184">
        <f>IF(cyberInc[[#This Row],[Y ,Y(C), N]]=no,1,0)</f>
        <v>0</v>
      </c>
      <c r="Q83" s="184">
        <f>IF(cyberInc[[#This Row],[Y ,Y(C), N]]=NotAvail,1,0)</f>
        <v>0</v>
      </c>
      <c r="R83" s="92"/>
    </row>
    <row r="84" spans="1:18" ht="45" x14ac:dyDescent="0.25">
      <c r="A84" s="58" t="s">
        <v>580</v>
      </c>
      <c r="B84" s="58" t="s">
        <v>580</v>
      </c>
      <c r="C84" s="86" t="s">
        <v>28</v>
      </c>
      <c r="D84" s="87"/>
      <c r="E84" s="58" t="s">
        <v>586</v>
      </c>
      <c r="F84" s="24"/>
      <c r="G84" s="237"/>
      <c r="H84" s="255" t="str">
        <f>IFERROR(HYPERLINK("#'Appendix A'!E"&amp;ROW(INDEX(Table23[DSorder],MATCH(cyberInc[[#This Row],[AppAref]],Table23[DSorder],0))),"GO"),"")</f>
        <v/>
      </c>
      <c r="I84" s="92" t="str">
        <f>cyberInc[[#This Row],[Component]]&amp;cyberInc[[#This Row],[Maturity Level]]</f>
        <v>Escalation and ReportingEvolving</v>
      </c>
      <c r="J84" s="92" t="str">
        <f>cyberInc[[#This Row],[workArea]]&amp;cyberInc[[#This Row],[Y ,Y(C), N]]</f>
        <v>Escalation and ReportingEvolving</v>
      </c>
      <c r="K84" s="184"/>
      <c r="L84" s="184"/>
      <c r="M84" s="184" t="str">
        <f t="shared" si="2"/>
        <v>Cyber Incident Management and Resilience</v>
      </c>
      <c r="N84" s="184">
        <f>IF(cyberInc[[#This Row],[Y ,Y(C), N]]=yes,1,0)</f>
        <v>0</v>
      </c>
      <c r="O84" s="184">
        <f>IF(cyberInc[[#This Row],[Y ,Y(C), N]]=yesCC,1,0)</f>
        <v>0</v>
      </c>
      <c r="P84" s="184">
        <f>IF(cyberInc[[#This Row],[Y ,Y(C), N]]=no,1,0)</f>
        <v>0</v>
      </c>
      <c r="Q84" s="184">
        <f>IF(cyberInc[[#This Row],[Y ,Y(C), N]]=NotAvail,1,0)</f>
        <v>0</v>
      </c>
      <c r="R84" s="92"/>
    </row>
    <row r="85" spans="1:18" x14ac:dyDescent="0.25">
      <c r="A85" s="58" t="s">
        <v>580</v>
      </c>
      <c r="B85" s="58" t="s">
        <v>580</v>
      </c>
      <c r="C85" s="86" t="s">
        <v>28</v>
      </c>
      <c r="D85" s="87"/>
      <c r="E85" s="58" t="s">
        <v>587</v>
      </c>
      <c r="F85" s="24"/>
      <c r="G85" s="237"/>
      <c r="H85" s="255" t="str">
        <f>IFERROR(HYPERLINK("#'Appendix A'!E"&amp;ROW(INDEX(Table23[DSorder],MATCH(cyberInc[[#This Row],[AppAref]],Table23[DSorder],0))),"GO"),"")</f>
        <v/>
      </c>
      <c r="I85" s="92" t="str">
        <f>cyberInc[[#This Row],[Component]]&amp;cyberInc[[#This Row],[Maturity Level]]</f>
        <v>Escalation and ReportingEvolving</v>
      </c>
      <c r="J85" s="92" t="str">
        <f>cyberInc[[#This Row],[workArea]]&amp;cyberInc[[#This Row],[Y ,Y(C), N]]</f>
        <v>Escalation and ReportingEvolving</v>
      </c>
      <c r="K85" s="184"/>
      <c r="L85" s="184"/>
      <c r="M85" s="184" t="str">
        <f t="shared" si="2"/>
        <v>Cyber Incident Management and Resilience</v>
      </c>
      <c r="N85" s="184">
        <f>IF(cyberInc[[#This Row],[Y ,Y(C), N]]=yes,1,0)</f>
        <v>0</v>
      </c>
      <c r="O85" s="184">
        <f>IF(cyberInc[[#This Row],[Y ,Y(C), N]]=yesCC,1,0)</f>
        <v>0</v>
      </c>
      <c r="P85" s="184">
        <f>IF(cyberInc[[#This Row],[Y ,Y(C), N]]=no,1,0)</f>
        <v>0</v>
      </c>
      <c r="Q85" s="184">
        <f>IF(cyberInc[[#This Row],[Y ,Y(C), N]]=NotAvail,1,0)</f>
        <v>0</v>
      </c>
      <c r="R85" s="92"/>
    </row>
    <row r="86" spans="1:18" ht="30" x14ac:dyDescent="0.25">
      <c r="A86" s="58" t="s">
        <v>580</v>
      </c>
      <c r="B86" s="58" t="s">
        <v>580</v>
      </c>
      <c r="C86" s="86" t="s">
        <v>29</v>
      </c>
      <c r="D86" s="87"/>
      <c r="E86" s="58" t="s">
        <v>588</v>
      </c>
      <c r="F86" s="24"/>
      <c r="G86" s="237"/>
      <c r="H86" s="255" t="str">
        <f>IFERROR(HYPERLINK("#'Appendix A'!E"&amp;ROW(INDEX(Table23[DSorder],MATCH(cyberInc[[#This Row],[AppAref]],Table23[DSorder],0))),"GO"),"")</f>
        <v/>
      </c>
      <c r="I86" s="92" t="str">
        <f>cyberInc[[#This Row],[Component]]&amp;cyberInc[[#This Row],[Maturity Level]]</f>
        <v>Escalation and ReportingIntermediate</v>
      </c>
      <c r="J86" s="92" t="str">
        <f>cyberInc[[#This Row],[workArea]]&amp;cyberInc[[#This Row],[Y ,Y(C), N]]</f>
        <v>Escalation and ReportingIntermediate</v>
      </c>
      <c r="K86" s="184"/>
      <c r="L86" s="184"/>
      <c r="M86" s="184" t="str">
        <f t="shared" si="2"/>
        <v>Cyber Incident Management and Resilience</v>
      </c>
      <c r="N86" s="184">
        <f>IF(cyberInc[[#This Row],[Y ,Y(C), N]]=yes,1,0)</f>
        <v>0</v>
      </c>
      <c r="O86" s="184">
        <f>IF(cyberInc[[#This Row],[Y ,Y(C), N]]=yesCC,1,0)</f>
        <v>0</v>
      </c>
      <c r="P86" s="184">
        <f>IF(cyberInc[[#This Row],[Y ,Y(C), N]]=no,1,0)</f>
        <v>0</v>
      </c>
      <c r="Q86" s="184">
        <f>IF(cyberInc[[#This Row],[Y ,Y(C), N]]=NotAvail,1,0)</f>
        <v>0</v>
      </c>
      <c r="R86" s="92"/>
    </row>
    <row r="87" spans="1:18" ht="30" x14ac:dyDescent="0.25">
      <c r="A87" s="58" t="s">
        <v>580</v>
      </c>
      <c r="B87" s="58" t="s">
        <v>580</v>
      </c>
      <c r="C87" s="86" t="s">
        <v>29</v>
      </c>
      <c r="D87" s="87"/>
      <c r="E87" s="58" t="s">
        <v>589</v>
      </c>
      <c r="F87" s="24"/>
      <c r="G87" s="237"/>
      <c r="H87" s="255" t="str">
        <f>IFERROR(HYPERLINK("#'Appendix A'!E"&amp;ROW(INDEX(Table23[DSorder],MATCH(cyberInc[[#This Row],[AppAref]],Table23[DSorder],0))),"GO"),"")</f>
        <v/>
      </c>
      <c r="I87" s="92" t="str">
        <f>cyberInc[[#This Row],[Component]]&amp;cyberInc[[#This Row],[Maturity Level]]</f>
        <v>Escalation and ReportingIntermediate</v>
      </c>
      <c r="J87" s="92" t="str">
        <f>cyberInc[[#This Row],[workArea]]&amp;cyberInc[[#This Row],[Y ,Y(C), N]]</f>
        <v>Escalation and ReportingIntermediate</v>
      </c>
      <c r="K87" s="184"/>
      <c r="L87" s="184"/>
      <c r="M87" s="184" t="str">
        <f t="shared" si="2"/>
        <v>Cyber Incident Management and Resilience</v>
      </c>
      <c r="N87" s="184">
        <f>IF(cyberInc[[#This Row],[Y ,Y(C), N]]=yes,1,0)</f>
        <v>0</v>
      </c>
      <c r="O87" s="184">
        <f>IF(cyberInc[[#This Row],[Y ,Y(C), N]]=yesCC,1,0)</f>
        <v>0</v>
      </c>
      <c r="P87" s="184">
        <f>IF(cyberInc[[#This Row],[Y ,Y(C), N]]=no,1,0)</f>
        <v>0</v>
      </c>
      <c r="Q87" s="184">
        <f>IF(cyberInc[[#This Row],[Y ,Y(C), N]]=NotAvail,1,0)</f>
        <v>0</v>
      </c>
      <c r="R87" s="92"/>
    </row>
    <row r="88" spans="1:18" ht="30" x14ac:dyDescent="0.25">
      <c r="A88" s="58" t="s">
        <v>580</v>
      </c>
      <c r="B88" s="58" t="s">
        <v>580</v>
      </c>
      <c r="C88" s="86" t="s">
        <v>29</v>
      </c>
      <c r="D88" s="87"/>
      <c r="E88" s="58" t="s">
        <v>590</v>
      </c>
      <c r="F88" s="24"/>
      <c r="G88" s="237"/>
      <c r="H88" s="255" t="str">
        <f>IFERROR(HYPERLINK("#'Appendix A'!E"&amp;ROW(INDEX(Table23[DSorder],MATCH(cyberInc[[#This Row],[AppAref]],Table23[DSorder],0))),"GO"),"")</f>
        <v/>
      </c>
      <c r="I88" s="92" t="str">
        <f>cyberInc[[#This Row],[Component]]&amp;cyberInc[[#This Row],[Maturity Level]]</f>
        <v>Escalation and ReportingIntermediate</v>
      </c>
      <c r="J88" s="92" t="str">
        <f>cyberInc[[#This Row],[workArea]]&amp;cyberInc[[#This Row],[Y ,Y(C), N]]</f>
        <v>Escalation and ReportingIntermediate</v>
      </c>
      <c r="K88" s="184"/>
      <c r="L88" s="184"/>
      <c r="M88" s="184" t="str">
        <f t="shared" si="2"/>
        <v>Cyber Incident Management and Resilience</v>
      </c>
      <c r="N88" s="184">
        <f>IF(cyberInc[[#This Row],[Y ,Y(C), N]]=yes,1,0)</f>
        <v>0</v>
      </c>
      <c r="O88" s="184">
        <f>IF(cyberInc[[#This Row],[Y ,Y(C), N]]=yesCC,1,0)</f>
        <v>0</v>
      </c>
      <c r="P88" s="184">
        <f>IF(cyberInc[[#This Row],[Y ,Y(C), N]]=no,1,0)</f>
        <v>0</v>
      </c>
      <c r="Q88" s="184">
        <f>IF(cyberInc[[#This Row],[Y ,Y(C), N]]=NotAvail,1,0)</f>
        <v>0</v>
      </c>
      <c r="R88" s="92"/>
    </row>
    <row r="89" spans="1:18" ht="30" x14ac:dyDescent="0.25">
      <c r="A89" s="58" t="s">
        <v>580</v>
      </c>
      <c r="B89" s="58" t="s">
        <v>580</v>
      </c>
      <c r="C89" s="86" t="s">
        <v>30</v>
      </c>
      <c r="D89" s="87"/>
      <c r="E89" s="58" t="s">
        <v>591</v>
      </c>
      <c r="F89" s="24"/>
      <c r="G89" s="237"/>
      <c r="H89" s="255" t="str">
        <f>IFERROR(HYPERLINK("#'Appendix A'!E"&amp;ROW(INDEX(Table23[DSorder],MATCH(cyberInc[[#This Row],[AppAref]],Table23[DSorder],0))),"GO"),"")</f>
        <v/>
      </c>
      <c r="I89" s="92" t="str">
        <f>cyberInc[[#This Row],[Component]]&amp;cyberInc[[#This Row],[Maturity Level]]</f>
        <v>Escalation and ReportingAdvanced</v>
      </c>
      <c r="J89" s="92" t="str">
        <f>cyberInc[[#This Row],[workArea]]&amp;cyberInc[[#This Row],[Y ,Y(C), N]]</f>
        <v>Escalation and ReportingAdvanced</v>
      </c>
      <c r="K89" s="184"/>
      <c r="L89" s="184"/>
      <c r="M89" s="184" t="str">
        <f t="shared" si="2"/>
        <v>Cyber Incident Management and Resilience</v>
      </c>
      <c r="N89" s="184">
        <f>IF(cyberInc[[#This Row],[Y ,Y(C), N]]=yes,1,0)</f>
        <v>0</v>
      </c>
      <c r="O89" s="184">
        <f>IF(cyberInc[[#This Row],[Y ,Y(C), N]]=yesCC,1,0)</f>
        <v>0</v>
      </c>
      <c r="P89" s="184">
        <f>IF(cyberInc[[#This Row],[Y ,Y(C), N]]=no,1,0)</f>
        <v>0</v>
      </c>
      <c r="Q89" s="184">
        <f>IF(cyberInc[[#This Row],[Y ,Y(C), N]]=NotAvail,1,0)</f>
        <v>0</v>
      </c>
      <c r="R89" s="92"/>
    </row>
    <row r="90" spans="1:18" ht="30" x14ac:dyDescent="0.25">
      <c r="A90" s="58" t="s">
        <v>580</v>
      </c>
      <c r="B90" s="58" t="s">
        <v>580</v>
      </c>
      <c r="C90" s="86" t="s">
        <v>30</v>
      </c>
      <c r="D90" s="87"/>
      <c r="E90" s="58" t="s">
        <v>592</v>
      </c>
      <c r="F90" s="24"/>
      <c r="G90" s="237"/>
      <c r="H90" s="255" t="str">
        <f>IFERROR(HYPERLINK("#'Appendix A'!E"&amp;ROW(INDEX(Table23[DSorder],MATCH(cyberInc[[#This Row],[AppAref]],Table23[DSorder],0))),"GO"),"")</f>
        <v/>
      </c>
      <c r="I90" s="92" t="str">
        <f>cyberInc[[#This Row],[Component]]&amp;cyberInc[[#This Row],[Maturity Level]]</f>
        <v>Escalation and ReportingAdvanced</v>
      </c>
      <c r="J90" s="92" t="str">
        <f>cyberInc[[#This Row],[workArea]]&amp;cyberInc[[#This Row],[Y ,Y(C), N]]</f>
        <v>Escalation and ReportingAdvanced</v>
      </c>
      <c r="K90" s="184"/>
      <c r="L90" s="184"/>
      <c r="M90" s="184" t="str">
        <f t="shared" si="2"/>
        <v>Cyber Incident Management and Resilience</v>
      </c>
      <c r="N90" s="184">
        <f>IF(cyberInc[[#This Row],[Y ,Y(C), N]]=yes,1,0)</f>
        <v>0</v>
      </c>
      <c r="O90" s="184">
        <f>IF(cyberInc[[#This Row],[Y ,Y(C), N]]=yesCC,1,0)</f>
        <v>0</v>
      </c>
      <c r="P90" s="184">
        <f>IF(cyberInc[[#This Row],[Y ,Y(C), N]]=no,1,0)</f>
        <v>0</v>
      </c>
      <c r="Q90" s="184">
        <f>IF(cyberInc[[#This Row],[Y ,Y(C), N]]=NotAvail,1,0)</f>
        <v>0</v>
      </c>
      <c r="R90" s="92"/>
    </row>
    <row r="91" spans="1:18" ht="45" x14ac:dyDescent="0.25">
      <c r="A91" s="58" t="s">
        <v>580</v>
      </c>
      <c r="B91" s="58" t="s">
        <v>580</v>
      </c>
      <c r="C91" s="86" t="s">
        <v>31</v>
      </c>
      <c r="D91" s="87"/>
      <c r="E91" s="58" t="s">
        <v>593</v>
      </c>
      <c r="F91" s="24"/>
      <c r="G91" s="237"/>
      <c r="H91" s="255" t="str">
        <f>IFERROR(HYPERLINK("#'Appendix A'!E"&amp;ROW(INDEX(Table23[DSorder],MATCH(cyberInc[[#This Row],[AppAref]],Table23[DSorder],0))),"GO"),"")</f>
        <v/>
      </c>
      <c r="I91" s="92" t="str">
        <f>cyberInc[[#This Row],[Component]]&amp;cyberInc[[#This Row],[Maturity Level]]</f>
        <v>Escalation and ReportingInnovative</v>
      </c>
      <c r="J91" s="92" t="str">
        <f>cyberInc[[#This Row],[workArea]]&amp;cyberInc[[#This Row],[Y ,Y(C), N]]</f>
        <v>Escalation and ReportingInnovative</v>
      </c>
      <c r="K91" s="184"/>
      <c r="L91" s="184"/>
      <c r="M91" s="184" t="str">
        <f t="shared" si="2"/>
        <v>Cyber Incident Management and Resilience</v>
      </c>
      <c r="N91" s="184">
        <f>IF(cyberInc[[#This Row],[Y ,Y(C), N]]=yes,1,0)</f>
        <v>0</v>
      </c>
      <c r="O91" s="184">
        <f>IF(cyberInc[[#This Row],[Y ,Y(C), N]]=yesCC,1,0)</f>
        <v>0</v>
      </c>
      <c r="P91" s="184">
        <f>IF(cyberInc[[#This Row],[Y ,Y(C), N]]=no,1,0)</f>
        <v>0</v>
      </c>
      <c r="Q91" s="184">
        <f>IF(cyberInc[[#This Row],[Y ,Y(C), N]]=NotAvail,1,0)</f>
        <v>0</v>
      </c>
      <c r="R91" s="92"/>
    </row>
  </sheetData>
  <sheetProtection algorithmName="SHA-512" hashValue="i9lX62roRriIrKCajLs8mNn2W5bAJv9zjXTwYzVO+Hs+psN6DygQWQmKSQFTLj1TShsxNTGNUae0lJFglVbpyw==" saltValue="SD+9LFb1mKbQGbPsTXfT5g==" spinCount="100000" sheet="1" objects="1" scenarios="1" formatCells="0" formatColumns="0" formatRows="0" sort="0" autoFilter="0"/>
  <mergeCells count="2">
    <mergeCell ref="A6:H7"/>
    <mergeCell ref="A5:H5"/>
  </mergeCells>
  <conditionalFormatting sqref="R9:R91">
    <cfRule type="cellIs" dxfId="11" priority="2" operator="equal">
      <formula>"Not OK"</formula>
    </cfRule>
  </conditionalFormatting>
  <conditionalFormatting sqref="X9:X90">
    <cfRule type="cellIs" dxfId="10" priority="6" operator="equal">
      <formula>"Not OK"</formula>
    </cfRule>
  </conditionalFormatting>
  <conditionalFormatting sqref="X91">
    <cfRule type="cellIs" dxfId="9" priority="5" operator="equal">
      <formula>"Not OK"</formula>
    </cfRule>
  </conditionalFormatting>
  <conditionalFormatting sqref="V9:V91">
    <cfRule type="cellIs" dxfId="8" priority="4" operator="equal">
      <formula>"Not OK"</formula>
    </cfRule>
  </conditionalFormatting>
  <conditionalFormatting sqref="T9:T91">
    <cfRule type="cellIs" dxfId="7" priority="3" operator="equal">
      <formula>"Not OK"</formula>
    </cfRule>
  </conditionalFormatting>
  <conditionalFormatting sqref="R8:X8">
    <cfRule type="cellIs" dxfId="6" priority="1" operator="equal">
      <formula>"Not OK"</formula>
    </cfRule>
  </conditionalFormatting>
  <dataValidations count="2">
    <dataValidation type="list" allowBlank="1" showInputMessage="1" showErrorMessage="1" sqref="D9:D91" xr:uid="{00000000-0002-0000-1000-000000000000}">
      <formula1>yesNo</formula1>
    </dataValidation>
    <dataValidation type="list" allowBlank="1" showInputMessage="1" showErrorMessage="1" sqref="F4" xr:uid="{00000000-0002-0000-1000-000001000000}">
      <formula1>prefLink</formula1>
    </dataValidation>
  </dataValidations>
  <hyperlinks>
    <hyperlink ref="G3" location="disclaimer" display="disclaimer" xr:uid="{00000000-0004-0000-1000-000000000000}"/>
    <hyperlink ref="G2" location="workbookInfo" display="Workbook Information" xr:uid="{00000000-0004-0000-1000-000001000000}"/>
  </hyperlinks>
  <pageMargins left="0.25" right="0.25" top="0.75" bottom="0.75" header="0.3" footer="0.3"/>
  <pageSetup scale="55" fitToHeight="0" orientation="landscape" r:id="rId1"/>
  <headerFooter>
    <oddHeader>&amp;C&amp;A</oddHeader>
    <oddFooter>&amp;L&amp;"-,Bold"Confidential-Authorized Use Only&amp;C&amp;D&amp;RPage &amp;P</odd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1:AO337"/>
  <sheetViews>
    <sheetView zoomScaleNormal="100" workbookViewId="0">
      <pane ySplit="5" topLeftCell="A6" activePane="bottomLeft" state="frozen"/>
      <selection pane="bottomLeft" activeCell="A3" sqref="A3"/>
    </sheetView>
  </sheetViews>
  <sheetFormatPr defaultRowHeight="15" x14ac:dyDescent="0.25"/>
  <cols>
    <col min="1" max="3" width="15.7109375" style="286" customWidth="1"/>
    <col min="4" max="4" width="12.5703125" style="296" customWidth="1"/>
    <col min="5" max="5" width="72.28515625" style="286" customWidth="1"/>
    <col min="6" max="6" width="57.85546875" style="168" hidden="1" customWidth="1"/>
    <col min="7" max="7" width="16.28515625" style="286" hidden="1" customWidth="1"/>
    <col min="8" max="8" width="13.7109375" style="286" hidden="1" customWidth="1"/>
    <col min="9" max="9" width="16.7109375" style="286" hidden="1" customWidth="1"/>
    <col min="10" max="10" width="16.7109375" style="305" customWidth="1"/>
    <col min="11" max="11" width="118" style="286" customWidth="1"/>
    <col min="12" max="12" width="9.140625" style="286" hidden="1" customWidth="1"/>
    <col min="13" max="13" width="14.85546875" style="286" hidden="1" customWidth="1"/>
    <col min="14" max="14" width="9.140625" style="286" hidden="1" customWidth="1"/>
    <col min="15" max="15" width="14.85546875" style="286" hidden="1" customWidth="1"/>
    <col min="16" max="16" width="9.140625" style="286" hidden="1" customWidth="1"/>
    <col min="17" max="17" width="14.85546875" style="286" hidden="1" customWidth="1"/>
    <col min="18" max="18" width="9.140625" style="286" hidden="1" customWidth="1"/>
    <col min="19" max="19" width="14.85546875" style="286" hidden="1" customWidth="1"/>
    <col min="20" max="20" width="9.140625" style="286" hidden="1" customWidth="1"/>
    <col min="21" max="21" width="14.85546875" style="286" hidden="1" customWidth="1"/>
    <col min="22" max="22" width="10.42578125" style="286" hidden="1" customWidth="1"/>
    <col min="23" max="23" width="18.42578125" style="286" hidden="1" customWidth="1"/>
    <col min="24" max="24" width="23.28515625" style="286" hidden="1" customWidth="1"/>
    <col min="25" max="25" width="23.28515625" style="302" hidden="1" customWidth="1"/>
    <col min="26" max="26" width="0" style="286" hidden="1" customWidth="1"/>
    <col min="27" max="27" width="0" style="302" hidden="1" customWidth="1"/>
    <col min="28" max="28" width="0" style="286" hidden="1" customWidth="1"/>
    <col min="29" max="30" width="9.140625" style="286" hidden="1" customWidth="1"/>
    <col min="31" max="32" width="0" style="286" hidden="1" customWidth="1"/>
    <col min="33" max="40" width="9.140625" style="286"/>
    <col min="41" max="41" width="0" style="286" hidden="1" customWidth="1"/>
    <col min="42" max="16384" width="9.140625" style="286"/>
  </cols>
  <sheetData>
    <row r="1" spans="1:41" ht="20.100000000000001" customHeight="1" x14ac:dyDescent="0.25">
      <c r="A1" s="6" t="str">
        <f>HYPERLINK(websiteHTTP&amp;webSiteURL,"Watkins Consulting")</f>
        <v>Watkins Consulting</v>
      </c>
      <c r="B1" s="132"/>
      <c r="C1" s="132"/>
      <c r="D1" s="132"/>
      <c r="E1" s="132"/>
      <c r="F1" s="289" t="str">
        <f>IF(firmName&gt;0,firmName,"")</f>
        <v/>
      </c>
      <c r="G1" s="132"/>
      <c r="H1" s="132"/>
      <c r="I1" s="132"/>
      <c r="J1" s="132"/>
      <c r="K1" s="272" t="str">
        <f>HYPERLINK(websiteHTTP&amp;webSiteURL&amp;userManualrURL,"User Manual")</f>
        <v>User Manual</v>
      </c>
      <c r="AD1" s="298"/>
    </row>
    <row r="2" spans="1:41" ht="20.100000000000001" customHeight="1" x14ac:dyDescent="0.25">
      <c r="A2" s="256" t="str">
        <f ca="1">workbookVersionLabel</f>
        <v xml:space="preserve"> Excel Workbook Version: 3.4.2</v>
      </c>
      <c r="B2" s="132"/>
      <c r="C2" s="133"/>
      <c r="D2" s="133"/>
      <c r="E2" s="133" t="str">
        <f>Information</f>
        <v>FFIEC Cybersecurity Assessment Tool (May 2017)</v>
      </c>
      <c r="F2" s="289"/>
      <c r="G2" s="137"/>
      <c r="H2" s="137"/>
      <c r="I2" s="137"/>
      <c r="J2" s="137"/>
      <c r="K2" s="272" t="s">
        <v>1094</v>
      </c>
      <c r="Z2" s="302"/>
      <c r="AO2" s="286" t="s">
        <v>1309</v>
      </c>
    </row>
    <row r="3" spans="1:41" ht="20.100000000000001" customHeight="1" thickBot="1" x14ac:dyDescent="0.3">
      <c r="A3" s="139" t="str">
        <f ca="1">MID(CELL("filename",A1),FIND("]",CELL("filename",A1))+1,256)</f>
        <v>Appendix A</v>
      </c>
      <c r="B3" s="140"/>
      <c r="C3" s="140"/>
      <c r="D3" s="140"/>
      <c r="E3" s="141"/>
      <c r="F3" s="290" t="str">
        <f>IF(assessmentDate&gt;0,assessmentDate,"")</f>
        <v/>
      </c>
      <c r="G3" s="141"/>
      <c r="H3" s="141"/>
      <c r="I3" s="141"/>
      <c r="J3" s="141"/>
      <c r="K3" s="273" t="s">
        <v>620</v>
      </c>
      <c r="AO3" s="286" t="s">
        <v>1322</v>
      </c>
    </row>
    <row r="4" spans="1:41" ht="15.75" thickTop="1" x14ac:dyDescent="0.25">
      <c r="AD4" s="286">
        <f>COUNTIF(Table23[hideText],FALSE)</f>
        <v>123</v>
      </c>
      <c r="AO4" s="286" t="s">
        <v>1326</v>
      </c>
    </row>
    <row r="5" spans="1:41" ht="45" x14ac:dyDescent="0.25">
      <c r="A5" s="168" t="s">
        <v>24</v>
      </c>
      <c r="B5" s="168" t="s">
        <v>1995</v>
      </c>
      <c r="C5" s="168" t="s">
        <v>26</v>
      </c>
      <c r="D5" s="168" t="s">
        <v>2074</v>
      </c>
      <c r="E5" s="168" t="s">
        <v>48</v>
      </c>
      <c r="F5" s="293" t="s">
        <v>2058</v>
      </c>
      <c r="G5" s="168" t="s">
        <v>2054</v>
      </c>
      <c r="H5" s="286" t="s">
        <v>1996</v>
      </c>
      <c r="I5" s="286" t="s">
        <v>2075</v>
      </c>
      <c r="J5" s="305" t="s">
        <v>2089</v>
      </c>
      <c r="K5" s="168" t="s">
        <v>894</v>
      </c>
      <c r="L5" s="286" t="s">
        <v>1297</v>
      </c>
      <c r="M5" s="286" t="s">
        <v>1298</v>
      </c>
      <c r="N5" s="286" t="s">
        <v>1299</v>
      </c>
      <c r="O5" s="286" t="s">
        <v>1300</v>
      </c>
      <c r="P5" s="286" t="s">
        <v>1301</v>
      </c>
      <c r="Q5" s="286" t="s">
        <v>1302</v>
      </c>
      <c r="R5" s="286" t="s">
        <v>1303</v>
      </c>
      <c r="S5" s="286" t="s">
        <v>1304</v>
      </c>
      <c r="T5" s="286" t="s">
        <v>1305</v>
      </c>
      <c r="U5" s="286" t="s">
        <v>1306</v>
      </c>
      <c r="V5" s="286" t="s">
        <v>1307</v>
      </c>
      <c r="W5" s="286" t="s">
        <v>1308</v>
      </c>
      <c r="X5" s="286" t="s">
        <v>915</v>
      </c>
      <c r="Y5" s="302" t="s">
        <v>1976</v>
      </c>
      <c r="Z5" s="286" t="s">
        <v>949</v>
      </c>
      <c r="AA5" s="302" t="s">
        <v>2088</v>
      </c>
      <c r="AB5" s="286" t="s">
        <v>895</v>
      </c>
      <c r="AC5" s="286" t="s">
        <v>1997</v>
      </c>
      <c r="AD5" s="286" t="s">
        <v>2073</v>
      </c>
      <c r="AE5" s="286" t="s">
        <v>2078</v>
      </c>
      <c r="AF5" s="286" t="s">
        <v>10</v>
      </c>
      <c r="AO5" s="286" t="s">
        <v>1338</v>
      </c>
    </row>
    <row r="6" spans="1:41" ht="45" x14ac:dyDescent="0.25">
      <c r="A6" s="206" t="s">
        <v>214</v>
      </c>
      <c r="B6" s="206" t="s">
        <v>34</v>
      </c>
      <c r="C6" s="206" t="s">
        <v>35</v>
      </c>
      <c r="D6" s="306" t="str">
        <f ca="1">IF(Table23[[#This Row],[hideText]]=FALSE,HYPERLINK(INDEX('Verify Baseline Links'!$P$10:$P$132,MATCH(Table23[[#This Row],[DSorder]],'Verify Baseline Links'!$M$10:$M$132,0)),"DS"),"")</f>
        <v>DS</v>
      </c>
      <c r="E6" s="206" t="s">
        <v>1309</v>
      </c>
      <c r="F6" s="223"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6" s="206">
        <f>MATCH(Table23[[#This Row],[clean DS]],combinedMaturityTable[Dsm clean],0)</f>
        <v>1</v>
      </c>
      <c r="H6" s="223">
        <v>6</v>
      </c>
      <c r="I6" s="223" t="s">
        <v>1310</v>
      </c>
      <c r="J6" s="308" t="str">
        <f>HYPERLINK(Table23[[#This Row],[URL]],Table23[[#This Row],[Link to Reference]])</f>
        <v>IS.I:pg3</v>
      </c>
      <c r="K6" s="206" t="s">
        <v>1311</v>
      </c>
      <c r="L6" s="286" t="s">
        <v>1312</v>
      </c>
      <c r="M6" s="286" t="s">
        <v>1313</v>
      </c>
      <c r="N6" s="286" t="s">
        <v>1314</v>
      </c>
      <c r="O6" s="286" t="s">
        <v>1315</v>
      </c>
      <c r="P6" s="286" t="s">
        <v>1316</v>
      </c>
      <c r="Q6" s="286" t="s">
        <v>1317</v>
      </c>
      <c r="R6" s="286" t="s">
        <v>1318</v>
      </c>
      <c r="S6" s="286" t="s">
        <v>1319</v>
      </c>
      <c r="T6" s="286" t="s">
        <v>1320</v>
      </c>
      <c r="U6" s="286" t="s">
        <v>1321</v>
      </c>
      <c r="X6" s="286" t="s">
        <v>1186</v>
      </c>
      <c r="Y6" s="302" t="str">
        <f>IFERROR(IF(SEARCH("WP",Table23[[#This Row],[Link to Reference]])&gt;0,"Work Program","Booklet"),"Booklet")</f>
        <v>Booklet</v>
      </c>
      <c r="Z6" s="286" t="s">
        <v>1998</v>
      </c>
      <c r="AA6" s="302">
        <f>IF(Table23[[#This Row],[Type]]="Booklet",MATCH(LEFT(Table23[[#This Row],[Link to Reference]],FIND(".",Table23[[#This Row],[Link to Reference]])-1),bookletsInfo[Initial],0),MATCH(LEFT(Table23[[#This Row],[Link to Reference]],FIND(".",Table23[[#This Row],[Link to Reference]])-1),WPInfo[Initials],0))</f>
        <v>5</v>
      </c>
      <c r="AB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https://ithandbook.ffiec.gov/media/274793/ffiec_itbooklet_informationsecurity.pdf#Page=6</v>
      </c>
      <c r="AC6" s="286">
        <v>1</v>
      </c>
      <c r="AD6" s="286" t="b">
        <f>IF(G6=G5,IF(MOD(Table23[[#This Row],[order]],2)=1,"hideOdd","hideEven"),FALSE)</f>
        <v>0</v>
      </c>
      <c r="AE6" s="286">
        <v>1</v>
      </c>
      <c r="AF6" s="269"/>
      <c r="AO6" s="286" t="s">
        <v>1350</v>
      </c>
    </row>
    <row r="7" spans="1:41" ht="45" x14ac:dyDescent="0.25">
      <c r="A7" s="206" t="s">
        <v>214</v>
      </c>
      <c r="B7" s="206" t="s">
        <v>34</v>
      </c>
      <c r="C7" s="206" t="s">
        <v>35</v>
      </c>
      <c r="D7" s="306" t="str">
        <f>IF(Table23[[#This Row],[hideText]]=FALSE,HYPERLINK(INDEX('Verify Baseline Links'!$P$10:$P$132,MATCH(Table23[[#This Row],[DSorder]],'Verify Baseline Links'!$M$10:$M$132,0)),"DS"),"")</f>
        <v/>
      </c>
      <c r="E7" s="206" t="s">
        <v>1309</v>
      </c>
      <c r="F7" s="223"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7" s="206">
        <f>MATCH(Table23[[#This Row],[clean DS]],combinedMaturityTable[Dsm clean],0)</f>
        <v>1</v>
      </c>
      <c r="H7" s="223"/>
      <c r="I7" s="223" t="s">
        <v>1312</v>
      </c>
      <c r="J7" s="308" t="str">
        <f>HYPERLINK(Table23[[#This Row],[URL]],Table23[[#This Row],[Link to Reference]])</f>
        <v>IS.I:pg4</v>
      </c>
      <c r="K7" s="206" t="s">
        <v>1313</v>
      </c>
      <c r="X7" s="286" t="s">
        <v>1186</v>
      </c>
      <c r="Y7" s="302" t="str">
        <f>IFERROR(IF(SEARCH("WP",Table23[[#This Row],[Link to Reference]])&gt;0,"Work Program","Booklet"),"Booklet")</f>
        <v>Booklet</v>
      </c>
      <c r="Z7" s="286" t="s">
        <v>1999</v>
      </c>
      <c r="AA7" s="302">
        <f>IF(Table23[[#This Row],[Type]]="Booklet",MATCH(LEFT(Table23[[#This Row],[Link to Reference]],FIND(".",Table23[[#This Row],[Link to Reference]])-1),bookletsInfo[Initial],0),MATCH(LEFT(Table23[[#This Row],[Link to Reference]],FIND(".",Table23[[#This Row],[Link to Reference]])-1),WPInfo[Initials],0))</f>
        <v>5</v>
      </c>
      <c r="AB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7" s="286">
        <v>2</v>
      </c>
      <c r="AD7" s="286" t="str">
        <f>IF(G7=G6,IF(MOD(Table23[[#This Row],[order]],2)=1,"hideOdd","hideEven"),FALSE)</f>
        <v>hideEven</v>
      </c>
      <c r="AE7" s="286">
        <f>IF(Table23[[#This Row],[hideText]]=FALSE,AE6+1,AE6)</f>
        <v>1</v>
      </c>
      <c r="AF7" s="269"/>
      <c r="AO7" s="286" t="s">
        <v>1356</v>
      </c>
    </row>
    <row r="8" spans="1:41" ht="45" x14ac:dyDescent="0.25">
      <c r="A8" s="206" t="s">
        <v>214</v>
      </c>
      <c r="B8" s="206" t="s">
        <v>34</v>
      </c>
      <c r="C8" s="206" t="s">
        <v>35</v>
      </c>
      <c r="D8" s="306" t="str">
        <f>IF(Table23[[#This Row],[hideText]]=FALSE,HYPERLINK(INDEX('Verify Baseline Links'!$P$10:$P$132,MATCH(Table23[[#This Row],[DSorder]],'Verify Baseline Links'!$M$10:$M$132,0)),"DS"),"")</f>
        <v/>
      </c>
      <c r="E8" s="206" t="s">
        <v>1309</v>
      </c>
      <c r="F8" s="223"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8" s="206">
        <f>MATCH(Table23[[#This Row],[clean DS]],combinedMaturityTable[Dsm clean],0)</f>
        <v>1</v>
      </c>
      <c r="H8" s="223"/>
      <c r="I8" s="223" t="s">
        <v>1314</v>
      </c>
      <c r="J8" s="308" t="str">
        <f>HYPERLINK(Table23[[#This Row],[URL]],Table23[[#This Row],[Link to Reference]])</f>
        <v>IS.WP.2.3</v>
      </c>
      <c r="K8" s="206" t="s">
        <v>1315</v>
      </c>
      <c r="X8" s="286" t="s">
        <v>1186</v>
      </c>
      <c r="Y8" s="302" t="str">
        <f>IFERROR(IF(SEARCH("WP",Table23[[#This Row],[Link to Reference]])&gt;0,"Work Program","Booklet"),"Booklet")</f>
        <v>Work Program</v>
      </c>
      <c r="Z8" s="286">
        <v>3</v>
      </c>
      <c r="AA8" s="302">
        <f>IF(Table23[[#This Row],[Type]]="Booklet",MATCH(LEFT(Table23[[#This Row],[Link to Reference]],FIND(".",Table23[[#This Row],[Link to Reference]])-1),bookletsInfo[Initial],0),MATCH(LEFT(Table23[[#This Row],[Link to Reference]],FIND(".",Table23[[#This Row],[Link to Reference]])-1),WPInfo[Initials],0))</f>
        <v>5</v>
      </c>
      <c r="AB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8" s="286">
        <v>3</v>
      </c>
      <c r="AD8" s="286" t="str">
        <f>IF(G8=G7,IF(MOD(Table23[[#This Row],[order]],2)=1,"hideOdd","hideEven"),FALSE)</f>
        <v>hideOdd</v>
      </c>
      <c r="AE8" s="286">
        <f>IF(Table23[[#This Row],[hideText]]=FALSE,AE7+1,AE7)</f>
        <v>1</v>
      </c>
      <c r="AF8" s="269"/>
      <c r="AO8" s="286" t="s">
        <v>1364</v>
      </c>
    </row>
    <row r="9" spans="1:41" ht="45" x14ac:dyDescent="0.25">
      <c r="A9" s="206" t="s">
        <v>214</v>
      </c>
      <c r="B9" s="206" t="s">
        <v>34</v>
      </c>
      <c r="C9" s="206" t="s">
        <v>35</v>
      </c>
      <c r="D9" s="306" t="str">
        <f>IF(Table23[[#This Row],[hideText]]=FALSE,HYPERLINK(INDEX('Verify Baseline Links'!$P$10:$P$132,MATCH(Table23[[#This Row],[DSorder]],'Verify Baseline Links'!$M$10:$M$132,0)),"DS"),"")</f>
        <v/>
      </c>
      <c r="E9" s="206" t="s">
        <v>1309</v>
      </c>
      <c r="F9" s="223"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9" s="206">
        <f>MATCH(Table23[[#This Row],[clean DS]],combinedMaturityTable[Dsm clean],0)</f>
        <v>1</v>
      </c>
      <c r="H9" s="223"/>
      <c r="I9" s="223" t="s">
        <v>1316</v>
      </c>
      <c r="J9" s="308" t="str">
        <f>HYPERLINK(Table23[[#This Row],[URL]],Table23[[#This Row],[Link to Reference]])</f>
        <v>MGT.III.C.3:pg28</v>
      </c>
      <c r="K9" s="206" t="s">
        <v>1317</v>
      </c>
      <c r="X9" s="286" t="s">
        <v>1957</v>
      </c>
      <c r="Y9" s="302" t="str">
        <f>IFERROR(IF(SEARCH("WP",Table23[[#This Row],[Link to Reference]])&gt;0,"Work Program","Booklet"),"Booklet")</f>
        <v>Booklet</v>
      </c>
      <c r="Z9" s="286" t="s">
        <v>2000</v>
      </c>
      <c r="AA9" s="302">
        <f>IF(Table23[[#This Row],[Type]]="Booklet",MATCH(LEFT(Table23[[#This Row],[Link to Reference]],FIND(".",Table23[[#This Row],[Link to Reference]])-1),bookletsInfo[Initial],0),MATCH(LEFT(Table23[[#This Row],[Link to Reference]],FIND(".",Table23[[#This Row],[Link to Reference]])-1),WPInfo[Initials],0))</f>
        <v>6</v>
      </c>
      <c r="AB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9" s="286">
        <v>4</v>
      </c>
      <c r="AD9" s="286" t="str">
        <f>IF(G9=G8,IF(MOD(Table23[[#This Row],[order]],2)=1,"hideOdd","hideEven"),FALSE)</f>
        <v>hideEven</v>
      </c>
      <c r="AE9" s="286">
        <f>IF(Table23[[#This Row],[hideText]]=FALSE,AE8+1,AE8)</f>
        <v>1</v>
      </c>
      <c r="AF9" s="269"/>
      <c r="AO9" s="286" t="s">
        <v>1372</v>
      </c>
    </row>
    <row r="10" spans="1:41" ht="45" x14ac:dyDescent="0.25">
      <c r="A10" s="206" t="s">
        <v>214</v>
      </c>
      <c r="B10" s="206" t="s">
        <v>34</v>
      </c>
      <c r="C10" s="206" t="s">
        <v>35</v>
      </c>
      <c r="D10" s="306" t="str">
        <f>IF(Table23[[#This Row],[hideText]]=FALSE,HYPERLINK(INDEX('Verify Baseline Links'!$P$10:$P$132,MATCH(Table23[[#This Row],[DSorder]],'Verify Baseline Links'!$M$10:$M$132,0)),"DS"),"")</f>
        <v/>
      </c>
      <c r="E10" s="206" t="s">
        <v>1309</v>
      </c>
      <c r="F10" s="223"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10" s="206">
        <f>MATCH(Table23[[#This Row],[clean DS]],combinedMaturityTable[Dsm clean],0)</f>
        <v>1</v>
      </c>
      <c r="H10" s="223"/>
      <c r="I10" s="223" t="s">
        <v>1318</v>
      </c>
      <c r="J10" s="308" t="str">
        <f>HYPERLINK(Table23[[#This Row],[URL]],Table23[[#This Row],[Link to Reference]])</f>
        <v>MGT.WP.2</v>
      </c>
      <c r="K10" s="206" t="s">
        <v>1319</v>
      </c>
      <c r="X10" s="286" t="s">
        <v>1957</v>
      </c>
      <c r="Y10" s="302" t="str">
        <f>IFERROR(IF(SEARCH("WP",Table23[[#This Row],[Link to Reference]])&gt;0,"Work Program","Booklet"),"Booklet")</f>
        <v>Work Program</v>
      </c>
      <c r="Z10" s="286">
        <v>2</v>
      </c>
      <c r="AA10" s="302">
        <f>IF(Table23[[#This Row],[Type]]="Booklet",MATCH(LEFT(Table23[[#This Row],[Link to Reference]],FIND(".",Table23[[#This Row],[Link to Reference]])-1),bookletsInfo[Initial],0),MATCH(LEFT(Table23[[#This Row],[Link to Reference]],FIND(".",Table23[[#This Row],[Link to Reference]])-1),WPInfo[Initials],0))</f>
        <v>6</v>
      </c>
      <c r="AB1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https://watkinsconsulting.com/wp-content/uploads/2019/02/Management-IT-WorkProgram.pdf#Page=2</v>
      </c>
      <c r="AC10" s="286">
        <v>5</v>
      </c>
      <c r="AD10" s="286" t="str">
        <f>IF(G10=G9,IF(MOD(Table23[[#This Row],[order]],2)=1,"hideOdd","hideEven"),FALSE)</f>
        <v>hideOdd</v>
      </c>
      <c r="AE10" s="286">
        <f>IF(Table23[[#This Row],[hideText]]=FALSE,AE9+1,AE9)</f>
        <v>1</v>
      </c>
      <c r="AF10" s="269"/>
      <c r="AO10" s="286" t="s">
        <v>1379</v>
      </c>
    </row>
    <row r="11" spans="1:41" ht="45" x14ac:dyDescent="0.25">
      <c r="A11" s="206" t="s">
        <v>214</v>
      </c>
      <c r="B11" s="206" t="s">
        <v>34</v>
      </c>
      <c r="C11" s="206" t="s">
        <v>35</v>
      </c>
      <c r="D11" s="306" t="str">
        <f>IF(Table23[[#This Row],[hideText]]=FALSE,HYPERLINK(INDEX('Verify Baseline Links'!$P$10:$P$132,MATCH(Table23[[#This Row],[DSorder]],'Verify Baseline Links'!$M$10:$M$132,0)),"DS"),"")</f>
        <v/>
      </c>
      <c r="E11" s="206" t="s">
        <v>1309</v>
      </c>
      <c r="F11" s="223"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11" s="206">
        <f>MATCH(Table23[[#This Row],[clean DS]],combinedMaturityTable[Dsm clean],0)</f>
        <v>1</v>
      </c>
      <c r="H11" s="223"/>
      <c r="I11" s="223" t="s">
        <v>1320</v>
      </c>
      <c r="J11" s="308" t="str">
        <f>HYPERLINK(Table23[[#This Row],[URL]],Table23[[#This Row],[Link to Reference]])</f>
        <v>MGT.WP.2.2.g</v>
      </c>
      <c r="K11" s="206" t="s">
        <v>1321</v>
      </c>
      <c r="X11" s="286" t="s">
        <v>1957</v>
      </c>
      <c r="Y11" s="302" t="str">
        <f>IFERROR(IF(SEARCH("WP",Table23[[#This Row],[Link to Reference]])&gt;0,"Work Program","Booklet"),"Booklet")</f>
        <v>Work Program</v>
      </c>
      <c r="Z11" s="286">
        <v>3</v>
      </c>
      <c r="AA11" s="302">
        <f>IF(Table23[[#This Row],[Type]]="Booklet",MATCH(LEFT(Table23[[#This Row],[Link to Reference]],FIND(".",Table23[[#This Row],[Link to Reference]])-1),bookletsInfo[Initial],0),MATCH(LEFT(Table23[[#This Row],[Link to Reference]],FIND(".",Table23[[#This Row],[Link to Reference]])-1),WPInfo[Initials],0))</f>
        <v>6</v>
      </c>
      <c r="AB1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https://watkinsconsulting.com/wp-content/uploads/2019/02/Management-IT-WorkProgram.pdf#Page=3</v>
      </c>
      <c r="AC11" s="286">
        <v>6</v>
      </c>
      <c r="AD11" s="286" t="str">
        <f>IF(G11=G10,IF(MOD(Table23[[#This Row],[order]],2)=1,"hideOdd","hideEven"),FALSE)</f>
        <v>hideEven</v>
      </c>
      <c r="AE11" s="286">
        <f>IF(Table23[[#This Row],[hideText]]=FALSE,AE10+1,AE10)</f>
        <v>1</v>
      </c>
      <c r="AF11" s="269"/>
      <c r="AO11" s="286" t="s">
        <v>1383</v>
      </c>
    </row>
    <row r="12" spans="1:41" ht="45" x14ac:dyDescent="0.25">
      <c r="A12" s="206" t="s">
        <v>214</v>
      </c>
      <c r="B12" s="206" t="s">
        <v>34</v>
      </c>
      <c r="C12" s="206" t="s">
        <v>35</v>
      </c>
      <c r="D12" s="306" t="str">
        <f ca="1">IF(Table23[[#This Row],[hideText]]=FALSE,HYPERLINK(INDEX('Verify Baseline Links'!$P$10:$P$132,MATCH(Table23[[#This Row],[DSorder]],'Verify Baseline Links'!$M$10:$M$132,0)),"DS"),"")</f>
        <v>DS</v>
      </c>
      <c r="E12" s="206" t="s">
        <v>1322</v>
      </c>
      <c r="F12" s="223" t="str">
        <f>CLEAN(TRIM(SUBSTITUTE(LEFT(Table23[[#This Row],[Declarative Statement]],MIN(250,LEN(Table23[[#This Row],[Declarative Statement]]))),CHAR(160)," ")))</f>
        <v>Information security risks are discussed in management meetings when prompted by highly visible cyber events or regulatory alerts.</v>
      </c>
      <c r="G12" s="206">
        <f>MATCH(Table23[[#This Row],[clean DS]],combinedMaturityTable[Dsm clean],0)</f>
        <v>2</v>
      </c>
      <c r="H12" s="223">
        <v>2</v>
      </c>
      <c r="I12" s="223" t="s">
        <v>1253</v>
      </c>
      <c r="J12" s="308" t="str">
        <f>HYPERLINK(Table23[[#This Row],[URL]],Table23[[#This Row],[Link to Reference]])</f>
        <v>IS.I.B:pg4</v>
      </c>
      <c r="K12" s="206" t="s">
        <v>1323</v>
      </c>
      <c r="L12" s="286" t="s">
        <v>1324</v>
      </c>
      <c r="M12" s="286" t="s">
        <v>1325</v>
      </c>
      <c r="X12" s="286" t="s">
        <v>1186</v>
      </c>
      <c r="Y12" s="302" t="str">
        <f>IFERROR(IF(SEARCH("WP",Table23[[#This Row],[Link to Reference]])&gt;0,"Work Program","Booklet"),"Booklet")</f>
        <v>Booklet</v>
      </c>
      <c r="Z12" s="286" t="s">
        <v>1999</v>
      </c>
      <c r="AA12" s="302">
        <f>IF(Table23[[#This Row],[Type]]="Booklet",MATCH(LEFT(Table23[[#This Row],[Link to Reference]],FIND(".",Table23[[#This Row],[Link to Reference]])-1),bookletsInfo[Initial],0),MATCH(LEFT(Table23[[#This Row],[Link to Reference]],FIND(".",Table23[[#This Row],[Link to Reference]])-1),WPInfo[Initials],0))</f>
        <v>5</v>
      </c>
      <c r="AB1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12" s="286">
        <v>7</v>
      </c>
      <c r="AD12" s="286" t="b">
        <f>IF(G12=G11,IF(MOD(Table23[[#This Row],[order]],2)=1,"hideOdd","hideEven"),FALSE)</f>
        <v>0</v>
      </c>
      <c r="AE12" s="286">
        <f>IF(Table23[[#This Row],[hideText]]=FALSE,AE11+1,AE11)</f>
        <v>2</v>
      </c>
      <c r="AF12" s="269"/>
      <c r="AO12" s="286" t="s">
        <v>1386</v>
      </c>
    </row>
    <row r="13" spans="1:41" ht="45" x14ac:dyDescent="0.25">
      <c r="A13" s="206" t="s">
        <v>214</v>
      </c>
      <c r="B13" s="206" t="s">
        <v>34</v>
      </c>
      <c r="C13" s="206" t="s">
        <v>35</v>
      </c>
      <c r="D13" s="306" t="str">
        <f>IF(Table23[[#This Row],[hideText]]=FALSE,HYPERLINK(INDEX('Verify Baseline Links'!$P$10:$P$132,MATCH(Table23[[#This Row],[DSorder]],'Verify Baseline Links'!$M$10:$M$132,0)),"DS"),"")</f>
        <v/>
      </c>
      <c r="E13" s="206" t="s">
        <v>1322</v>
      </c>
      <c r="F13" s="223" t="str">
        <f>CLEAN(TRIM(SUBSTITUTE(LEFT(Table23[[#This Row],[Declarative Statement]],MIN(250,LEN(Table23[[#This Row],[Declarative Statement]]))),CHAR(160)," ")))</f>
        <v>Information security risks are discussed in management meetings when prompted by highly visible cyber events or regulatory alerts.</v>
      </c>
      <c r="G13" s="206">
        <f>MATCH(Table23[[#This Row],[clean DS]],combinedMaturityTable[Dsm clean],0)</f>
        <v>2</v>
      </c>
      <c r="H13" s="223"/>
      <c r="I13" s="223" t="s">
        <v>1324</v>
      </c>
      <c r="J13" s="308" t="str">
        <f>HYPERLINK(Table23[[#This Row],[URL]],Table23[[#This Row],[Link to Reference]])</f>
        <v>IS.III.A:pg47</v>
      </c>
      <c r="K13" s="206" t="s">
        <v>1325</v>
      </c>
      <c r="X13" s="286" t="s">
        <v>1186</v>
      </c>
      <c r="Y13" s="302" t="str">
        <f>IFERROR(IF(SEARCH("WP",Table23[[#This Row],[Link to Reference]])&gt;0,"Work Program","Booklet"),"Booklet")</f>
        <v>Booklet</v>
      </c>
      <c r="Z13" s="286" t="s">
        <v>2001</v>
      </c>
      <c r="AA13" s="302">
        <f>IF(Table23[[#This Row],[Type]]="Booklet",MATCH(LEFT(Table23[[#This Row],[Link to Reference]],FIND(".",Table23[[#This Row],[Link to Reference]])-1),bookletsInfo[Initial],0),MATCH(LEFT(Table23[[#This Row],[Link to Reference]],FIND(".",Table23[[#This Row],[Link to Reference]])-1),WPInfo[Initials],0))</f>
        <v>5</v>
      </c>
      <c r="AB1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https://ithandbook.ffiec.gov/media/274793/ffiec_itbooklet_informationsecurity.pdf#Page=50</v>
      </c>
      <c r="AC13" s="286">
        <v>8</v>
      </c>
      <c r="AD13" s="286" t="str">
        <f>IF(G13=G12,IF(MOD(Table23[[#This Row],[order]],2)=1,"hideOdd","hideEven"),FALSE)</f>
        <v>hideEven</v>
      </c>
      <c r="AE13" s="286">
        <f>IF(Table23[[#This Row],[hideText]]=FALSE,AE12+1,AE12)</f>
        <v>2</v>
      </c>
      <c r="AF13" s="269"/>
      <c r="AO13" s="286" t="s">
        <v>1390</v>
      </c>
    </row>
    <row r="14" spans="1:41" ht="60" x14ac:dyDescent="0.25">
      <c r="A14" s="206" t="s">
        <v>214</v>
      </c>
      <c r="B14" s="206" t="s">
        <v>34</v>
      </c>
      <c r="C14" s="206" t="s">
        <v>35</v>
      </c>
      <c r="D14" s="306" t="str">
        <f ca="1">IF(Table23[[#This Row],[hideText]]=FALSE,HYPERLINK(INDEX('Verify Baseline Links'!$P$10:$P$132,MATCH(Table23[[#This Row],[DSorder]],'Verify Baseline Links'!$M$10:$M$132,0)),"DS"),"")</f>
        <v>DS</v>
      </c>
      <c r="E14" s="206" t="s">
        <v>1326</v>
      </c>
      <c r="F14" s="223"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4" s="206">
        <f>MATCH(Table23[[#This Row],[clean DS]],combinedMaturityTable[Dsm clean],0)</f>
        <v>3</v>
      </c>
      <c r="H14" s="223">
        <v>6</v>
      </c>
      <c r="I14" s="223" t="s">
        <v>1253</v>
      </c>
      <c r="J14" s="308" t="str">
        <f>HYPERLINK(Table23[[#This Row],[URL]],Table23[[#This Row],[Link to Reference]])</f>
        <v>IS.I.B:pg4</v>
      </c>
      <c r="K14" s="206" t="s">
        <v>1327</v>
      </c>
      <c r="L14" s="286" t="s">
        <v>1328</v>
      </c>
      <c r="M14" s="286" t="s">
        <v>1329</v>
      </c>
      <c r="N14" s="286" t="s">
        <v>1330</v>
      </c>
      <c r="O14" s="286" t="s">
        <v>1331</v>
      </c>
      <c r="P14" s="286" t="s">
        <v>1332</v>
      </c>
      <c r="Q14" s="286" t="s">
        <v>1333</v>
      </c>
      <c r="R14" s="286" t="s">
        <v>1334</v>
      </c>
      <c r="S14" s="286" t="s">
        <v>1335</v>
      </c>
      <c r="T14" s="286" t="s">
        <v>1336</v>
      </c>
      <c r="U14" s="286" t="s">
        <v>1337</v>
      </c>
      <c r="X14" s="286" t="s">
        <v>1186</v>
      </c>
      <c r="Y14" s="302" t="str">
        <f>IFERROR(IF(SEARCH("WP",Table23[[#This Row],[Link to Reference]])&gt;0,"Work Program","Booklet"),"Booklet")</f>
        <v>Booklet</v>
      </c>
      <c r="Z14" s="286" t="s">
        <v>1999</v>
      </c>
      <c r="AA14" s="302">
        <f>IF(Table23[[#This Row],[Type]]="Booklet",MATCH(LEFT(Table23[[#This Row],[Link to Reference]],FIND(".",Table23[[#This Row],[Link to Reference]])-1),bookletsInfo[Initial],0),MATCH(LEFT(Table23[[#This Row],[Link to Reference]],FIND(".",Table23[[#This Row],[Link to Reference]])-1),WPInfo[Initials],0))</f>
        <v>5</v>
      </c>
      <c r="AB1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14" s="286">
        <v>9</v>
      </c>
      <c r="AD14" s="286" t="b">
        <f>IF(G14=G13,IF(MOD(Table23[[#This Row],[order]],2)=1,"hideOdd","hideEven"),FALSE)</f>
        <v>0</v>
      </c>
      <c r="AE14" s="286">
        <f>IF(Table23[[#This Row],[hideText]]=FALSE,AE13+1,AE13)</f>
        <v>3</v>
      </c>
      <c r="AF14" s="269"/>
      <c r="AO14" s="286" t="s">
        <v>1396</v>
      </c>
    </row>
    <row r="15" spans="1:41" ht="45" x14ac:dyDescent="0.25">
      <c r="A15" s="206" t="s">
        <v>214</v>
      </c>
      <c r="B15" s="206" t="s">
        <v>34</v>
      </c>
      <c r="C15" s="206" t="s">
        <v>35</v>
      </c>
      <c r="D15" s="306" t="str">
        <f>IF(Table23[[#This Row],[hideText]]=FALSE,HYPERLINK(INDEX('Verify Baseline Links'!$P$10:$P$132,MATCH(Table23[[#This Row],[DSorder]],'Verify Baseline Links'!$M$10:$M$132,0)),"DS"),"")</f>
        <v/>
      </c>
      <c r="E15" s="206" t="s">
        <v>1326</v>
      </c>
      <c r="F15" s="223"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5" s="206">
        <f>MATCH(Table23[[#This Row],[clean DS]],combinedMaturityTable[Dsm clean],0)</f>
        <v>3</v>
      </c>
      <c r="H15" s="223"/>
      <c r="I15" s="223" t="s">
        <v>1328</v>
      </c>
      <c r="J15" s="308" t="str">
        <f>HYPERLINK(Table23[[#This Row],[URL]],Table23[[#This Row],[Link to Reference]])</f>
        <v>IS.WP.2.4</v>
      </c>
      <c r="K15" s="206" t="s">
        <v>1329</v>
      </c>
      <c r="X15" s="286" t="s">
        <v>1186</v>
      </c>
      <c r="Y15" s="302" t="str">
        <f>IFERROR(IF(SEARCH("WP",Table23[[#This Row],[Link to Reference]])&gt;0,"Work Program","Booklet"),"Booklet")</f>
        <v>Work Program</v>
      </c>
      <c r="Z15" s="286">
        <v>3</v>
      </c>
      <c r="AA15" s="302">
        <f>IF(Table23[[#This Row],[Type]]="Booklet",MATCH(LEFT(Table23[[#This Row],[Link to Reference]],FIND(".",Table23[[#This Row],[Link to Reference]])-1),bookletsInfo[Initial],0),MATCH(LEFT(Table23[[#This Row],[Link to Reference]],FIND(".",Table23[[#This Row],[Link to Reference]])-1),WPInfo[Initials],0))</f>
        <v>5</v>
      </c>
      <c r="AB1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15" s="286">
        <v>10</v>
      </c>
      <c r="AD15" s="286" t="str">
        <f>IF(G15=G14,IF(MOD(Table23[[#This Row],[order]],2)=1,"hideOdd","hideEven"),FALSE)</f>
        <v>hideEven</v>
      </c>
      <c r="AE15" s="286">
        <f>IF(Table23[[#This Row],[hideText]]=FALSE,AE14+1,AE14)</f>
        <v>3</v>
      </c>
      <c r="AF15" s="269"/>
      <c r="AO15" s="286" t="s">
        <v>1402</v>
      </c>
    </row>
    <row r="16" spans="1:41" ht="45" x14ac:dyDescent="0.25">
      <c r="A16" s="206" t="s">
        <v>214</v>
      </c>
      <c r="B16" s="206" t="s">
        <v>34</v>
      </c>
      <c r="C16" s="206" t="s">
        <v>35</v>
      </c>
      <c r="D16" s="306" t="str">
        <f>IF(Table23[[#This Row],[hideText]]=FALSE,HYPERLINK(INDEX('Verify Baseline Links'!$P$10:$P$132,MATCH(Table23[[#This Row],[DSorder]],'Verify Baseline Links'!$M$10:$M$132,0)),"DS"),"")</f>
        <v/>
      </c>
      <c r="E16" s="206" t="s">
        <v>1326</v>
      </c>
      <c r="F16" s="223"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6" s="206">
        <f>MATCH(Table23[[#This Row],[clean DS]],combinedMaturityTable[Dsm clean],0)</f>
        <v>3</v>
      </c>
      <c r="H16" s="223"/>
      <c r="I16" s="223" t="s">
        <v>1330</v>
      </c>
      <c r="J16" s="308" t="str">
        <f>HYPERLINK(Table23[[#This Row],[URL]],Table23[[#This Row],[Link to Reference]])</f>
        <v>MGT.III.C.3(a):pg30</v>
      </c>
      <c r="K16" s="206" t="s">
        <v>1331</v>
      </c>
      <c r="X16" s="286" t="s">
        <v>1957</v>
      </c>
      <c r="Y16" s="302" t="str">
        <f>IFERROR(IF(SEARCH("WP",Table23[[#This Row],[Link to Reference]])&gt;0,"Work Program","Booklet"),"Booklet")</f>
        <v>Booklet</v>
      </c>
      <c r="Z16" s="286" t="s">
        <v>2002</v>
      </c>
      <c r="AA16" s="302">
        <f>IF(Table23[[#This Row],[Type]]="Booklet",MATCH(LEFT(Table23[[#This Row],[Link to Reference]],FIND(".",Table23[[#This Row],[Link to Reference]])-1),bookletsInfo[Initial],0),MATCH(LEFT(Table23[[#This Row],[Link to Reference]],FIND(".",Table23[[#This Row],[Link to Reference]])-1),WPInfo[Initials],0))</f>
        <v>6</v>
      </c>
      <c r="AB1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https://ithandbook.ffiec.gov/media/274809/ffiec_itbooklet_management.pdf#Page=31</v>
      </c>
      <c r="AC16" s="286">
        <v>11</v>
      </c>
      <c r="AD16" s="286" t="str">
        <f>IF(G16=G15,IF(MOD(Table23[[#This Row],[order]],2)=1,"hideOdd","hideEven"),FALSE)</f>
        <v>hideOdd</v>
      </c>
      <c r="AE16" s="286">
        <f>IF(Table23[[#This Row],[hideText]]=FALSE,AE15+1,AE15)</f>
        <v>3</v>
      </c>
      <c r="AF16" s="269"/>
      <c r="AO16" s="286" t="s">
        <v>1404</v>
      </c>
    </row>
    <row r="17" spans="1:41" ht="45" x14ac:dyDescent="0.25">
      <c r="A17" s="206" t="s">
        <v>214</v>
      </c>
      <c r="B17" s="206" t="s">
        <v>34</v>
      </c>
      <c r="C17" s="206" t="s">
        <v>35</v>
      </c>
      <c r="D17" s="306" t="str">
        <f>IF(Table23[[#This Row],[hideText]]=FALSE,HYPERLINK(INDEX('Verify Baseline Links'!$P$10:$P$132,MATCH(Table23[[#This Row],[DSorder]],'Verify Baseline Links'!$M$10:$M$132,0)),"DS"),"")</f>
        <v/>
      </c>
      <c r="E17" s="206" t="s">
        <v>1326</v>
      </c>
      <c r="F17" s="223"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7" s="206">
        <f>MATCH(Table23[[#This Row],[clean DS]],combinedMaturityTable[Dsm clean],0)</f>
        <v>3</v>
      </c>
      <c r="H17" s="223"/>
      <c r="I17" s="223" t="s">
        <v>1332</v>
      </c>
      <c r="J17" s="308" t="str">
        <f>HYPERLINK(Table23[[#This Row],[URL]],Table23[[#This Row],[Link to Reference]])</f>
        <v>MGT.III.C.4:pg30</v>
      </c>
      <c r="K17" s="206" t="s">
        <v>1333</v>
      </c>
      <c r="X17" s="286" t="s">
        <v>1957</v>
      </c>
      <c r="Y17" s="302" t="str">
        <f>IFERROR(IF(SEARCH("WP",Table23[[#This Row],[Link to Reference]])&gt;0,"Work Program","Booklet"),"Booklet")</f>
        <v>Booklet</v>
      </c>
      <c r="Z17" s="286" t="s">
        <v>2002</v>
      </c>
      <c r="AA17" s="302">
        <f>IF(Table23[[#This Row],[Type]]="Booklet",MATCH(LEFT(Table23[[#This Row],[Link to Reference]],FIND(".",Table23[[#This Row],[Link to Reference]])-1),bookletsInfo[Initial],0),MATCH(LEFT(Table23[[#This Row],[Link to Reference]],FIND(".",Table23[[#This Row],[Link to Reference]])-1),WPInfo[Initials],0))</f>
        <v>6</v>
      </c>
      <c r="AB1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https://ithandbook.ffiec.gov/media/274809/ffiec_itbooklet_management.pdf#Page=31</v>
      </c>
      <c r="AC17" s="286">
        <v>12</v>
      </c>
      <c r="AD17" s="286" t="str">
        <f>IF(G17=G16,IF(MOD(Table23[[#This Row],[order]],2)=1,"hideOdd","hideEven"),FALSE)</f>
        <v>hideEven</v>
      </c>
      <c r="AE17" s="286">
        <f>IF(Table23[[#This Row],[hideText]]=FALSE,AE16+1,AE16)</f>
        <v>3</v>
      </c>
      <c r="AF17" s="269"/>
      <c r="AO17" s="286" t="s">
        <v>1408</v>
      </c>
    </row>
    <row r="18" spans="1:41" ht="45" x14ac:dyDescent="0.25">
      <c r="A18" s="206" t="s">
        <v>214</v>
      </c>
      <c r="B18" s="206" t="s">
        <v>34</v>
      </c>
      <c r="C18" s="206" t="s">
        <v>35</v>
      </c>
      <c r="D18" s="306" t="str">
        <f>IF(Table23[[#This Row],[hideText]]=FALSE,HYPERLINK(INDEX('Verify Baseline Links'!$P$10:$P$132,MATCH(Table23[[#This Row],[DSorder]],'Verify Baseline Links'!$M$10:$M$132,0)),"DS"),"")</f>
        <v/>
      </c>
      <c r="E18" s="206" t="s">
        <v>1326</v>
      </c>
      <c r="F18" s="223"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8" s="206">
        <f>MATCH(Table23[[#This Row],[clean DS]],combinedMaturityTable[Dsm clean],0)</f>
        <v>3</v>
      </c>
      <c r="H18" s="223"/>
      <c r="I18" s="223" t="s">
        <v>1334</v>
      </c>
      <c r="J18" s="308" t="str">
        <f>HYPERLINK(Table23[[#This Row],[URL]],Table23[[#This Row],[Link to Reference]])</f>
        <v>MGT.WP.12.7.f</v>
      </c>
      <c r="K18" s="206" t="s">
        <v>1335</v>
      </c>
      <c r="X18" s="286" t="s">
        <v>1957</v>
      </c>
      <c r="Y18" s="302" t="str">
        <f>IFERROR(IF(SEARCH("WP",Table23[[#This Row],[Link to Reference]])&gt;0,"Work Program","Booklet"),"Booklet")</f>
        <v>Work Program</v>
      </c>
      <c r="Z18" s="286">
        <v>16</v>
      </c>
      <c r="AA18" s="302">
        <f>IF(Table23[[#This Row],[Type]]="Booklet",MATCH(LEFT(Table23[[#This Row],[Link to Reference]],FIND(".",Table23[[#This Row],[Link to Reference]])-1),bookletsInfo[Initial],0),MATCH(LEFT(Table23[[#This Row],[Link to Reference]],FIND(".",Table23[[#This Row],[Link to Reference]])-1),WPInfo[Initials],0))</f>
        <v>6</v>
      </c>
      <c r="AB1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18" s="286">
        <v>13</v>
      </c>
      <c r="AD18" s="286" t="str">
        <f>IF(G18=G17,IF(MOD(Table23[[#This Row],[order]],2)=1,"hideOdd","hideEven"),FALSE)</f>
        <v>hideOdd</v>
      </c>
      <c r="AE18" s="286">
        <f>IF(Table23[[#This Row],[hideText]]=FALSE,AE17+1,AE17)</f>
        <v>3</v>
      </c>
      <c r="AF18" s="269"/>
      <c r="AO18" s="286" t="s">
        <v>1413</v>
      </c>
    </row>
    <row r="19" spans="1:41" ht="60" x14ac:dyDescent="0.25">
      <c r="A19" s="206" t="s">
        <v>214</v>
      </c>
      <c r="B19" s="206" t="s">
        <v>34</v>
      </c>
      <c r="C19" s="206" t="s">
        <v>35</v>
      </c>
      <c r="D19" s="306" t="str">
        <f>IF(Table23[[#This Row],[hideText]]=FALSE,HYPERLINK(INDEX('Verify Baseline Links'!$P$10:$P$132,MATCH(Table23[[#This Row],[DSorder]],'Verify Baseline Links'!$M$10:$M$132,0)),"DS"),"")</f>
        <v/>
      </c>
      <c r="E19" s="206" t="s">
        <v>1326</v>
      </c>
      <c r="F19" s="223"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9" s="206">
        <f>MATCH(Table23[[#This Row],[clean DS]],combinedMaturityTable[Dsm clean],0)</f>
        <v>3</v>
      </c>
      <c r="H19" s="223"/>
      <c r="I19" s="223" t="s">
        <v>1336</v>
      </c>
      <c r="J19" s="308" t="str">
        <f>HYPERLINK(Table23[[#This Row],[URL]],Table23[[#This Row],[Link to Reference]])</f>
        <v>MGT.WP.12.9.a &amp; c</v>
      </c>
      <c r="K19" s="206" t="s">
        <v>1337</v>
      </c>
      <c r="X19" s="286" t="s">
        <v>1957</v>
      </c>
      <c r="Y19" s="302" t="str">
        <f>IFERROR(IF(SEARCH("WP",Table23[[#This Row],[Link to Reference]])&gt;0,"Work Program","Booklet"),"Booklet")</f>
        <v>Work Program</v>
      </c>
      <c r="Z19" s="286">
        <v>16</v>
      </c>
      <c r="AA19" s="302">
        <f>IF(Table23[[#This Row],[Type]]="Booklet",MATCH(LEFT(Table23[[#This Row],[Link to Reference]],FIND(".",Table23[[#This Row],[Link to Reference]])-1),bookletsInfo[Initial],0),MATCH(LEFT(Table23[[#This Row],[Link to Reference]],FIND(".",Table23[[#This Row],[Link to Reference]])-1),WPInfo[Initials],0))</f>
        <v>6</v>
      </c>
      <c r="AB1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19" s="286">
        <v>14</v>
      </c>
      <c r="AD19" s="286" t="str">
        <f>IF(G19=G18,IF(MOD(Table23[[#This Row],[order]],2)=1,"hideOdd","hideEven"),FALSE)</f>
        <v>hideEven</v>
      </c>
      <c r="AE19" s="286">
        <f>IF(Table23[[#This Row],[hideText]]=FALSE,AE18+1,AE18)</f>
        <v>3</v>
      </c>
      <c r="AF19" s="269"/>
      <c r="AO19" s="286" t="s">
        <v>2057</v>
      </c>
    </row>
    <row r="20" spans="1:41" ht="45" x14ac:dyDescent="0.25">
      <c r="A20" s="206" t="s">
        <v>214</v>
      </c>
      <c r="B20" s="206" t="s">
        <v>34</v>
      </c>
      <c r="C20" s="206" t="s">
        <v>35</v>
      </c>
      <c r="D20" s="306" t="str">
        <f ca="1">IF(Table23[[#This Row],[hideText]]=FALSE,HYPERLINK(INDEX('Verify Baseline Links'!$P$10:$P$132,MATCH(Table23[[#This Row],[DSorder]],'Verify Baseline Links'!$M$10:$M$132,0)),"DS"),"")</f>
        <v>DS</v>
      </c>
      <c r="E20" s="206" t="s">
        <v>1338</v>
      </c>
      <c r="F20" s="223" t="str">
        <f>CLEAN(TRIM(SUBSTITUTE(LEFT(Table23[[#This Row],[Declarative Statement]],MIN(250,LEN(Table23[[#This Row],[Declarative Statement]]))),CHAR(160)," ")))</f>
        <v>The budgeting process includes information security related expenses and tools.</v>
      </c>
      <c r="G20" s="206">
        <f>MATCH(Table23[[#This Row],[clean DS]],combinedMaturityTable[Dsm clean],0)</f>
        <v>4</v>
      </c>
      <c r="H20" s="223">
        <v>6</v>
      </c>
      <c r="I20" s="223" t="s">
        <v>1339</v>
      </c>
      <c r="J20" s="308" t="str">
        <f>HYPERLINK(Table23[[#This Row],[URL]],Table23[[#This Row],[Link to Reference]])</f>
        <v>IS.I.C:pg5</v>
      </c>
      <c r="K20" s="206" t="s">
        <v>1340</v>
      </c>
      <c r="L20" s="286" t="s">
        <v>1341</v>
      </c>
      <c r="M20" s="286" t="s">
        <v>1342</v>
      </c>
      <c r="N20" s="286" t="s">
        <v>1343</v>
      </c>
      <c r="O20" s="286" t="s">
        <v>1344</v>
      </c>
      <c r="P20" s="286" t="s">
        <v>1346</v>
      </c>
      <c r="Q20" s="286" t="s">
        <v>1345</v>
      </c>
      <c r="R20" s="286" t="s">
        <v>1346</v>
      </c>
      <c r="S20" s="286" t="s">
        <v>1347</v>
      </c>
      <c r="T20" s="286" t="s">
        <v>1348</v>
      </c>
      <c r="U20" s="286" t="s">
        <v>1349</v>
      </c>
      <c r="X20" s="286" t="s">
        <v>1186</v>
      </c>
      <c r="Y20" s="302" t="str">
        <f>IFERROR(IF(SEARCH("WP",Table23[[#This Row],[Link to Reference]])&gt;0,"Work Program","Booklet"),"Booklet")</f>
        <v>Booklet</v>
      </c>
      <c r="Z20" s="286" t="s">
        <v>2003</v>
      </c>
      <c r="AA20" s="302">
        <f>IF(Table23[[#This Row],[Type]]="Booklet",MATCH(LEFT(Table23[[#This Row],[Link to Reference]],FIND(".",Table23[[#This Row],[Link to Reference]])-1),bookletsInfo[Initial],0),MATCH(LEFT(Table23[[#This Row],[Link to Reference]],FIND(".",Table23[[#This Row],[Link to Reference]])-1),WPInfo[Initials],0))</f>
        <v>5</v>
      </c>
      <c r="AB2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https://ithandbook.ffiec.gov/media/274793/ffiec_itbooklet_informationsecurity.pdf#Page=8</v>
      </c>
      <c r="AC20" s="286">
        <v>15</v>
      </c>
      <c r="AD20" s="286" t="b">
        <f>IF(G20=G19,IF(MOD(Table23[[#This Row],[order]],2)=1,"hideOdd","hideEven"),FALSE)</f>
        <v>0</v>
      </c>
      <c r="AE20" s="286">
        <f>IF(Table23[[#This Row],[hideText]]=FALSE,AE19+1,AE19)</f>
        <v>4</v>
      </c>
      <c r="AF20" s="269"/>
      <c r="AO20" s="286" t="s">
        <v>1427</v>
      </c>
    </row>
    <row r="21" spans="1:41" ht="45" x14ac:dyDescent="0.25">
      <c r="A21" s="206" t="s">
        <v>214</v>
      </c>
      <c r="B21" s="206" t="s">
        <v>34</v>
      </c>
      <c r="C21" s="206" t="s">
        <v>35</v>
      </c>
      <c r="D21" s="306" t="str">
        <f>IF(Table23[[#This Row],[hideText]]=FALSE,HYPERLINK(INDEX('Verify Baseline Links'!$P$10:$P$132,MATCH(Table23[[#This Row],[DSorder]],'Verify Baseline Links'!$M$10:$M$132,0)),"DS"),"")</f>
        <v/>
      </c>
      <c r="E21" s="206" t="s">
        <v>1338</v>
      </c>
      <c r="F21" s="223" t="str">
        <f>CLEAN(TRIM(SUBSTITUTE(LEFT(Table23[[#This Row],[Declarative Statement]],MIN(250,LEN(Table23[[#This Row],[Declarative Statement]]))),CHAR(160)," ")))</f>
        <v>The budgeting process includes information security related expenses and tools.</v>
      </c>
      <c r="G21" s="206">
        <f>MATCH(Table23[[#This Row],[clean DS]],combinedMaturityTable[Dsm clean],0)</f>
        <v>4</v>
      </c>
      <c r="H21" s="223"/>
      <c r="I21" s="223" t="s">
        <v>1341</v>
      </c>
      <c r="J21" s="308" t="str">
        <f>HYPERLINK(Table23[[#This Row],[URL]],Table23[[#This Row],[Link to Reference]])</f>
        <v>IS.WP.2.9</v>
      </c>
      <c r="K21" s="206" t="s">
        <v>1342</v>
      </c>
      <c r="X21" s="286" t="s">
        <v>1186</v>
      </c>
      <c r="Y21" s="302" t="str">
        <f>IFERROR(IF(SEARCH("WP",Table23[[#This Row],[Link to Reference]])&gt;0,"Work Program","Booklet"),"Booklet")</f>
        <v>Work Program</v>
      </c>
      <c r="Z21" s="286">
        <v>4</v>
      </c>
      <c r="AA21" s="302">
        <f>IF(Table23[[#This Row],[Type]]="Booklet",MATCH(LEFT(Table23[[#This Row],[Link to Reference]],FIND(".",Table23[[#This Row],[Link to Reference]])-1),bookletsInfo[Initial],0),MATCH(LEFT(Table23[[#This Row],[Link to Reference]],FIND(".",Table23[[#This Row],[Link to Reference]])-1),WPInfo[Initials],0))</f>
        <v>5</v>
      </c>
      <c r="AB2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21" s="286">
        <v>16</v>
      </c>
      <c r="AD21" s="286" t="str">
        <f>IF(G21=G20,IF(MOD(Table23[[#This Row],[order]],2)=1,"hideOdd","hideEven"),FALSE)</f>
        <v>hideEven</v>
      </c>
      <c r="AE21" s="286">
        <f>IF(Table23[[#This Row],[hideText]]=FALSE,AE20+1,AE20)</f>
        <v>4</v>
      </c>
      <c r="AF21" s="269"/>
      <c r="AO21" s="286" t="s">
        <v>1433</v>
      </c>
    </row>
    <row r="22" spans="1:41" ht="45" x14ac:dyDescent="0.25">
      <c r="A22" s="206" t="s">
        <v>214</v>
      </c>
      <c r="B22" s="206" t="s">
        <v>34</v>
      </c>
      <c r="C22" s="206" t="s">
        <v>35</v>
      </c>
      <c r="D22" s="306" t="str">
        <f>IF(Table23[[#This Row],[hideText]]=FALSE,HYPERLINK(INDEX('Verify Baseline Links'!$P$10:$P$132,MATCH(Table23[[#This Row],[DSorder]],'Verify Baseline Links'!$M$10:$M$132,0)),"DS"),"")</f>
        <v/>
      </c>
      <c r="E22" s="206" t="s">
        <v>1338</v>
      </c>
      <c r="F22" s="223" t="str">
        <f>CLEAN(TRIM(SUBSTITUTE(LEFT(Table23[[#This Row],[Declarative Statement]],MIN(250,LEN(Table23[[#This Row],[Declarative Statement]]))),CHAR(160)," ")))</f>
        <v>The budgeting process includes information security related expenses and tools.</v>
      </c>
      <c r="G22" s="206">
        <f>MATCH(Table23[[#This Row],[clean DS]],combinedMaturityTable[Dsm clean],0)</f>
        <v>4</v>
      </c>
      <c r="H22" s="223"/>
      <c r="I22" s="223" t="s">
        <v>1343</v>
      </c>
      <c r="J22" s="308" t="str">
        <f>HYPERLINK(Table23[[#This Row],[URL]],Table23[[#This Row],[Link to Reference]])</f>
        <v>MGT.I.B.6:pg14</v>
      </c>
      <c r="K22" s="206" t="s">
        <v>1344</v>
      </c>
      <c r="X22" s="286" t="s">
        <v>1957</v>
      </c>
      <c r="Y22" s="302" t="str">
        <f>IFERROR(IF(SEARCH("WP",Table23[[#This Row],[Link to Reference]])&gt;0,"Work Program","Booklet"),"Booklet")</f>
        <v>Booklet</v>
      </c>
      <c r="Z22" s="286" t="s">
        <v>2004</v>
      </c>
      <c r="AA22" s="302">
        <f>IF(Table23[[#This Row],[Type]]="Booklet",MATCH(LEFT(Table23[[#This Row],[Link to Reference]],FIND(".",Table23[[#This Row],[Link to Reference]])-1),bookletsInfo[Initial],0),MATCH(LEFT(Table23[[#This Row],[Link to Reference]],FIND(".",Table23[[#This Row],[Link to Reference]])-1),WPInfo[Initials],0))</f>
        <v>6</v>
      </c>
      <c r="AB2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https://ithandbook.ffiec.gov/media/274809/ffiec_itbooklet_management.pdf#Page=15</v>
      </c>
      <c r="AC22" s="286">
        <v>17</v>
      </c>
      <c r="AD22" s="286" t="str">
        <f>IF(G22=G21,IF(MOD(Table23[[#This Row],[order]],2)=1,"hideOdd","hideEven"),FALSE)</f>
        <v>hideOdd</v>
      </c>
      <c r="AE22" s="286">
        <f>IF(Table23[[#This Row],[hideText]]=FALSE,AE21+1,AE21)</f>
        <v>4</v>
      </c>
      <c r="AF22" s="269"/>
      <c r="AO22" s="286" t="s">
        <v>1440</v>
      </c>
    </row>
    <row r="23" spans="1:41" ht="45" x14ac:dyDescent="0.25">
      <c r="A23" s="206" t="s">
        <v>214</v>
      </c>
      <c r="B23" s="206" t="s">
        <v>34</v>
      </c>
      <c r="C23" s="206" t="s">
        <v>35</v>
      </c>
      <c r="D23" s="306" t="str">
        <f>IF(Table23[[#This Row],[hideText]]=FALSE,HYPERLINK(INDEX('Verify Baseline Links'!$P$10:$P$132,MATCH(Table23[[#This Row],[DSorder]],'Verify Baseline Links'!$M$10:$M$132,0)),"DS"),"")</f>
        <v/>
      </c>
      <c r="E23" s="206" t="s">
        <v>1338</v>
      </c>
      <c r="F23" s="223" t="str">
        <f>CLEAN(TRIM(SUBSTITUTE(LEFT(Table23[[#This Row],[Declarative Statement]],MIN(250,LEN(Table23[[#This Row],[Declarative Statement]]))),CHAR(160)," ")))</f>
        <v>The budgeting process includes information security related expenses and tools.</v>
      </c>
      <c r="G23" s="206">
        <f>MATCH(Table23[[#This Row],[clean DS]],combinedMaturityTable[Dsm clean],0)</f>
        <v>4</v>
      </c>
      <c r="H23" s="223"/>
      <c r="I23" s="223" t="s">
        <v>1346</v>
      </c>
      <c r="J23" s="308" t="str">
        <f>HYPERLINK(Table23[[#This Row],[URL]],Table23[[#This Row],[Link to Reference]])</f>
        <v>MGT.I.B.6(c):pg17</v>
      </c>
      <c r="K23" s="206" t="s">
        <v>1345</v>
      </c>
      <c r="X23" s="286" t="s">
        <v>1957</v>
      </c>
      <c r="Y23" s="302" t="str">
        <f>IFERROR(IF(SEARCH("WP",Table23[[#This Row],[Link to Reference]])&gt;0,"Work Program","Booklet"),"Booklet")</f>
        <v>Booklet</v>
      </c>
      <c r="Z23" s="286" t="s">
        <v>2005</v>
      </c>
      <c r="AA23" s="302">
        <f>IF(Table23[[#This Row],[Type]]="Booklet",MATCH(LEFT(Table23[[#This Row],[Link to Reference]],FIND(".",Table23[[#This Row],[Link to Reference]])-1),bookletsInfo[Initial],0),MATCH(LEFT(Table23[[#This Row],[Link to Reference]],FIND(".",Table23[[#This Row],[Link to Reference]])-1),WPInfo[Initials],0))</f>
        <v>6</v>
      </c>
      <c r="AB2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https://ithandbook.ffiec.gov/media/274809/ffiec_itbooklet_management.pdf#Page=18</v>
      </c>
      <c r="AC23" s="286">
        <v>18</v>
      </c>
      <c r="AD23" s="286" t="str">
        <f>IF(G23=G22,IF(MOD(Table23[[#This Row],[order]],2)=1,"hideOdd","hideEven"),FALSE)</f>
        <v>hideEven</v>
      </c>
      <c r="AE23" s="286">
        <f>IF(Table23[[#This Row],[hideText]]=FALSE,AE22+1,AE22)</f>
        <v>4</v>
      </c>
      <c r="AF23" s="269"/>
      <c r="AO23" s="286" t="s">
        <v>1449</v>
      </c>
    </row>
    <row r="24" spans="1:41" ht="45" x14ac:dyDescent="0.25">
      <c r="A24" s="206" t="s">
        <v>214</v>
      </c>
      <c r="B24" s="206" t="s">
        <v>34</v>
      </c>
      <c r="C24" s="206" t="s">
        <v>35</v>
      </c>
      <c r="D24" s="306" t="str">
        <f>IF(Table23[[#This Row],[hideText]]=FALSE,HYPERLINK(INDEX('Verify Baseline Links'!$P$10:$P$132,MATCH(Table23[[#This Row],[DSorder]],'Verify Baseline Links'!$M$10:$M$132,0)),"DS"),"")</f>
        <v/>
      </c>
      <c r="E24" s="206" t="s">
        <v>1338</v>
      </c>
      <c r="F24" s="223" t="str">
        <f>CLEAN(TRIM(SUBSTITUTE(LEFT(Table23[[#This Row],[Declarative Statement]],MIN(250,LEN(Table23[[#This Row],[Declarative Statement]]))),CHAR(160)," ")))</f>
        <v>The budgeting process includes information security related expenses and tools.</v>
      </c>
      <c r="G24" s="206">
        <f>MATCH(Table23[[#This Row],[clean DS]],combinedMaturityTable[Dsm clean],0)</f>
        <v>4</v>
      </c>
      <c r="H24" s="223"/>
      <c r="I24" s="223" t="s">
        <v>1346</v>
      </c>
      <c r="J24" s="308" t="str">
        <f>HYPERLINK(Table23[[#This Row],[URL]],Table23[[#This Row],[Link to Reference]])</f>
        <v>MGT.I.B.6(c):pg17</v>
      </c>
      <c r="K24" s="206" t="s">
        <v>1347</v>
      </c>
      <c r="X24" s="286" t="s">
        <v>1957</v>
      </c>
      <c r="Y24" s="302" t="str">
        <f>IFERROR(IF(SEARCH("WP",Table23[[#This Row],[Link to Reference]])&gt;0,"Work Program","Booklet"),"Booklet")</f>
        <v>Booklet</v>
      </c>
      <c r="Z24" s="286" t="s">
        <v>2005</v>
      </c>
      <c r="AA24" s="302">
        <f>IF(Table23[[#This Row],[Type]]="Booklet",MATCH(LEFT(Table23[[#This Row],[Link to Reference]],FIND(".",Table23[[#This Row],[Link to Reference]])-1),bookletsInfo[Initial],0),MATCH(LEFT(Table23[[#This Row],[Link to Reference]],FIND(".",Table23[[#This Row],[Link to Reference]])-1),WPInfo[Initials],0))</f>
        <v>6</v>
      </c>
      <c r="AB2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https://ithandbook.ffiec.gov/media/274809/ffiec_itbooklet_management.pdf#Page=18</v>
      </c>
      <c r="AC24" s="286">
        <v>19</v>
      </c>
      <c r="AD24" s="286" t="str">
        <f>IF(G24=G23,IF(MOD(Table23[[#This Row],[order]],2)=1,"hideOdd","hideEven"),FALSE)</f>
        <v>hideOdd</v>
      </c>
      <c r="AE24" s="286">
        <f>IF(Table23[[#This Row],[hideText]]=FALSE,AE23+1,AE23)</f>
        <v>4</v>
      </c>
      <c r="AF24" s="269"/>
      <c r="AO24" s="286" t="s">
        <v>1452</v>
      </c>
    </row>
    <row r="25" spans="1:41" ht="45" x14ac:dyDescent="0.25">
      <c r="A25" s="206" t="s">
        <v>214</v>
      </c>
      <c r="B25" s="206" t="s">
        <v>34</v>
      </c>
      <c r="C25" s="206" t="s">
        <v>35</v>
      </c>
      <c r="D25" s="306" t="str">
        <f>IF(Table23[[#This Row],[hideText]]=FALSE,HYPERLINK(INDEX('Verify Baseline Links'!$P$10:$P$132,MATCH(Table23[[#This Row],[DSorder]],'Verify Baseline Links'!$M$10:$M$132,0)),"DS"),"")</f>
        <v/>
      </c>
      <c r="E25" s="206" t="s">
        <v>1338</v>
      </c>
      <c r="F25" s="223" t="str">
        <f>CLEAN(TRIM(SUBSTITUTE(LEFT(Table23[[#This Row],[Declarative Statement]],MIN(250,LEN(Table23[[#This Row],[Declarative Statement]]))),CHAR(160)," ")))</f>
        <v>The budgeting process includes information security related expenses and tools.</v>
      </c>
      <c r="G25" s="206">
        <f>MATCH(Table23[[#This Row],[clean DS]],combinedMaturityTable[Dsm clean],0)</f>
        <v>4</v>
      </c>
      <c r="H25" s="223"/>
      <c r="I25" s="223" t="s">
        <v>1348</v>
      </c>
      <c r="J25" s="308" t="str">
        <f>HYPERLINK(Table23[[#This Row],[URL]],Table23[[#This Row],[Link to Reference]])</f>
        <v>MGT.WP.4</v>
      </c>
      <c r="K25" s="206" t="s">
        <v>1349</v>
      </c>
      <c r="X25" s="286" t="s">
        <v>1957</v>
      </c>
      <c r="Y25" s="302" t="str">
        <f>IFERROR(IF(SEARCH("WP",Table23[[#This Row],[Link to Reference]])&gt;0,"Work Program","Booklet"),"Booklet")</f>
        <v>Work Program</v>
      </c>
      <c r="Z25" s="286">
        <v>7</v>
      </c>
      <c r="AA25" s="302">
        <f>IF(Table23[[#This Row],[Type]]="Booklet",MATCH(LEFT(Table23[[#This Row],[Link to Reference]],FIND(".",Table23[[#This Row],[Link to Reference]])-1),bookletsInfo[Initial],0),MATCH(LEFT(Table23[[#This Row],[Link to Reference]],FIND(".",Table23[[#This Row],[Link to Reference]])-1),WPInfo[Initials],0))</f>
        <v>6</v>
      </c>
      <c r="AB2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https://watkinsconsulting.com/wp-content/uploads/2019/02/Management-IT-WorkProgram.pdf#Page=7</v>
      </c>
      <c r="AC25" s="286">
        <v>20</v>
      </c>
      <c r="AD25" s="286" t="str">
        <f>IF(G25=G24,IF(MOD(Table23[[#This Row],[order]],2)=1,"hideOdd","hideEven"),FALSE)</f>
        <v>hideEven</v>
      </c>
      <c r="AE25" s="286">
        <f>IF(Table23[[#This Row],[hideText]]=FALSE,AE24+1,AE24)</f>
        <v>4</v>
      </c>
      <c r="AF25" s="269"/>
      <c r="AO25" s="286" t="s">
        <v>1459</v>
      </c>
    </row>
    <row r="26" spans="1:41" ht="45" x14ac:dyDescent="0.25">
      <c r="A26" s="206" t="s">
        <v>214</v>
      </c>
      <c r="B26" s="206" t="s">
        <v>34</v>
      </c>
      <c r="C26" s="206" t="s">
        <v>35</v>
      </c>
      <c r="D26" s="306" t="str">
        <f ca="1">IF(Table23[[#This Row],[hideText]]=FALSE,HYPERLINK(INDEX('Verify Baseline Links'!$P$10:$P$132,MATCH(Table23[[#This Row],[DSorder]],'Verify Baseline Links'!$M$10:$M$132,0)),"DS"),"")</f>
        <v>DS</v>
      </c>
      <c r="E26" s="206" t="s">
        <v>1350</v>
      </c>
      <c r="F26" s="223" t="str">
        <f>CLEAN(TRIM(SUBSTITUTE(LEFT(Table23[[#This Row],[Declarative Statement]],MIN(250,LEN(Table23[[#This Row],[Declarative Statement]]))),CHAR(160)," ")))</f>
        <v>Management considers the risks posed by other critical infrastructures (e.g., telecommunications, energy) to the institution.</v>
      </c>
      <c r="G26" s="206">
        <f>MATCH(Table23[[#This Row],[clean DS]],combinedMaturityTable[Dsm clean],0)</f>
        <v>5</v>
      </c>
      <c r="H26" s="223">
        <v>2</v>
      </c>
      <c r="I26" s="223" t="s">
        <v>1351</v>
      </c>
      <c r="J26" s="308" t="str">
        <f>HYPERLINK(Table23[[#This Row],[URL]],Table23[[#This Row],[Link to Reference]])</f>
        <v>BCP.B.J-12</v>
      </c>
      <c r="K26" s="206" t="s">
        <v>1352</v>
      </c>
      <c r="L26" s="286" t="s">
        <v>1353</v>
      </c>
      <c r="M26" s="286" t="s">
        <v>1354</v>
      </c>
      <c r="X26" s="286" t="s">
        <v>1950</v>
      </c>
      <c r="Y26" s="302" t="str">
        <f>IFERROR(IF(SEARCH("WP",Table23[[#This Row],[Link to Reference]])&gt;0,"Work Program","Booklet"),"Booklet")</f>
        <v>Booklet</v>
      </c>
      <c r="Z26" s="286">
        <v>131</v>
      </c>
      <c r="AA26" s="302">
        <f>IF(Table23[[#This Row],[Type]]="Booklet",MATCH(LEFT(Table23[[#This Row],[Link to Reference]],FIND(".",Table23[[#This Row],[Link to Reference]])-1),bookletsInfo[Initial],0),MATCH(LEFT(Table23[[#This Row],[Link to Reference]],FIND(".",Table23[[#This Row],[Link to Reference]])-1),WPInfo[Initials],0))</f>
        <v>2</v>
      </c>
      <c r="AB2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https://ithandbook.ffiec.gov/media/274725/ffiec_itbooklet_businesscontinuityplanning.pdf#Page=134</v>
      </c>
      <c r="AC26" s="286">
        <v>21</v>
      </c>
      <c r="AD26" s="286" t="b">
        <f>IF(G26=G25,IF(MOD(Table23[[#This Row],[order]],2)=1,"hideOdd","hideEven"),FALSE)</f>
        <v>0</v>
      </c>
      <c r="AE26" s="286">
        <f>IF(Table23[[#This Row],[hideText]]=FALSE,AE25+1,AE25)</f>
        <v>5</v>
      </c>
      <c r="AF26" s="269"/>
      <c r="AO26" s="286" t="s">
        <v>1473</v>
      </c>
    </row>
    <row r="27" spans="1:41" ht="45" x14ac:dyDescent="0.25">
      <c r="A27" s="206" t="s">
        <v>214</v>
      </c>
      <c r="B27" s="206" t="s">
        <v>34</v>
      </c>
      <c r="C27" s="206" t="s">
        <v>35</v>
      </c>
      <c r="D27" s="306" t="str">
        <f>IF(Table23[[#This Row],[hideText]]=FALSE,HYPERLINK(INDEX('Verify Baseline Links'!$P$10:$P$132,MATCH(Table23[[#This Row],[DSorder]],'Verify Baseline Links'!$M$10:$M$132,0)),"DS"),"")</f>
        <v/>
      </c>
      <c r="E27" s="206" t="s">
        <v>1350</v>
      </c>
      <c r="F27" s="223" t="str">
        <f>CLEAN(TRIM(SUBSTITUTE(LEFT(Table23[[#This Row],[Declarative Statement]],MIN(250,LEN(Table23[[#This Row],[Declarative Statement]]))),CHAR(160)," ")))</f>
        <v>Management considers the risks posed by other critical infrastructures (e.g., telecommunications, energy) to the institution.</v>
      </c>
      <c r="G27" s="206">
        <f>MATCH(Table23[[#This Row],[clean DS]],combinedMaturityTable[Dsm clean],0)</f>
        <v>5</v>
      </c>
      <c r="H27" s="223"/>
      <c r="I27" s="223" t="s">
        <v>1353</v>
      </c>
      <c r="J27" s="308" t="str">
        <f>HYPERLINK(Table23[[#This Row],[URL]],Table23[[#This Row],[Link to Reference]])</f>
        <v>BCP.WP.10</v>
      </c>
      <c r="K27" s="206" t="s">
        <v>1354</v>
      </c>
      <c r="X27" s="286" t="s">
        <v>1950</v>
      </c>
      <c r="Y27" s="302" t="str">
        <f>IFERROR(IF(SEARCH("WP",Table23[[#This Row],[Link to Reference]])&gt;0,"Work Program","Booklet"),"Booklet")</f>
        <v>Work Program</v>
      </c>
      <c r="Z27" s="286">
        <v>19</v>
      </c>
      <c r="AA27" s="302">
        <f>IF(Table23[[#This Row],[Type]]="Booklet",MATCH(LEFT(Table23[[#This Row],[Link to Reference]],FIND(".",Table23[[#This Row],[Link to Reference]])-1),bookletsInfo[Initial],0),MATCH(LEFT(Table23[[#This Row],[Link to Reference]],FIND(".",Table23[[#This Row],[Link to Reference]])-1),WPInfo[Initials],0))</f>
        <v>2</v>
      </c>
      <c r="AB2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https://watkinsconsulting.com/wp-content/uploads/2019/02/Business-Continuity-Planning-IT-WorkProgram.pdf#Page=19</v>
      </c>
      <c r="AC27" s="286">
        <v>22</v>
      </c>
      <c r="AD27" s="286" t="str">
        <f>IF(G27=G26,IF(MOD(Table23[[#This Row],[order]],2)=1,"hideOdd","hideEven"),FALSE)</f>
        <v>hideEven</v>
      </c>
      <c r="AE27" s="286">
        <f>IF(Table23[[#This Row],[hideText]]=FALSE,AE26+1,AE26)</f>
        <v>5</v>
      </c>
      <c r="AF27" s="269"/>
      <c r="AO27" s="286" t="s">
        <v>1480</v>
      </c>
    </row>
    <row r="28" spans="1:41" ht="45" x14ac:dyDescent="0.25">
      <c r="A28" s="206" t="s">
        <v>214</v>
      </c>
      <c r="B28" s="206" t="s">
        <v>34</v>
      </c>
      <c r="C28" s="206" t="s">
        <v>1355</v>
      </c>
      <c r="D28" s="306" t="str">
        <f ca="1">IF(Table23[[#This Row],[hideText]]=FALSE,HYPERLINK(INDEX('Verify Baseline Links'!$P$10:$P$132,MATCH(Table23[[#This Row],[DSorder]],'Verify Baseline Links'!$M$10:$M$132,0)),"DS"),"")</f>
        <v>DS</v>
      </c>
      <c r="E28" s="206" t="s">
        <v>1356</v>
      </c>
      <c r="F28" s="223" t="str">
        <f>CLEAN(TRIM(SUBSTITUTE(LEFT(Table23[[#This Row],[Declarative Statement]],MIN(250,LEN(Table23[[#This Row],[Declarative Statement]]))),CHAR(160)," ")))</f>
        <v>The institution has an information security strategy that integrates technology, policies, procedures, and training to mitigate risk.</v>
      </c>
      <c r="G28" s="206">
        <f>MATCH(Table23[[#This Row],[clean DS]],combinedMaturityTable[Dsm clean],0)</f>
        <v>26</v>
      </c>
      <c r="H28" s="223">
        <v>4</v>
      </c>
      <c r="I28" s="223" t="s">
        <v>1204</v>
      </c>
      <c r="J28" s="308" t="str">
        <f>HYPERLINK(Table23[[#This Row],[URL]],Table23[[#This Row],[Link to Reference]])</f>
        <v>IS.Introduction:pg2</v>
      </c>
      <c r="K28" s="206" t="s">
        <v>1357</v>
      </c>
      <c r="L28" s="286" t="s">
        <v>1358</v>
      </c>
      <c r="M28" s="286" t="s">
        <v>1359</v>
      </c>
      <c r="N28" s="286" t="s">
        <v>1360</v>
      </c>
      <c r="O28" s="286" t="s">
        <v>1361</v>
      </c>
      <c r="P28" s="286" t="s">
        <v>1362</v>
      </c>
      <c r="Q28" s="286" t="s">
        <v>1363</v>
      </c>
      <c r="X28" s="286" t="s">
        <v>1186</v>
      </c>
      <c r="Y28" s="302" t="str">
        <f>IFERROR(IF(SEARCH("WP",Table23[[#This Row],[Link to Reference]])&gt;0,"Work Program","Booklet"),"Booklet")</f>
        <v>Booklet</v>
      </c>
      <c r="Z28" s="286" t="s">
        <v>2006</v>
      </c>
      <c r="AA28" s="302">
        <f>IF(Table23[[#This Row],[Type]]="Booklet",MATCH(LEFT(Table23[[#This Row],[Link to Reference]],FIND(".",Table23[[#This Row],[Link to Reference]])-1),bookletsInfo[Initial],0),MATCH(LEFT(Table23[[#This Row],[Link to Reference]],FIND(".",Table23[[#This Row],[Link to Reference]])-1),WPInfo[Initials],0))</f>
        <v>5</v>
      </c>
      <c r="AB2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v>
      </c>
      <c r="AC28" s="286">
        <v>23</v>
      </c>
      <c r="AD28" s="286" t="b">
        <f>IF(G28=G27,IF(MOD(Table23[[#This Row],[order]],2)=1,"hideOdd","hideEven"),FALSE)</f>
        <v>0</v>
      </c>
      <c r="AE28" s="286">
        <f>IF(Table23[[#This Row],[hideText]]=FALSE,AE27+1,AE27)</f>
        <v>6</v>
      </c>
      <c r="AF28" s="269"/>
      <c r="AO28" s="286" t="s">
        <v>1488</v>
      </c>
    </row>
    <row r="29" spans="1:41" ht="45" x14ac:dyDescent="0.25">
      <c r="A29" s="206" t="s">
        <v>214</v>
      </c>
      <c r="B29" s="206" t="s">
        <v>34</v>
      </c>
      <c r="C29" s="206" t="s">
        <v>1355</v>
      </c>
      <c r="D29" s="306" t="str">
        <f>IF(Table23[[#This Row],[hideText]]=FALSE,HYPERLINK(INDEX('Verify Baseline Links'!$P$10:$P$132,MATCH(Table23[[#This Row],[DSorder]],'Verify Baseline Links'!$M$10:$M$132,0)),"DS"),"")</f>
        <v/>
      </c>
      <c r="E29" s="206" t="s">
        <v>1356</v>
      </c>
      <c r="F29" s="223" t="str">
        <f>CLEAN(TRIM(SUBSTITUTE(LEFT(Table23[[#This Row],[Declarative Statement]],MIN(250,LEN(Table23[[#This Row],[Declarative Statement]]))),CHAR(160)," ")))</f>
        <v>The institution has an information security strategy that integrates technology, policies, procedures, and training to mitigate risk.</v>
      </c>
      <c r="G29" s="206">
        <f>MATCH(Table23[[#This Row],[clean DS]],combinedMaturityTable[Dsm clean],0)</f>
        <v>26</v>
      </c>
      <c r="H29" s="223"/>
      <c r="I29" s="223" t="s">
        <v>1358</v>
      </c>
      <c r="J29" s="308" t="str">
        <f>HYPERLINK(Table23[[#This Row],[URL]],Table23[[#This Row],[Link to Reference]])</f>
        <v>IS.WP.6.3</v>
      </c>
      <c r="K29" s="206" t="s">
        <v>1359</v>
      </c>
      <c r="X29" s="286" t="s">
        <v>1186</v>
      </c>
      <c r="Y29" s="302" t="str">
        <f>IFERROR(IF(SEARCH("WP",Table23[[#This Row],[Link to Reference]])&gt;0,"Work Program","Booklet"),"Booklet")</f>
        <v>Work Program</v>
      </c>
      <c r="Z29" s="286">
        <v>7</v>
      </c>
      <c r="AA29" s="302">
        <f>IF(Table23[[#This Row],[Type]]="Booklet",MATCH(LEFT(Table23[[#This Row],[Link to Reference]],FIND(".",Table23[[#This Row],[Link to Reference]])-1),bookletsInfo[Initial],0),MATCH(LEFT(Table23[[#This Row],[Link to Reference]],FIND(".",Table23[[#This Row],[Link to Reference]])-1),WPInfo[Initials],0))</f>
        <v>5</v>
      </c>
      <c r="AB2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https://watkinsconsulting.com/wp-content/uploads/2019/02/Information-Security-IT-WorkProgram.pdf#Page=7</v>
      </c>
      <c r="AC29" s="286">
        <v>24</v>
      </c>
      <c r="AD29" s="286" t="str">
        <f>IF(G29=G28,IF(MOD(Table23[[#This Row],[order]],2)=1,"hideOdd","hideEven"),FALSE)</f>
        <v>hideEven</v>
      </c>
      <c r="AE29" s="286">
        <f>IF(Table23[[#This Row],[hideText]]=FALSE,AE28+1,AE28)</f>
        <v>6</v>
      </c>
      <c r="AF29" s="269"/>
      <c r="AO29" s="286" t="s">
        <v>1497</v>
      </c>
    </row>
    <row r="30" spans="1:41" ht="45" x14ac:dyDescent="0.25">
      <c r="A30" s="206" t="s">
        <v>214</v>
      </c>
      <c r="B30" s="206" t="s">
        <v>34</v>
      </c>
      <c r="C30" s="206" t="s">
        <v>1355</v>
      </c>
      <c r="D30" s="306" t="str">
        <f>IF(Table23[[#This Row],[hideText]]=FALSE,HYPERLINK(INDEX('Verify Baseline Links'!$P$10:$P$132,MATCH(Table23[[#This Row],[DSorder]],'Verify Baseline Links'!$M$10:$M$132,0)),"DS"),"")</f>
        <v/>
      </c>
      <c r="E30" s="206" t="s">
        <v>1356</v>
      </c>
      <c r="F30" s="223" t="str">
        <f>CLEAN(TRIM(SUBSTITUTE(LEFT(Table23[[#This Row],[Declarative Statement]],MIN(250,LEN(Table23[[#This Row],[Declarative Statement]]))),CHAR(160)," ")))</f>
        <v>The institution has an information security strategy that integrates technology, policies, procedures, and training to mitigate risk.</v>
      </c>
      <c r="G30" s="206">
        <f>MATCH(Table23[[#This Row],[clean DS]],combinedMaturityTable[Dsm clean],0)</f>
        <v>26</v>
      </c>
      <c r="H30" s="223"/>
      <c r="I30" s="223" t="s">
        <v>1360</v>
      </c>
      <c r="J30" s="308" t="str">
        <f>HYPERLINK(Table23[[#This Row],[URL]],Table23[[#This Row],[Link to Reference]])</f>
        <v>MGT.III.C.1:pg27</v>
      </c>
      <c r="K30" s="206" t="s">
        <v>1361</v>
      </c>
      <c r="X30" s="286" t="s">
        <v>1957</v>
      </c>
      <c r="Y30" s="302" t="str">
        <f>IFERROR(IF(SEARCH("WP",Table23[[#This Row],[Link to Reference]])&gt;0,"Work Program","Booklet"),"Booklet")</f>
        <v>Booklet</v>
      </c>
      <c r="Z30" s="286" t="s">
        <v>2007</v>
      </c>
      <c r="AA30" s="302">
        <f>IF(Table23[[#This Row],[Type]]="Booklet",MATCH(LEFT(Table23[[#This Row],[Link to Reference]],FIND(".",Table23[[#This Row],[Link to Reference]])-1),bookletsInfo[Initial],0),MATCH(LEFT(Table23[[#This Row],[Link to Reference]],FIND(".",Table23[[#This Row],[Link to Reference]])-1),WPInfo[Initials],0))</f>
        <v>6</v>
      </c>
      <c r="AB3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https://ithandbook.ffiec.gov/media/274809/ffiec_itbooklet_management.pdf#Page=28</v>
      </c>
      <c r="AC30" s="286">
        <v>25</v>
      </c>
      <c r="AD30" s="286" t="str">
        <f>IF(G30=G29,IF(MOD(Table23[[#This Row],[order]],2)=1,"hideOdd","hideEven"),FALSE)</f>
        <v>hideOdd</v>
      </c>
      <c r="AE30" s="286">
        <f>IF(Table23[[#This Row],[hideText]]=FALSE,AE29+1,AE29)</f>
        <v>6</v>
      </c>
      <c r="AF30" s="269"/>
      <c r="AO30" s="286" t="s">
        <v>1502</v>
      </c>
    </row>
    <row r="31" spans="1:41" ht="45" x14ac:dyDescent="0.25">
      <c r="A31" s="206" t="s">
        <v>214</v>
      </c>
      <c r="B31" s="206" t="s">
        <v>34</v>
      </c>
      <c r="C31" s="206" t="s">
        <v>1355</v>
      </c>
      <c r="D31" s="306" t="str">
        <f>IF(Table23[[#This Row],[hideText]]=FALSE,HYPERLINK(INDEX('Verify Baseline Links'!$P$10:$P$132,MATCH(Table23[[#This Row],[DSorder]],'Verify Baseline Links'!$M$10:$M$132,0)),"DS"),"")</f>
        <v/>
      </c>
      <c r="E31" s="206" t="s">
        <v>1356</v>
      </c>
      <c r="F31" s="223" t="str">
        <f>CLEAN(TRIM(SUBSTITUTE(LEFT(Table23[[#This Row],[Declarative Statement]],MIN(250,LEN(Table23[[#This Row],[Declarative Statement]]))),CHAR(160)," ")))</f>
        <v>The institution has an information security strategy that integrates technology, policies, procedures, and training to mitigate risk.</v>
      </c>
      <c r="G31" s="206">
        <f>MATCH(Table23[[#This Row],[clean DS]],combinedMaturityTable[Dsm clean],0)</f>
        <v>26</v>
      </c>
      <c r="H31" s="223"/>
      <c r="I31" s="223" t="s">
        <v>1362</v>
      </c>
      <c r="J31" s="308" t="str">
        <f>HYPERLINK(Table23[[#This Row],[URL]],Table23[[#This Row],[Link to Reference]])</f>
        <v>MGT.WP.4.3</v>
      </c>
      <c r="K31" s="206" t="s">
        <v>1363</v>
      </c>
      <c r="X31" s="286" t="s">
        <v>1957</v>
      </c>
      <c r="Y31" s="302" t="str">
        <f>IFERROR(IF(SEARCH("WP",Table23[[#This Row],[Link to Reference]])&gt;0,"Work Program","Booklet"),"Booklet")</f>
        <v>Work Program</v>
      </c>
      <c r="Z31" s="286">
        <v>8</v>
      </c>
      <c r="AA31" s="302">
        <f>IF(Table23[[#This Row],[Type]]="Booklet",MATCH(LEFT(Table23[[#This Row],[Link to Reference]],FIND(".",Table23[[#This Row],[Link to Reference]])-1),bookletsInfo[Initial],0),MATCH(LEFT(Table23[[#This Row],[Link to Reference]],FIND(".",Table23[[#This Row],[Link to Reference]])-1),WPInfo[Initials],0))</f>
        <v>6</v>
      </c>
      <c r="AB3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https://watkinsconsulting.com/wp-content/uploads/2019/02/Management-IT-WorkProgram.pdf#Page=8</v>
      </c>
      <c r="AC31" s="286">
        <v>26</v>
      </c>
      <c r="AD31" s="286" t="str">
        <f>IF(G31=G30,IF(MOD(Table23[[#This Row],[order]],2)=1,"hideOdd","hideEven"),FALSE)</f>
        <v>hideEven</v>
      </c>
      <c r="AE31" s="286">
        <f>IF(Table23[[#This Row],[hideText]]=FALSE,AE30+1,AE30)</f>
        <v>6</v>
      </c>
      <c r="AF31" s="269"/>
      <c r="AO31" s="286" t="s">
        <v>1505</v>
      </c>
    </row>
    <row r="32" spans="1:41" ht="45" x14ac:dyDescent="0.25">
      <c r="A32" s="206" t="s">
        <v>214</v>
      </c>
      <c r="B32" s="206" t="s">
        <v>34</v>
      </c>
      <c r="C32" s="206" t="s">
        <v>1355</v>
      </c>
      <c r="D32" s="306" t="str">
        <f ca="1">IF(Table23[[#This Row],[hideText]]=FALSE,HYPERLINK(INDEX('Verify Baseline Links'!$P$10:$P$132,MATCH(Table23[[#This Row],[DSorder]],'Verify Baseline Links'!$M$10:$M$132,0)),"DS"),"")</f>
        <v>DS</v>
      </c>
      <c r="E32" s="206" t="s">
        <v>1364</v>
      </c>
      <c r="F32" s="223" t="str">
        <f>CLEAN(TRIM(SUBSTITUTE(LEFT(Table23[[#This Row],[Declarative Statement]],MIN(250,LEN(Table23[[#This Row],[Declarative Statement]]))),CHAR(160)," ")))</f>
        <v>The institution has policies commensurate with its risk and complexity that address the concepts of information technology risk management.</v>
      </c>
      <c r="G32" s="206">
        <f>MATCH(Table23[[#This Row],[clean DS]],combinedMaturityTable[Dsm clean],0)</f>
        <v>27</v>
      </c>
      <c r="H32" s="223">
        <v>4</v>
      </c>
      <c r="I32" s="223" t="s">
        <v>1365</v>
      </c>
      <c r="J32" s="308" t="str">
        <f>HYPERLINK(Table23[[#This Row],[URL]],Table23[[#This Row],[Link to Reference]])</f>
        <v>IS.II:pg6</v>
      </c>
      <c r="K32" s="206" t="s">
        <v>1366</v>
      </c>
      <c r="L32" s="286" t="s">
        <v>1367</v>
      </c>
      <c r="M32" s="286" t="s">
        <v>1368</v>
      </c>
      <c r="N32" s="286" t="s">
        <v>1360</v>
      </c>
      <c r="O32" s="286" t="s">
        <v>1369</v>
      </c>
      <c r="P32" s="286" t="s">
        <v>1370</v>
      </c>
      <c r="Q32" s="286" t="s">
        <v>1371</v>
      </c>
      <c r="X32" s="286" t="s">
        <v>1186</v>
      </c>
      <c r="Y32" s="302" t="str">
        <f>IFERROR(IF(SEARCH("WP",Table23[[#This Row],[Link to Reference]])&gt;0,"Work Program","Booklet"),"Booklet")</f>
        <v>Booklet</v>
      </c>
      <c r="Z32" s="286" t="s">
        <v>2008</v>
      </c>
      <c r="AA32" s="302">
        <f>IF(Table23[[#This Row],[Type]]="Booklet",MATCH(LEFT(Table23[[#This Row],[Link to Reference]],FIND(".",Table23[[#This Row],[Link to Reference]])-1),bookletsInfo[Initial],0),MATCH(LEFT(Table23[[#This Row],[Link to Reference]],FIND(".",Table23[[#This Row],[Link to Reference]])-1),WPInfo[Initials],0))</f>
        <v>5</v>
      </c>
      <c r="AB3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https://ithandbook.ffiec.gov/media/274793/ffiec_itbooklet_informationsecurity.pdf#Page=9</v>
      </c>
      <c r="AC32" s="286">
        <v>27</v>
      </c>
      <c r="AD32" s="286" t="b">
        <f>IF(G32=G31,IF(MOD(Table23[[#This Row],[order]],2)=1,"hideOdd","hideEven"),FALSE)</f>
        <v>0</v>
      </c>
      <c r="AE32" s="286">
        <f>IF(Table23[[#This Row],[hideText]]=FALSE,AE31+1,AE31)</f>
        <v>7</v>
      </c>
      <c r="AF32" s="269"/>
      <c r="AO32" s="286" t="s">
        <v>1512</v>
      </c>
    </row>
    <row r="33" spans="1:41" ht="45" x14ac:dyDescent="0.25">
      <c r="A33" s="206" t="s">
        <v>214</v>
      </c>
      <c r="B33" s="206" t="s">
        <v>34</v>
      </c>
      <c r="C33" s="206" t="s">
        <v>1355</v>
      </c>
      <c r="D33" s="306" t="str">
        <f>IF(Table23[[#This Row],[hideText]]=FALSE,HYPERLINK(INDEX('Verify Baseline Links'!$P$10:$P$132,MATCH(Table23[[#This Row],[DSorder]],'Verify Baseline Links'!$M$10:$M$132,0)),"DS"),"")</f>
        <v/>
      </c>
      <c r="E33" s="206" t="s">
        <v>1364</v>
      </c>
      <c r="F33" s="223" t="str">
        <f>CLEAN(TRIM(SUBSTITUTE(LEFT(Table23[[#This Row],[Declarative Statement]],MIN(250,LEN(Table23[[#This Row],[Declarative Statement]]))),CHAR(160)," ")))</f>
        <v>The institution has policies commensurate with its risk and complexity that address the concepts of information technology risk management.</v>
      </c>
      <c r="G33" s="206">
        <f>MATCH(Table23[[#This Row],[clean DS]],combinedMaturityTable[Dsm clean],0)</f>
        <v>27</v>
      </c>
      <c r="H33" s="223"/>
      <c r="I33" s="223" t="s">
        <v>1367</v>
      </c>
      <c r="J33" s="308" t="str">
        <f>HYPERLINK(Table23[[#This Row],[URL]],Table23[[#This Row],[Link to Reference]])</f>
        <v>IS.WP.3.1</v>
      </c>
      <c r="K33" s="206" t="s">
        <v>1368</v>
      </c>
      <c r="X33" s="286" t="s">
        <v>1186</v>
      </c>
      <c r="Y33" s="302" t="str">
        <f>IFERROR(IF(SEARCH("WP",Table23[[#This Row],[Link to Reference]])&gt;0,"Work Program","Booklet"),"Booklet")</f>
        <v>Work Program</v>
      </c>
      <c r="Z33" s="286">
        <v>5</v>
      </c>
      <c r="AA33" s="302">
        <f>IF(Table23[[#This Row],[Type]]="Booklet",MATCH(LEFT(Table23[[#This Row],[Link to Reference]],FIND(".",Table23[[#This Row],[Link to Reference]])-1),bookletsInfo[Initial],0),MATCH(LEFT(Table23[[#This Row],[Link to Reference]],FIND(".",Table23[[#This Row],[Link to Reference]])-1),WPInfo[Initials],0))</f>
        <v>5</v>
      </c>
      <c r="AB3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https://watkinsconsulting.com/wp-content/uploads/2019/02/Information-Security-IT-WorkProgram.pdf#Page=5</v>
      </c>
      <c r="AC33" s="286">
        <v>28</v>
      </c>
      <c r="AD33" s="286" t="str">
        <f>IF(G33=G32,IF(MOD(Table23[[#This Row],[order]],2)=1,"hideOdd","hideEven"),FALSE)</f>
        <v>hideEven</v>
      </c>
      <c r="AE33" s="286">
        <f>IF(Table23[[#This Row],[hideText]]=FALSE,AE32+1,AE32)</f>
        <v>7</v>
      </c>
      <c r="AF33" s="269"/>
      <c r="AO33" s="286" t="s">
        <v>2072</v>
      </c>
    </row>
    <row r="34" spans="1:41" ht="45" x14ac:dyDescent="0.25">
      <c r="A34" s="206" t="s">
        <v>214</v>
      </c>
      <c r="B34" s="206" t="s">
        <v>34</v>
      </c>
      <c r="C34" s="206" t="s">
        <v>1355</v>
      </c>
      <c r="D34" s="306" t="str">
        <f>IF(Table23[[#This Row],[hideText]]=FALSE,HYPERLINK(INDEX('Verify Baseline Links'!$P$10:$P$132,MATCH(Table23[[#This Row],[DSorder]],'Verify Baseline Links'!$M$10:$M$132,0)),"DS"),"")</f>
        <v/>
      </c>
      <c r="E34" s="206" t="s">
        <v>1364</v>
      </c>
      <c r="F34" s="223" t="str">
        <f>CLEAN(TRIM(SUBSTITUTE(LEFT(Table23[[#This Row],[Declarative Statement]],MIN(250,LEN(Table23[[#This Row],[Declarative Statement]]))),CHAR(160)," ")))</f>
        <v>The institution has policies commensurate with its risk and complexity that address the concepts of information technology risk management.</v>
      </c>
      <c r="G34" s="206">
        <f>MATCH(Table23[[#This Row],[clean DS]],combinedMaturityTable[Dsm clean],0)</f>
        <v>27</v>
      </c>
      <c r="H34" s="223"/>
      <c r="I34" s="223" t="s">
        <v>1360</v>
      </c>
      <c r="J34" s="308" t="str">
        <f>HYPERLINK(Table23[[#This Row],[URL]],Table23[[#This Row],[Link to Reference]])</f>
        <v>MGT.III.C.1:pg27</v>
      </c>
      <c r="K34" s="206" t="s">
        <v>1369</v>
      </c>
      <c r="X34" s="286" t="s">
        <v>1957</v>
      </c>
      <c r="Y34" s="302" t="str">
        <f>IFERROR(IF(SEARCH("WP",Table23[[#This Row],[Link to Reference]])&gt;0,"Work Program","Booklet"),"Booklet")</f>
        <v>Booklet</v>
      </c>
      <c r="Z34" s="286" t="s">
        <v>2007</v>
      </c>
      <c r="AA34" s="302">
        <f>IF(Table23[[#This Row],[Type]]="Booklet",MATCH(LEFT(Table23[[#This Row],[Link to Reference]],FIND(".",Table23[[#This Row],[Link to Reference]])-1),bookletsInfo[Initial],0),MATCH(LEFT(Table23[[#This Row],[Link to Reference]],FIND(".",Table23[[#This Row],[Link to Reference]])-1),WPInfo[Initials],0))</f>
        <v>6</v>
      </c>
      <c r="AB3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https://ithandbook.ffiec.gov/media/274809/ffiec_itbooklet_management.pdf#Page=28</v>
      </c>
      <c r="AC34" s="286">
        <v>29</v>
      </c>
      <c r="AD34" s="286" t="str">
        <f>IF(G34=G33,IF(MOD(Table23[[#This Row],[order]],2)=1,"hideOdd","hideEven"),FALSE)</f>
        <v>hideOdd</v>
      </c>
      <c r="AE34" s="286">
        <f>IF(Table23[[#This Row],[hideText]]=FALSE,AE33+1,AE33)</f>
        <v>7</v>
      </c>
      <c r="AF34" s="269"/>
      <c r="AO34" s="286" t="s">
        <v>1522</v>
      </c>
    </row>
    <row r="35" spans="1:41" ht="45" x14ac:dyDescent="0.25">
      <c r="A35" s="206" t="s">
        <v>214</v>
      </c>
      <c r="B35" s="206" t="s">
        <v>34</v>
      </c>
      <c r="C35" s="206" t="s">
        <v>1355</v>
      </c>
      <c r="D35" s="306" t="str">
        <f>IF(Table23[[#This Row],[hideText]]=FALSE,HYPERLINK(INDEX('Verify Baseline Links'!$P$10:$P$132,MATCH(Table23[[#This Row],[DSorder]],'Verify Baseline Links'!$M$10:$M$132,0)),"DS"),"")</f>
        <v/>
      </c>
      <c r="E35" s="206" t="s">
        <v>1364</v>
      </c>
      <c r="F35" s="223" t="str">
        <f>CLEAN(TRIM(SUBSTITUTE(LEFT(Table23[[#This Row],[Declarative Statement]],MIN(250,LEN(Table23[[#This Row],[Declarative Statement]]))),CHAR(160)," ")))</f>
        <v>The institution has policies commensurate with its risk and complexity that address the concepts of information technology risk management.</v>
      </c>
      <c r="G35" s="206">
        <f>MATCH(Table23[[#This Row],[clean DS]],combinedMaturityTable[Dsm clean],0)</f>
        <v>27</v>
      </c>
      <c r="H35" s="223"/>
      <c r="I35" s="223" t="s">
        <v>1370</v>
      </c>
      <c r="J35" s="308" t="str">
        <f>HYPERLINK(Table23[[#This Row],[URL]],Table23[[#This Row],[Link to Reference]])</f>
        <v>MGT.WP.12.4</v>
      </c>
      <c r="K35" s="206" t="s">
        <v>1371</v>
      </c>
      <c r="X35" s="286" t="s">
        <v>1957</v>
      </c>
      <c r="Y35" s="302" t="str">
        <f>IFERROR(IF(SEARCH("WP",Table23[[#This Row],[Link to Reference]])&gt;0,"Work Program","Booklet"),"Booklet")</f>
        <v>Work Program</v>
      </c>
      <c r="Z35" s="286">
        <v>15</v>
      </c>
      <c r="AA35" s="302">
        <f>IF(Table23[[#This Row],[Type]]="Booklet",MATCH(LEFT(Table23[[#This Row],[Link to Reference]],FIND(".",Table23[[#This Row],[Link to Reference]])-1),bookletsInfo[Initial],0),MATCH(LEFT(Table23[[#This Row],[Link to Reference]],FIND(".",Table23[[#This Row],[Link to Reference]])-1),WPInfo[Initials],0))</f>
        <v>6</v>
      </c>
      <c r="AB3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https://watkinsconsulting.com/wp-content/uploads/2019/02/Management-IT-WorkProgram.pdf#Page=15</v>
      </c>
      <c r="AC35" s="286">
        <v>30</v>
      </c>
      <c r="AD35" s="286" t="str">
        <f>IF(G35=G34,IF(MOD(Table23[[#This Row],[order]],2)=1,"hideOdd","hideEven"),FALSE)</f>
        <v>hideEven</v>
      </c>
      <c r="AE35" s="286">
        <f>IF(Table23[[#This Row],[hideText]]=FALSE,AE34+1,AE34)</f>
        <v>7</v>
      </c>
      <c r="AF35" s="269"/>
      <c r="AO35" s="286" t="s">
        <v>1533</v>
      </c>
    </row>
    <row r="36" spans="1:41" ht="45" x14ac:dyDescent="0.25">
      <c r="A36" s="206" t="s">
        <v>214</v>
      </c>
      <c r="B36" s="206" t="s">
        <v>34</v>
      </c>
      <c r="C36" s="206" t="s">
        <v>1355</v>
      </c>
      <c r="D36" s="306" t="str">
        <f ca="1">IF(Table23[[#This Row],[hideText]]=FALSE,HYPERLINK(INDEX('Verify Baseline Links'!$P$10:$P$132,MATCH(Table23[[#This Row],[DSorder]],'Verify Baseline Links'!$M$10:$M$132,0)),"DS"),"")</f>
        <v>DS</v>
      </c>
      <c r="E36" s="206" t="s">
        <v>1372</v>
      </c>
      <c r="F36" s="223" t="str">
        <f>CLEAN(TRIM(SUBSTITUTE(LEFT(Table23[[#This Row],[Declarative Statement]],MIN(250,LEN(Table23[[#This Row],[Declarative Statement]]))),CHAR(160)," ")))</f>
        <v>The institution has policies commensurate with its risk and complexity that address the concepts of threat information sharing.</v>
      </c>
      <c r="G36" s="206">
        <f>MATCH(Table23[[#This Row],[clean DS]],combinedMaturityTable[Dsm clean],0)</f>
        <v>28</v>
      </c>
      <c r="H36" s="223">
        <v>3</v>
      </c>
      <c r="I36" s="223" t="s">
        <v>1252</v>
      </c>
      <c r="J36" s="308" t="str">
        <f>HYPERLINK(Table23[[#This Row],[URL]],Table23[[#This Row],[Link to Reference]])</f>
        <v>IS.III.C:pg50</v>
      </c>
      <c r="K36" s="206" t="s">
        <v>1373</v>
      </c>
      <c r="L36" s="286" t="s">
        <v>1374</v>
      </c>
      <c r="M36" s="286" t="s">
        <v>1375</v>
      </c>
      <c r="N36" s="286" t="s">
        <v>1376</v>
      </c>
      <c r="O36" s="286" t="s">
        <v>1377</v>
      </c>
      <c r="P36" s="286" t="s">
        <v>1378</v>
      </c>
      <c r="Q36" s="286" t="s">
        <v>1378</v>
      </c>
      <c r="X36" s="286" t="s">
        <v>1186</v>
      </c>
      <c r="Y36" s="302" t="str">
        <f>IFERROR(IF(SEARCH("WP",Table23[[#This Row],[Link to Reference]])&gt;0,"Work Program","Booklet"),"Booklet")</f>
        <v>Booklet</v>
      </c>
      <c r="Z36" s="286" t="s">
        <v>2009</v>
      </c>
      <c r="AA36" s="302">
        <f>IF(Table23[[#This Row],[Type]]="Booklet",MATCH(LEFT(Table23[[#This Row],[Link to Reference]],FIND(".",Table23[[#This Row],[Link to Reference]])-1),bookletsInfo[Initial],0),MATCH(LEFT(Table23[[#This Row],[Link to Reference]],FIND(".",Table23[[#This Row],[Link to Reference]])-1),WPInfo[Initials],0))</f>
        <v>5</v>
      </c>
      <c r="AB3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https://ithandbook.ffiec.gov/media/274793/ffiec_itbooklet_informationsecurity.pdf#Page=53</v>
      </c>
      <c r="AC36" s="286">
        <v>31</v>
      </c>
      <c r="AD36" s="286" t="b">
        <f>IF(G36=G35,IF(MOD(Table23[[#This Row],[order]],2)=1,"hideOdd","hideEven"),FALSE)</f>
        <v>0</v>
      </c>
      <c r="AE36" s="286">
        <f>IF(Table23[[#This Row],[hideText]]=FALSE,AE35+1,AE35)</f>
        <v>8</v>
      </c>
      <c r="AF36" s="269"/>
      <c r="AO36" s="286" t="s">
        <v>1538</v>
      </c>
    </row>
    <row r="37" spans="1:41" ht="45" x14ac:dyDescent="0.25">
      <c r="A37" s="206" t="s">
        <v>214</v>
      </c>
      <c r="B37" s="206" t="s">
        <v>34</v>
      </c>
      <c r="C37" s="206" t="s">
        <v>1355</v>
      </c>
      <c r="D37" s="306" t="str">
        <f>IF(Table23[[#This Row],[hideText]]=FALSE,HYPERLINK(INDEX('Verify Baseline Links'!$P$10:$P$132,MATCH(Table23[[#This Row],[DSorder]],'Verify Baseline Links'!$M$10:$M$132,0)),"DS"),"")</f>
        <v/>
      </c>
      <c r="E37" s="206" t="s">
        <v>1372</v>
      </c>
      <c r="F37" s="223" t="str">
        <f>CLEAN(TRIM(SUBSTITUTE(LEFT(Table23[[#This Row],[Declarative Statement]],MIN(250,LEN(Table23[[#This Row],[Declarative Statement]]))),CHAR(160)," ")))</f>
        <v>The institution has policies commensurate with its risk and complexity that address the concepts of threat information sharing.</v>
      </c>
      <c r="G37" s="206">
        <f>MATCH(Table23[[#This Row],[clean DS]],combinedMaturityTable[Dsm clean],0)</f>
        <v>28</v>
      </c>
      <c r="H37" s="223"/>
      <c r="I37" s="223" t="s">
        <v>1374</v>
      </c>
      <c r="J37" s="308" t="str">
        <f>HYPERLINK(Table23[[#This Row],[URL]],Table23[[#This Row],[Link to Reference]])</f>
        <v>MGT.III.A:pg22</v>
      </c>
      <c r="K37" s="206" t="s">
        <v>1375</v>
      </c>
      <c r="X37" s="286" t="s">
        <v>1957</v>
      </c>
      <c r="Y37" s="302" t="str">
        <f>IFERROR(IF(SEARCH("WP",Table23[[#This Row],[Link to Reference]])&gt;0,"Work Program","Booklet"),"Booklet")</f>
        <v>Booklet</v>
      </c>
      <c r="Z37" s="286" t="s">
        <v>2010</v>
      </c>
      <c r="AA37" s="302">
        <f>IF(Table23[[#This Row],[Type]]="Booklet",MATCH(LEFT(Table23[[#This Row],[Link to Reference]],FIND(".",Table23[[#This Row],[Link to Reference]])-1),bookletsInfo[Initial],0),MATCH(LEFT(Table23[[#This Row],[Link to Reference]],FIND(".",Table23[[#This Row],[Link to Reference]])-1),WPInfo[Initials],0))</f>
        <v>6</v>
      </c>
      <c r="AB3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37" s="286">
        <v>32</v>
      </c>
      <c r="AD37" s="286" t="str">
        <f>IF(G37=G36,IF(MOD(Table23[[#This Row],[order]],2)=1,"hideOdd","hideEven"),FALSE)</f>
        <v>hideEven</v>
      </c>
      <c r="AE37" s="286">
        <f>IF(Table23[[#This Row],[hideText]]=FALSE,AE36+1,AE36)</f>
        <v>8</v>
      </c>
      <c r="AF37" s="269"/>
      <c r="AO37" s="286" t="s">
        <v>1543</v>
      </c>
    </row>
    <row r="38" spans="1:41" ht="45" x14ac:dyDescent="0.25">
      <c r="A38" s="206" t="s">
        <v>214</v>
      </c>
      <c r="B38" s="206" t="s">
        <v>34</v>
      </c>
      <c r="C38" s="206" t="s">
        <v>1355</v>
      </c>
      <c r="D38" s="306" t="str">
        <f>IF(Table23[[#This Row],[hideText]]=FALSE,HYPERLINK(INDEX('Verify Baseline Links'!$P$10:$P$132,MATCH(Table23[[#This Row],[DSorder]],'Verify Baseline Links'!$M$10:$M$132,0)),"DS"),"")</f>
        <v/>
      </c>
      <c r="E38" s="206" t="s">
        <v>1372</v>
      </c>
      <c r="F38" s="223" t="str">
        <f>CLEAN(TRIM(SUBSTITUTE(LEFT(Table23[[#This Row],[Declarative Statement]],MIN(250,LEN(Table23[[#This Row],[Declarative Statement]]))),CHAR(160)," ")))</f>
        <v>The institution has policies commensurate with its risk and complexity that address the concepts of threat information sharing.</v>
      </c>
      <c r="G38" s="206">
        <f>MATCH(Table23[[#This Row],[clean DS]],combinedMaturityTable[Dsm clean],0)</f>
        <v>28</v>
      </c>
      <c r="H38" s="223"/>
      <c r="I38" s="223" t="s">
        <v>1376</v>
      </c>
      <c r="J38" s="308" t="str">
        <f>HYPERLINK(Table23[[#This Row],[URL]],Table23[[#This Row],[Link to Reference]])</f>
        <v>MGT.WP.10.1.b</v>
      </c>
      <c r="K38" s="206" t="s">
        <v>1377</v>
      </c>
      <c r="X38" s="286" t="s">
        <v>1957</v>
      </c>
      <c r="Y38" s="302" t="str">
        <f>IFERROR(IF(SEARCH("WP",Table23[[#This Row],[Link to Reference]])&gt;0,"Work Program","Booklet"),"Booklet")</f>
        <v>Work Program</v>
      </c>
      <c r="Z38" s="286">
        <v>13</v>
      </c>
      <c r="AA38" s="302">
        <f>IF(Table23[[#This Row],[Type]]="Booklet",MATCH(LEFT(Table23[[#This Row],[Link to Reference]],FIND(".",Table23[[#This Row],[Link to Reference]])-1),bookletsInfo[Initial],0),MATCH(LEFT(Table23[[#This Row],[Link to Reference]],FIND(".",Table23[[#This Row],[Link to Reference]])-1),WPInfo[Initials],0))</f>
        <v>6</v>
      </c>
      <c r="AB3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https://watkinsconsulting.com/wp-content/uploads/2019/02/Management-IT-WorkProgram.pdf#Page=13</v>
      </c>
      <c r="AC38" s="286">
        <v>33</v>
      </c>
      <c r="AD38" s="286" t="str">
        <f>IF(G38=G37,IF(MOD(Table23[[#This Row],[order]],2)=1,"hideOdd","hideEven"),FALSE)</f>
        <v>hideOdd</v>
      </c>
      <c r="AE38" s="286">
        <f>IF(Table23[[#This Row],[hideText]]=FALSE,AE37+1,AE37)</f>
        <v>8</v>
      </c>
      <c r="AF38" s="269"/>
      <c r="AO38" s="286" t="s">
        <v>1546</v>
      </c>
    </row>
    <row r="39" spans="1:41" ht="45" x14ac:dyDescent="0.25">
      <c r="A39" s="206" t="s">
        <v>214</v>
      </c>
      <c r="B39" s="206" t="s">
        <v>34</v>
      </c>
      <c r="C39" s="206" t="s">
        <v>1355</v>
      </c>
      <c r="D39" s="306" t="str">
        <f ca="1">IF(Table23[[#This Row],[hideText]]=FALSE,HYPERLINK(INDEX('Verify Baseline Links'!$P$10:$P$132,MATCH(Table23[[#This Row],[DSorder]],'Verify Baseline Links'!$M$10:$M$132,0)),"DS"),"")</f>
        <v>DS</v>
      </c>
      <c r="E39" s="206" t="s">
        <v>1379</v>
      </c>
      <c r="F39" s="223" t="str">
        <f>CLEAN(TRIM(SUBSTITUTE(LEFT(Table23[[#This Row],[Declarative Statement]],MIN(250,LEN(Table23[[#This Row],[Declarative Statement]]))),CHAR(160)," ")))</f>
        <v>The institution has board-approved policies commensurate with its risk and complexity that address information security.</v>
      </c>
      <c r="G39" s="206">
        <f>MATCH(Table23[[#This Row],[clean DS]],combinedMaturityTable[Dsm clean],0)</f>
        <v>29</v>
      </c>
      <c r="H39" s="223">
        <v>2</v>
      </c>
      <c r="I39" s="223" t="s">
        <v>1312</v>
      </c>
      <c r="J39" s="308" t="str">
        <f>HYPERLINK(Table23[[#This Row],[URL]],Table23[[#This Row],[Link to Reference]])</f>
        <v>IS.I:pg4</v>
      </c>
      <c r="K39" s="206" t="s">
        <v>1380</v>
      </c>
      <c r="L39" s="286" t="s">
        <v>1381</v>
      </c>
      <c r="M39" s="286" t="s">
        <v>1382</v>
      </c>
      <c r="N39" s="286" t="s">
        <v>1378</v>
      </c>
      <c r="O39" s="286" t="s">
        <v>1378</v>
      </c>
      <c r="P39" s="286" t="s">
        <v>1378</v>
      </c>
      <c r="Q39" s="286" t="s">
        <v>1378</v>
      </c>
      <c r="X39" s="286" t="s">
        <v>1186</v>
      </c>
      <c r="Y39" s="302" t="str">
        <f>IFERROR(IF(SEARCH("WP",Table23[[#This Row],[Link to Reference]])&gt;0,"Work Program","Booklet"),"Booklet")</f>
        <v>Booklet</v>
      </c>
      <c r="Z39" s="286" t="s">
        <v>1999</v>
      </c>
      <c r="AA39" s="302">
        <f>IF(Table23[[#This Row],[Type]]="Booklet",MATCH(LEFT(Table23[[#This Row],[Link to Reference]],FIND(".",Table23[[#This Row],[Link to Reference]])-1),bookletsInfo[Initial],0),MATCH(LEFT(Table23[[#This Row],[Link to Reference]],FIND(".",Table23[[#This Row],[Link to Reference]])-1),WPInfo[Initials],0))</f>
        <v>5</v>
      </c>
      <c r="AB3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39" s="286">
        <v>34</v>
      </c>
      <c r="AD39" s="286" t="b">
        <f>IF(G39=G38,IF(MOD(Table23[[#This Row],[order]],2)=1,"hideOdd","hideEven"),FALSE)</f>
        <v>0</v>
      </c>
      <c r="AE39" s="286">
        <f>IF(Table23[[#This Row],[hideText]]=FALSE,AE38+1,AE38)</f>
        <v>9</v>
      </c>
      <c r="AF39" s="269"/>
      <c r="AO39" s="286" t="s">
        <v>1550</v>
      </c>
    </row>
    <row r="40" spans="1:41" ht="45" x14ac:dyDescent="0.25">
      <c r="A40" s="206" t="s">
        <v>214</v>
      </c>
      <c r="B40" s="206" t="s">
        <v>34</v>
      </c>
      <c r="C40" s="206" t="s">
        <v>1355</v>
      </c>
      <c r="D40" s="306" t="str">
        <f>IF(Table23[[#This Row],[hideText]]=FALSE,HYPERLINK(INDEX('Verify Baseline Links'!$P$10:$P$132,MATCH(Table23[[#This Row],[DSorder]],'Verify Baseline Links'!$M$10:$M$132,0)),"DS"),"")</f>
        <v/>
      </c>
      <c r="E40" s="206" t="s">
        <v>1379</v>
      </c>
      <c r="F40" s="223" t="str">
        <f>CLEAN(TRIM(SUBSTITUTE(LEFT(Table23[[#This Row],[Declarative Statement]],MIN(250,LEN(Table23[[#This Row],[Declarative Statement]]))),CHAR(160)," ")))</f>
        <v>The institution has board-approved policies commensurate with its risk and complexity that address information security.</v>
      </c>
      <c r="G40" s="206">
        <f>MATCH(Table23[[#This Row],[clean DS]],combinedMaturityTable[Dsm clean],0)</f>
        <v>29</v>
      </c>
      <c r="H40" s="223"/>
      <c r="I40" s="223" t="s">
        <v>1381</v>
      </c>
      <c r="J40" s="308" t="str">
        <f>HYPERLINK(Table23[[#This Row],[URL]],Table23[[#This Row],[Link to Reference]])</f>
        <v>IS.Wp.6.2</v>
      </c>
      <c r="K40" s="206" t="s">
        <v>1382</v>
      </c>
      <c r="X40" s="286" t="s">
        <v>1186</v>
      </c>
      <c r="Y40" s="302" t="str">
        <f>IFERROR(IF(SEARCH("WP",Table23[[#This Row],[Link to Reference]])&gt;0,"Work Program","Booklet"),"Booklet")</f>
        <v>Work Program</v>
      </c>
      <c r="Z40" s="286">
        <v>7</v>
      </c>
      <c r="AA40" s="302">
        <f>IF(Table23[[#This Row],[Type]]="Booklet",MATCH(LEFT(Table23[[#This Row],[Link to Reference]],FIND(".",Table23[[#This Row],[Link to Reference]])-1),bookletsInfo[Initial],0),MATCH(LEFT(Table23[[#This Row],[Link to Reference]],FIND(".",Table23[[#This Row],[Link to Reference]])-1),WPInfo[Initials],0))</f>
        <v>5</v>
      </c>
      <c r="AB4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https://watkinsconsulting.com/wp-content/uploads/2019/02/Information-Security-IT-WorkProgram.pdf#Page=7</v>
      </c>
      <c r="AC40" s="286">
        <v>35</v>
      </c>
      <c r="AD40" s="286" t="str">
        <f>IF(G40=G39,IF(MOD(Table23[[#This Row],[order]],2)=1,"hideOdd","hideEven"),FALSE)</f>
        <v>hideOdd</v>
      </c>
      <c r="AE40" s="286">
        <f>IF(Table23[[#This Row],[hideText]]=FALSE,AE39+1,AE39)</f>
        <v>9</v>
      </c>
      <c r="AF40" s="269"/>
      <c r="AO40" s="286" t="s">
        <v>1558</v>
      </c>
    </row>
    <row r="41" spans="1:41" ht="45" x14ac:dyDescent="0.25">
      <c r="A41" s="206" t="s">
        <v>214</v>
      </c>
      <c r="B41" s="206" t="s">
        <v>34</v>
      </c>
      <c r="C41" s="206" t="s">
        <v>1355</v>
      </c>
      <c r="D41" s="306" t="str">
        <f ca="1">IF(Table23[[#This Row],[hideText]]=FALSE,HYPERLINK(INDEX('Verify Baseline Links'!$P$10:$P$132,MATCH(Table23[[#This Row],[DSorder]],'Verify Baseline Links'!$M$10:$M$132,0)),"DS"),"")</f>
        <v>DS</v>
      </c>
      <c r="E41" s="206" t="s">
        <v>1383</v>
      </c>
      <c r="F41" s="223" t="str">
        <f>CLEAN(TRIM(SUBSTITUTE(LEFT(Table23[[#This Row],[Declarative Statement]],MIN(250,LEN(Table23[[#This Row],[Declarative Statement]]))),CHAR(160)," ")))</f>
        <v>The institution has policies commensurate with its risk and complexity that address the concepts of external dependency or third-party management.</v>
      </c>
      <c r="G41" s="206">
        <f>MATCH(Table23[[#This Row],[clean DS]],combinedMaturityTable[Dsm clean],0)</f>
        <v>30</v>
      </c>
      <c r="H41" s="223">
        <v>1</v>
      </c>
      <c r="I41" s="223" t="s">
        <v>1384</v>
      </c>
      <c r="J41" s="308" t="str">
        <f>HYPERLINK(Table23[[#This Row],[URL]],Table23[[#This Row],[Link to Reference]])</f>
        <v>OT.B.2</v>
      </c>
      <c r="K41" s="206" t="s">
        <v>1385</v>
      </c>
      <c r="L41" s="286" t="s">
        <v>1378</v>
      </c>
      <c r="M41" s="286" t="s">
        <v>1378</v>
      </c>
      <c r="N41" s="286" t="s">
        <v>1378</v>
      </c>
      <c r="O41" s="286" t="s">
        <v>1378</v>
      </c>
      <c r="P41" s="286" t="s">
        <v>1378</v>
      </c>
      <c r="Q41" s="286" t="s">
        <v>1378</v>
      </c>
      <c r="X41" s="286" t="s">
        <v>1931</v>
      </c>
      <c r="Y41" s="302" t="str">
        <f>IFERROR(IF(SEARCH("WP",Table23[[#This Row],[Link to Reference]])&gt;0,"Work Program","Booklet"),"Booklet")</f>
        <v>Booklet</v>
      </c>
      <c r="Z41" s="286">
        <v>2</v>
      </c>
      <c r="AA41" s="302">
        <f>IF(Table23[[#This Row],[Type]]="Booklet",MATCH(LEFT(Table23[[#This Row],[Link to Reference]],FIND(".",Table23[[#This Row],[Link to Reference]])-1),bookletsInfo[Initial],0),MATCH(LEFT(Table23[[#This Row],[Link to Reference]],FIND(".",Table23[[#This Row],[Link to Reference]])-1),WPInfo[Initials],0))</f>
        <v>8</v>
      </c>
      <c r="AB4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https://ithandbook.ffiec.gov/media/274841/ffiec_itbooklet_outsourcingtechnologyservices.pdf#Page=5</v>
      </c>
      <c r="AC41" s="286">
        <v>36</v>
      </c>
      <c r="AD41" s="286" t="b">
        <f>IF(G41=G40,IF(MOD(Table23[[#This Row],[order]],2)=1,"hideOdd","hideEven"),FALSE)</f>
        <v>0</v>
      </c>
      <c r="AE41" s="286">
        <f>IF(Table23[[#This Row],[hideText]]=FALSE,AE40+1,AE40)</f>
        <v>10</v>
      </c>
      <c r="AF41" s="269"/>
      <c r="AO41" s="286" t="s">
        <v>1561</v>
      </c>
    </row>
    <row r="42" spans="1:41" ht="45" x14ac:dyDescent="0.25">
      <c r="A42" s="206" t="s">
        <v>214</v>
      </c>
      <c r="B42" s="206" t="s">
        <v>34</v>
      </c>
      <c r="C42" s="206" t="s">
        <v>1355</v>
      </c>
      <c r="D42" s="306" t="str">
        <f ca="1">IF(Table23[[#This Row],[hideText]]=FALSE,HYPERLINK(INDEX('Verify Baseline Links'!$P$10:$P$132,MATCH(Table23[[#This Row],[DSorder]],'Verify Baseline Links'!$M$10:$M$132,0)),"DS"),"")</f>
        <v>DS</v>
      </c>
      <c r="E42" s="206" t="s">
        <v>1386</v>
      </c>
      <c r="F42" s="223" t="str">
        <f>CLEAN(TRIM(SUBSTITUTE(LEFT(Table23[[#This Row],[Declarative Statement]],MIN(250,LEN(Table23[[#This Row],[Declarative Statement]]))),CHAR(160)," ")))</f>
        <v>The institution has policies commensurate with its risk and complexity that address the concepts of incident response and resilience.</v>
      </c>
      <c r="G42" s="206">
        <f>MATCH(Table23[[#This Row],[clean DS]],combinedMaturityTable[Dsm clean],0)</f>
        <v>31</v>
      </c>
      <c r="H42" s="223">
        <v>2</v>
      </c>
      <c r="I42" s="223" t="s">
        <v>1245</v>
      </c>
      <c r="J42" s="308" t="str">
        <f>HYPERLINK(Table23[[#This Row],[URL]],Table23[[#This Row],[Link to Reference]])</f>
        <v>IS.II.C.21:pg43</v>
      </c>
      <c r="K42" s="206" t="s">
        <v>1387</v>
      </c>
      <c r="L42" s="286" t="s">
        <v>1388</v>
      </c>
      <c r="M42" s="286" t="s">
        <v>1389</v>
      </c>
      <c r="N42" s="286" t="s">
        <v>1378</v>
      </c>
      <c r="O42" s="286" t="s">
        <v>1378</v>
      </c>
      <c r="P42" s="286" t="s">
        <v>1378</v>
      </c>
      <c r="Q42" s="286" t="s">
        <v>1378</v>
      </c>
      <c r="X42" s="286" t="s">
        <v>1186</v>
      </c>
      <c r="Y42" s="302" t="str">
        <f>IFERROR(IF(SEARCH("WP",Table23[[#This Row],[Link to Reference]])&gt;0,"Work Program","Booklet"),"Booklet")</f>
        <v>Booklet</v>
      </c>
      <c r="Z42" s="286" t="s">
        <v>2011</v>
      </c>
      <c r="AA42" s="302">
        <f>IF(Table23[[#This Row],[Type]]="Booklet",MATCH(LEFT(Table23[[#This Row],[Link to Reference]],FIND(".",Table23[[#This Row],[Link to Reference]])-1),bookletsInfo[Initial],0),MATCH(LEFT(Table23[[#This Row],[Link to Reference]],FIND(".",Table23[[#This Row],[Link to Reference]])-1),WPInfo[Initials],0))</f>
        <v>5</v>
      </c>
      <c r="AB4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42" s="286">
        <v>37</v>
      </c>
      <c r="AD42" s="286" t="b">
        <f>IF(G42=G41,IF(MOD(Table23[[#This Row],[order]],2)=1,"hideOdd","hideEven"),FALSE)</f>
        <v>0</v>
      </c>
      <c r="AE42" s="286">
        <f>IF(Table23[[#This Row],[hideText]]=FALSE,AE41+1,AE41)</f>
        <v>11</v>
      </c>
      <c r="AF42" s="269"/>
      <c r="AO42" s="286" t="s">
        <v>1566</v>
      </c>
    </row>
    <row r="43" spans="1:41" ht="45" x14ac:dyDescent="0.25">
      <c r="A43" s="206" t="s">
        <v>214</v>
      </c>
      <c r="B43" s="206" t="s">
        <v>34</v>
      </c>
      <c r="C43" s="206" t="s">
        <v>1355</v>
      </c>
      <c r="D43" s="306" t="str">
        <f>IF(Table23[[#This Row],[hideText]]=FALSE,HYPERLINK(INDEX('Verify Baseline Links'!$P$10:$P$132,MATCH(Table23[[#This Row],[DSorder]],'Verify Baseline Links'!$M$10:$M$132,0)),"DS"),"")</f>
        <v/>
      </c>
      <c r="E43" s="206" t="s">
        <v>1386</v>
      </c>
      <c r="F43" s="223" t="str">
        <f>CLEAN(TRIM(SUBSTITUTE(LEFT(Table23[[#This Row],[Declarative Statement]],MIN(250,LEN(Table23[[#This Row],[Declarative Statement]]))),CHAR(160)," ")))</f>
        <v>The institution has policies commensurate with its risk and complexity that address the concepts of incident response and resilience.</v>
      </c>
      <c r="G43" s="206">
        <f>MATCH(Table23[[#This Row],[clean DS]],combinedMaturityTable[Dsm clean],0)</f>
        <v>31</v>
      </c>
      <c r="H43" s="223"/>
      <c r="I43" s="223" t="s">
        <v>1388</v>
      </c>
      <c r="J43" s="308" t="str">
        <f>HYPERLINK(Table23[[#This Row],[URL]],Table23[[#This Row],[Link to Reference]])</f>
        <v>IS.Wp.6.34.c</v>
      </c>
      <c r="K43" s="206" t="s">
        <v>1389</v>
      </c>
      <c r="X43" s="286" t="s">
        <v>1186</v>
      </c>
      <c r="Y43" s="302" t="str">
        <f>IFERROR(IF(SEARCH("WP",Table23[[#This Row],[Link to Reference]])&gt;0,"Work Program","Booklet"),"Booklet")</f>
        <v>Work Program</v>
      </c>
      <c r="Z43" s="286">
        <v>16</v>
      </c>
      <c r="AA43" s="302">
        <f>IF(Table23[[#This Row],[Type]]="Booklet",MATCH(LEFT(Table23[[#This Row],[Link to Reference]],FIND(".",Table23[[#This Row],[Link to Reference]])-1),bookletsInfo[Initial],0),MATCH(LEFT(Table23[[#This Row],[Link to Reference]],FIND(".",Table23[[#This Row],[Link to Reference]])-1),WPInfo[Initials],0))</f>
        <v>5</v>
      </c>
      <c r="AB4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43" s="286">
        <v>38</v>
      </c>
      <c r="AD43" s="286" t="str">
        <f>IF(G43=G42,IF(MOD(Table23[[#This Row],[order]],2)=1,"hideOdd","hideEven"),FALSE)</f>
        <v>hideEven</v>
      </c>
      <c r="AE43" s="286">
        <f>IF(Table23[[#This Row],[hideText]]=FALSE,AE42+1,AE42)</f>
        <v>11</v>
      </c>
      <c r="AF43" s="269"/>
      <c r="AO43" s="286" t="s">
        <v>2059</v>
      </c>
    </row>
    <row r="44" spans="1:41" ht="45" x14ac:dyDescent="0.25">
      <c r="A44" s="206" t="s">
        <v>214</v>
      </c>
      <c r="B44" s="206" t="s">
        <v>34</v>
      </c>
      <c r="C44" s="206" t="s">
        <v>1355</v>
      </c>
      <c r="D44" s="306" t="str">
        <f ca="1">IF(Table23[[#This Row],[hideText]]=FALSE,HYPERLINK(INDEX('Verify Baseline Links'!$P$10:$P$132,MATCH(Table23[[#This Row],[DSorder]],'Verify Baseline Links'!$M$10:$M$132,0)),"DS"),"")</f>
        <v>DS</v>
      </c>
      <c r="E44" s="206" t="s">
        <v>1390</v>
      </c>
      <c r="F44" s="223" t="str">
        <f>CLEAN(TRIM(SUBSTITUTE(LEFT(Table23[[#This Row],[Declarative Statement]],MIN(250,LEN(Table23[[#This Row],[Declarative Statement]]))),CHAR(160)," ")))</f>
        <v>All elements of the information security program are coordinated enterprise-wide.</v>
      </c>
      <c r="G44" s="206">
        <f>MATCH(Table23[[#This Row],[clean DS]],combinedMaturityTable[Dsm clean],0)</f>
        <v>32</v>
      </c>
      <c r="H44" s="223">
        <v>3</v>
      </c>
      <c r="I44" s="223" t="s">
        <v>1204</v>
      </c>
      <c r="J44" s="308" t="str">
        <f>HYPERLINK(Table23[[#This Row],[URL]],Table23[[#This Row],[Link to Reference]])</f>
        <v>IS.Introduction:pg2</v>
      </c>
      <c r="K44" s="206" t="s">
        <v>1391</v>
      </c>
      <c r="L44" s="286" t="s">
        <v>1392</v>
      </c>
      <c r="M44" s="286" t="s">
        <v>1393</v>
      </c>
      <c r="N44" s="286" t="s">
        <v>1394</v>
      </c>
      <c r="O44" s="286" t="s">
        <v>1395</v>
      </c>
      <c r="P44" s="286" t="s">
        <v>1378</v>
      </c>
      <c r="Q44" s="286" t="s">
        <v>1378</v>
      </c>
      <c r="R44" s="286" t="s">
        <v>1378</v>
      </c>
      <c r="S44" s="286" t="s">
        <v>1378</v>
      </c>
      <c r="T44" s="286" t="s">
        <v>1378</v>
      </c>
      <c r="U44" s="286" t="s">
        <v>1378</v>
      </c>
      <c r="X44" s="286" t="s">
        <v>1186</v>
      </c>
      <c r="Y44" s="302" t="str">
        <f>IFERROR(IF(SEARCH("WP",Table23[[#This Row],[Link to Reference]])&gt;0,"Work Program","Booklet"),"Booklet")</f>
        <v>Booklet</v>
      </c>
      <c r="Z44" s="286" t="s">
        <v>2006</v>
      </c>
      <c r="AA44" s="302">
        <f>IF(Table23[[#This Row],[Type]]="Booklet",MATCH(LEFT(Table23[[#This Row],[Link to Reference]],FIND(".",Table23[[#This Row],[Link to Reference]])-1),bookletsInfo[Initial],0),MATCH(LEFT(Table23[[#This Row],[Link to Reference]],FIND(".",Table23[[#This Row],[Link to Reference]])-1),WPInfo[Initials],0))</f>
        <v>5</v>
      </c>
      <c r="AB4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v>
      </c>
      <c r="AC44" s="286">
        <v>39</v>
      </c>
      <c r="AD44" s="286" t="b">
        <f>IF(G44=G43,IF(MOD(Table23[[#This Row],[order]],2)=1,"hideOdd","hideEven"),FALSE)</f>
        <v>0</v>
      </c>
      <c r="AE44" s="286">
        <f>IF(Table23[[#This Row],[hideText]]=FALSE,AE43+1,AE43)</f>
        <v>12</v>
      </c>
      <c r="AF44" s="269"/>
      <c r="AO44" s="286" t="s">
        <v>2060</v>
      </c>
    </row>
    <row r="45" spans="1:41" ht="90" x14ac:dyDescent="0.25">
      <c r="A45" s="206" t="s">
        <v>214</v>
      </c>
      <c r="B45" s="206" t="s">
        <v>34</v>
      </c>
      <c r="C45" s="206" t="s">
        <v>1355</v>
      </c>
      <c r="D45" s="306" t="str">
        <f>IF(Table23[[#This Row],[hideText]]=FALSE,HYPERLINK(INDEX('Verify Baseline Links'!$P$10:$P$132,MATCH(Table23[[#This Row],[DSorder]],'Verify Baseline Links'!$M$10:$M$132,0)),"DS"),"")</f>
        <v/>
      </c>
      <c r="E45" s="206" t="s">
        <v>1390</v>
      </c>
      <c r="F45" s="223" t="str">
        <f>CLEAN(TRIM(SUBSTITUTE(LEFT(Table23[[#This Row],[Declarative Statement]],MIN(250,LEN(Table23[[#This Row],[Declarative Statement]]))),CHAR(160)," ")))</f>
        <v>All elements of the information security program are coordinated enterprise-wide.</v>
      </c>
      <c r="G45" s="206">
        <f>MATCH(Table23[[#This Row],[clean DS]],combinedMaturityTable[Dsm clean],0)</f>
        <v>32</v>
      </c>
      <c r="H45" s="223"/>
      <c r="I45" s="223" t="s">
        <v>1392</v>
      </c>
      <c r="J45" s="308" t="str">
        <f>HYPERLINK(Table23[[#This Row],[URL]],Table23[[#This Row],[Link to Reference]])</f>
        <v>IS.WP.3.2</v>
      </c>
      <c r="K45" s="206" t="s">
        <v>1393</v>
      </c>
      <c r="X45" s="286" t="s">
        <v>1186</v>
      </c>
      <c r="Y45" s="302" t="str">
        <f>IFERROR(IF(SEARCH("WP",Table23[[#This Row],[Link to Reference]])&gt;0,"Work Program","Booklet"),"Booklet")</f>
        <v>Work Program</v>
      </c>
      <c r="Z45" s="286">
        <v>5</v>
      </c>
      <c r="AA45" s="302">
        <f>IF(Table23[[#This Row],[Type]]="Booklet",MATCH(LEFT(Table23[[#This Row],[Link to Reference]],FIND(".",Table23[[#This Row],[Link to Reference]])-1),bookletsInfo[Initial],0),MATCH(LEFT(Table23[[#This Row],[Link to Reference]],FIND(".",Table23[[#This Row],[Link to Reference]])-1),WPInfo[Initials],0))</f>
        <v>5</v>
      </c>
      <c r="AB4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https://watkinsconsulting.com/wp-content/uploads/2019/02/Information-Security-IT-WorkProgram.pdf#Page=5</v>
      </c>
      <c r="AC45" s="286">
        <v>40</v>
      </c>
      <c r="AD45" s="286" t="str">
        <f>IF(G45=G44,IF(MOD(Table23[[#This Row],[order]],2)=1,"hideOdd","hideEven"),FALSE)</f>
        <v>hideEven</v>
      </c>
      <c r="AE45" s="286">
        <f>IF(Table23[[#This Row],[hideText]]=FALSE,AE44+1,AE44)</f>
        <v>12</v>
      </c>
      <c r="AF45" s="269"/>
      <c r="AO45" s="286" t="s">
        <v>1582</v>
      </c>
    </row>
    <row r="46" spans="1:41" ht="90" x14ac:dyDescent="0.25">
      <c r="A46" s="206" t="s">
        <v>214</v>
      </c>
      <c r="B46" s="206" t="s">
        <v>34</v>
      </c>
      <c r="C46" s="206" t="s">
        <v>1355</v>
      </c>
      <c r="D46" s="306" t="str">
        <f>IF(Table23[[#This Row],[hideText]]=FALSE,HYPERLINK(INDEX('Verify Baseline Links'!$P$10:$P$132,MATCH(Table23[[#This Row],[DSorder]],'Verify Baseline Links'!$M$10:$M$132,0)),"DS"),"")</f>
        <v/>
      </c>
      <c r="E46" s="206" t="s">
        <v>1390</v>
      </c>
      <c r="F46" s="223" t="str">
        <f>CLEAN(TRIM(SUBSTITUTE(LEFT(Table23[[#This Row],[Declarative Statement]],MIN(250,LEN(Table23[[#This Row],[Declarative Statement]]))),CHAR(160)," ")))</f>
        <v>All elements of the information security program are coordinated enterprise-wide.</v>
      </c>
      <c r="G46" s="206">
        <f>MATCH(Table23[[#This Row],[clean DS]],combinedMaturityTable[Dsm clean],0)</f>
        <v>32</v>
      </c>
      <c r="H46" s="223"/>
      <c r="I46" s="223" t="s">
        <v>1394</v>
      </c>
      <c r="J46" s="308" t="str">
        <f>HYPERLINK(Table23[[#This Row],[URL]],Table23[[#This Row],[Link to Reference]])</f>
        <v>MGT.I.B.2:pg10</v>
      </c>
      <c r="K46" s="206" t="s">
        <v>1395</v>
      </c>
      <c r="X46" s="286" t="s">
        <v>1957</v>
      </c>
      <c r="Y46" s="302" t="str">
        <f>IFERROR(IF(SEARCH("WP",Table23[[#This Row],[Link to Reference]])&gt;0,"Work Program","Booklet"),"Booklet")</f>
        <v>Booklet</v>
      </c>
      <c r="Z46" s="286" t="s">
        <v>2012</v>
      </c>
      <c r="AA46" s="302">
        <f>IF(Table23[[#This Row],[Type]]="Booklet",MATCH(LEFT(Table23[[#This Row],[Link to Reference]],FIND(".",Table23[[#This Row],[Link to Reference]])-1),bookletsInfo[Initial],0),MATCH(LEFT(Table23[[#This Row],[Link to Reference]],FIND(".",Table23[[#This Row],[Link to Reference]])-1),WPInfo[Initials],0))</f>
        <v>6</v>
      </c>
      <c r="AB4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https://ithandbook.ffiec.gov/media/274809/ffiec_itbooklet_management.pdf#Page=11</v>
      </c>
      <c r="AC46" s="286">
        <v>41</v>
      </c>
      <c r="AD46" s="286" t="str">
        <f>IF(G46=G45,IF(MOD(Table23[[#This Row],[order]],2)=1,"hideOdd","hideEven"),FALSE)</f>
        <v>hideOdd</v>
      </c>
      <c r="AE46" s="286">
        <f>IF(Table23[[#This Row],[hideText]]=FALSE,AE45+1,AE45)</f>
        <v>12</v>
      </c>
      <c r="AF46" s="269"/>
      <c r="AO46" s="286" t="s">
        <v>1587</v>
      </c>
    </row>
    <row r="47" spans="1:41" ht="45" x14ac:dyDescent="0.25">
      <c r="A47" s="206" t="s">
        <v>214</v>
      </c>
      <c r="B47" s="206" t="s">
        <v>34</v>
      </c>
      <c r="C47" s="206" t="s">
        <v>610</v>
      </c>
      <c r="D47" s="306" t="str">
        <f ca="1">IF(Table23[[#This Row],[hideText]]=FALSE,HYPERLINK(INDEX('Verify Baseline Links'!$P$10:$P$132,MATCH(Table23[[#This Row],[DSorder]],'Verify Baseline Links'!$M$10:$M$132,0)),"DS"),"")</f>
        <v>DS</v>
      </c>
      <c r="E47" s="206" t="s">
        <v>1396</v>
      </c>
      <c r="F47" s="223" t="str">
        <f>CLEAN(TRIM(SUBSTITUTE(LEFT(Table23[[#This Row],[Declarative Statement]],MIN(250,LEN(Table23[[#This Row],[Declarative Statement]]))),CHAR(160)," ")))</f>
        <v>An inventory of organizational assets (e.g., hardware, software, data, and systems hosted externally) is maintained.</v>
      </c>
      <c r="G47" s="206">
        <f>MATCH(Table23[[#This Row],[clean DS]],combinedMaturityTable[Dsm clean],0)</f>
        <v>47</v>
      </c>
      <c r="H47" s="223">
        <v>3</v>
      </c>
      <c r="I47" s="223" t="s">
        <v>1397</v>
      </c>
      <c r="J47" s="308" t="str">
        <f>HYPERLINK(Table23[[#This Row],[URL]],Table23[[#This Row],[Link to Reference]])</f>
        <v>IS.II.C.5:pg14</v>
      </c>
      <c r="K47" s="206" t="s">
        <v>1398</v>
      </c>
      <c r="L47" s="286" t="s">
        <v>1399</v>
      </c>
      <c r="M47" s="286" t="s">
        <v>1400</v>
      </c>
      <c r="N47" s="286" t="s">
        <v>1374</v>
      </c>
      <c r="O47" s="286" t="s">
        <v>1401</v>
      </c>
      <c r="P47" s="286" t="s">
        <v>1378</v>
      </c>
      <c r="Q47" s="286" t="s">
        <v>1378</v>
      </c>
      <c r="R47" s="286" t="s">
        <v>1378</v>
      </c>
      <c r="S47" s="286" t="s">
        <v>1378</v>
      </c>
      <c r="T47" s="286" t="s">
        <v>1378</v>
      </c>
      <c r="U47" s="286" t="s">
        <v>1378</v>
      </c>
      <c r="X47" s="286" t="s">
        <v>1186</v>
      </c>
      <c r="Y47" s="302" t="str">
        <f>IFERROR(IF(SEARCH("WP",Table23[[#This Row],[Link to Reference]])&gt;0,"Work Program","Booklet"),"Booklet")</f>
        <v>Booklet</v>
      </c>
      <c r="Z47" s="286" t="s">
        <v>2004</v>
      </c>
      <c r="AA47" s="302">
        <f>IF(Table23[[#This Row],[Type]]="Booklet",MATCH(LEFT(Table23[[#This Row],[Link to Reference]],FIND(".",Table23[[#This Row],[Link to Reference]])-1),bookletsInfo[Initial],0),MATCH(LEFT(Table23[[#This Row],[Link to Reference]],FIND(".",Table23[[#This Row],[Link to Reference]])-1),WPInfo[Initials],0))</f>
        <v>5</v>
      </c>
      <c r="AB4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47" s="286">
        <v>42</v>
      </c>
      <c r="AD47" s="286" t="b">
        <f>IF(G47=G46,IF(MOD(Table23[[#This Row],[order]],2)=1,"hideOdd","hideEven"),FALSE)</f>
        <v>0</v>
      </c>
      <c r="AE47" s="286">
        <f>IF(Table23[[#This Row],[hideText]]=FALSE,AE46+1,AE46)</f>
        <v>13</v>
      </c>
      <c r="AF47" s="269"/>
      <c r="AO47" s="286" t="s">
        <v>2061</v>
      </c>
    </row>
    <row r="48" spans="1:41" ht="75" x14ac:dyDescent="0.25">
      <c r="A48" s="206" t="s">
        <v>214</v>
      </c>
      <c r="B48" s="206" t="s">
        <v>34</v>
      </c>
      <c r="C48" s="206" t="s">
        <v>610</v>
      </c>
      <c r="D48" s="306" t="str">
        <f>IF(Table23[[#This Row],[hideText]]=FALSE,HYPERLINK(INDEX('Verify Baseline Links'!$P$10:$P$132,MATCH(Table23[[#This Row],[DSorder]],'Verify Baseline Links'!$M$10:$M$132,0)),"DS"),"")</f>
        <v/>
      </c>
      <c r="E48" s="206" t="s">
        <v>1396</v>
      </c>
      <c r="F48" s="223" t="str">
        <f>CLEAN(TRIM(SUBSTITUTE(LEFT(Table23[[#This Row],[Declarative Statement]],MIN(250,LEN(Table23[[#This Row],[Declarative Statement]]))),CHAR(160)," ")))</f>
        <v>An inventory of organizational assets (e.g., hardware, software, data, and systems hosted externally) is maintained.</v>
      </c>
      <c r="G48" s="206">
        <f>MATCH(Table23[[#This Row],[clean DS]],combinedMaturityTable[Dsm clean],0)</f>
        <v>47</v>
      </c>
      <c r="H48" s="223"/>
      <c r="I48" s="223" t="s">
        <v>1399</v>
      </c>
      <c r="J48" s="308" t="str">
        <f>HYPERLINK(Table23[[#This Row],[URL]],Table23[[#This Row],[Link to Reference]])</f>
        <v>IS.WP.6.6</v>
      </c>
      <c r="K48" s="206" t="s">
        <v>1400</v>
      </c>
      <c r="X48" s="286" t="s">
        <v>1186</v>
      </c>
      <c r="Y48" s="302" t="str">
        <f>IFERROR(IF(SEARCH("WP",Table23[[#This Row],[Link to Reference]])&gt;0,"Work Program","Booklet"),"Booklet")</f>
        <v>Work Program</v>
      </c>
      <c r="Z48" s="286">
        <v>8</v>
      </c>
      <c r="AA48" s="302">
        <f>IF(Table23[[#This Row],[Type]]="Booklet",MATCH(LEFT(Table23[[#This Row],[Link to Reference]],FIND(".",Table23[[#This Row],[Link to Reference]])-1),bookletsInfo[Initial],0),MATCH(LEFT(Table23[[#This Row],[Link to Reference]],FIND(".",Table23[[#This Row],[Link to Reference]])-1),WPInfo[Initials],0))</f>
        <v>5</v>
      </c>
      <c r="AB4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48" s="286">
        <v>43</v>
      </c>
      <c r="AD48" s="286" t="str">
        <f>IF(G48=G47,IF(MOD(Table23[[#This Row],[order]],2)=1,"hideOdd","hideEven"),FALSE)</f>
        <v>hideOdd</v>
      </c>
      <c r="AE48" s="286">
        <f>IF(Table23[[#This Row],[hideText]]=FALSE,AE47+1,AE47)</f>
        <v>13</v>
      </c>
      <c r="AF48" s="269"/>
      <c r="AO48" s="286" t="s">
        <v>1594</v>
      </c>
    </row>
    <row r="49" spans="1:41" ht="45" x14ac:dyDescent="0.25">
      <c r="A49" s="206" t="s">
        <v>214</v>
      </c>
      <c r="B49" s="206" t="s">
        <v>34</v>
      </c>
      <c r="C49" s="206" t="s">
        <v>610</v>
      </c>
      <c r="D49" s="306" t="str">
        <f>IF(Table23[[#This Row],[hideText]]=FALSE,HYPERLINK(INDEX('Verify Baseline Links'!$P$10:$P$132,MATCH(Table23[[#This Row],[DSorder]],'Verify Baseline Links'!$M$10:$M$132,0)),"DS"),"")</f>
        <v/>
      </c>
      <c r="E49" s="206" t="s">
        <v>1396</v>
      </c>
      <c r="F49" s="223" t="str">
        <f>CLEAN(TRIM(SUBSTITUTE(LEFT(Table23[[#This Row],[Declarative Statement]],MIN(250,LEN(Table23[[#This Row],[Declarative Statement]]))),CHAR(160)," ")))</f>
        <v>An inventory of organizational assets (e.g., hardware, software, data, and systems hosted externally) is maintained.</v>
      </c>
      <c r="G49" s="206">
        <f>MATCH(Table23[[#This Row],[clean DS]],combinedMaturityTable[Dsm clean],0)</f>
        <v>47</v>
      </c>
      <c r="H49" s="223"/>
      <c r="I49" s="223" t="s">
        <v>1374</v>
      </c>
      <c r="J49" s="308" t="str">
        <f>HYPERLINK(Table23[[#This Row],[URL]],Table23[[#This Row],[Link to Reference]])</f>
        <v>MGT.III.A:pg22</v>
      </c>
      <c r="K49" s="206" t="s">
        <v>1401</v>
      </c>
      <c r="X49" s="286" t="s">
        <v>1957</v>
      </c>
      <c r="Y49" s="302" t="str">
        <f>IFERROR(IF(SEARCH("WP",Table23[[#This Row],[Link to Reference]])&gt;0,"Work Program","Booklet"),"Booklet")</f>
        <v>Booklet</v>
      </c>
      <c r="Z49" s="286" t="s">
        <v>2010</v>
      </c>
      <c r="AA49" s="302">
        <f>IF(Table23[[#This Row],[Type]]="Booklet",MATCH(LEFT(Table23[[#This Row],[Link to Reference]],FIND(".",Table23[[#This Row],[Link to Reference]])-1),bookletsInfo[Initial],0),MATCH(LEFT(Table23[[#This Row],[Link to Reference]],FIND(".",Table23[[#This Row],[Link to Reference]])-1),WPInfo[Initials],0))</f>
        <v>6</v>
      </c>
      <c r="AB4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49" s="286">
        <v>44</v>
      </c>
      <c r="AD49" s="286" t="str">
        <f>IF(G49=G48,IF(MOD(Table23[[#This Row],[order]],2)=1,"hideOdd","hideEven"),FALSE)</f>
        <v>hideEven</v>
      </c>
      <c r="AE49" s="286">
        <f>IF(Table23[[#This Row],[hideText]]=FALSE,AE48+1,AE48)</f>
        <v>13</v>
      </c>
      <c r="AF49" s="269"/>
      <c r="AO49" s="286" t="s">
        <v>1598</v>
      </c>
    </row>
    <row r="50" spans="1:41" ht="90" x14ac:dyDescent="0.25">
      <c r="A50" s="206" t="s">
        <v>214</v>
      </c>
      <c r="B50" s="206" t="s">
        <v>34</v>
      </c>
      <c r="C50" s="206" t="s">
        <v>610</v>
      </c>
      <c r="D50" s="306" t="str">
        <f ca="1">IF(Table23[[#This Row],[hideText]]=FALSE,HYPERLINK(INDEX('Verify Baseline Links'!$P$10:$P$132,MATCH(Table23[[#This Row],[DSorder]],'Verify Baseline Links'!$M$10:$M$132,0)),"DS"),"")</f>
        <v>DS</v>
      </c>
      <c r="E50" s="206" t="s">
        <v>1402</v>
      </c>
      <c r="F50" s="223" t="str">
        <f>CLEAN(TRIM(SUBSTITUTE(LEFT(Table23[[#This Row],[Declarative Statement]],MIN(250,LEN(Table23[[#This Row],[Declarative Statement]]))),CHAR(160)," ")))</f>
        <v>Organizational assets (e.g., hardware, systems, data, and applications) are prioritized for protection based on the data classification and business value.</v>
      </c>
      <c r="G50" s="206">
        <f>MATCH(Table23[[#This Row],[clean DS]],combinedMaturityTable[Dsm clean],0)</f>
        <v>48</v>
      </c>
      <c r="H50" s="223">
        <v>2</v>
      </c>
      <c r="I50" s="223" t="s">
        <v>1397</v>
      </c>
      <c r="J50" s="308" t="str">
        <f>HYPERLINK(Table23[[#This Row],[URL]],Table23[[#This Row],[Link to Reference]])</f>
        <v>IS.II.C.5:pg14</v>
      </c>
      <c r="K50" s="206" t="s">
        <v>1403</v>
      </c>
      <c r="L50" s="286" t="s">
        <v>1399</v>
      </c>
      <c r="M50" s="286" t="s">
        <v>1400</v>
      </c>
      <c r="N50" s="286" t="s">
        <v>1378</v>
      </c>
      <c r="O50" s="286" t="s">
        <v>1378</v>
      </c>
      <c r="P50" s="286" t="s">
        <v>1378</v>
      </c>
      <c r="Q50" s="286" t="s">
        <v>1378</v>
      </c>
      <c r="R50" s="286" t="s">
        <v>1378</v>
      </c>
      <c r="S50" s="286" t="s">
        <v>1378</v>
      </c>
      <c r="T50" s="286" t="s">
        <v>1378</v>
      </c>
      <c r="U50" s="286" t="s">
        <v>1378</v>
      </c>
      <c r="X50" s="286" t="s">
        <v>1186</v>
      </c>
      <c r="Y50" s="302" t="str">
        <f>IFERROR(IF(SEARCH("WP",Table23[[#This Row],[Link to Reference]])&gt;0,"Work Program","Booklet"),"Booklet")</f>
        <v>Booklet</v>
      </c>
      <c r="Z50" s="286" t="s">
        <v>2004</v>
      </c>
      <c r="AA50" s="302">
        <f>IF(Table23[[#This Row],[Type]]="Booklet",MATCH(LEFT(Table23[[#This Row],[Link to Reference]],FIND(".",Table23[[#This Row],[Link to Reference]])-1),bookletsInfo[Initial],0),MATCH(LEFT(Table23[[#This Row],[Link to Reference]],FIND(".",Table23[[#This Row],[Link to Reference]])-1),WPInfo[Initials],0))</f>
        <v>5</v>
      </c>
      <c r="AB5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50" s="286">
        <v>45</v>
      </c>
      <c r="AD50" s="286" t="b">
        <f>IF(G50=G49,IF(MOD(Table23[[#This Row],[order]],2)=1,"hideOdd","hideEven"),FALSE)</f>
        <v>0</v>
      </c>
      <c r="AE50" s="286">
        <f>IF(Table23[[#This Row],[hideText]]=FALSE,AE49+1,AE49)</f>
        <v>14</v>
      </c>
      <c r="AF50" s="269"/>
      <c r="AO50" s="286" t="s">
        <v>2062</v>
      </c>
    </row>
    <row r="51" spans="1:41" ht="75" x14ac:dyDescent="0.25">
      <c r="A51" s="206" t="s">
        <v>214</v>
      </c>
      <c r="B51" s="206" t="s">
        <v>34</v>
      </c>
      <c r="C51" s="206" t="s">
        <v>610</v>
      </c>
      <c r="D51" s="306" t="str">
        <f>IF(Table23[[#This Row],[hideText]]=FALSE,HYPERLINK(INDEX('Verify Baseline Links'!$P$10:$P$132,MATCH(Table23[[#This Row],[DSorder]],'Verify Baseline Links'!$M$10:$M$132,0)),"DS"),"")</f>
        <v/>
      </c>
      <c r="E51" s="206" t="s">
        <v>1402</v>
      </c>
      <c r="F51" s="223" t="str">
        <f>CLEAN(TRIM(SUBSTITUTE(LEFT(Table23[[#This Row],[Declarative Statement]],MIN(250,LEN(Table23[[#This Row],[Declarative Statement]]))),CHAR(160)," ")))</f>
        <v>Organizational assets (e.g., hardware, systems, data, and applications) are prioritized for protection based on the data classification and business value.</v>
      </c>
      <c r="G51" s="206">
        <f>MATCH(Table23[[#This Row],[clean DS]],combinedMaturityTable[Dsm clean],0)</f>
        <v>48</v>
      </c>
      <c r="H51" s="223"/>
      <c r="I51" s="223" t="s">
        <v>1399</v>
      </c>
      <c r="J51" s="308" t="str">
        <f>HYPERLINK(Table23[[#This Row],[URL]],Table23[[#This Row],[Link to Reference]])</f>
        <v>IS.WP.6.6</v>
      </c>
      <c r="K51" s="206" t="s">
        <v>1400</v>
      </c>
      <c r="X51" s="286" t="s">
        <v>1186</v>
      </c>
      <c r="Y51" s="302" t="str">
        <f>IFERROR(IF(SEARCH("WP",Table23[[#This Row],[Link to Reference]])&gt;0,"Work Program","Booklet"),"Booklet")</f>
        <v>Work Program</v>
      </c>
      <c r="Z51" s="286">
        <v>8</v>
      </c>
      <c r="AA51" s="302">
        <f>IF(Table23[[#This Row],[Type]]="Booklet",MATCH(LEFT(Table23[[#This Row],[Link to Reference]],FIND(".",Table23[[#This Row],[Link to Reference]])-1),bookletsInfo[Initial],0),MATCH(LEFT(Table23[[#This Row],[Link to Reference]],FIND(".",Table23[[#This Row],[Link to Reference]])-1),WPInfo[Initials],0))</f>
        <v>5</v>
      </c>
      <c r="AB5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51" s="286">
        <v>46</v>
      </c>
      <c r="AD51" s="286" t="str">
        <f>IF(G51=G50,IF(MOD(Table23[[#This Row],[order]],2)=1,"hideOdd","hideEven"),FALSE)</f>
        <v>hideEven</v>
      </c>
      <c r="AE51" s="286">
        <f>IF(Table23[[#This Row],[hideText]]=FALSE,AE50+1,AE50)</f>
        <v>14</v>
      </c>
      <c r="AF51" s="269"/>
      <c r="AO51" s="286" t="s">
        <v>1605</v>
      </c>
    </row>
    <row r="52" spans="1:41" ht="90" x14ac:dyDescent="0.25">
      <c r="A52" s="206" t="s">
        <v>214</v>
      </c>
      <c r="B52" s="206" t="s">
        <v>34</v>
      </c>
      <c r="C52" s="206" t="s">
        <v>610</v>
      </c>
      <c r="D52" s="306" t="str">
        <f ca="1">IF(Table23[[#This Row],[hideText]]=FALSE,HYPERLINK(INDEX('Verify Baseline Links'!$P$10:$P$132,MATCH(Table23[[#This Row],[DSorder]],'Verify Baseline Links'!$M$10:$M$132,0)),"DS"),"")</f>
        <v>DS</v>
      </c>
      <c r="E52" s="206" t="s">
        <v>1404</v>
      </c>
      <c r="F52" s="223" t="str">
        <f>CLEAN(TRIM(SUBSTITUTE(LEFT(Table23[[#This Row],[Declarative Statement]],MIN(250,LEN(Table23[[#This Row],[Declarative Statement]]))),CHAR(160)," ")))</f>
        <v>Management assigns accountability for maintaining an inventory of organizational assets.</v>
      </c>
      <c r="G52" s="206">
        <f>MATCH(Table23[[#This Row],[clean DS]],combinedMaturityTable[Dsm clean],0)</f>
        <v>49</v>
      </c>
      <c r="H52" s="223">
        <v>3</v>
      </c>
      <c r="I52" s="223" t="s">
        <v>1397</v>
      </c>
      <c r="J52" s="308" t="str">
        <f>HYPERLINK(Table23[[#This Row],[URL]],Table23[[#This Row],[Link to Reference]])</f>
        <v>IS.II.C.5:pg14</v>
      </c>
      <c r="K52" s="206" t="s">
        <v>1405</v>
      </c>
      <c r="L52" s="286" t="s">
        <v>1399</v>
      </c>
      <c r="M52" s="286" t="s">
        <v>1406</v>
      </c>
      <c r="N52" s="286" t="s">
        <v>1374</v>
      </c>
      <c r="O52" s="286" t="s">
        <v>1407</v>
      </c>
      <c r="P52" s="286" t="s">
        <v>1378</v>
      </c>
      <c r="Q52" s="286" t="s">
        <v>1378</v>
      </c>
      <c r="R52" s="286" t="s">
        <v>1378</v>
      </c>
      <c r="S52" s="286" t="s">
        <v>1378</v>
      </c>
      <c r="T52" s="286" t="s">
        <v>1378</v>
      </c>
      <c r="U52" s="286" t="s">
        <v>1378</v>
      </c>
      <c r="X52" s="286" t="s">
        <v>1186</v>
      </c>
      <c r="Y52" s="302" t="str">
        <f>IFERROR(IF(SEARCH("WP",Table23[[#This Row],[Link to Reference]])&gt;0,"Work Program","Booklet"),"Booklet")</f>
        <v>Booklet</v>
      </c>
      <c r="Z52" s="286" t="s">
        <v>2004</v>
      </c>
      <c r="AA52" s="302">
        <f>IF(Table23[[#This Row],[Type]]="Booklet",MATCH(LEFT(Table23[[#This Row],[Link to Reference]],FIND(".",Table23[[#This Row],[Link to Reference]])-1),bookletsInfo[Initial],0),MATCH(LEFT(Table23[[#This Row],[Link to Reference]],FIND(".",Table23[[#This Row],[Link to Reference]])-1),WPInfo[Initials],0))</f>
        <v>5</v>
      </c>
      <c r="AB5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52" s="286">
        <v>47</v>
      </c>
      <c r="AD52" s="286" t="b">
        <f>IF(G52=G51,IF(MOD(Table23[[#This Row],[order]],2)=1,"hideOdd","hideEven"),FALSE)</f>
        <v>0</v>
      </c>
      <c r="AE52" s="286">
        <f>IF(Table23[[#This Row],[hideText]]=FALSE,AE51+1,AE51)</f>
        <v>15</v>
      </c>
      <c r="AF52" s="269"/>
      <c r="AO52" s="286" t="s">
        <v>1612</v>
      </c>
    </row>
    <row r="53" spans="1:41" ht="45" x14ac:dyDescent="0.25">
      <c r="A53" s="206" t="s">
        <v>214</v>
      </c>
      <c r="B53" s="206" t="s">
        <v>34</v>
      </c>
      <c r="C53" s="206" t="s">
        <v>610</v>
      </c>
      <c r="D53" s="306" t="str">
        <f>IF(Table23[[#This Row],[hideText]]=FALSE,HYPERLINK(INDEX('Verify Baseline Links'!$P$10:$P$132,MATCH(Table23[[#This Row],[DSorder]],'Verify Baseline Links'!$M$10:$M$132,0)),"DS"),"")</f>
        <v/>
      </c>
      <c r="E53" s="206" t="s">
        <v>1404</v>
      </c>
      <c r="F53" s="223" t="str">
        <f>CLEAN(TRIM(SUBSTITUTE(LEFT(Table23[[#This Row],[Declarative Statement]],MIN(250,LEN(Table23[[#This Row],[Declarative Statement]]))),CHAR(160)," ")))</f>
        <v>Management assigns accountability for maintaining an inventory of organizational assets.</v>
      </c>
      <c r="G53" s="206">
        <f>MATCH(Table23[[#This Row],[clean DS]],combinedMaturityTable[Dsm clean],0)</f>
        <v>49</v>
      </c>
      <c r="H53" s="223"/>
      <c r="I53" s="223" t="s">
        <v>1399</v>
      </c>
      <c r="J53" s="308" t="str">
        <f>HYPERLINK(Table23[[#This Row],[URL]],Table23[[#This Row],[Link to Reference]])</f>
        <v>IS.WP.6.6</v>
      </c>
      <c r="K53" s="206" t="s">
        <v>1406</v>
      </c>
      <c r="X53" s="286" t="s">
        <v>1186</v>
      </c>
      <c r="Y53" s="302" t="str">
        <f>IFERROR(IF(SEARCH("WP",Table23[[#This Row],[Link to Reference]])&gt;0,"Work Program","Booklet"),"Booklet")</f>
        <v>Work Program</v>
      </c>
      <c r="Z53" s="286">
        <v>8</v>
      </c>
      <c r="AA53" s="302">
        <f>IF(Table23[[#This Row],[Type]]="Booklet",MATCH(LEFT(Table23[[#This Row],[Link to Reference]],FIND(".",Table23[[#This Row],[Link to Reference]])-1),bookletsInfo[Initial],0),MATCH(LEFT(Table23[[#This Row],[Link to Reference]],FIND(".",Table23[[#This Row],[Link to Reference]])-1),WPInfo[Initials],0))</f>
        <v>5</v>
      </c>
      <c r="AB5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53" s="286">
        <v>48</v>
      </c>
      <c r="AD53" s="286" t="str">
        <f>IF(G53=G52,IF(MOD(Table23[[#This Row],[order]],2)=1,"hideOdd","hideEven"),FALSE)</f>
        <v>hideEven</v>
      </c>
      <c r="AE53" s="286">
        <f>IF(Table23[[#This Row],[hideText]]=FALSE,AE52+1,AE52)</f>
        <v>15</v>
      </c>
      <c r="AF53" s="269"/>
      <c r="AO53" s="286" t="s">
        <v>1616</v>
      </c>
    </row>
    <row r="54" spans="1:41" ht="60" x14ac:dyDescent="0.25">
      <c r="A54" s="206" t="s">
        <v>214</v>
      </c>
      <c r="B54" s="206" t="s">
        <v>34</v>
      </c>
      <c r="C54" s="206" t="s">
        <v>610</v>
      </c>
      <c r="D54" s="306" t="str">
        <f>IF(Table23[[#This Row],[hideText]]=FALSE,HYPERLINK(INDEX('Verify Baseline Links'!$P$10:$P$132,MATCH(Table23[[#This Row],[DSorder]],'Verify Baseline Links'!$M$10:$M$132,0)),"DS"),"")</f>
        <v/>
      </c>
      <c r="E54" s="206" t="s">
        <v>1404</v>
      </c>
      <c r="F54" s="223" t="str">
        <f>CLEAN(TRIM(SUBSTITUTE(LEFT(Table23[[#This Row],[Declarative Statement]],MIN(250,LEN(Table23[[#This Row],[Declarative Statement]]))),CHAR(160)," ")))</f>
        <v>Management assigns accountability for maintaining an inventory of organizational assets.</v>
      </c>
      <c r="G54" s="206">
        <f>MATCH(Table23[[#This Row],[clean DS]],combinedMaturityTable[Dsm clean],0)</f>
        <v>49</v>
      </c>
      <c r="H54" s="223"/>
      <c r="I54" s="223" t="s">
        <v>1374</v>
      </c>
      <c r="J54" s="308" t="str">
        <f>HYPERLINK(Table23[[#This Row],[URL]],Table23[[#This Row],[Link to Reference]])</f>
        <v>MGT.III.A:pg22</v>
      </c>
      <c r="K54" s="206" t="s">
        <v>1407</v>
      </c>
      <c r="X54" s="286" t="s">
        <v>1957</v>
      </c>
      <c r="Y54" s="302" t="str">
        <f>IFERROR(IF(SEARCH("WP",Table23[[#This Row],[Link to Reference]])&gt;0,"Work Program","Booklet"),"Booklet")</f>
        <v>Booklet</v>
      </c>
      <c r="Z54" s="286" t="s">
        <v>2010</v>
      </c>
      <c r="AA54" s="302">
        <f>IF(Table23[[#This Row],[Type]]="Booklet",MATCH(LEFT(Table23[[#This Row],[Link to Reference]],FIND(".",Table23[[#This Row],[Link to Reference]])-1),bookletsInfo[Initial],0),MATCH(LEFT(Table23[[#This Row],[Link to Reference]],FIND(".",Table23[[#This Row],[Link to Reference]])-1),WPInfo[Initials],0))</f>
        <v>6</v>
      </c>
      <c r="AB5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54" s="286">
        <v>49</v>
      </c>
      <c r="AD54" s="286" t="str">
        <f>IF(G54=G53,IF(MOD(Table23[[#This Row],[order]],2)=1,"hideOdd","hideEven"),FALSE)</f>
        <v>hideOdd</v>
      </c>
      <c r="AE54" s="286">
        <f>IF(Table23[[#This Row],[hideText]]=FALSE,AE53+1,AE53)</f>
        <v>15</v>
      </c>
      <c r="AF54" s="269"/>
      <c r="AO54" s="286" t="s">
        <v>1620</v>
      </c>
    </row>
    <row r="55" spans="1:41" ht="75" x14ac:dyDescent="0.25">
      <c r="A55" s="206" t="s">
        <v>214</v>
      </c>
      <c r="B55" s="206" t="s">
        <v>34</v>
      </c>
      <c r="C55" s="206" t="s">
        <v>610</v>
      </c>
      <c r="D55" s="306" t="str">
        <f ca="1">IF(Table23[[#This Row],[hideText]]=FALSE,HYPERLINK(INDEX('Verify Baseline Links'!$P$10:$P$132,MATCH(Table23[[#This Row],[DSorder]],'Verify Baseline Links'!$M$10:$M$132,0)),"DS"),"")</f>
        <v>DS</v>
      </c>
      <c r="E55" s="206" t="s">
        <v>1408</v>
      </c>
      <c r="F55" s="223" t="str">
        <f>CLEAN(TRIM(SUBSTITUTE(LEFT(Table23[[#This Row],[Declarative Statement]],MIN(250,LEN(Table23[[#This Row],[Declarative Statement]]))),CHAR(160)," ")))</f>
        <v>A change management process is in place to request and approve changes to systems configurations, hardware, software, applications, and security tools.</v>
      </c>
      <c r="G55" s="206">
        <f>MATCH(Table23[[#This Row],[clean DS]],combinedMaturityTable[Dsm clean],0)</f>
        <v>50</v>
      </c>
      <c r="H55" s="223">
        <v>2</v>
      </c>
      <c r="I55" s="223" t="s">
        <v>1409</v>
      </c>
      <c r="J55" s="308" t="str">
        <f>HYPERLINK(Table23[[#This Row],[URL]],Table23[[#This Row],[Link to Reference]])</f>
        <v>IS.II.C.10:pg21</v>
      </c>
      <c r="K55" s="206" t="s">
        <v>1410</v>
      </c>
      <c r="L55" s="286" t="s">
        <v>1411</v>
      </c>
      <c r="M55" s="286" t="s">
        <v>1412</v>
      </c>
      <c r="N55" s="286" t="s">
        <v>1378</v>
      </c>
      <c r="O55" s="286" t="s">
        <v>1378</v>
      </c>
      <c r="P55" s="286" t="s">
        <v>1378</v>
      </c>
      <c r="Q55" s="286" t="s">
        <v>1378</v>
      </c>
      <c r="R55" s="286" t="s">
        <v>1378</v>
      </c>
      <c r="S55" s="286" t="s">
        <v>1378</v>
      </c>
      <c r="T55" s="286" t="s">
        <v>1378</v>
      </c>
      <c r="U55" s="286" t="s">
        <v>1378</v>
      </c>
      <c r="X55" s="286" t="s">
        <v>1186</v>
      </c>
      <c r="Y55" s="302" t="str">
        <f>IFERROR(IF(SEARCH("WP",Table23[[#This Row],[Link to Reference]])&gt;0,"Work Program","Booklet"),"Booklet")</f>
        <v>Booklet</v>
      </c>
      <c r="Z55" s="286" t="s">
        <v>2013</v>
      </c>
      <c r="AA55" s="302">
        <f>IF(Table23[[#This Row],[Type]]="Booklet",MATCH(LEFT(Table23[[#This Row],[Link to Reference]],FIND(".",Table23[[#This Row],[Link to Reference]])-1),bookletsInfo[Initial],0),MATCH(LEFT(Table23[[#This Row],[Link to Reference]],FIND(".",Table23[[#This Row],[Link to Reference]])-1),WPInfo[Initials],0))</f>
        <v>5</v>
      </c>
      <c r="AB5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55" s="286">
        <v>50</v>
      </c>
      <c r="AD55" s="286" t="b">
        <f>IF(G55=G54,IF(MOD(Table23[[#This Row],[order]],2)=1,"hideOdd","hideEven"),FALSE)</f>
        <v>0</v>
      </c>
      <c r="AE55" s="286">
        <f>IF(Table23[[#This Row],[hideText]]=FALSE,AE54+1,AE54)</f>
        <v>16</v>
      </c>
      <c r="AF55" s="269"/>
      <c r="AO55" s="286" t="s">
        <v>1625</v>
      </c>
    </row>
    <row r="56" spans="1:41" ht="45" x14ac:dyDescent="0.25">
      <c r="A56" s="206" t="s">
        <v>214</v>
      </c>
      <c r="B56" s="206" t="s">
        <v>34</v>
      </c>
      <c r="C56" s="206" t="s">
        <v>610</v>
      </c>
      <c r="D56" s="306" t="str">
        <f>IF(Table23[[#This Row],[hideText]]=FALSE,HYPERLINK(INDEX('Verify Baseline Links'!$P$10:$P$132,MATCH(Table23[[#This Row],[DSorder]],'Verify Baseline Links'!$M$10:$M$132,0)),"DS"),"")</f>
        <v/>
      </c>
      <c r="E56" s="206" t="s">
        <v>1408</v>
      </c>
      <c r="F56" s="223" t="str">
        <f>CLEAN(TRIM(SUBSTITUTE(LEFT(Table23[[#This Row],[Declarative Statement]],MIN(250,LEN(Table23[[#This Row],[Declarative Statement]]))),CHAR(160)," ")))</f>
        <v>A change management process is in place to request and approve changes to systems configurations, hardware, software, applications, and security tools.</v>
      </c>
      <c r="G56" s="206">
        <f>MATCH(Table23[[#This Row],[clean DS]],combinedMaturityTable[Dsm clean],0)</f>
        <v>50</v>
      </c>
      <c r="H56" s="223"/>
      <c r="I56" s="223" t="s">
        <v>1411</v>
      </c>
      <c r="J56" s="308" t="str">
        <f>HYPERLINK(Table23[[#This Row],[URL]],Table23[[#This Row],[Link to Reference]])</f>
        <v>IS.WP.6.11</v>
      </c>
      <c r="K56" s="206" t="s">
        <v>1412</v>
      </c>
      <c r="X56" s="286" t="s">
        <v>1186</v>
      </c>
      <c r="Y56" s="302" t="str">
        <f>IFERROR(IF(SEARCH("WP",Table23[[#This Row],[Link to Reference]])&gt;0,"Work Program","Booklet"),"Booklet")</f>
        <v>Work Program</v>
      </c>
      <c r="Z56" s="286">
        <v>9</v>
      </c>
      <c r="AA56" s="302">
        <f>IF(Table23[[#This Row],[Type]]="Booklet",MATCH(LEFT(Table23[[#This Row],[Link to Reference]],FIND(".",Table23[[#This Row],[Link to Reference]])-1),bookletsInfo[Initial],0),MATCH(LEFT(Table23[[#This Row],[Link to Reference]],FIND(".",Table23[[#This Row],[Link to Reference]])-1),WPInfo[Initials],0))</f>
        <v>5</v>
      </c>
      <c r="AB5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56" s="286">
        <v>51</v>
      </c>
      <c r="AD56" s="286" t="str">
        <f>IF(G56=G55,IF(MOD(Table23[[#This Row],[order]],2)=1,"hideOdd","hideEven"),FALSE)</f>
        <v>hideOdd</v>
      </c>
      <c r="AE56" s="286">
        <f>IF(Table23[[#This Row],[hideText]]=FALSE,AE55+1,AE55)</f>
        <v>16</v>
      </c>
      <c r="AF56" s="269"/>
      <c r="AO56" s="286" t="s">
        <v>1630</v>
      </c>
    </row>
    <row r="57" spans="1:41" ht="60" x14ac:dyDescent="0.25">
      <c r="A57" s="206" t="s">
        <v>214</v>
      </c>
      <c r="B57" s="206" t="s">
        <v>37</v>
      </c>
      <c r="C57" s="206" t="s">
        <v>38</v>
      </c>
      <c r="D57" s="306" t="str">
        <f ca="1">IF(Table23[[#This Row],[hideText]]=FALSE,HYPERLINK(INDEX('Verify Baseline Links'!$P$10:$P$132,MATCH(Table23[[#This Row],[DSorder]],'Verify Baseline Links'!$M$10:$M$132,0)),"DS"),"")</f>
        <v>DS</v>
      </c>
      <c r="E57" s="206" t="s">
        <v>1413</v>
      </c>
      <c r="F57" s="223" t="str">
        <f>CLEAN(TRIM(SUBSTITUTE(LEFT(Table23[[#This Row],[Declarative Statement]],MIN(250,LEN(Table23[[#This Row],[Declarative Statement]]))),CHAR(160)," ")))</f>
        <v>An information security and business continuity risk management function(s) exists within the institution.</v>
      </c>
      <c r="G57" s="206">
        <f>MATCH(Table23[[#This Row],[clean DS]],combinedMaturityTable[Dsm clean],0)</f>
        <v>63</v>
      </c>
      <c r="H57" s="223">
        <v>4</v>
      </c>
      <c r="I57" s="223" t="s">
        <v>1245</v>
      </c>
      <c r="J57" s="308" t="str">
        <f>HYPERLINK(Table23[[#This Row],[URL]],Table23[[#This Row],[Link to Reference]])</f>
        <v>IS.II.C.21:pg43</v>
      </c>
      <c r="K57" s="206" t="s">
        <v>1414</v>
      </c>
      <c r="L57" s="286" t="s">
        <v>1415</v>
      </c>
      <c r="M57" s="286" t="s">
        <v>1416</v>
      </c>
      <c r="N57" s="286" t="s">
        <v>1417</v>
      </c>
      <c r="O57" s="286" t="s">
        <v>1418</v>
      </c>
      <c r="P57" s="286" t="s">
        <v>1419</v>
      </c>
      <c r="Q57" s="286" t="s">
        <v>1420</v>
      </c>
      <c r="R57" s="286" t="s">
        <v>1378</v>
      </c>
      <c r="S57" s="286" t="s">
        <v>1378</v>
      </c>
      <c r="T57" s="286" t="s">
        <v>1378</v>
      </c>
      <c r="U57" s="286" t="s">
        <v>1378</v>
      </c>
      <c r="X57" s="286" t="s">
        <v>1186</v>
      </c>
      <c r="Y57" s="302" t="str">
        <f>IFERROR(IF(SEARCH("WP",Table23[[#This Row],[Link to Reference]])&gt;0,"Work Program","Booklet"),"Booklet")</f>
        <v>Booklet</v>
      </c>
      <c r="Z57" s="286" t="s">
        <v>2011</v>
      </c>
      <c r="AA57" s="302">
        <f>IF(Table23[[#This Row],[Type]]="Booklet",MATCH(LEFT(Table23[[#This Row],[Link to Reference]],FIND(".",Table23[[#This Row],[Link to Reference]])-1),bookletsInfo[Initial],0),MATCH(LEFT(Table23[[#This Row],[Link to Reference]],FIND(".",Table23[[#This Row],[Link to Reference]])-1),WPInfo[Initials],0))</f>
        <v>5</v>
      </c>
      <c r="AB5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57" s="286">
        <v>52</v>
      </c>
      <c r="AD57" s="286" t="b">
        <f>IF(G57=G56,IF(MOD(Table23[[#This Row],[order]],2)=1,"hideOdd","hideEven"),FALSE)</f>
        <v>0</v>
      </c>
      <c r="AE57" s="286">
        <f>IF(Table23[[#This Row],[hideText]]=FALSE,AE56+1,AE56)</f>
        <v>17</v>
      </c>
      <c r="AF57" s="269"/>
      <c r="AO57" s="286" t="s">
        <v>1635</v>
      </c>
    </row>
    <row r="58" spans="1:41" ht="45" x14ac:dyDescent="0.25">
      <c r="A58" s="206" t="s">
        <v>214</v>
      </c>
      <c r="B58" s="206" t="s">
        <v>37</v>
      </c>
      <c r="C58" s="206" t="s">
        <v>38</v>
      </c>
      <c r="D58" s="306" t="str">
        <f>IF(Table23[[#This Row],[hideText]]=FALSE,HYPERLINK(INDEX('Verify Baseline Links'!$P$10:$P$132,MATCH(Table23[[#This Row],[DSorder]],'Verify Baseline Links'!$M$10:$M$132,0)),"DS"),"")</f>
        <v/>
      </c>
      <c r="E58" s="206" t="s">
        <v>1413</v>
      </c>
      <c r="F58" s="223" t="str">
        <f>CLEAN(TRIM(SUBSTITUTE(LEFT(Table23[[#This Row],[Declarative Statement]],MIN(250,LEN(Table23[[#This Row],[Declarative Statement]]))),CHAR(160)," ")))</f>
        <v>An information security and business continuity risk management function(s) exists within the institution.</v>
      </c>
      <c r="G58" s="206">
        <f>MATCH(Table23[[#This Row],[clean DS]],combinedMaturityTable[Dsm clean],0)</f>
        <v>63</v>
      </c>
      <c r="H58" s="223"/>
      <c r="I58" s="223" t="s">
        <v>1415</v>
      </c>
      <c r="J58" s="308" t="str">
        <f>HYPERLINK(Table23[[#This Row],[URL]],Table23[[#This Row],[Link to Reference]])</f>
        <v>IS.WP.6.34</v>
      </c>
      <c r="K58" s="206" t="s">
        <v>1416</v>
      </c>
      <c r="X58" s="286" t="s">
        <v>1186</v>
      </c>
      <c r="Y58" s="302" t="str">
        <f>IFERROR(IF(SEARCH("WP",Table23[[#This Row],[Link to Reference]])&gt;0,"Work Program","Booklet"),"Booklet")</f>
        <v>Work Program</v>
      </c>
      <c r="Z58" s="286">
        <v>16</v>
      </c>
      <c r="AA58" s="302">
        <f>IF(Table23[[#This Row],[Type]]="Booklet",MATCH(LEFT(Table23[[#This Row],[Link to Reference]],FIND(".",Table23[[#This Row],[Link to Reference]])-1),bookletsInfo[Initial],0),MATCH(LEFT(Table23[[#This Row],[Link to Reference]],FIND(".",Table23[[#This Row],[Link to Reference]])-1),WPInfo[Initials],0))</f>
        <v>5</v>
      </c>
      <c r="AB5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58" s="286">
        <v>53</v>
      </c>
      <c r="AD58" s="286" t="str">
        <f>IF(G58=G57,IF(MOD(Table23[[#This Row],[order]],2)=1,"hideOdd","hideEven"),FALSE)</f>
        <v>hideOdd</v>
      </c>
      <c r="AE58" s="286">
        <f>IF(Table23[[#This Row],[hideText]]=FALSE,AE57+1,AE57)</f>
        <v>17</v>
      </c>
      <c r="AF58" s="269"/>
      <c r="AO58" s="286" t="s">
        <v>1639</v>
      </c>
    </row>
    <row r="59" spans="1:41" ht="45" x14ac:dyDescent="0.25">
      <c r="A59" s="206" t="s">
        <v>214</v>
      </c>
      <c r="B59" s="206" t="s">
        <v>37</v>
      </c>
      <c r="C59" s="206" t="s">
        <v>38</v>
      </c>
      <c r="D59" s="306" t="str">
        <f>IF(Table23[[#This Row],[hideText]]=FALSE,HYPERLINK(INDEX('Verify Baseline Links'!$P$10:$P$132,MATCH(Table23[[#This Row],[DSorder]],'Verify Baseline Links'!$M$10:$M$132,0)),"DS"),"")</f>
        <v/>
      </c>
      <c r="E59" s="206" t="s">
        <v>1413</v>
      </c>
      <c r="F59" s="223" t="str">
        <f>CLEAN(TRIM(SUBSTITUTE(LEFT(Table23[[#This Row],[Declarative Statement]],MIN(250,LEN(Table23[[#This Row],[Declarative Statement]]))),CHAR(160)," ")))</f>
        <v>An information security and business continuity risk management function(s) exists within the institution.</v>
      </c>
      <c r="G59" s="206">
        <f>MATCH(Table23[[#This Row],[clean DS]],combinedMaturityTable[Dsm clean],0)</f>
        <v>63</v>
      </c>
      <c r="H59" s="223"/>
      <c r="I59" s="223" t="s">
        <v>1417</v>
      </c>
      <c r="J59" s="308" t="str">
        <f>HYPERLINK(Table23[[#This Row],[URL]],Table23[[#This Row],[Link to Reference]])</f>
        <v>MGT.I.B.4:pg12</v>
      </c>
      <c r="K59" s="206" t="s">
        <v>1418</v>
      </c>
      <c r="X59" s="286" t="s">
        <v>1957</v>
      </c>
      <c r="Y59" s="302" t="str">
        <f>IFERROR(IF(SEARCH("WP",Table23[[#This Row],[Link to Reference]])&gt;0,"Work Program","Booklet"),"Booklet")</f>
        <v>Booklet</v>
      </c>
      <c r="Z59" s="286" t="s">
        <v>2014</v>
      </c>
      <c r="AA59" s="302">
        <f>IF(Table23[[#This Row],[Type]]="Booklet",MATCH(LEFT(Table23[[#This Row],[Link to Reference]],FIND(".",Table23[[#This Row],[Link to Reference]])-1),bookletsInfo[Initial],0),MATCH(LEFT(Table23[[#This Row],[Link to Reference]],FIND(".",Table23[[#This Row],[Link to Reference]])-1),WPInfo[Initials],0))</f>
        <v>6</v>
      </c>
      <c r="AB5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https://ithandbook.ffiec.gov/media/274809/ffiec_itbooklet_management.pdf#Page=13</v>
      </c>
      <c r="AC59" s="286">
        <v>54</v>
      </c>
      <c r="AD59" s="286" t="str">
        <f>IF(G59=G58,IF(MOD(Table23[[#This Row],[order]],2)=1,"hideOdd","hideEven"),FALSE)</f>
        <v>hideEven</v>
      </c>
      <c r="AE59" s="286">
        <f>IF(Table23[[#This Row],[hideText]]=FALSE,AE58+1,AE58)</f>
        <v>17</v>
      </c>
      <c r="AF59" s="269"/>
      <c r="AO59" s="286" t="s">
        <v>1642</v>
      </c>
    </row>
    <row r="60" spans="1:41" ht="45" x14ac:dyDescent="0.25">
      <c r="A60" s="206" t="s">
        <v>214</v>
      </c>
      <c r="B60" s="206" t="s">
        <v>37</v>
      </c>
      <c r="C60" s="206" t="s">
        <v>38</v>
      </c>
      <c r="D60" s="306" t="str">
        <f>IF(Table23[[#This Row],[hideText]]=FALSE,HYPERLINK(INDEX('Verify Baseline Links'!$P$10:$P$132,MATCH(Table23[[#This Row],[DSorder]],'Verify Baseline Links'!$M$10:$M$132,0)),"DS"),"")</f>
        <v/>
      </c>
      <c r="E60" s="206" t="s">
        <v>1413</v>
      </c>
      <c r="F60" s="223" t="str">
        <f>CLEAN(TRIM(SUBSTITUTE(LEFT(Table23[[#This Row],[Declarative Statement]],MIN(250,LEN(Table23[[#This Row],[Declarative Statement]]))),CHAR(160)," ")))</f>
        <v>An information security and business continuity risk management function(s) exists within the institution.</v>
      </c>
      <c r="G60" s="206">
        <f>MATCH(Table23[[#This Row],[clean DS]],combinedMaturityTable[Dsm clean],0)</f>
        <v>63</v>
      </c>
      <c r="H60" s="223"/>
      <c r="I60" s="223" t="s">
        <v>1419</v>
      </c>
      <c r="J60" s="308" t="str">
        <f>HYPERLINK(Table23[[#This Row],[URL]],Table23[[#This Row],[Link to Reference]])</f>
        <v>MGT.WP.3.</v>
      </c>
      <c r="K60" s="206" t="s">
        <v>1420</v>
      </c>
      <c r="X60" s="286" t="s">
        <v>1957</v>
      </c>
      <c r="Y60" s="302" t="str">
        <f>IFERROR(IF(SEARCH("WP",Table23[[#This Row],[Link to Reference]])&gt;0,"Work Program","Booklet"),"Booklet")</f>
        <v>Work Program</v>
      </c>
      <c r="Z60" s="286">
        <v>6</v>
      </c>
      <c r="AA60" s="302">
        <f>IF(Table23[[#This Row],[Type]]="Booklet",MATCH(LEFT(Table23[[#This Row],[Link to Reference]],FIND(".",Table23[[#This Row],[Link to Reference]])-1),bookletsInfo[Initial],0),MATCH(LEFT(Table23[[#This Row],[Link to Reference]],FIND(".",Table23[[#This Row],[Link to Reference]])-1),WPInfo[Initials],0))</f>
        <v>6</v>
      </c>
      <c r="AB6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https://watkinsconsulting.com/wp-content/uploads/2019/02/Management-IT-WorkProgram.pdf#Page=6</v>
      </c>
      <c r="AC60" s="286">
        <v>55</v>
      </c>
      <c r="AD60" s="286" t="str">
        <f>IF(G60=G59,IF(MOD(Table23[[#This Row],[order]],2)=1,"hideOdd","hideEven"),FALSE)</f>
        <v>hideOdd</v>
      </c>
      <c r="AE60" s="286">
        <f>IF(Table23[[#This Row],[hideText]]=FALSE,AE59+1,AE59)</f>
        <v>17</v>
      </c>
      <c r="AF60" s="269"/>
      <c r="AO60" s="286" t="s">
        <v>1645</v>
      </c>
    </row>
    <row r="61" spans="1:41" ht="60" x14ac:dyDescent="0.25">
      <c r="A61" s="206" t="s">
        <v>214</v>
      </c>
      <c r="B61" s="206" t="s">
        <v>37</v>
      </c>
      <c r="C61" s="206" t="s">
        <v>39</v>
      </c>
      <c r="D61" s="306" t="str">
        <f ca="1">IF(Table23[[#This Row],[hideText]]=FALSE,HYPERLINK(INDEX('Verify Baseline Links'!$P$10:$P$132,MATCH(Table23[[#This Row],[DSorder]],'Verify Baseline Links'!$M$10:$M$132,0)),"DS"),"")</f>
        <v>DS</v>
      </c>
      <c r="E61" s="206" t="s">
        <v>2057</v>
      </c>
      <c r="F61" s="223"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1" s="206">
        <f>MATCH(Table23[[#This Row],[clean DS]],combinedMaturityTable[Dsm clean],0)</f>
        <v>79</v>
      </c>
      <c r="H61" s="223">
        <v>4</v>
      </c>
      <c r="I61" s="223" t="s">
        <v>1253</v>
      </c>
      <c r="J61" s="308" t="str">
        <f>HYPERLINK(Table23[[#This Row],[URL]],Table23[[#This Row],[Link to Reference]])</f>
        <v>IS.I.B:pg4</v>
      </c>
      <c r="K61" s="206" t="s">
        <v>1422</v>
      </c>
      <c r="L61" s="286" t="s">
        <v>1328</v>
      </c>
      <c r="M61" s="286" t="s">
        <v>1423</v>
      </c>
      <c r="N61" s="286" t="s">
        <v>1374</v>
      </c>
      <c r="O61" s="286" t="s">
        <v>1424</v>
      </c>
      <c r="P61" s="286" t="s">
        <v>1425</v>
      </c>
      <c r="Q61" s="286" t="s">
        <v>1426</v>
      </c>
      <c r="R61" s="286" t="s">
        <v>1378</v>
      </c>
      <c r="S61" s="286" t="s">
        <v>1378</v>
      </c>
      <c r="T61" s="286" t="s">
        <v>1378</v>
      </c>
      <c r="U61" s="286" t="s">
        <v>1378</v>
      </c>
      <c r="X61" s="286" t="s">
        <v>1186</v>
      </c>
      <c r="Y61" s="302" t="str">
        <f>IFERROR(IF(SEARCH("WP",Table23[[#This Row],[Link to Reference]])&gt;0,"Work Program","Booklet"),"Booklet")</f>
        <v>Booklet</v>
      </c>
      <c r="Z61" s="286" t="s">
        <v>1999</v>
      </c>
      <c r="AA61" s="302">
        <f>IF(Table23[[#This Row],[Type]]="Booklet",MATCH(LEFT(Table23[[#This Row],[Link to Reference]],FIND(".",Table23[[#This Row],[Link to Reference]])-1),bookletsInfo[Initial],0),MATCH(LEFT(Table23[[#This Row],[Link to Reference]],FIND(".",Table23[[#This Row],[Link to Reference]])-1),WPInfo[Initials],0))</f>
        <v>5</v>
      </c>
      <c r="AB6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61" s="286">
        <v>56</v>
      </c>
      <c r="AD61" s="286" t="b">
        <f>IF(G61=G60,IF(MOD(Table23[[#This Row],[order]],2)=1,"hideOdd","hideEven"),FALSE)</f>
        <v>0</v>
      </c>
      <c r="AE61" s="286">
        <f>IF(Table23[[#This Row],[hideText]]=FALSE,AE60+1,AE60)</f>
        <v>18</v>
      </c>
      <c r="AF61" s="269"/>
      <c r="AO61" s="286" t="s">
        <v>1649</v>
      </c>
    </row>
    <row r="62" spans="1:41" ht="60" x14ac:dyDescent="0.25">
      <c r="A62" s="206" t="s">
        <v>214</v>
      </c>
      <c r="B62" s="206" t="s">
        <v>37</v>
      </c>
      <c r="C62" s="206" t="s">
        <v>39</v>
      </c>
      <c r="D62" s="306" t="str">
        <f>IF(Table23[[#This Row],[hideText]]=FALSE,HYPERLINK(INDEX('Verify Baseline Links'!$P$10:$P$132,MATCH(Table23[[#This Row],[DSorder]],'Verify Baseline Links'!$M$10:$M$132,0)),"DS"),"")</f>
        <v/>
      </c>
      <c r="E62" s="206" t="s">
        <v>2057</v>
      </c>
      <c r="F62" s="223"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2" s="206">
        <f>MATCH(Table23[[#This Row],[clean DS]],combinedMaturityTable[Dsm clean],0)</f>
        <v>79</v>
      </c>
      <c r="H62" s="223"/>
      <c r="I62" s="223" t="s">
        <v>1328</v>
      </c>
      <c r="J62" s="308" t="str">
        <f>HYPERLINK(Table23[[#This Row],[URL]],Table23[[#This Row],[Link to Reference]])</f>
        <v>IS.WP.2.4</v>
      </c>
      <c r="K62" s="206" t="s">
        <v>1423</v>
      </c>
      <c r="X62" s="286" t="s">
        <v>1186</v>
      </c>
      <c r="Y62" s="302" t="str">
        <f>IFERROR(IF(SEARCH("WP",Table23[[#This Row],[Link to Reference]])&gt;0,"Work Program","Booklet"),"Booklet")</f>
        <v>Work Program</v>
      </c>
      <c r="Z62" s="286">
        <v>3</v>
      </c>
      <c r="AA62" s="302">
        <f>IF(Table23[[#This Row],[Type]]="Booklet",MATCH(LEFT(Table23[[#This Row],[Link to Reference]],FIND(".",Table23[[#This Row],[Link to Reference]])-1),bookletsInfo[Initial],0),MATCH(LEFT(Table23[[#This Row],[Link to Reference]],FIND(".",Table23[[#This Row],[Link to Reference]])-1),WPInfo[Initials],0))</f>
        <v>5</v>
      </c>
      <c r="AB6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62" s="286">
        <v>57</v>
      </c>
      <c r="AD62" s="286" t="str">
        <f>IF(G62=G61,IF(MOD(Table23[[#This Row],[order]],2)=1,"hideOdd","hideEven"),FALSE)</f>
        <v>hideOdd</v>
      </c>
      <c r="AE62" s="286">
        <f>IF(Table23[[#This Row],[hideText]]=FALSE,AE61+1,AE61)</f>
        <v>18</v>
      </c>
      <c r="AF62" s="269"/>
      <c r="AO62" s="286" t="s">
        <v>1653</v>
      </c>
    </row>
    <row r="63" spans="1:41" ht="60" x14ac:dyDescent="0.25">
      <c r="A63" s="206" t="s">
        <v>214</v>
      </c>
      <c r="B63" s="206" t="s">
        <v>37</v>
      </c>
      <c r="C63" s="206" t="s">
        <v>39</v>
      </c>
      <c r="D63" s="306" t="str">
        <f>IF(Table23[[#This Row],[hideText]]=FALSE,HYPERLINK(INDEX('Verify Baseline Links'!$P$10:$P$132,MATCH(Table23[[#This Row],[DSorder]],'Verify Baseline Links'!$M$10:$M$132,0)),"DS"),"")</f>
        <v/>
      </c>
      <c r="E63" s="206" t="s">
        <v>2057</v>
      </c>
      <c r="F63" s="223"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3" s="206">
        <f>MATCH(Table23[[#This Row],[clean DS]],combinedMaturityTable[Dsm clean],0)</f>
        <v>79</v>
      </c>
      <c r="H63" s="223"/>
      <c r="I63" s="223" t="s">
        <v>1374</v>
      </c>
      <c r="J63" s="308" t="str">
        <f>HYPERLINK(Table23[[#This Row],[URL]],Table23[[#This Row],[Link to Reference]])</f>
        <v>MGT.III.A:pg22</v>
      </c>
      <c r="K63" s="206" t="s">
        <v>1424</v>
      </c>
      <c r="X63" s="286" t="s">
        <v>1957</v>
      </c>
      <c r="Y63" s="302" t="str">
        <f>IFERROR(IF(SEARCH("WP",Table23[[#This Row],[Link to Reference]])&gt;0,"Work Program","Booklet"),"Booklet")</f>
        <v>Booklet</v>
      </c>
      <c r="Z63" s="286" t="s">
        <v>2010</v>
      </c>
      <c r="AA63" s="302">
        <f>IF(Table23[[#This Row],[Type]]="Booklet",MATCH(LEFT(Table23[[#This Row],[Link to Reference]],FIND(".",Table23[[#This Row],[Link to Reference]])-1),bookletsInfo[Initial],0),MATCH(LEFT(Table23[[#This Row],[Link to Reference]],FIND(".",Table23[[#This Row],[Link to Reference]])-1),WPInfo[Initials],0))</f>
        <v>6</v>
      </c>
      <c r="AB6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63" s="286">
        <v>58</v>
      </c>
      <c r="AD63" s="286" t="str">
        <f>IF(G63=G62,IF(MOD(Table23[[#This Row],[order]],2)=1,"hideOdd","hideEven"),FALSE)</f>
        <v>hideEven</v>
      </c>
      <c r="AE63" s="286">
        <f>IF(Table23[[#This Row],[hideText]]=FALSE,AE62+1,AE62)</f>
        <v>18</v>
      </c>
      <c r="AF63" s="269"/>
      <c r="AO63" s="286" t="s">
        <v>1658</v>
      </c>
    </row>
    <row r="64" spans="1:41" ht="90" x14ac:dyDescent="0.25">
      <c r="A64" s="206" t="s">
        <v>214</v>
      </c>
      <c r="B64" s="206" t="s">
        <v>37</v>
      </c>
      <c r="C64" s="206" t="s">
        <v>39</v>
      </c>
      <c r="D64" s="306" t="str">
        <f>IF(Table23[[#This Row],[hideText]]=FALSE,HYPERLINK(INDEX('Verify Baseline Links'!$P$10:$P$132,MATCH(Table23[[#This Row],[DSorder]],'Verify Baseline Links'!$M$10:$M$132,0)),"DS"),"")</f>
        <v/>
      </c>
      <c r="E64" s="206" t="s">
        <v>2057</v>
      </c>
      <c r="F64" s="223"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4" s="206">
        <f>MATCH(Table23[[#This Row],[clean DS]],combinedMaturityTable[Dsm clean],0)</f>
        <v>79</v>
      </c>
      <c r="H64" s="223"/>
      <c r="I64" s="223" t="s">
        <v>1425</v>
      </c>
      <c r="J64" s="308" t="str">
        <f>HYPERLINK(Table23[[#This Row],[URL]],Table23[[#This Row],[Link to Reference]])</f>
        <v>MGT.WP.7.4</v>
      </c>
      <c r="K64" s="206" t="s">
        <v>1426</v>
      </c>
      <c r="X64" s="286" t="s">
        <v>1957</v>
      </c>
      <c r="Y64" s="302" t="str">
        <f>IFERROR(IF(SEARCH("WP",Table23[[#This Row],[Link to Reference]])&gt;0,"Work Program","Booklet"),"Booklet")</f>
        <v>Work Program</v>
      </c>
      <c r="Z64" s="286">
        <v>11</v>
      </c>
      <c r="AA64" s="302">
        <f>IF(Table23[[#This Row],[Type]]="Booklet",MATCH(LEFT(Table23[[#This Row],[Link to Reference]],FIND(".",Table23[[#This Row],[Link to Reference]])-1),bookletsInfo[Initial],0),MATCH(LEFT(Table23[[#This Row],[Link to Reference]],FIND(".",Table23[[#This Row],[Link to Reference]])-1),WPInfo[Initials],0))</f>
        <v>6</v>
      </c>
      <c r="AB6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https://watkinsconsulting.com/wp-content/uploads/2019/02/Management-IT-WorkProgram.pdf#Page=11</v>
      </c>
      <c r="AC64" s="286">
        <v>59</v>
      </c>
      <c r="AD64" s="286" t="str">
        <f>IF(G64=G63,IF(MOD(Table23[[#This Row],[order]],2)=1,"hideOdd","hideEven"),FALSE)</f>
        <v>hideOdd</v>
      </c>
      <c r="AE64" s="286">
        <f>IF(Table23[[#This Row],[hideText]]=FALSE,AE63+1,AE63)</f>
        <v>18</v>
      </c>
      <c r="AF64" s="269"/>
      <c r="AO64" s="286" t="s">
        <v>2063</v>
      </c>
    </row>
    <row r="65" spans="1:41" ht="45" x14ac:dyDescent="0.25">
      <c r="A65" s="206" t="s">
        <v>214</v>
      </c>
      <c r="B65" s="206" t="s">
        <v>37</v>
      </c>
      <c r="C65" s="206" t="s">
        <v>39</v>
      </c>
      <c r="D65" s="306" t="str">
        <f ca="1">IF(Table23[[#This Row],[hideText]]=FALSE,HYPERLINK(INDEX('Verify Baseline Links'!$P$10:$P$132,MATCH(Table23[[#This Row],[DSorder]],'Verify Baseline Links'!$M$10:$M$132,0)),"DS"),"")</f>
        <v>DS</v>
      </c>
      <c r="E65" s="206" t="s">
        <v>1427</v>
      </c>
      <c r="F65" s="223" t="str">
        <f>CLEAN(TRIM(SUBSTITUTE(LEFT(Table23[[#This Row],[Declarative Statement]],MIN(250,LEN(Table23[[#This Row],[Declarative Statement]]))),CHAR(160)," ")))</f>
        <v>The risk assessment identifies internet-based systems and high-risk transactions that warrant additional authentication controls.</v>
      </c>
      <c r="G65" s="206">
        <f>MATCH(Table23[[#This Row],[clean DS]],combinedMaturityTable[Dsm clean],0)</f>
        <v>80</v>
      </c>
      <c r="H65" s="223">
        <v>3</v>
      </c>
      <c r="I65" s="223" t="s">
        <v>1253</v>
      </c>
      <c r="J65" s="308" t="str">
        <f>HYPERLINK(Table23[[#This Row],[URL]],Table23[[#This Row],[Link to Reference]])</f>
        <v>IS.I.B:pg4</v>
      </c>
      <c r="K65" s="206" t="s">
        <v>1428</v>
      </c>
      <c r="L65" s="286" t="s">
        <v>1429</v>
      </c>
      <c r="M65" s="286" t="s">
        <v>1430</v>
      </c>
      <c r="N65" s="286" t="s">
        <v>1431</v>
      </c>
      <c r="O65" s="286" t="s">
        <v>1432</v>
      </c>
      <c r="P65" s="286" t="s">
        <v>1378</v>
      </c>
      <c r="Q65" s="286" t="s">
        <v>1378</v>
      </c>
      <c r="R65" s="286" t="s">
        <v>1378</v>
      </c>
      <c r="S65" s="286" t="s">
        <v>1378</v>
      </c>
      <c r="T65" s="286" t="s">
        <v>1378</v>
      </c>
      <c r="U65" s="286" t="s">
        <v>1378</v>
      </c>
      <c r="X65" s="286" t="s">
        <v>1186</v>
      </c>
      <c r="Y65" s="302" t="str">
        <f>IFERROR(IF(SEARCH("WP",Table23[[#This Row],[Link to Reference]])&gt;0,"Work Program","Booklet"),"Booklet")</f>
        <v>Booklet</v>
      </c>
      <c r="Z65" s="286" t="s">
        <v>1999</v>
      </c>
      <c r="AA65" s="302">
        <f>IF(Table23[[#This Row],[Type]]="Booklet",MATCH(LEFT(Table23[[#This Row],[Link to Reference]],FIND(".",Table23[[#This Row],[Link to Reference]])-1),bookletsInfo[Initial],0),MATCH(LEFT(Table23[[#This Row],[Link to Reference]],FIND(".",Table23[[#This Row],[Link to Reference]])-1),WPInfo[Initials],0))</f>
        <v>5</v>
      </c>
      <c r="AB6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65" s="286">
        <v>60</v>
      </c>
      <c r="AD65" s="286" t="b">
        <f>IF(G65=G64,IF(MOD(Table23[[#This Row],[order]],2)=1,"hideOdd","hideEven"),FALSE)</f>
        <v>0</v>
      </c>
      <c r="AE65" s="286">
        <f>IF(Table23[[#This Row],[hideText]]=FALSE,AE64+1,AE64)</f>
        <v>19</v>
      </c>
      <c r="AF65" s="269"/>
      <c r="AO65" s="286" t="s">
        <v>1664</v>
      </c>
    </row>
    <row r="66" spans="1:41" ht="60" x14ac:dyDescent="0.25">
      <c r="A66" s="206" t="s">
        <v>214</v>
      </c>
      <c r="B66" s="206" t="s">
        <v>37</v>
      </c>
      <c r="C66" s="206" t="s">
        <v>39</v>
      </c>
      <c r="D66" s="306" t="str">
        <f>IF(Table23[[#This Row],[hideText]]=FALSE,HYPERLINK(INDEX('Verify Baseline Links'!$P$10:$P$132,MATCH(Table23[[#This Row],[DSorder]],'Verify Baseline Links'!$M$10:$M$132,0)),"DS"),"")</f>
        <v/>
      </c>
      <c r="E66" s="206" t="s">
        <v>1427</v>
      </c>
      <c r="F66" s="223" t="str">
        <f>CLEAN(TRIM(SUBSTITUTE(LEFT(Table23[[#This Row],[Declarative Statement]],MIN(250,LEN(Table23[[#This Row],[Declarative Statement]]))),CHAR(160)," ")))</f>
        <v>The risk assessment identifies internet-based systems and high-risk transactions that warrant additional authentication controls.</v>
      </c>
      <c r="G66" s="206">
        <f>MATCH(Table23[[#This Row],[clean DS]],combinedMaturityTable[Dsm clean],0)</f>
        <v>80</v>
      </c>
      <c r="H66" s="223"/>
      <c r="I66" s="223" t="s">
        <v>1688</v>
      </c>
      <c r="J66" s="308" t="str">
        <f>HYPERLINK(Table23[[#This Row],[URL]],Table23[[#This Row],[Link to Reference]])</f>
        <v>IS.II.C.17:pg38</v>
      </c>
      <c r="K66" s="206" t="s">
        <v>1430</v>
      </c>
      <c r="X66" s="286" t="s">
        <v>1186</v>
      </c>
      <c r="Y66" s="302" t="str">
        <f>IFERROR(IF(SEARCH("WP",Table23[[#This Row],[Link to Reference]])&gt;0,"Work Program","Booklet"),"Booklet")</f>
        <v>Booklet</v>
      </c>
      <c r="Z66" s="286" t="s">
        <v>2015</v>
      </c>
      <c r="AA66" s="302">
        <f>IF(Table23[[#This Row],[Type]]="Booklet",MATCH(LEFT(Table23[[#This Row],[Link to Reference]],FIND(".",Table23[[#This Row],[Link to Reference]])-1),bookletsInfo[Initial],0),MATCH(LEFT(Table23[[#This Row],[Link to Reference]],FIND(".",Table23[[#This Row],[Link to Reference]])-1),WPInfo[Initials],0))</f>
        <v>5</v>
      </c>
      <c r="AB6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https://ithandbook.ffiec.gov/media/274793/ffiec_itbooklet_informationsecurity.pdf#Page=41</v>
      </c>
      <c r="AC66" s="286">
        <v>61</v>
      </c>
      <c r="AD66" s="286" t="str">
        <f>IF(G66=G65,IF(MOD(Table23[[#This Row],[order]],2)=1,"hideOdd","hideEven"),FALSE)</f>
        <v>hideOdd</v>
      </c>
      <c r="AE66" s="286">
        <f>IF(Table23[[#This Row],[hideText]]=FALSE,AE65+1,AE65)</f>
        <v>19</v>
      </c>
      <c r="AF66" s="269"/>
      <c r="AO66" s="286" t="s">
        <v>1669</v>
      </c>
    </row>
    <row r="67" spans="1:41" ht="45" x14ac:dyDescent="0.25">
      <c r="A67" s="206" t="s">
        <v>214</v>
      </c>
      <c r="B67" s="206" t="s">
        <v>37</v>
      </c>
      <c r="C67" s="206" t="s">
        <v>39</v>
      </c>
      <c r="D67" s="306" t="str">
        <f>IF(Table23[[#This Row],[hideText]]=FALSE,HYPERLINK(INDEX('Verify Baseline Links'!$P$10:$P$132,MATCH(Table23[[#This Row],[DSorder]],'Verify Baseline Links'!$M$10:$M$132,0)),"DS"),"")</f>
        <v/>
      </c>
      <c r="E67" s="206" t="s">
        <v>1427</v>
      </c>
      <c r="F67" s="223" t="str">
        <f>CLEAN(TRIM(SUBSTITUTE(LEFT(Table23[[#This Row],[Declarative Statement]],MIN(250,LEN(Table23[[#This Row],[Declarative Statement]]))),CHAR(160)," ")))</f>
        <v>The risk assessment identifies internet-based systems and high-risk transactions that warrant additional authentication controls.</v>
      </c>
      <c r="G67" s="206">
        <f>MATCH(Table23[[#This Row],[clean DS]],combinedMaturityTable[Dsm clean],0)</f>
        <v>80</v>
      </c>
      <c r="H67" s="223"/>
      <c r="I67" s="223" t="s">
        <v>1431</v>
      </c>
      <c r="J67" s="308" t="str">
        <f>HYPERLINK(Table23[[#This Row],[URL]],Table23[[#This Row],[Link to Reference]])</f>
        <v>IS.WP.6.27.g</v>
      </c>
      <c r="K67" s="206" t="s">
        <v>1432</v>
      </c>
      <c r="X67" s="286" t="s">
        <v>1186</v>
      </c>
      <c r="Y67" s="302" t="str">
        <f>IFERROR(IF(SEARCH("WP",Table23[[#This Row],[Link to Reference]])&gt;0,"Work Program","Booklet"),"Booklet")</f>
        <v>Work Program</v>
      </c>
      <c r="Z67" s="286">
        <v>14</v>
      </c>
      <c r="AA67" s="302">
        <f>IF(Table23[[#This Row],[Type]]="Booklet",MATCH(LEFT(Table23[[#This Row],[Link to Reference]],FIND(".",Table23[[#This Row],[Link to Reference]])-1),bookletsInfo[Initial],0),MATCH(LEFT(Table23[[#This Row],[Link to Reference]],FIND(".",Table23[[#This Row],[Link to Reference]])-1),WPInfo[Initials],0))</f>
        <v>5</v>
      </c>
      <c r="AB6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67" s="286">
        <v>62</v>
      </c>
      <c r="AD67" s="286" t="str">
        <f>IF(G67=G66,IF(MOD(Table23[[#This Row],[order]],2)=1,"hideOdd","hideEven"),FALSE)</f>
        <v>hideEven</v>
      </c>
      <c r="AE67" s="286">
        <f>IF(Table23[[#This Row],[hideText]]=FALSE,AE66+1,AE66)</f>
        <v>19</v>
      </c>
      <c r="AF67" s="269"/>
      <c r="AO67" s="286" t="s">
        <v>1671</v>
      </c>
    </row>
    <row r="68" spans="1:41" ht="45" x14ac:dyDescent="0.25">
      <c r="A68" s="206" t="s">
        <v>214</v>
      </c>
      <c r="B68" s="206" t="s">
        <v>37</v>
      </c>
      <c r="C68" s="206" t="s">
        <v>39</v>
      </c>
      <c r="D68" s="306" t="str">
        <f ca="1">IF(Table23[[#This Row],[hideText]]=FALSE,HYPERLINK(INDEX('Verify Baseline Links'!$P$10:$P$132,MATCH(Table23[[#This Row],[DSorder]],'Verify Baseline Links'!$M$10:$M$132,0)),"DS"),"")</f>
        <v>DS</v>
      </c>
      <c r="E68" s="206" t="s">
        <v>1433</v>
      </c>
      <c r="F68" s="223" t="str">
        <f>CLEAN(TRIM(SUBSTITUTE(LEFT(Table23[[#This Row],[Declarative Statement]],MIN(250,LEN(Table23[[#This Row],[Declarative Statement]]))),CHAR(160)," ")))</f>
        <v>The risk assessment is updated to address new technologies, products, services, and connections before deployment.</v>
      </c>
      <c r="G68" s="206">
        <f>MATCH(Table23[[#This Row],[clean DS]],combinedMaturityTable[Dsm clean],0)</f>
        <v>81</v>
      </c>
      <c r="H68" s="223">
        <v>3</v>
      </c>
      <c r="I68" s="223" t="s">
        <v>1434</v>
      </c>
      <c r="J68" s="308" t="str">
        <f>HYPERLINK(Table23[[#This Row],[URL]],Table23[[#This Row],[Link to Reference]])</f>
        <v>IS.II.A:pg7</v>
      </c>
      <c r="K68" s="206" t="s">
        <v>1435</v>
      </c>
      <c r="L68" s="286" t="s">
        <v>1436</v>
      </c>
      <c r="M68" s="286" t="s">
        <v>1437</v>
      </c>
      <c r="N68" s="286" t="s">
        <v>1438</v>
      </c>
      <c r="O68" s="286" t="s">
        <v>1439</v>
      </c>
      <c r="P68" s="286" t="s">
        <v>1378</v>
      </c>
      <c r="Q68" s="286" t="s">
        <v>1378</v>
      </c>
      <c r="R68" s="286" t="s">
        <v>1378</v>
      </c>
      <c r="S68" s="286" t="s">
        <v>1378</v>
      </c>
      <c r="T68" s="286" t="s">
        <v>1378</v>
      </c>
      <c r="U68" s="286" t="s">
        <v>1378</v>
      </c>
      <c r="X68" s="286" t="s">
        <v>1186</v>
      </c>
      <c r="Y68" s="302" t="str">
        <f>IFERROR(IF(SEARCH("WP",Table23[[#This Row],[Link to Reference]])&gt;0,"Work Program","Booklet"),"Booklet")</f>
        <v>Booklet</v>
      </c>
      <c r="Z68" s="286" t="s">
        <v>2016</v>
      </c>
      <c r="AA68" s="302">
        <f>IF(Table23[[#This Row],[Type]]="Booklet",MATCH(LEFT(Table23[[#This Row],[Link to Reference]],FIND(".",Table23[[#This Row],[Link to Reference]])-1),bookletsInfo[Initial],0),MATCH(LEFT(Table23[[#This Row],[Link to Reference]],FIND(".",Table23[[#This Row],[Link to Reference]])-1),WPInfo[Initials],0))</f>
        <v>5</v>
      </c>
      <c r="AB6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https://ithandbook.ffiec.gov/media/274793/ffiec_itbooklet_informationsecurity.pdf#Page=10</v>
      </c>
      <c r="AC68" s="286">
        <v>63</v>
      </c>
      <c r="AD68" s="286" t="b">
        <f>IF(G68=G67,IF(MOD(Table23[[#This Row],[order]],2)=1,"hideOdd","hideEven"),FALSE)</f>
        <v>0</v>
      </c>
      <c r="AE68" s="286">
        <f>IF(Table23[[#This Row],[hideText]]=FALSE,AE67+1,AE67)</f>
        <v>20</v>
      </c>
      <c r="AF68" s="269"/>
      <c r="AO68" s="286" t="s">
        <v>2064</v>
      </c>
    </row>
    <row r="69" spans="1:41" ht="45" x14ac:dyDescent="0.25">
      <c r="A69" s="206" t="s">
        <v>214</v>
      </c>
      <c r="B69" s="206" t="s">
        <v>37</v>
      </c>
      <c r="C69" s="206" t="s">
        <v>39</v>
      </c>
      <c r="D69" s="306" t="str">
        <f>IF(Table23[[#This Row],[hideText]]=FALSE,HYPERLINK(INDEX('Verify Baseline Links'!$P$10:$P$132,MATCH(Table23[[#This Row],[DSorder]],'Verify Baseline Links'!$M$10:$M$132,0)),"DS"),"")</f>
        <v/>
      </c>
      <c r="E69" s="206" t="s">
        <v>1433</v>
      </c>
      <c r="F69" s="223" t="str">
        <f>CLEAN(TRIM(SUBSTITUTE(LEFT(Table23[[#This Row],[Declarative Statement]],MIN(250,LEN(Table23[[#This Row],[Declarative Statement]]))),CHAR(160)," ")))</f>
        <v>The risk assessment is updated to address new technologies, products, services, and connections before deployment.</v>
      </c>
      <c r="G69" s="206">
        <f>MATCH(Table23[[#This Row],[clean DS]],combinedMaturityTable[Dsm clean],0)</f>
        <v>81</v>
      </c>
      <c r="H69" s="223"/>
      <c r="I69" s="223" t="s">
        <v>1436</v>
      </c>
      <c r="J69" s="308" t="str">
        <f>HYPERLINK(Table23[[#This Row],[URL]],Table23[[#This Row],[Link to Reference]])</f>
        <v>IS.II.C:pg11</v>
      </c>
      <c r="K69" s="206" t="s">
        <v>1437</v>
      </c>
      <c r="X69" s="286" t="s">
        <v>1186</v>
      </c>
      <c r="Y69" s="302" t="str">
        <f>IFERROR(IF(SEARCH("WP",Table23[[#This Row],[Link to Reference]])&gt;0,"Work Program","Booklet"),"Booklet")</f>
        <v>Booklet</v>
      </c>
      <c r="Z69" s="286" t="s">
        <v>2017</v>
      </c>
      <c r="AA69" s="302">
        <f>IF(Table23[[#This Row],[Type]]="Booklet",MATCH(LEFT(Table23[[#This Row],[Link to Reference]],FIND(".",Table23[[#This Row],[Link to Reference]])-1),bookletsInfo[Initial],0),MATCH(LEFT(Table23[[#This Row],[Link to Reference]],FIND(".",Table23[[#This Row],[Link to Reference]])-1),WPInfo[Initials],0))</f>
        <v>5</v>
      </c>
      <c r="AB6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69" s="286">
        <v>64</v>
      </c>
      <c r="AD69" s="286" t="str">
        <f>IF(G69=G68,IF(MOD(Table23[[#This Row],[order]],2)=1,"hideOdd","hideEven"),FALSE)</f>
        <v>hideEven</v>
      </c>
      <c r="AE69" s="286">
        <f>IF(Table23[[#This Row],[hideText]]=FALSE,AE68+1,AE68)</f>
        <v>20</v>
      </c>
      <c r="AF69" s="269"/>
      <c r="AO69" s="286" t="s">
        <v>1681</v>
      </c>
    </row>
    <row r="70" spans="1:41" ht="45" x14ac:dyDescent="0.25">
      <c r="A70" s="206" t="s">
        <v>214</v>
      </c>
      <c r="B70" s="206" t="s">
        <v>37</v>
      </c>
      <c r="C70" s="206" t="s">
        <v>39</v>
      </c>
      <c r="D70" s="306" t="str">
        <f>IF(Table23[[#This Row],[hideText]]=FALSE,HYPERLINK(INDEX('Verify Baseline Links'!$P$10:$P$132,MATCH(Table23[[#This Row],[DSorder]],'Verify Baseline Links'!$M$10:$M$132,0)),"DS"),"")</f>
        <v/>
      </c>
      <c r="E70" s="206" t="s">
        <v>1433</v>
      </c>
      <c r="F70" s="223" t="str">
        <f>CLEAN(TRIM(SUBSTITUTE(LEFT(Table23[[#This Row],[Declarative Statement]],MIN(250,LEN(Table23[[#This Row],[Declarative Statement]]))),CHAR(160)," ")))</f>
        <v>The risk assessment is updated to address new technologies, products, services, and connections before deployment.</v>
      </c>
      <c r="G70" s="206">
        <f>MATCH(Table23[[#This Row],[clean DS]],combinedMaturityTable[Dsm clean],0)</f>
        <v>81</v>
      </c>
      <c r="H70" s="223"/>
      <c r="I70" s="223" t="s">
        <v>1438</v>
      </c>
      <c r="J70" s="308" t="str">
        <f>HYPERLINK(Table23[[#This Row],[URL]],Table23[[#This Row],[Link to Reference]])</f>
        <v>IS.WP.8.3.d</v>
      </c>
      <c r="K70" s="206" t="s">
        <v>1439</v>
      </c>
      <c r="X70" s="286" t="s">
        <v>1186</v>
      </c>
      <c r="Y70" s="302" t="str">
        <f>IFERROR(IF(SEARCH("WP",Table23[[#This Row],[Link to Reference]])&gt;0,"Work Program","Booklet"),"Booklet")</f>
        <v>Work Program</v>
      </c>
      <c r="Z70" s="286">
        <v>19</v>
      </c>
      <c r="AA70" s="302">
        <f>IF(Table23[[#This Row],[Type]]="Booklet",MATCH(LEFT(Table23[[#This Row],[Link to Reference]],FIND(".",Table23[[#This Row],[Link to Reference]])-1),bookletsInfo[Initial],0),MATCH(LEFT(Table23[[#This Row],[Link to Reference]],FIND(".",Table23[[#This Row],[Link to Reference]])-1),WPInfo[Initials],0))</f>
        <v>5</v>
      </c>
      <c r="AB7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70" s="286">
        <v>65</v>
      </c>
      <c r="AD70" s="286" t="str">
        <f>IF(G70=G69,IF(MOD(Table23[[#This Row],[order]],2)=1,"hideOdd","hideEven"),FALSE)</f>
        <v>hideOdd</v>
      </c>
      <c r="AE70" s="286">
        <f>IF(Table23[[#This Row],[hideText]]=FALSE,AE69+1,AE69)</f>
        <v>20</v>
      </c>
      <c r="AF70" s="269"/>
      <c r="AO70" s="286" t="s">
        <v>1687</v>
      </c>
    </row>
    <row r="71" spans="1:41" ht="60" x14ac:dyDescent="0.25">
      <c r="A71" s="206" t="s">
        <v>214</v>
      </c>
      <c r="B71" s="206" t="s">
        <v>37</v>
      </c>
      <c r="C71" s="206" t="s">
        <v>40</v>
      </c>
      <c r="D71" s="306" t="str">
        <f ca="1">IF(Table23[[#This Row],[hideText]]=FALSE,HYPERLINK(INDEX('Verify Baseline Links'!$P$10:$P$132,MATCH(Table23[[#This Row],[DSorder]],'Verify Baseline Links'!$M$10:$M$132,0)),"DS"),"")</f>
        <v>DS</v>
      </c>
      <c r="E71" s="206" t="s">
        <v>1440</v>
      </c>
      <c r="F71" s="223"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1" s="206">
        <f>MATCH(Table23[[#This Row],[clean DS]],combinedMaturityTable[Dsm clean],0)</f>
        <v>90</v>
      </c>
      <c r="H71" s="223">
        <v>4</v>
      </c>
      <c r="I71" s="223" t="s">
        <v>1441</v>
      </c>
      <c r="J71" s="308" t="str">
        <f>HYPERLINK(Table23[[#This Row],[URL]],Table23[[#This Row],[Link to Reference]])</f>
        <v>AUD.B.4</v>
      </c>
      <c r="K71" s="206" t="s">
        <v>1442</v>
      </c>
      <c r="L71" s="286" t="s">
        <v>1443</v>
      </c>
      <c r="M71" s="286" t="s">
        <v>1444</v>
      </c>
      <c r="N71" s="286" t="s">
        <v>1445</v>
      </c>
      <c r="O71" s="286" t="s">
        <v>1446</v>
      </c>
      <c r="P71" s="286" t="s">
        <v>1447</v>
      </c>
      <c r="Q71" s="286" t="s">
        <v>1448</v>
      </c>
      <c r="R71" s="286" t="s">
        <v>1378</v>
      </c>
      <c r="S71" s="286" t="s">
        <v>1378</v>
      </c>
      <c r="T71" s="286" t="s">
        <v>1378</v>
      </c>
      <c r="U71" s="286" t="s">
        <v>1378</v>
      </c>
      <c r="X71" s="286" t="s">
        <v>40</v>
      </c>
      <c r="Y71" s="302" t="str">
        <f>IFERROR(IF(SEARCH("WP",Table23[[#This Row],[Link to Reference]])&gt;0,"Work Program","Booklet"),"Booklet")</f>
        <v>Booklet</v>
      </c>
      <c r="Z71" s="286">
        <v>4</v>
      </c>
      <c r="AA71" s="302">
        <f>IF(Table23[[#This Row],[Type]]="Booklet",MATCH(LEFT(Table23[[#This Row],[Link to Reference]],FIND(".",Table23[[#This Row],[Link to Reference]])-1),bookletsInfo[Initial],0),MATCH(LEFT(Table23[[#This Row],[Link to Reference]],FIND(".",Table23[[#This Row],[Link to Reference]])-1),WPInfo[Initials],0))</f>
        <v>1</v>
      </c>
      <c r="AB7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https://ithandbook.ffiec.gov/media/274709/ffiec_itbooklet_audit.pdf#Page=6</v>
      </c>
      <c r="AC71" s="286">
        <v>66</v>
      </c>
      <c r="AD71" s="286" t="b">
        <f>IF(G71=G70,IF(MOD(Table23[[#This Row],[order]],2)=1,"hideOdd","hideEven"),FALSE)</f>
        <v>0</v>
      </c>
      <c r="AE71" s="286">
        <f>IF(Table23[[#This Row],[hideText]]=FALSE,AE70+1,AE70)</f>
        <v>21</v>
      </c>
      <c r="AF71" s="269"/>
      <c r="AO71" s="286" t="s">
        <v>2065</v>
      </c>
    </row>
    <row r="72" spans="1:41" ht="75" x14ac:dyDescent="0.25">
      <c r="A72" s="206" t="s">
        <v>214</v>
      </c>
      <c r="B72" s="206" t="s">
        <v>37</v>
      </c>
      <c r="C72" s="206" t="s">
        <v>40</v>
      </c>
      <c r="D72" s="306" t="str">
        <f>IF(Table23[[#This Row],[hideText]]=FALSE,HYPERLINK(INDEX('Verify Baseline Links'!$P$10:$P$132,MATCH(Table23[[#This Row],[DSorder]],'Verify Baseline Links'!$M$10:$M$132,0)),"DS"),"")</f>
        <v/>
      </c>
      <c r="E72" s="206" t="s">
        <v>1440</v>
      </c>
      <c r="F72" s="223"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2" s="206">
        <f>MATCH(Table23[[#This Row],[clean DS]],combinedMaturityTable[Dsm clean],0)</f>
        <v>90</v>
      </c>
      <c r="H72" s="223"/>
      <c r="I72" s="223" t="s">
        <v>1443</v>
      </c>
      <c r="J72" s="308" t="str">
        <f>HYPERLINK(Table23[[#This Row],[URL]],Table23[[#This Row],[Link to Reference]])</f>
        <v>IS.IV.A.2(d):pg56</v>
      </c>
      <c r="K72" s="206" t="s">
        <v>1444</v>
      </c>
      <c r="X72" s="286" t="s">
        <v>1186</v>
      </c>
      <c r="Y72" s="302" t="str">
        <f>IFERROR(IF(SEARCH("WP",Table23[[#This Row],[Link to Reference]])&gt;0,"Work Program","Booklet"),"Booklet")</f>
        <v>Booklet</v>
      </c>
      <c r="Z72" s="286" t="s">
        <v>2018</v>
      </c>
      <c r="AA72" s="302">
        <f>IF(Table23[[#This Row],[Type]]="Booklet",MATCH(LEFT(Table23[[#This Row],[Link to Reference]],FIND(".",Table23[[#This Row],[Link to Reference]])-1),bookletsInfo[Initial],0),MATCH(LEFT(Table23[[#This Row],[Link to Reference]],FIND(".",Table23[[#This Row],[Link to Reference]])-1),WPInfo[Initials],0))</f>
        <v>5</v>
      </c>
      <c r="AB7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https://ithandbook.ffiec.gov/media/274793/ffiec_itbooklet_informationsecurity.pdf#Page=59</v>
      </c>
      <c r="AC72" s="286">
        <v>67</v>
      </c>
      <c r="AD72" s="286" t="str">
        <f>IF(G72=G71,IF(MOD(Table23[[#This Row],[order]],2)=1,"hideOdd","hideEven"),FALSE)</f>
        <v>hideOdd</v>
      </c>
      <c r="AE72" s="286">
        <f>IF(Table23[[#This Row],[hideText]]=FALSE,AE71+1,AE71)</f>
        <v>21</v>
      </c>
      <c r="AF72" s="269"/>
      <c r="AO72" s="286" t="s">
        <v>1701</v>
      </c>
    </row>
    <row r="73" spans="1:41" ht="60" x14ac:dyDescent="0.25">
      <c r="A73" s="206" t="s">
        <v>214</v>
      </c>
      <c r="B73" s="206" t="s">
        <v>37</v>
      </c>
      <c r="C73" s="206" t="s">
        <v>40</v>
      </c>
      <c r="D73" s="306" t="str">
        <f>IF(Table23[[#This Row],[hideText]]=FALSE,HYPERLINK(INDEX('Verify Baseline Links'!$P$10:$P$132,MATCH(Table23[[#This Row],[DSorder]],'Verify Baseline Links'!$M$10:$M$132,0)),"DS"),"")</f>
        <v/>
      </c>
      <c r="E73" s="206" t="s">
        <v>1440</v>
      </c>
      <c r="F73" s="223"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3" s="206">
        <f>MATCH(Table23[[#This Row],[clean DS]],combinedMaturityTable[Dsm clean],0)</f>
        <v>90</v>
      </c>
      <c r="H73" s="223"/>
      <c r="I73" s="223" t="s">
        <v>1445</v>
      </c>
      <c r="J73" s="308" t="str">
        <f>HYPERLINK(Table23[[#This Row],[URL]],Table23[[#This Row],[Link to Reference]])</f>
        <v>MGT.I.B.7(b)pg19</v>
      </c>
      <c r="K73" s="206" t="s">
        <v>1446</v>
      </c>
      <c r="X73" s="286" t="s">
        <v>1957</v>
      </c>
      <c r="Y73" s="302" t="str">
        <f>IFERROR(IF(SEARCH("WP",Table23[[#This Row],[Link to Reference]])&gt;0,"Work Program","Booklet"),"Booklet")</f>
        <v>Booklet</v>
      </c>
      <c r="Z73" s="286" t="s">
        <v>2019</v>
      </c>
      <c r="AA73" s="302">
        <f>IF(Table23[[#This Row],[Type]]="Booklet",MATCH(LEFT(Table23[[#This Row],[Link to Reference]],FIND(".",Table23[[#This Row],[Link to Reference]])-1),bookletsInfo[Initial],0),MATCH(LEFT(Table23[[#This Row],[Link to Reference]],FIND(".",Table23[[#This Row],[Link to Reference]])-1),WPInfo[Initials],0))</f>
        <v>6</v>
      </c>
      <c r="AB7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https://ithandbook.ffiec.gov/media/274809/ffiec_itbooklet_management.pdf#Page=20</v>
      </c>
      <c r="AC73" s="286">
        <v>68</v>
      </c>
      <c r="AD73" s="286" t="str">
        <f>IF(G73=G72,IF(MOD(Table23[[#This Row],[order]],2)=1,"hideOdd","hideEven"),FALSE)</f>
        <v>hideEven</v>
      </c>
      <c r="AE73" s="286">
        <f>IF(Table23[[#This Row],[hideText]]=FALSE,AE72+1,AE72)</f>
        <v>21</v>
      </c>
      <c r="AF73" s="269"/>
      <c r="AO73" s="286" t="s">
        <v>1711</v>
      </c>
    </row>
    <row r="74" spans="1:41" ht="60" x14ac:dyDescent="0.25">
      <c r="A74" s="206" t="s">
        <v>214</v>
      </c>
      <c r="B74" s="206" t="s">
        <v>37</v>
      </c>
      <c r="C74" s="206" t="s">
        <v>40</v>
      </c>
      <c r="D74" s="306" t="str">
        <f>IF(Table23[[#This Row],[hideText]]=FALSE,HYPERLINK(INDEX('Verify Baseline Links'!$P$10:$P$132,MATCH(Table23[[#This Row],[DSorder]],'Verify Baseline Links'!$M$10:$M$132,0)),"DS"),"")</f>
        <v/>
      </c>
      <c r="E74" s="206" t="s">
        <v>1440</v>
      </c>
      <c r="F74" s="223"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4" s="206">
        <f>MATCH(Table23[[#This Row],[clean DS]],combinedMaturityTable[Dsm clean],0)</f>
        <v>90</v>
      </c>
      <c r="H74" s="223"/>
      <c r="I74" s="223" t="s">
        <v>1447</v>
      </c>
      <c r="J74" s="308" t="str">
        <f>HYPERLINK(Table23[[#This Row],[URL]],Table23[[#This Row],[Link to Reference]])</f>
        <v>MGT.WP.6.3</v>
      </c>
      <c r="K74" s="206" t="s">
        <v>1448</v>
      </c>
      <c r="X74" s="286" t="s">
        <v>1957</v>
      </c>
      <c r="Y74" s="302" t="str">
        <f>IFERROR(IF(SEARCH("WP",Table23[[#This Row],[Link to Reference]])&gt;0,"Work Program","Booklet"),"Booklet")</f>
        <v>Work Program</v>
      </c>
      <c r="Z74" s="286">
        <v>10</v>
      </c>
      <c r="AA74" s="302">
        <f>IF(Table23[[#This Row],[Type]]="Booklet",MATCH(LEFT(Table23[[#This Row],[Link to Reference]],FIND(".",Table23[[#This Row],[Link to Reference]])-1),bookletsInfo[Initial],0),MATCH(LEFT(Table23[[#This Row],[Link to Reference]],FIND(".",Table23[[#This Row],[Link to Reference]])-1),WPInfo[Initials],0))</f>
        <v>6</v>
      </c>
      <c r="AB7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https://watkinsconsulting.com/wp-content/uploads/2019/02/Management-IT-WorkProgram.pdf#Page=10</v>
      </c>
      <c r="AC74" s="286">
        <v>69</v>
      </c>
      <c r="AD74" s="286" t="str">
        <f>IF(G74=G73,IF(MOD(Table23[[#This Row],[order]],2)=1,"hideOdd","hideEven"),FALSE)</f>
        <v>hideOdd</v>
      </c>
      <c r="AE74" s="286">
        <f>IF(Table23[[#This Row],[hideText]]=FALSE,AE73+1,AE73)</f>
        <v>21</v>
      </c>
      <c r="AF74" s="269"/>
      <c r="AO74" s="286" t="s">
        <v>1716</v>
      </c>
    </row>
    <row r="75" spans="1:41" ht="45" x14ac:dyDescent="0.25">
      <c r="A75" s="206" t="s">
        <v>214</v>
      </c>
      <c r="B75" s="206" t="s">
        <v>37</v>
      </c>
      <c r="C75" s="206" t="s">
        <v>40</v>
      </c>
      <c r="D75" s="306" t="str">
        <f ca="1">IF(Table23[[#This Row],[hideText]]=FALSE,HYPERLINK(INDEX('Verify Baseline Links'!$P$10:$P$132,MATCH(Table23[[#This Row],[DSorder]],'Verify Baseline Links'!$M$10:$M$132,0)),"DS"),"")</f>
        <v>DS</v>
      </c>
      <c r="E75" s="206" t="s">
        <v>1449</v>
      </c>
      <c r="F75" s="223" t="str">
        <f>CLEAN(TRIM(SUBSTITUTE(LEFT(Table23[[#This Row],[Declarative Statement]],MIN(250,LEN(Table23[[#This Row],[Declarative Statement]]))),CHAR(160)," ")))</f>
        <v>The independent audit function validates controls related to the storage or transmission of confidential data.</v>
      </c>
      <c r="G75" s="206">
        <f>MATCH(Table23[[#This Row],[clean DS]],combinedMaturityTable[Dsm clean],0)</f>
        <v>91</v>
      </c>
      <c r="H75" s="223">
        <v>1</v>
      </c>
      <c r="I75" s="223" t="s">
        <v>1450</v>
      </c>
      <c r="J75" s="308" t="str">
        <f>HYPERLINK(Table23[[#This Row],[URL]],Table23[[#This Row],[Link to Reference]])</f>
        <v>AUD.B.1</v>
      </c>
      <c r="K75" s="206" t="s">
        <v>1451</v>
      </c>
      <c r="L75" s="286" t="s">
        <v>1378</v>
      </c>
      <c r="M75" s="286" t="s">
        <v>1378</v>
      </c>
      <c r="N75" s="286" t="s">
        <v>1378</v>
      </c>
      <c r="O75" s="286" t="s">
        <v>1378</v>
      </c>
      <c r="P75" s="286" t="s">
        <v>1378</v>
      </c>
      <c r="Q75" s="286" t="s">
        <v>1378</v>
      </c>
      <c r="R75" s="286" t="s">
        <v>1378</v>
      </c>
      <c r="S75" s="286" t="s">
        <v>1378</v>
      </c>
      <c r="T75" s="286" t="s">
        <v>1378</v>
      </c>
      <c r="U75" s="286" t="s">
        <v>1378</v>
      </c>
      <c r="X75" s="286" t="s">
        <v>40</v>
      </c>
      <c r="Y75" s="302" t="str">
        <f>IFERROR(IF(SEARCH("WP",Table23[[#This Row],[Link to Reference]])&gt;0,"Work Program","Booklet"),"Booklet")</f>
        <v>Booklet</v>
      </c>
      <c r="Z75" s="286">
        <v>1</v>
      </c>
      <c r="AA75" s="302">
        <f>IF(Table23[[#This Row],[Type]]="Booklet",MATCH(LEFT(Table23[[#This Row],[Link to Reference]],FIND(".",Table23[[#This Row],[Link to Reference]])-1),bookletsInfo[Initial],0),MATCH(LEFT(Table23[[#This Row],[Link to Reference]],FIND(".",Table23[[#This Row],[Link to Reference]])-1),WPInfo[Initials],0))</f>
        <v>1</v>
      </c>
      <c r="AB7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https://ithandbook.ffiec.gov/media/274709/ffiec_itbooklet_audit.pdf#Page=3</v>
      </c>
      <c r="AC75" s="286">
        <v>70</v>
      </c>
      <c r="AD75" s="286" t="b">
        <f>IF(G75=G74,IF(MOD(Table23[[#This Row],[order]],2)=1,"hideOdd","hideEven"),FALSE)</f>
        <v>0</v>
      </c>
      <c r="AE75" s="286">
        <f>IF(Table23[[#This Row],[hideText]]=FALSE,AE74+1,AE74)</f>
        <v>22</v>
      </c>
      <c r="AF75" s="269"/>
      <c r="AO75" s="286" t="s">
        <v>2066</v>
      </c>
    </row>
    <row r="76" spans="1:41" ht="45" x14ac:dyDescent="0.25">
      <c r="A76" s="206" t="s">
        <v>214</v>
      </c>
      <c r="B76" s="206" t="s">
        <v>37</v>
      </c>
      <c r="C76" s="206" t="s">
        <v>40</v>
      </c>
      <c r="D76" s="306" t="str">
        <f ca="1">IF(Table23[[#This Row],[hideText]]=FALSE,HYPERLINK(INDEX('Verify Baseline Links'!$P$10:$P$132,MATCH(Table23[[#This Row],[DSorder]],'Verify Baseline Links'!$M$10:$M$132,0)),"DS"),"")</f>
        <v>DS</v>
      </c>
      <c r="E76" s="206" t="s">
        <v>1452</v>
      </c>
      <c r="F76" s="223" t="str">
        <f>CLEAN(TRIM(SUBSTITUTE(LEFT(Table23[[#This Row],[Declarative Statement]],MIN(250,LEN(Table23[[#This Row],[Declarative Statement]]))),CHAR(160)," ")))</f>
        <v>Logging practices are independently reviewed periodically to ensure appropriate log management (e.g., access controls, retention, and maintenance).</v>
      </c>
      <c r="G76" s="206">
        <f>MATCH(Table23[[#This Row],[clean DS]],combinedMaturityTable[Dsm clean],0)</f>
        <v>92</v>
      </c>
      <c r="H76" s="223"/>
      <c r="I76" s="223" t="s">
        <v>1455</v>
      </c>
      <c r="J76" s="308" t="str">
        <f>HYPERLINK(Table23[[#This Row],[URL]],Table23[[#This Row],[Link to Reference]])</f>
        <v>IS.II.C.22:pg43</v>
      </c>
      <c r="K76" s="206" t="s">
        <v>1456</v>
      </c>
      <c r="X76" s="286" t="s">
        <v>1186</v>
      </c>
      <c r="Y76" s="302" t="str">
        <f>IFERROR(IF(SEARCH("WP",Table23[[#This Row],[Link to Reference]])&gt;0,"Work Program","Booklet"),"Booklet")</f>
        <v>Booklet</v>
      </c>
      <c r="Z76" s="286" t="s">
        <v>2011</v>
      </c>
      <c r="AA76" s="302">
        <f>IF(Table23[[#This Row],[Type]]="Booklet",MATCH(LEFT(Table23[[#This Row],[Link to Reference]],FIND(".",Table23[[#This Row],[Link to Reference]])-1),bookletsInfo[Initial],0),MATCH(LEFT(Table23[[#This Row],[Link to Reference]],FIND(".",Table23[[#This Row],[Link to Reference]])-1),WPInfo[Initials],0))</f>
        <v>5</v>
      </c>
      <c r="AB7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76" s="286">
        <v>72</v>
      </c>
      <c r="AD76" s="286" t="b">
        <f>IF(G76=G75,IF(MOD(Table23[[#This Row],[order]],2)=1,"hideOdd","hideEven"),FALSE)</f>
        <v>0</v>
      </c>
      <c r="AE76" s="286">
        <f>IF(Table23[[#This Row],[hideText]]=FALSE,AE75+1,AE75)</f>
        <v>23</v>
      </c>
      <c r="AF76" s="269"/>
      <c r="AO76" s="286" t="s">
        <v>1725</v>
      </c>
    </row>
    <row r="77" spans="1:41" ht="45" x14ac:dyDescent="0.25">
      <c r="A77" s="206" t="s">
        <v>214</v>
      </c>
      <c r="B77" s="206" t="s">
        <v>37</v>
      </c>
      <c r="C77" s="206" t="s">
        <v>40</v>
      </c>
      <c r="D77" s="306" t="str">
        <f>IF(Table23[[#This Row],[hideText]]=FALSE,HYPERLINK(INDEX('Verify Baseline Links'!$P$10:$P$132,MATCH(Table23[[#This Row],[DSorder]],'Verify Baseline Links'!$M$10:$M$132,0)),"DS"),"")</f>
        <v/>
      </c>
      <c r="E77" s="206" t="s">
        <v>1452</v>
      </c>
      <c r="F77" s="223" t="str">
        <f>CLEAN(TRIM(SUBSTITUTE(LEFT(Table23[[#This Row],[Declarative Statement]],MIN(250,LEN(Table23[[#This Row],[Declarative Statement]]))),CHAR(160)," ")))</f>
        <v>Logging practices are independently reviewed periodically to ensure appropriate log management (e.g., access controls, retention, and maintenance).</v>
      </c>
      <c r="G77" s="206">
        <f>MATCH(Table23[[#This Row],[clean DS]],combinedMaturityTable[Dsm clean],0)</f>
        <v>92</v>
      </c>
      <c r="H77" s="223"/>
      <c r="I77" s="223" t="s">
        <v>1457</v>
      </c>
      <c r="J77" s="308" t="str">
        <f>HYPERLINK(Table23[[#This Row],[URL]],Table23[[#This Row],[Link to Reference]])</f>
        <v>IS.WP.6.35(c)</v>
      </c>
      <c r="K77" s="206" t="s">
        <v>1458</v>
      </c>
      <c r="X77" s="286" t="s">
        <v>1186</v>
      </c>
      <c r="Y77" s="302" t="str">
        <f>IFERROR(IF(SEARCH("WP",Table23[[#This Row],[Link to Reference]])&gt;0,"Work Program","Booklet"),"Booklet")</f>
        <v>Work Program</v>
      </c>
      <c r="Z77" s="286">
        <v>17</v>
      </c>
      <c r="AA77" s="302">
        <f>IF(Table23[[#This Row],[Type]]="Booklet",MATCH(LEFT(Table23[[#This Row],[Link to Reference]],FIND(".",Table23[[#This Row],[Link to Reference]])-1),bookletsInfo[Initial],0),MATCH(LEFT(Table23[[#This Row],[Link to Reference]],FIND(".",Table23[[#This Row],[Link to Reference]])-1),WPInfo[Initials],0))</f>
        <v>5</v>
      </c>
      <c r="AB7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https://watkinsconsulting.com/wp-content/uploads/2019/02/Information-Security-IT-WorkProgram.pdf#Page=17</v>
      </c>
      <c r="AC77" s="286">
        <v>73</v>
      </c>
      <c r="AD77" s="286" t="str">
        <f>IF(G77=G76,IF(MOD(Table23[[#This Row],[order]],2)=1,"hideOdd","hideEven"),FALSE)</f>
        <v>hideOdd</v>
      </c>
      <c r="AE77" s="286">
        <f>IF(Table23[[#This Row],[hideText]]=FALSE,AE76+1,AE76)</f>
        <v>23</v>
      </c>
      <c r="AF77" s="269"/>
      <c r="AO77" s="286" t="s">
        <v>1727</v>
      </c>
    </row>
    <row r="78" spans="1:41" ht="45" x14ac:dyDescent="0.25">
      <c r="A78" s="206" t="s">
        <v>214</v>
      </c>
      <c r="B78" s="206" t="s">
        <v>37</v>
      </c>
      <c r="C78" s="206" t="s">
        <v>40</v>
      </c>
      <c r="D78" s="306" t="str">
        <f>IF(Table23[[#This Row],[hideText]]=FALSE,HYPERLINK(INDEX('Verify Baseline Links'!$P$10:$P$132,MATCH(Table23[[#This Row],[DSorder]],'Verify Baseline Links'!$M$10:$M$132,0)),"DS"),"")</f>
        <v/>
      </c>
      <c r="E78" s="206" t="s">
        <v>1452</v>
      </c>
      <c r="F78" s="223" t="str">
        <f>CLEAN(TRIM(SUBSTITUTE(LEFT(Table23[[#This Row],[Declarative Statement]],MIN(250,LEN(Table23[[#This Row],[Declarative Statement]]))),CHAR(160)," ")))</f>
        <v>Logging practices are independently reviewed periodically to ensure appropriate log management (e.g., access controls, retention, and maintenance).</v>
      </c>
      <c r="G78" s="206">
        <f>MATCH(Table23[[#This Row],[clean DS]],combinedMaturityTable[Dsm clean],0)</f>
        <v>92</v>
      </c>
      <c r="H78" s="223">
        <v>3</v>
      </c>
      <c r="I78" s="223" t="s">
        <v>1453</v>
      </c>
      <c r="J78" s="308" t="str">
        <f>HYPERLINK(Table23[[#This Row],[URL]],Table23[[#This Row],[Link to Reference]])</f>
        <v>OPS.B.29</v>
      </c>
      <c r="K78" s="206" t="s">
        <v>1454</v>
      </c>
      <c r="L78" s="286" t="s">
        <v>1455</v>
      </c>
      <c r="M78" s="286" t="s">
        <v>1456</v>
      </c>
      <c r="N78" s="286" t="s">
        <v>1457</v>
      </c>
      <c r="O78" s="286" t="s">
        <v>1458</v>
      </c>
      <c r="P78" s="286" t="s">
        <v>1378</v>
      </c>
      <c r="Q78" s="286" t="s">
        <v>1378</v>
      </c>
      <c r="R78" s="286" t="s">
        <v>1378</v>
      </c>
      <c r="S78" s="286" t="s">
        <v>1378</v>
      </c>
      <c r="T78" s="286" t="s">
        <v>1378</v>
      </c>
      <c r="U78" s="286" t="s">
        <v>1378</v>
      </c>
      <c r="X78" s="286" t="s">
        <v>1959</v>
      </c>
      <c r="Y78" s="302" t="str">
        <f>IFERROR(IF(SEARCH("WP",Table23[[#This Row],[Link to Reference]])&gt;0,"Work Program","Booklet"),"Booklet")</f>
        <v>Booklet</v>
      </c>
      <c r="Z78" s="286">
        <v>29</v>
      </c>
      <c r="AA78" s="302">
        <f>IF(Table23[[#This Row],[Type]]="Booklet",MATCH(LEFT(Table23[[#This Row],[Link to Reference]],FIND(".",Table23[[#This Row],[Link to Reference]])-1),bookletsInfo[Initial],0),MATCH(LEFT(Table23[[#This Row],[Link to Reference]],FIND(".",Table23[[#This Row],[Link to Reference]])-1),WPInfo[Initials],0))</f>
        <v>7</v>
      </c>
      <c r="AB7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https://ithandbook.ffiec.gov/media/274825/ffiec_itbooklet_operations.pdf#Page=32</v>
      </c>
      <c r="AC78" s="286">
        <v>71</v>
      </c>
      <c r="AD78" s="286" t="str">
        <f>IF(G78=G77,IF(MOD(Table23[[#This Row],[order]],2)=1,"hideOdd","hideEven"),FALSE)</f>
        <v>hideOdd</v>
      </c>
      <c r="AE78" s="286">
        <f>IF(Table23[[#This Row],[hideText]]=FALSE,AE77+1,AE77)</f>
        <v>23</v>
      </c>
      <c r="AF78" s="269"/>
      <c r="AO78" s="286" t="s">
        <v>1728</v>
      </c>
    </row>
    <row r="79" spans="1:41" ht="45" x14ac:dyDescent="0.25">
      <c r="A79" s="206" t="s">
        <v>214</v>
      </c>
      <c r="B79" s="206" t="s">
        <v>37</v>
      </c>
      <c r="C79" s="206" t="s">
        <v>40</v>
      </c>
      <c r="D79" s="306" t="str">
        <f ca="1">IF(Table23[[#This Row],[hideText]]=FALSE,HYPERLINK(INDEX('Verify Baseline Links'!$P$10:$P$132,MATCH(Table23[[#This Row],[DSorder]],'Verify Baseline Links'!$M$10:$M$132,0)),"DS"),"")</f>
        <v>DS</v>
      </c>
      <c r="E79" s="206" t="s">
        <v>1459</v>
      </c>
      <c r="F79" s="223"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79" s="206">
        <f>MATCH(Table23[[#This Row],[clean DS]],combinedMaturityTable[Dsm clean],0)</f>
        <v>93</v>
      </c>
      <c r="H79" s="223"/>
      <c r="I79" s="223" t="s">
        <v>1463</v>
      </c>
      <c r="J79" s="308" t="str">
        <f>HYPERLINK(Table23[[#This Row],[URL]],Table23[[#This Row],[Link to Reference]])</f>
        <v>AUD.B.8</v>
      </c>
      <c r="K79" s="206" t="s">
        <v>1464</v>
      </c>
      <c r="X79" s="286" t="s">
        <v>40</v>
      </c>
      <c r="Y79" s="302" t="str">
        <f>IFERROR(IF(SEARCH("WP",Table23[[#This Row],[Link to Reference]])&gt;0,"Work Program","Booklet"),"Booklet")</f>
        <v>Booklet</v>
      </c>
      <c r="Z79" s="286">
        <v>4</v>
      </c>
      <c r="AA79" s="302">
        <f>IF(Table23[[#This Row],[Type]]="Booklet",MATCH(LEFT(Table23[[#This Row],[Link to Reference]],FIND(".",Table23[[#This Row],[Link to Reference]])-1),bookletsInfo[Initial],0),MATCH(LEFT(Table23[[#This Row],[Link to Reference]],FIND(".",Table23[[#This Row],[Link to Reference]])-1),WPInfo[Initials],0))</f>
        <v>1</v>
      </c>
      <c r="AB7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https://ithandbook.ffiec.gov/media/274709/ffiec_itbooklet_audit.pdf#Page=6</v>
      </c>
      <c r="AC79" s="286">
        <v>76</v>
      </c>
      <c r="AD79" s="286" t="b">
        <f>IF(G79=G78,IF(MOD(Table23[[#This Row],[order]],2)=1,"hideOdd","hideEven"),FALSE)</f>
        <v>0</v>
      </c>
      <c r="AE79" s="286">
        <f>IF(Table23[[#This Row],[hideText]]=FALSE,AE78+1,AE78)</f>
        <v>24</v>
      </c>
      <c r="AF79" s="269"/>
      <c r="AO79" s="286" t="s">
        <v>1730</v>
      </c>
    </row>
    <row r="80" spans="1:41" ht="45" x14ac:dyDescent="0.25">
      <c r="A80" s="206" t="s">
        <v>214</v>
      </c>
      <c r="B80" s="206" t="s">
        <v>37</v>
      </c>
      <c r="C80" s="206" t="s">
        <v>40</v>
      </c>
      <c r="D80" s="306" t="str">
        <f>IF(Table23[[#This Row],[hideText]]=FALSE,HYPERLINK(INDEX('Verify Baseline Links'!$P$10:$P$132,MATCH(Table23[[#This Row],[DSorder]],'Verify Baseline Links'!$M$10:$M$132,0)),"DS"),"")</f>
        <v/>
      </c>
      <c r="E80" s="206" t="s">
        <v>1459</v>
      </c>
      <c r="F80" s="223"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0" s="206">
        <f>MATCH(Table23[[#This Row],[clean DS]],combinedMaturityTable[Dsm clean],0)</f>
        <v>93</v>
      </c>
      <c r="H80" s="223"/>
      <c r="I80" s="223" t="s">
        <v>1465</v>
      </c>
      <c r="J80" s="308" t="str">
        <f>HYPERLINK(Table23[[#This Row],[URL]],Table23[[#This Row],[Link to Reference]])</f>
        <v>AUD.WP.I.7.1</v>
      </c>
      <c r="K80" s="206" t="s">
        <v>1466</v>
      </c>
      <c r="X80" s="286" t="s">
        <v>40</v>
      </c>
      <c r="Y80" s="302" t="str">
        <f>IFERROR(IF(SEARCH("WP",Table23[[#This Row],[Link to Reference]])&gt;0,"Work Program","Booklet"),"Booklet")</f>
        <v>Work Program</v>
      </c>
      <c r="Z80" s="286">
        <v>6</v>
      </c>
      <c r="AA80" s="302">
        <f>IF(Table23[[#This Row],[Type]]="Booklet",MATCH(LEFT(Table23[[#This Row],[Link to Reference]],FIND(".",Table23[[#This Row],[Link to Reference]])-1),bookletsInfo[Initial],0),MATCH(LEFT(Table23[[#This Row],[Link to Reference]],FIND(".",Table23[[#This Row],[Link to Reference]])-1),WPInfo[Initials],0))</f>
        <v>1</v>
      </c>
      <c r="AB8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https://watkinsconsulting.com/wp-content/uploads/2019/02/Audit-IT-WorkProgram.pdf#Page=6</v>
      </c>
      <c r="AC80" s="286">
        <v>77</v>
      </c>
      <c r="AD80" s="286" t="str">
        <f>IF(G80=G79,IF(MOD(Table23[[#This Row],[order]],2)=1,"hideOdd","hideEven"),FALSE)</f>
        <v>hideOdd</v>
      </c>
      <c r="AE80" s="286">
        <f>IF(Table23[[#This Row],[hideText]]=FALSE,AE79+1,AE79)</f>
        <v>24</v>
      </c>
      <c r="AF80" s="269"/>
      <c r="AO80" s="286" t="s">
        <v>1734</v>
      </c>
    </row>
    <row r="81" spans="1:41" ht="45" x14ac:dyDescent="0.25">
      <c r="A81" s="206" t="s">
        <v>214</v>
      </c>
      <c r="B81" s="206" t="s">
        <v>37</v>
      </c>
      <c r="C81" s="206" t="s">
        <v>40</v>
      </c>
      <c r="D81" s="306" t="str">
        <f>IF(Table23[[#This Row],[hideText]]=FALSE,HYPERLINK(INDEX('Verify Baseline Links'!$P$10:$P$132,MATCH(Table23[[#This Row],[DSorder]],'Verify Baseline Links'!$M$10:$M$132,0)),"DS"),"")</f>
        <v/>
      </c>
      <c r="E81" s="206" t="s">
        <v>1459</v>
      </c>
      <c r="F81" s="223"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1" s="206">
        <f>MATCH(Table23[[#This Row],[clean DS]],combinedMaturityTable[Dsm clean],0)</f>
        <v>93</v>
      </c>
      <c r="H81" s="223">
        <v>7</v>
      </c>
      <c r="I81" s="223" t="s">
        <v>1443</v>
      </c>
      <c r="J81" s="308" t="str">
        <f>HYPERLINK(Table23[[#This Row],[URL]],Table23[[#This Row],[Link to Reference]])</f>
        <v>IS.IV.A.2(d):pg56</v>
      </c>
      <c r="K81" s="206" t="s">
        <v>1460</v>
      </c>
      <c r="L81" s="286" t="s">
        <v>1461</v>
      </c>
      <c r="M81" s="286" t="s">
        <v>1462</v>
      </c>
      <c r="N81" s="286" t="s">
        <v>1463</v>
      </c>
      <c r="O81" s="286" t="s">
        <v>1464</v>
      </c>
      <c r="P81" s="286" t="s">
        <v>1465</v>
      </c>
      <c r="Q81" s="286" t="s">
        <v>1466</v>
      </c>
      <c r="R81" s="286" t="s">
        <v>1467</v>
      </c>
      <c r="S81" s="286" t="s">
        <v>1468</v>
      </c>
      <c r="T81" s="286" t="s">
        <v>1469</v>
      </c>
      <c r="U81" s="286" t="s">
        <v>1470</v>
      </c>
      <c r="V81" s="286" t="s">
        <v>1471</v>
      </c>
      <c r="W81" s="286" t="s">
        <v>1472</v>
      </c>
      <c r="X81" s="286" t="s">
        <v>1186</v>
      </c>
      <c r="Y81" s="302" t="str">
        <f>IFERROR(IF(SEARCH("WP",Table23[[#This Row],[Link to Reference]])&gt;0,"Work Program","Booklet"),"Booklet")</f>
        <v>Booklet</v>
      </c>
      <c r="Z81" s="286" t="s">
        <v>2018</v>
      </c>
      <c r="AA81" s="302">
        <f>IF(Table23[[#This Row],[Type]]="Booklet",MATCH(LEFT(Table23[[#This Row],[Link to Reference]],FIND(".",Table23[[#This Row],[Link to Reference]])-1),bookletsInfo[Initial],0),MATCH(LEFT(Table23[[#This Row],[Link to Reference]],FIND(".",Table23[[#This Row],[Link to Reference]])-1),WPInfo[Initials],0))</f>
        <v>5</v>
      </c>
      <c r="AB8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https://ithandbook.ffiec.gov/media/274793/ffiec_itbooklet_informationsecurity.pdf#Page=59</v>
      </c>
      <c r="AC81" s="286">
        <v>74</v>
      </c>
      <c r="AD81" s="286" t="str">
        <f>IF(G81=G80,IF(MOD(Table23[[#This Row],[order]],2)=1,"hideOdd","hideEven"),FALSE)</f>
        <v>hideEven</v>
      </c>
      <c r="AE81" s="286">
        <f>IF(Table23[[#This Row],[hideText]]=FALSE,AE80+1,AE80)</f>
        <v>24</v>
      </c>
      <c r="AF81" s="269"/>
      <c r="AO81" s="286" t="s">
        <v>1738</v>
      </c>
    </row>
    <row r="82" spans="1:41" ht="45" x14ac:dyDescent="0.25">
      <c r="A82" s="206" t="s">
        <v>214</v>
      </c>
      <c r="B82" s="206" t="s">
        <v>37</v>
      </c>
      <c r="C82" s="206" t="s">
        <v>40</v>
      </c>
      <c r="D82" s="306" t="str">
        <f>IF(Table23[[#This Row],[hideText]]=FALSE,HYPERLINK(INDEX('Verify Baseline Links'!$P$10:$P$132,MATCH(Table23[[#This Row],[DSorder]],'Verify Baseline Links'!$M$10:$M$132,0)),"DS"),"")</f>
        <v/>
      </c>
      <c r="E82" s="206" t="s">
        <v>1459</v>
      </c>
      <c r="F82" s="223"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2" s="206">
        <f>MATCH(Table23[[#This Row],[clean DS]],combinedMaturityTable[Dsm clean],0)</f>
        <v>93</v>
      </c>
      <c r="H82" s="223"/>
      <c r="I82" s="223" t="s">
        <v>1461</v>
      </c>
      <c r="J82" s="308" t="str">
        <f>HYPERLINK(Table23[[#This Row],[URL]],Table23[[#This Row],[Link to Reference]])</f>
        <v>IS.WP.2.8</v>
      </c>
      <c r="K82" s="206" t="s">
        <v>1462</v>
      </c>
      <c r="X82" s="286" t="s">
        <v>1186</v>
      </c>
      <c r="Y82" s="302" t="str">
        <f>IFERROR(IF(SEARCH("WP",Table23[[#This Row],[Link to Reference]])&gt;0,"Work Program","Booklet"),"Booklet")</f>
        <v>Work Program</v>
      </c>
      <c r="Z82" s="286">
        <v>4</v>
      </c>
      <c r="AA82" s="302">
        <f>IF(Table23[[#This Row],[Type]]="Booklet",MATCH(LEFT(Table23[[#This Row],[Link to Reference]],FIND(".",Table23[[#This Row],[Link to Reference]])-1),bookletsInfo[Initial],0),MATCH(LEFT(Table23[[#This Row],[Link to Reference]],FIND(".",Table23[[#This Row],[Link to Reference]])-1),WPInfo[Initials],0))</f>
        <v>5</v>
      </c>
      <c r="AB8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82" s="286">
        <v>75</v>
      </c>
      <c r="AD82" s="286" t="str">
        <f>IF(G82=G81,IF(MOD(Table23[[#This Row],[order]],2)=1,"hideOdd","hideEven"),FALSE)</f>
        <v>hideOdd</v>
      </c>
      <c r="AE82" s="286">
        <f>IF(Table23[[#This Row],[hideText]]=FALSE,AE81+1,AE81)</f>
        <v>24</v>
      </c>
      <c r="AF82" s="269"/>
      <c r="AO82" s="286" t="s">
        <v>2067</v>
      </c>
    </row>
    <row r="83" spans="1:41" ht="45" x14ac:dyDescent="0.25">
      <c r="A83" s="206" t="s">
        <v>214</v>
      </c>
      <c r="B83" s="206" t="s">
        <v>37</v>
      </c>
      <c r="C83" s="206" t="s">
        <v>40</v>
      </c>
      <c r="D83" s="306" t="str">
        <f>IF(Table23[[#This Row],[hideText]]=FALSE,HYPERLINK(INDEX('Verify Baseline Links'!$P$10:$P$132,MATCH(Table23[[#This Row],[DSorder]],'Verify Baseline Links'!$M$10:$M$132,0)),"DS"),"")</f>
        <v/>
      </c>
      <c r="E83" s="206" t="s">
        <v>1459</v>
      </c>
      <c r="F83" s="223"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3" s="206">
        <f>MATCH(Table23[[#This Row],[clean DS]],combinedMaturityTable[Dsm clean],0)</f>
        <v>93</v>
      </c>
      <c r="H83" s="223"/>
      <c r="I83" s="223" t="s">
        <v>1467</v>
      </c>
      <c r="J83" s="308" t="str">
        <f>HYPERLINK(Table23[[#This Row],[URL]],Table23[[#This Row],[Link to Reference]])</f>
        <v>MGT.I.B.7(b):pg19</v>
      </c>
      <c r="K83" s="206" t="s">
        <v>1468</v>
      </c>
      <c r="X83" s="286" t="s">
        <v>1957</v>
      </c>
      <c r="Y83" s="302" t="str">
        <f>IFERROR(IF(SEARCH("WP",Table23[[#This Row],[Link to Reference]])&gt;0,"Work Program","Booklet"),"Booklet")</f>
        <v>Booklet</v>
      </c>
      <c r="Z83" s="286" t="s">
        <v>2019</v>
      </c>
      <c r="AA83" s="302">
        <f>IF(Table23[[#This Row],[Type]]="Booklet",MATCH(LEFT(Table23[[#This Row],[Link to Reference]],FIND(".",Table23[[#This Row],[Link to Reference]])-1),bookletsInfo[Initial],0),MATCH(LEFT(Table23[[#This Row],[Link to Reference]],FIND(".",Table23[[#This Row],[Link to Reference]])-1),WPInfo[Initials],0))</f>
        <v>6</v>
      </c>
      <c r="AB8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https://ithandbook.ffiec.gov/media/274809/ffiec_itbooklet_management.pdf#Page=20</v>
      </c>
      <c r="AC83" s="286">
        <v>78</v>
      </c>
      <c r="AD83" s="286" t="str">
        <f>IF(G83=G82,IF(MOD(Table23[[#This Row],[order]],2)=1,"hideOdd","hideEven"),FALSE)</f>
        <v>hideEven</v>
      </c>
      <c r="AE83" s="286">
        <f>IF(Table23[[#This Row],[hideText]]=FALSE,AE82+1,AE82)</f>
        <v>24</v>
      </c>
      <c r="AF83" s="269"/>
      <c r="AO83" s="286" t="s">
        <v>1742</v>
      </c>
    </row>
    <row r="84" spans="1:41" ht="60" x14ac:dyDescent="0.25">
      <c r="A84" s="206" t="s">
        <v>214</v>
      </c>
      <c r="B84" s="206" t="s">
        <v>37</v>
      </c>
      <c r="C84" s="206" t="s">
        <v>40</v>
      </c>
      <c r="D84" s="306" t="str">
        <f>IF(Table23[[#This Row],[hideText]]=FALSE,HYPERLINK(INDEX('Verify Baseline Links'!$P$10:$P$132,MATCH(Table23[[#This Row],[DSorder]],'Verify Baseline Links'!$M$10:$M$132,0)),"DS"),"")</f>
        <v/>
      </c>
      <c r="E84" s="206" t="s">
        <v>1459</v>
      </c>
      <c r="F84" s="223"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4" s="206">
        <f>MATCH(Table23[[#This Row],[clean DS]],combinedMaturityTable[Dsm clean],0)</f>
        <v>93</v>
      </c>
      <c r="H84" s="223"/>
      <c r="I84" s="223" t="s">
        <v>1469</v>
      </c>
      <c r="J84" s="308" t="str">
        <f>HYPERLINK(Table23[[#This Row],[URL]],Table23[[#This Row],[Link to Reference]])</f>
        <v>MGT.WP.1.2</v>
      </c>
      <c r="K84" s="206" t="s">
        <v>1470</v>
      </c>
      <c r="X84" s="286" t="s">
        <v>1957</v>
      </c>
      <c r="Y84" s="302" t="str">
        <f>IFERROR(IF(SEARCH("WP",Table23[[#This Row],[Link to Reference]])&gt;0,"Work Program","Booklet"),"Booklet")</f>
        <v>Work Program</v>
      </c>
      <c r="Z84" s="286">
        <v>1</v>
      </c>
      <c r="AA84" s="302">
        <f>IF(Table23[[#This Row],[Type]]="Booklet",MATCH(LEFT(Table23[[#This Row],[Link to Reference]],FIND(".",Table23[[#This Row],[Link to Reference]])-1),bookletsInfo[Initial],0),MATCH(LEFT(Table23[[#This Row],[Link to Reference]],FIND(".",Table23[[#This Row],[Link to Reference]])-1),WPInfo[Initials],0))</f>
        <v>6</v>
      </c>
      <c r="AB8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v>
      </c>
      <c r="AC84" s="286">
        <v>79</v>
      </c>
      <c r="AD84" s="286" t="str">
        <f>IF(G84=G83,IF(MOD(Table23[[#This Row],[order]],2)=1,"hideOdd","hideEven"),FALSE)</f>
        <v>hideOdd</v>
      </c>
      <c r="AE84" s="286">
        <f>IF(Table23[[#This Row],[hideText]]=FALSE,AE83+1,AE83)</f>
        <v>24</v>
      </c>
      <c r="AF84" s="269"/>
      <c r="AO84" s="286" t="s">
        <v>2068</v>
      </c>
    </row>
    <row r="85" spans="1:41" ht="45" x14ac:dyDescent="0.25">
      <c r="A85" s="206" t="s">
        <v>214</v>
      </c>
      <c r="B85" s="206" t="s">
        <v>37</v>
      </c>
      <c r="C85" s="206" t="s">
        <v>40</v>
      </c>
      <c r="D85" s="306" t="str">
        <f>IF(Table23[[#This Row],[hideText]]=FALSE,HYPERLINK(INDEX('Verify Baseline Links'!$P$10:$P$132,MATCH(Table23[[#This Row],[DSorder]],'Verify Baseline Links'!$M$10:$M$132,0)),"DS"),"")</f>
        <v/>
      </c>
      <c r="E85" s="206" t="s">
        <v>1459</v>
      </c>
      <c r="F85" s="223"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5" s="206">
        <f>MATCH(Table23[[#This Row],[clean DS]],combinedMaturityTable[Dsm clean],0)</f>
        <v>93</v>
      </c>
      <c r="H85" s="223"/>
      <c r="I85" s="223" t="s">
        <v>1471</v>
      </c>
      <c r="J85" s="308" t="str">
        <f>HYPERLINK(Table23[[#This Row],[URL]],Table23[[#This Row],[Link to Reference]])</f>
        <v>MGT.WP.6.1</v>
      </c>
      <c r="K85" s="206" t="s">
        <v>1472</v>
      </c>
      <c r="X85" s="286" t="s">
        <v>1957</v>
      </c>
      <c r="Y85" s="302" t="str">
        <f>IFERROR(IF(SEARCH("WP",Table23[[#This Row],[Link to Reference]])&gt;0,"Work Program","Booklet"),"Booklet")</f>
        <v>Work Program</v>
      </c>
      <c r="Z85" s="286">
        <v>10</v>
      </c>
      <c r="AA85" s="302">
        <f>IF(Table23[[#This Row],[Type]]="Booklet",MATCH(LEFT(Table23[[#This Row],[Link to Reference]],FIND(".",Table23[[#This Row],[Link to Reference]])-1),bookletsInfo[Initial],0),MATCH(LEFT(Table23[[#This Row],[Link to Reference]],FIND(".",Table23[[#This Row],[Link to Reference]])-1),WPInfo[Initials],0))</f>
        <v>6</v>
      </c>
      <c r="AB8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https://watkinsconsulting.com/wp-content/uploads/2019/02/Management-IT-WorkProgram.pdf#Page=10</v>
      </c>
      <c r="AC85" s="286">
        <v>80</v>
      </c>
      <c r="AD85" s="286" t="str">
        <f>IF(G85=G84,IF(MOD(Table23[[#This Row],[order]],2)=1,"hideOdd","hideEven"),FALSE)</f>
        <v>hideEven</v>
      </c>
      <c r="AE85" s="286">
        <f>IF(Table23[[#This Row],[hideText]]=FALSE,AE84+1,AE84)</f>
        <v>24</v>
      </c>
      <c r="AF85" s="269"/>
      <c r="AO85" s="286" t="s">
        <v>1750</v>
      </c>
    </row>
    <row r="86" spans="1:41" ht="75" x14ac:dyDescent="0.25">
      <c r="A86" s="206" t="s">
        <v>214</v>
      </c>
      <c r="B86" s="206" t="s">
        <v>871</v>
      </c>
      <c r="C86" s="206" t="s">
        <v>42</v>
      </c>
      <c r="D86" s="306" t="str">
        <f ca="1">IF(Table23[[#This Row],[hideText]]=FALSE,HYPERLINK(INDEX('Verify Baseline Links'!$P$10:$P$132,MATCH(Table23[[#This Row],[DSorder]],'Verify Baseline Links'!$M$10:$M$132,0)),"DS"),"")</f>
        <v>DS</v>
      </c>
      <c r="E86" s="206" t="s">
        <v>1473</v>
      </c>
      <c r="F86" s="223" t="str">
        <f>CLEAN(TRIM(SUBSTITUTE(LEFT(Table23[[#This Row],[Declarative Statement]],MIN(250,LEN(Table23[[#This Row],[Declarative Statement]]))),CHAR(160)," ")))</f>
        <v>Information security roles and responsibilities have been identified.</v>
      </c>
      <c r="G86" s="206">
        <f>MATCH(Table23[[#This Row],[clean DS]],combinedMaturityTable[Dsm clean],0)</f>
        <v>108</v>
      </c>
      <c r="H86" s="223">
        <v>3</v>
      </c>
      <c r="I86" s="223" t="s">
        <v>1474</v>
      </c>
      <c r="J86" s="308" t="str">
        <f>HYPERLINK(Table23[[#This Row],[URL]],Table23[[#This Row],[Link to Reference]])</f>
        <v>IS.II.C.1:pg11</v>
      </c>
      <c r="K86" s="206" t="s">
        <v>1475</v>
      </c>
      <c r="L86" s="286" t="s">
        <v>1476</v>
      </c>
      <c r="M86" s="286" t="s">
        <v>1477</v>
      </c>
      <c r="N86" s="286" t="s">
        <v>1478</v>
      </c>
      <c r="O86" s="286" t="s">
        <v>1479</v>
      </c>
      <c r="P86" s="286" t="s">
        <v>1378</v>
      </c>
      <c r="Q86" s="286" t="s">
        <v>1378</v>
      </c>
      <c r="R86" s="286" t="s">
        <v>1378</v>
      </c>
      <c r="S86" s="286" t="s">
        <v>1378</v>
      </c>
      <c r="T86" s="286" t="s">
        <v>1378</v>
      </c>
      <c r="U86" s="286" t="s">
        <v>1378</v>
      </c>
      <c r="X86" s="286" t="s">
        <v>1186</v>
      </c>
      <c r="Y86" s="302" t="str">
        <f>IFERROR(IF(SEARCH("WP",Table23[[#This Row],[Link to Reference]])&gt;0,"Work Program","Booklet"),"Booklet")</f>
        <v>Booklet</v>
      </c>
      <c r="Z86" s="286" t="s">
        <v>2017</v>
      </c>
      <c r="AA86" s="302">
        <f>IF(Table23[[#This Row],[Type]]="Booklet",MATCH(LEFT(Table23[[#This Row],[Link to Reference]],FIND(".",Table23[[#This Row],[Link to Reference]])-1),bookletsInfo[Initial],0),MATCH(LEFT(Table23[[#This Row],[Link to Reference]],FIND(".",Table23[[#This Row],[Link to Reference]])-1),WPInfo[Initials],0))</f>
        <v>5</v>
      </c>
      <c r="AB8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86" s="286">
        <v>81</v>
      </c>
      <c r="AD86" s="286" t="b">
        <f>IF(G86=G85,IF(MOD(Table23[[#This Row],[order]],2)=1,"hideOdd","hideEven"),FALSE)</f>
        <v>0</v>
      </c>
      <c r="AE86" s="286">
        <f>IF(Table23[[#This Row],[hideText]]=FALSE,AE85+1,AE85)</f>
        <v>25</v>
      </c>
      <c r="AF86" s="269"/>
      <c r="AO86" s="286" t="s">
        <v>1752</v>
      </c>
    </row>
    <row r="87" spans="1:41" ht="45" x14ac:dyDescent="0.25">
      <c r="A87" s="206" t="s">
        <v>214</v>
      </c>
      <c r="B87" s="206" t="s">
        <v>871</v>
      </c>
      <c r="C87" s="206" t="s">
        <v>42</v>
      </c>
      <c r="D87" s="306" t="str">
        <f>IF(Table23[[#This Row],[hideText]]=FALSE,HYPERLINK(INDEX('Verify Baseline Links'!$P$10:$P$132,MATCH(Table23[[#This Row],[DSorder]],'Verify Baseline Links'!$M$10:$M$132,0)),"DS"),"")</f>
        <v/>
      </c>
      <c r="E87" s="206" t="s">
        <v>1473</v>
      </c>
      <c r="F87" s="223" t="str">
        <f>CLEAN(TRIM(SUBSTITUTE(LEFT(Table23[[#This Row],[Declarative Statement]],MIN(250,LEN(Table23[[#This Row],[Declarative Statement]]))),CHAR(160)," ")))</f>
        <v>Information security roles and responsibilities have been identified.</v>
      </c>
      <c r="G87" s="206">
        <f>MATCH(Table23[[#This Row],[clean DS]],combinedMaturityTable[Dsm clean],0)</f>
        <v>108</v>
      </c>
      <c r="H87" s="223"/>
      <c r="I87" s="223" t="s">
        <v>1476</v>
      </c>
      <c r="J87" s="308" t="str">
        <f>HYPERLINK(Table23[[#This Row],[URL]],Table23[[#This Row],[Link to Reference]])</f>
        <v>MGT.I:pg4</v>
      </c>
      <c r="K87" s="206" t="s">
        <v>1477</v>
      </c>
      <c r="X87" s="286" t="s">
        <v>1957</v>
      </c>
      <c r="Y87" s="302" t="str">
        <f>IFERROR(IF(SEARCH("WP",Table23[[#This Row],[Link to Reference]])&gt;0,"Work Program","Booklet"),"Booklet")</f>
        <v>Booklet</v>
      </c>
      <c r="Z87" s="286" t="s">
        <v>1999</v>
      </c>
      <c r="AA87" s="302">
        <f>IF(Table23[[#This Row],[Type]]="Booklet",MATCH(LEFT(Table23[[#This Row],[Link to Reference]],FIND(".",Table23[[#This Row],[Link to Reference]])-1),bookletsInfo[Initial],0),MATCH(LEFT(Table23[[#This Row],[Link to Reference]],FIND(".",Table23[[#This Row],[Link to Reference]])-1),WPInfo[Initials],0))</f>
        <v>6</v>
      </c>
      <c r="AB8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https://ithandbook.ffiec.gov/media/274809/ffiec_itbooklet_management.pdf#Page=5</v>
      </c>
      <c r="AC87" s="286">
        <v>82</v>
      </c>
      <c r="AD87" s="286" t="str">
        <f>IF(G87=G86,IF(MOD(Table23[[#This Row],[order]],2)=1,"hideOdd","hideEven"),FALSE)</f>
        <v>hideEven</v>
      </c>
      <c r="AE87" s="286">
        <f>IF(Table23[[#This Row],[hideText]]=FALSE,AE86+1,AE86)</f>
        <v>25</v>
      </c>
      <c r="AF87" s="269"/>
      <c r="AO87" s="286" t="s">
        <v>1756</v>
      </c>
    </row>
    <row r="88" spans="1:41" ht="75" x14ac:dyDescent="0.25">
      <c r="A88" s="206" t="s">
        <v>214</v>
      </c>
      <c r="B88" s="206" t="s">
        <v>871</v>
      </c>
      <c r="C88" s="206" t="s">
        <v>42</v>
      </c>
      <c r="D88" s="306" t="str">
        <f>IF(Table23[[#This Row],[hideText]]=FALSE,HYPERLINK(INDEX('Verify Baseline Links'!$P$10:$P$132,MATCH(Table23[[#This Row],[DSorder]],'Verify Baseline Links'!$M$10:$M$132,0)),"DS"),"")</f>
        <v/>
      </c>
      <c r="E88" s="206" t="s">
        <v>1473</v>
      </c>
      <c r="F88" s="223" t="str">
        <f>CLEAN(TRIM(SUBSTITUTE(LEFT(Table23[[#This Row],[Declarative Statement]],MIN(250,LEN(Table23[[#This Row],[Declarative Statement]]))),CHAR(160)," ")))</f>
        <v>Information security roles and responsibilities have been identified.</v>
      </c>
      <c r="G88" s="206">
        <f>MATCH(Table23[[#This Row],[clean DS]],combinedMaturityTable[Dsm clean],0)</f>
        <v>108</v>
      </c>
      <c r="H88" s="223"/>
      <c r="I88" s="223" t="s">
        <v>1478</v>
      </c>
      <c r="J88" s="308" t="str">
        <f>HYPERLINK(Table23[[#This Row],[URL]],Table23[[#This Row],[Link to Reference]])</f>
        <v>MGT.WP.2.11</v>
      </c>
      <c r="K88" s="206" t="s">
        <v>1479</v>
      </c>
      <c r="X88" s="286" t="s">
        <v>1957</v>
      </c>
      <c r="Y88" s="302" t="str">
        <f>IFERROR(IF(SEARCH("WP",Table23[[#This Row],[Link to Reference]])&gt;0,"Work Program","Booklet"),"Booklet")</f>
        <v>Work Program</v>
      </c>
      <c r="Z88" s="286">
        <v>5</v>
      </c>
      <c r="AA88" s="302">
        <f>IF(Table23[[#This Row],[Type]]="Booklet",MATCH(LEFT(Table23[[#This Row],[Link to Reference]],FIND(".",Table23[[#This Row],[Link to Reference]])-1),bookletsInfo[Initial],0),MATCH(LEFT(Table23[[#This Row],[Link to Reference]],FIND(".",Table23[[#This Row],[Link to Reference]])-1),WPInfo[Initials],0))</f>
        <v>6</v>
      </c>
      <c r="AB8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https://watkinsconsulting.com/wp-content/uploads/2019/02/Management-IT-WorkProgram.pdf#Page=5</v>
      </c>
      <c r="AC88" s="286">
        <v>83</v>
      </c>
      <c r="AD88" s="286" t="str">
        <f>IF(G88=G87,IF(MOD(Table23[[#This Row],[order]],2)=1,"hideOdd","hideEven"),FALSE)</f>
        <v>hideOdd</v>
      </c>
      <c r="AE88" s="286">
        <f>IF(Table23[[#This Row],[hideText]]=FALSE,AE87+1,AE87)</f>
        <v>25</v>
      </c>
      <c r="AF88" s="269"/>
      <c r="AO88" s="286" t="s">
        <v>1758</v>
      </c>
    </row>
    <row r="89" spans="1:41" ht="90" x14ac:dyDescent="0.25">
      <c r="A89" s="206" t="s">
        <v>214</v>
      </c>
      <c r="B89" s="206" t="s">
        <v>871</v>
      </c>
      <c r="C89" s="206" t="s">
        <v>42</v>
      </c>
      <c r="D89" s="306" t="str">
        <f ca="1">IF(Table23[[#This Row],[hideText]]=FALSE,HYPERLINK(INDEX('Verify Baseline Links'!$P$10:$P$132,MATCH(Table23[[#This Row],[DSorder]],'Verify Baseline Links'!$M$10:$M$132,0)),"DS"),"")</f>
        <v>DS</v>
      </c>
      <c r="E89" s="206" t="s">
        <v>1480</v>
      </c>
      <c r="F89" s="223" t="str">
        <f>CLEAN(TRIM(SUBSTITUTE(LEFT(Table23[[#This Row],[Declarative Statement]],MIN(250,LEN(Table23[[#This Row],[Declarative Statement]]))),CHAR(160)," ")))</f>
        <v>Processes are in place to identify additional expertise needed to improve information security defenses.</v>
      </c>
      <c r="G89" s="206">
        <f>MATCH(Table23[[#This Row],[clean DS]],combinedMaturityTable[Dsm clean],0)</f>
        <v>109</v>
      </c>
      <c r="H89" s="223">
        <v>4</v>
      </c>
      <c r="I89" s="223" t="s">
        <v>1339</v>
      </c>
      <c r="J89" s="308" t="str">
        <f>HYPERLINK(Table23[[#This Row],[URL]],Table23[[#This Row],[Link to Reference]])</f>
        <v>IS.I.C:pg5</v>
      </c>
      <c r="K89" s="206" t="s">
        <v>1481</v>
      </c>
      <c r="L89" s="286" t="s">
        <v>1482</v>
      </c>
      <c r="M89" s="286" t="s">
        <v>1483</v>
      </c>
      <c r="N89" s="286" t="s">
        <v>1484</v>
      </c>
      <c r="O89" s="286" t="s">
        <v>1485</v>
      </c>
      <c r="P89" s="286" t="s">
        <v>1486</v>
      </c>
      <c r="Q89" s="286" t="s">
        <v>1487</v>
      </c>
      <c r="R89" s="286" t="s">
        <v>1378</v>
      </c>
      <c r="S89" s="286" t="s">
        <v>1378</v>
      </c>
      <c r="T89" s="286" t="s">
        <v>1378</v>
      </c>
      <c r="U89" s="286" t="s">
        <v>1378</v>
      </c>
      <c r="X89" s="286" t="s">
        <v>1186</v>
      </c>
      <c r="Y89" s="302" t="str">
        <f>IFERROR(IF(SEARCH("WP",Table23[[#This Row],[Link to Reference]])&gt;0,"Work Program","Booklet"),"Booklet")</f>
        <v>Booklet</v>
      </c>
      <c r="Z89" s="286" t="s">
        <v>2003</v>
      </c>
      <c r="AA89" s="302">
        <f>IF(Table23[[#This Row],[Type]]="Booklet",MATCH(LEFT(Table23[[#This Row],[Link to Reference]],FIND(".",Table23[[#This Row],[Link to Reference]])-1),bookletsInfo[Initial],0),MATCH(LEFT(Table23[[#This Row],[Link to Reference]],FIND(".",Table23[[#This Row],[Link to Reference]])-1),WPInfo[Initials],0))</f>
        <v>5</v>
      </c>
      <c r="AB8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https://ithandbook.ffiec.gov/media/274793/ffiec_itbooklet_informationsecurity.pdf#Page=8</v>
      </c>
      <c r="AC89" s="286">
        <v>84</v>
      </c>
      <c r="AD89" s="286" t="b">
        <f>IF(G89=G88,IF(MOD(Table23[[#This Row],[order]],2)=1,"hideOdd","hideEven"),FALSE)</f>
        <v>0</v>
      </c>
      <c r="AE89" s="286">
        <f>IF(Table23[[#This Row],[hideText]]=FALSE,AE88+1,AE88)</f>
        <v>26</v>
      </c>
      <c r="AF89" s="269"/>
      <c r="AO89" s="286" t="s">
        <v>1763</v>
      </c>
    </row>
    <row r="90" spans="1:41" ht="45" x14ac:dyDescent="0.25">
      <c r="A90" s="206" t="s">
        <v>214</v>
      </c>
      <c r="B90" s="206" t="s">
        <v>871</v>
      </c>
      <c r="C90" s="206" t="s">
        <v>42</v>
      </c>
      <c r="D90" s="306" t="str">
        <f>IF(Table23[[#This Row],[hideText]]=FALSE,HYPERLINK(INDEX('Verify Baseline Links'!$P$10:$P$132,MATCH(Table23[[#This Row],[DSorder]],'Verify Baseline Links'!$M$10:$M$132,0)),"DS"),"")</f>
        <v/>
      </c>
      <c r="E90" s="206" t="s">
        <v>1480</v>
      </c>
      <c r="F90" s="223" t="str">
        <f>CLEAN(TRIM(SUBSTITUTE(LEFT(Table23[[#This Row],[Declarative Statement]],MIN(250,LEN(Table23[[#This Row],[Declarative Statement]]))),CHAR(160)," ")))</f>
        <v>Processes are in place to identify additional expertise needed to improve information security defenses.</v>
      </c>
      <c r="G90" s="206">
        <f>MATCH(Table23[[#This Row],[clean DS]],combinedMaturityTable[Dsm clean],0)</f>
        <v>109</v>
      </c>
      <c r="H90" s="223"/>
      <c r="I90" s="223" t="s">
        <v>1482</v>
      </c>
      <c r="J90" s="308" t="str">
        <f>HYPERLINK(Table23[[#This Row],[URL]],Table23[[#This Row],[Link to Reference]])</f>
        <v>MGT.I.B.7(a):pg18</v>
      </c>
      <c r="K90" s="206" t="s">
        <v>1483</v>
      </c>
      <c r="X90" s="286" t="s">
        <v>1957</v>
      </c>
      <c r="Y90" s="302" t="str">
        <f>IFERROR(IF(SEARCH("WP",Table23[[#This Row],[Link to Reference]])&gt;0,"Work Program","Booklet"),"Booklet")</f>
        <v>Booklet</v>
      </c>
      <c r="Z90" s="286" t="s">
        <v>2020</v>
      </c>
      <c r="AA90" s="302">
        <f>IF(Table23[[#This Row],[Type]]="Booklet",MATCH(LEFT(Table23[[#This Row],[Link to Reference]],FIND(".",Table23[[#This Row],[Link to Reference]])-1),bookletsInfo[Initial],0),MATCH(LEFT(Table23[[#This Row],[Link to Reference]],FIND(".",Table23[[#This Row],[Link to Reference]])-1),WPInfo[Initials],0))</f>
        <v>6</v>
      </c>
      <c r="AB9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https://ithandbook.ffiec.gov/media/274809/ffiec_itbooklet_management.pdf#Page=19</v>
      </c>
      <c r="AC90" s="286">
        <v>85</v>
      </c>
      <c r="AD90" s="286" t="str">
        <f>IF(G90=G89,IF(MOD(Table23[[#This Row],[order]],2)=1,"hideOdd","hideEven"),FALSE)</f>
        <v>hideOdd</v>
      </c>
      <c r="AE90" s="286">
        <f>IF(Table23[[#This Row],[hideText]]=FALSE,AE89+1,AE89)</f>
        <v>26</v>
      </c>
      <c r="AF90" s="269"/>
      <c r="AO90" s="286" t="s">
        <v>1764</v>
      </c>
    </row>
    <row r="91" spans="1:41" ht="45" x14ac:dyDescent="0.25">
      <c r="A91" s="206" t="s">
        <v>214</v>
      </c>
      <c r="B91" s="206" t="s">
        <v>871</v>
      </c>
      <c r="C91" s="206" t="s">
        <v>42</v>
      </c>
      <c r="D91" s="306" t="str">
        <f>IF(Table23[[#This Row],[hideText]]=FALSE,HYPERLINK(INDEX('Verify Baseline Links'!$P$10:$P$132,MATCH(Table23[[#This Row],[DSorder]],'Verify Baseline Links'!$M$10:$M$132,0)),"DS"),"")</f>
        <v/>
      </c>
      <c r="E91" s="206" t="s">
        <v>1480</v>
      </c>
      <c r="F91" s="223" t="str">
        <f>CLEAN(TRIM(SUBSTITUTE(LEFT(Table23[[#This Row],[Declarative Statement]],MIN(250,LEN(Table23[[#This Row],[Declarative Statement]]))),CHAR(160)," ")))</f>
        <v>Processes are in place to identify additional expertise needed to improve information security defenses.</v>
      </c>
      <c r="G91" s="206">
        <f>MATCH(Table23[[#This Row],[clean DS]],combinedMaturityTable[Dsm clean],0)</f>
        <v>109</v>
      </c>
      <c r="H91" s="223"/>
      <c r="I91" s="223" t="s">
        <v>1484</v>
      </c>
      <c r="J91" s="308" t="str">
        <f>HYPERLINK(Table23[[#This Row],[URL]],Table23[[#This Row],[Link to Reference]])</f>
        <v>MGT.WP.5.2.b</v>
      </c>
      <c r="K91" s="206" t="s">
        <v>1485</v>
      </c>
      <c r="X91" s="286" t="s">
        <v>1957</v>
      </c>
      <c r="Y91" s="302" t="str">
        <f>IFERROR(IF(SEARCH("WP",Table23[[#This Row],[Link to Reference]])&gt;0,"Work Program","Booklet"),"Booklet")</f>
        <v>Work Program</v>
      </c>
      <c r="Z91" s="286">
        <v>9</v>
      </c>
      <c r="AA91" s="302">
        <f>IF(Table23[[#This Row],[Type]]="Booklet",MATCH(LEFT(Table23[[#This Row],[Link to Reference]],FIND(".",Table23[[#This Row],[Link to Reference]])-1),bookletsInfo[Initial],0),MATCH(LEFT(Table23[[#This Row],[Link to Reference]],FIND(".",Table23[[#This Row],[Link to Reference]])-1),WPInfo[Initials],0))</f>
        <v>6</v>
      </c>
      <c r="AB9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https://watkinsconsulting.com/wp-content/uploads/2019/02/Management-IT-WorkProgram.pdf#Page=9</v>
      </c>
      <c r="AC91" s="286">
        <v>86</v>
      </c>
      <c r="AD91" s="286" t="str">
        <f>IF(G91=G90,IF(MOD(Table23[[#This Row],[order]],2)=1,"hideOdd","hideEven"),FALSE)</f>
        <v>hideEven</v>
      </c>
      <c r="AE91" s="286">
        <f>IF(Table23[[#This Row],[hideText]]=FALSE,AE90+1,AE90)</f>
        <v>26</v>
      </c>
      <c r="AF91" s="269"/>
      <c r="AO91" s="286" t="s">
        <v>1766</v>
      </c>
    </row>
    <row r="92" spans="1:41" ht="45" x14ac:dyDescent="0.25">
      <c r="A92" s="206" t="s">
        <v>214</v>
      </c>
      <c r="B92" s="206" t="s">
        <v>871</v>
      </c>
      <c r="C92" s="206" t="s">
        <v>42</v>
      </c>
      <c r="D92" s="306" t="str">
        <f>IF(Table23[[#This Row],[hideText]]=FALSE,HYPERLINK(INDEX('Verify Baseline Links'!$P$10:$P$132,MATCH(Table23[[#This Row],[DSorder]],'Verify Baseline Links'!$M$10:$M$132,0)),"DS"),"")</f>
        <v/>
      </c>
      <c r="E92" s="206" t="s">
        <v>1480</v>
      </c>
      <c r="F92" s="223" t="str">
        <f>CLEAN(TRIM(SUBSTITUTE(LEFT(Table23[[#This Row],[Declarative Statement]],MIN(250,LEN(Table23[[#This Row],[Declarative Statement]]))),CHAR(160)," ")))</f>
        <v>Processes are in place to identify additional expertise needed to improve information security defenses.</v>
      </c>
      <c r="G92" s="206">
        <f>MATCH(Table23[[#This Row],[clean DS]],combinedMaturityTable[Dsm clean],0)</f>
        <v>109</v>
      </c>
      <c r="H92" s="223"/>
      <c r="I92" s="223" t="s">
        <v>1486</v>
      </c>
      <c r="J92" s="308" t="str">
        <f>HYPERLINK(Table23[[#This Row],[URL]],Table23[[#This Row],[Link to Reference]])</f>
        <v>MGT.WP.5.5</v>
      </c>
      <c r="K92" s="206" t="s">
        <v>1487</v>
      </c>
      <c r="X92" s="286" t="s">
        <v>1957</v>
      </c>
      <c r="Y92" s="302" t="str">
        <f>IFERROR(IF(SEARCH("WP",Table23[[#This Row],[Link to Reference]])&gt;0,"Work Program","Booklet"),"Booklet")</f>
        <v>Work Program</v>
      </c>
      <c r="Z92" s="286">
        <v>9</v>
      </c>
      <c r="AA92" s="302">
        <f>IF(Table23[[#This Row],[Type]]="Booklet",MATCH(LEFT(Table23[[#This Row],[Link to Reference]],FIND(".",Table23[[#This Row],[Link to Reference]])-1),bookletsInfo[Initial],0),MATCH(LEFT(Table23[[#This Row],[Link to Reference]],FIND(".",Table23[[#This Row],[Link to Reference]])-1),WPInfo[Initials],0))</f>
        <v>6</v>
      </c>
      <c r="AB9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https://watkinsconsulting.com/wp-content/uploads/2019/02/Management-IT-WorkProgram.pdf#Page=9</v>
      </c>
      <c r="AC92" s="286">
        <v>87</v>
      </c>
      <c r="AD92" s="286" t="str">
        <f>IF(G92=G91,IF(MOD(Table23[[#This Row],[order]],2)=1,"hideOdd","hideEven"),FALSE)</f>
        <v>hideOdd</v>
      </c>
      <c r="AE92" s="286">
        <f>IF(Table23[[#This Row],[hideText]]=FALSE,AE91+1,AE91)</f>
        <v>26</v>
      </c>
      <c r="AF92" s="269"/>
      <c r="AO92" s="286" t="s">
        <v>1770</v>
      </c>
    </row>
    <row r="93" spans="1:41" ht="45" x14ac:dyDescent="0.25">
      <c r="A93" s="206" t="s">
        <v>214</v>
      </c>
      <c r="B93" s="206" t="s">
        <v>43</v>
      </c>
      <c r="C93" s="206" t="s">
        <v>44</v>
      </c>
      <c r="D93" s="306" t="str">
        <f ca="1">IF(Table23[[#This Row],[hideText]]=FALSE,HYPERLINK(INDEX('Verify Baseline Links'!$P$10:$P$132,MATCH(Table23[[#This Row],[DSorder]],'Verify Baseline Links'!$M$10:$M$132,0)),"DS"),"")</f>
        <v>DS</v>
      </c>
      <c r="E93" s="206" t="s">
        <v>1488</v>
      </c>
      <c r="F93" s="223" t="str">
        <f>CLEAN(TRIM(SUBSTITUTE(LEFT(Table23[[#This Row],[Declarative Statement]],MIN(250,LEN(Table23[[#This Row],[Declarative Statement]]))),CHAR(160)," ")))</f>
        <v>Annual information security training is provided.</v>
      </c>
      <c r="G93" s="206">
        <f>MATCH(Table23[[#This Row],[clean DS]],combinedMaturityTable[Dsm clean],0)</f>
        <v>118</v>
      </c>
      <c r="H93" s="223">
        <v>4</v>
      </c>
      <c r="I93" s="223" t="s">
        <v>2021</v>
      </c>
      <c r="J93" s="308" t="str">
        <f>HYPERLINK(Table23[[#This Row],[URL]],Table23[[#This Row],[Link to Reference]])</f>
        <v>IS.B:pg4</v>
      </c>
      <c r="K93" s="206" t="s">
        <v>1490</v>
      </c>
      <c r="L93" s="286" t="s">
        <v>1491</v>
      </c>
      <c r="M93" s="286" t="s">
        <v>1492</v>
      </c>
      <c r="N93" s="286" t="s">
        <v>1493</v>
      </c>
      <c r="O93" s="286" t="s">
        <v>1494</v>
      </c>
      <c r="P93" s="286" t="s">
        <v>1495</v>
      </c>
      <c r="Q93" s="286" t="s">
        <v>1496</v>
      </c>
      <c r="R93" s="286" t="s">
        <v>1378</v>
      </c>
      <c r="S93" s="286" t="s">
        <v>1378</v>
      </c>
      <c r="T93" s="286" t="s">
        <v>1378</v>
      </c>
      <c r="U93" s="286" t="s">
        <v>1378</v>
      </c>
      <c r="X93" s="286" t="s">
        <v>1186</v>
      </c>
      <c r="Y93" s="302" t="str">
        <f>IFERROR(IF(SEARCH("WP",Table23[[#This Row],[Link to Reference]])&gt;0,"Work Program","Booklet"),"Booklet")</f>
        <v>Booklet</v>
      </c>
      <c r="Z93" s="286" t="s">
        <v>1999</v>
      </c>
      <c r="AA93" s="302">
        <f>IF(Table23[[#This Row],[Type]]="Booklet",MATCH(LEFT(Table23[[#This Row],[Link to Reference]],FIND(".",Table23[[#This Row],[Link to Reference]])-1),bookletsInfo[Initial],0),MATCH(LEFT(Table23[[#This Row],[Link to Reference]],FIND(".",Table23[[#This Row],[Link to Reference]])-1),WPInfo[Initials],0))</f>
        <v>5</v>
      </c>
      <c r="AB9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93" s="286">
        <v>88</v>
      </c>
      <c r="AD93" s="286" t="b">
        <f>IF(G93=G92,IF(MOD(Table23[[#This Row],[order]],2)=1,"hideOdd","hideEven"),FALSE)</f>
        <v>0</v>
      </c>
      <c r="AE93" s="286">
        <f>IF(Table23[[#This Row],[hideText]]=FALSE,AE92+1,AE92)</f>
        <v>27</v>
      </c>
      <c r="AF93" s="269"/>
      <c r="AO93" s="286" t="s">
        <v>1774</v>
      </c>
    </row>
    <row r="94" spans="1:41" ht="45" x14ac:dyDescent="0.25">
      <c r="A94" s="206" t="s">
        <v>214</v>
      </c>
      <c r="B94" s="206" t="s">
        <v>43</v>
      </c>
      <c r="C94" s="206" t="s">
        <v>44</v>
      </c>
      <c r="D94" s="306" t="str">
        <f>IF(Table23[[#This Row],[hideText]]=FALSE,HYPERLINK(INDEX('Verify Baseline Links'!$P$10:$P$132,MATCH(Table23[[#This Row],[DSorder]],'Verify Baseline Links'!$M$10:$M$132,0)),"DS"),"")</f>
        <v/>
      </c>
      <c r="E94" s="206" t="s">
        <v>1488</v>
      </c>
      <c r="F94" s="223" t="str">
        <f>CLEAN(TRIM(SUBSTITUTE(LEFT(Table23[[#This Row],[Declarative Statement]],MIN(250,LEN(Table23[[#This Row],[Declarative Statement]]))),CHAR(160)," ")))</f>
        <v>Annual information security training is provided.</v>
      </c>
      <c r="G94" s="206">
        <f>MATCH(Table23[[#This Row],[clean DS]],combinedMaturityTable[Dsm clean],0)</f>
        <v>118</v>
      </c>
      <c r="H94" s="223"/>
      <c r="I94" s="223" t="s">
        <v>1491</v>
      </c>
      <c r="J94" s="308" t="str">
        <f>HYPERLINK(Table23[[#This Row],[URL]],Table23[[#This Row],[Link to Reference]])</f>
        <v>IS.WP.2.5.l</v>
      </c>
      <c r="K94" s="206" t="s">
        <v>1492</v>
      </c>
      <c r="X94" s="286" t="s">
        <v>1186</v>
      </c>
      <c r="Y94" s="302" t="str">
        <f>IFERROR(IF(SEARCH("WP",Table23[[#This Row],[Link to Reference]])&gt;0,"Work Program","Booklet"),"Booklet")</f>
        <v>Work Program</v>
      </c>
      <c r="Z94" s="286">
        <v>4</v>
      </c>
      <c r="AA94" s="302">
        <f>IF(Table23[[#This Row],[Type]]="Booklet",MATCH(LEFT(Table23[[#This Row],[Link to Reference]],FIND(".",Table23[[#This Row],[Link to Reference]])-1),bookletsInfo[Initial],0),MATCH(LEFT(Table23[[#This Row],[Link to Reference]],FIND(".",Table23[[#This Row],[Link to Reference]])-1),WPInfo[Initials],0))</f>
        <v>5</v>
      </c>
      <c r="AB9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94" s="286">
        <v>89</v>
      </c>
      <c r="AD94" s="286" t="str">
        <f>IF(G94=G93,IF(MOD(Table23[[#This Row],[order]],2)=1,"hideOdd","hideEven"),FALSE)</f>
        <v>hideOdd</v>
      </c>
      <c r="AE94" s="286">
        <f>IF(Table23[[#This Row],[hideText]]=FALSE,AE93+1,AE93)</f>
        <v>27</v>
      </c>
      <c r="AF94" s="269"/>
      <c r="AO94" s="286" t="s">
        <v>1777</v>
      </c>
    </row>
    <row r="95" spans="1:41" ht="45" x14ac:dyDescent="0.25">
      <c r="A95" s="206" t="s">
        <v>214</v>
      </c>
      <c r="B95" s="206" t="s">
        <v>43</v>
      </c>
      <c r="C95" s="206" t="s">
        <v>44</v>
      </c>
      <c r="D95" s="306" t="str">
        <f>IF(Table23[[#This Row],[hideText]]=FALSE,HYPERLINK(INDEX('Verify Baseline Links'!$P$10:$P$132,MATCH(Table23[[#This Row],[DSorder]],'Verify Baseline Links'!$M$10:$M$132,0)),"DS"),"")</f>
        <v/>
      </c>
      <c r="E95" s="206" t="s">
        <v>1488</v>
      </c>
      <c r="F95" s="223" t="str">
        <f>CLEAN(TRIM(SUBSTITUTE(LEFT(Table23[[#This Row],[Declarative Statement]],MIN(250,LEN(Table23[[#This Row],[Declarative Statement]]))),CHAR(160)," ")))</f>
        <v>Annual information security training is provided.</v>
      </c>
      <c r="G95" s="206">
        <f>MATCH(Table23[[#This Row],[clean DS]],combinedMaturityTable[Dsm clean],0)</f>
        <v>118</v>
      </c>
      <c r="H95" s="223"/>
      <c r="I95" s="223" t="s">
        <v>1493</v>
      </c>
      <c r="J95" s="308" t="str">
        <f>HYPERLINK(Table23[[#This Row],[URL]],Table23[[#This Row],[Link to Reference]])</f>
        <v>MGT.III.C.2:pg28</v>
      </c>
      <c r="K95" s="206" t="s">
        <v>1494</v>
      </c>
      <c r="X95" s="286" t="s">
        <v>1957</v>
      </c>
      <c r="Y95" s="302" t="str">
        <f>IFERROR(IF(SEARCH("WP",Table23[[#This Row],[Link to Reference]])&gt;0,"Work Program","Booklet"),"Booklet")</f>
        <v>Booklet</v>
      </c>
      <c r="Z95" s="286" t="s">
        <v>2000</v>
      </c>
      <c r="AA95" s="302">
        <f>IF(Table23[[#This Row],[Type]]="Booklet",MATCH(LEFT(Table23[[#This Row],[Link to Reference]],FIND(".",Table23[[#This Row],[Link to Reference]])-1),bookletsInfo[Initial],0),MATCH(LEFT(Table23[[#This Row],[Link to Reference]],FIND(".",Table23[[#This Row],[Link to Reference]])-1),WPInfo[Initials],0))</f>
        <v>6</v>
      </c>
      <c r="AB9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95" s="286">
        <v>90</v>
      </c>
      <c r="AD95" s="286" t="str">
        <f>IF(G95=G94,IF(MOD(Table23[[#This Row],[order]],2)=1,"hideOdd","hideEven"),FALSE)</f>
        <v>hideEven</v>
      </c>
      <c r="AE95" s="286">
        <f>IF(Table23[[#This Row],[hideText]]=FALSE,AE94+1,AE94)</f>
        <v>27</v>
      </c>
      <c r="AF95" s="269"/>
      <c r="AO95" s="286" t="s">
        <v>1781</v>
      </c>
    </row>
    <row r="96" spans="1:41" ht="45" x14ac:dyDescent="0.25">
      <c r="A96" s="206" t="s">
        <v>214</v>
      </c>
      <c r="B96" s="206" t="s">
        <v>43</v>
      </c>
      <c r="C96" s="206" t="s">
        <v>44</v>
      </c>
      <c r="D96" s="306" t="str">
        <f>IF(Table23[[#This Row],[hideText]]=FALSE,HYPERLINK(INDEX('Verify Baseline Links'!$P$10:$P$132,MATCH(Table23[[#This Row],[DSorder]],'Verify Baseline Links'!$M$10:$M$132,0)),"DS"),"")</f>
        <v/>
      </c>
      <c r="E96" s="206" t="s">
        <v>1488</v>
      </c>
      <c r="F96" s="223" t="str">
        <f>CLEAN(TRIM(SUBSTITUTE(LEFT(Table23[[#This Row],[Declarative Statement]],MIN(250,LEN(Table23[[#This Row],[Declarative Statement]]))),CHAR(160)," ")))</f>
        <v>Annual information security training is provided.</v>
      </c>
      <c r="G96" s="206">
        <f>MATCH(Table23[[#This Row],[clean DS]],combinedMaturityTable[Dsm clean],0)</f>
        <v>118</v>
      </c>
      <c r="H96" s="223"/>
      <c r="I96" s="223" t="s">
        <v>1495</v>
      </c>
      <c r="J96" s="308" t="str">
        <f>HYPERLINK(Table23[[#This Row],[URL]],Table23[[#This Row],[Link to Reference]])</f>
        <v>MGT.WP.12.5.f</v>
      </c>
      <c r="K96" s="206" t="s">
        <v>1496</v>
      </c>
      <c r="X96" s="286" t="s">
        <v>1957</v>
      </c>
      <c r="Y96" s="302" t="str">
        <f>IFERROR(IF(SEARCH("WP",Table23[[#This Row],[Link to Reference]])&gt;0,"Work Program","Booklet"),"Booklet")</f>
        <v>Work Program</v>
      </c>
      <c r="Z96" s="286">
        <v>16</v>
      </c>
      <c r="AA96" s="302">
        <f>IF(Table23[[#This Row],[Type]]="Booklet",MATCH(LEFT(Table23[[#This Row],[Link to Reference]],FIND(".",Table23[[#This Row],[Link to Reference]])-1),bookletsInfo[Initial],0),MATCH(LEFT(Table23[[#This Row],[Link to Reference]],FIND(".",Table23[[#This Row],[Link to Reference]])-1),WPInfo[Initials],0))</f>
        <v>6</v>
      </c>
      <c r="AB9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96" s="286">
        <v>91</v>
      </c>
      <c r="AD96" s="286" t="str">
        <f>IF(G96=G95,IF(MOD(Table23[[#This Row],[order]],2)=1,"hideOdd","hideEven"),FALSE)</f>
        <v>hideOdd</v>
      </c>
      <c r="AE96" s="286">
        <f>IF(Table23[[#This Row],[hideText]]=FALSE,AE95+1,AE95)</f>
        <v>27</v>
      </c>
      <c r="AF96" s="269"/>
      <c r="AO96" s="286" t="s">
        <v>1782</v>
      </c>
    </row>
    <row r="97" spans="1:41" ht="60" x14ac:dyDescent="0.25">
      <c r="A97" s="206" t="s">
        <v>214</v>
      </c>
      <c r="B97" s="206" t="s">
        <v>43</v>
      </c>
      <c r="C97" s="206" t="s">
        <v>44</v>
      </c>
      <c r="D97" s="306" t="str">
        <f ca="1">IF(Table23[[#This Row],[hideText]]=FALSE,HYPERLINK(INDEX('Verify Baseline Links'!$P$10:$P$132,MATCH(Table23[[#This Row],[DSorder]],'Verify Baseline Links'!$M$10:$M$132,0)),"DS"),"")</f>
        <v>DS</v>
      </c>
      <c r="E97" s="206" t="s">
        <v>1497</v>
      </c>
      <c r="F97" s="223" t="str">
        <f>CLEAN(TRIM(SUBSTITUTE(LEFT(Table23[[#This Row],[Declarative Statement]],MIN(250,LEN(Table23[[#This Row],[Declarative Statement]]))),CHAR(160)," ")))</f>
        <v>Annual information security training includes incident response, current cyber threats (e.g., phishing, spear phishing, social engineering, and mobile security), and emerging issues.</v>
      </c>
      <c r="G97" s="206">
        <f>MATCH(Table23[[#This Row],[clean DS]],combinedMaturityTable[Dsm clean],0)</f>
        <v>119</v>
      </c>
      <c r="H97" s="223">
        <v>2</v>
      </c>
      <c r="I97" s="223" t="s">
        <v>1498</v>
      </c>
      <c r="J97" s="308" t="str">
        <f>HYPERLINK(Table23[[#This Row],[URL]],Table23[[#This Row],[Link to Reference]])</f>
        <v>IS.II.C.7(e):pg17</v>
      </c>
      <c r="K97" s="206" t="s">
        <v>1499</v>
      </c>
      <c r="L97" s="286" t="s">
        <v>1500</v>
      </c>
      <c r="M97" s="286" t="s">
        <v>1501</v>
      </c>
      <c r="N97" s="286" t="s">
        <v>1378</v>
      </c>
      <c r="O97" s="286" t="s">
        <v>1378</v>
      </c>
      <c r="P97" s="286" t="s">
        <v>1378</v>
      </c>
      <c r="Q97" s="286" t="s">
        <v>1378</v>
      </c>
      <c r="R97" s="286" t="s">
        <v>1378</v>
      </c>
      <c r="S97" s="286" t="s">
        <v>1378</v>
      </c>
      <c r="T97" s="286" t="s">
        <v>1378</v>
      </c>
      <c r="U97" s="286" t="s">
        <v>1378</v>
      </c>
      <c r="X97" s="286" t="s">
        <v>1186</v>
      </c>
      <c r="Y97" s="302" t="str">
        <f>IFERROR(IF(SEARCH("WP",Table23[[#This Row],[Link to Reference]])&gt;0,"Work Program","Booklet"),"Booklet")</f>
        <v>Booklet</v>
      </c>
      <c r="Z97" s="286" t="s">
        <v>2005</v>
      </c>
      <c r="AA97" s="302">
        <f>IF(Table23[[#This Row],[Type]]="Booklet",MATCH(LEFT(Table23[[#This Row],[Link to Reference]],FIND(".",Table23[[#This Row],[Link to Reference]])-1),bookletsInfo[Initial],0),MATCH(LEFT(Table23[[#This Row],[Link to Reference]],FIND(".",Table23[[#This Row],[Link to Reference]])-1),WPInfo[Initials],0))</f>
        <v>5</v>
      </c>
      <c r="AB9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https://ithandbook.ffiec.gov/media/274793/ffiec_itbooklet_informationsecurity.pdf#Page=20</v>
      </c>
      <c r="AC97" s="286">
        <v>92</v>
      </c>
      <c r="AD97" s="286" t="b">
        <f>IF(G97=G96,IF(MOD(Table23[[#This Row],[order]],2)=1,"hideOdd","hideEven"),FALSE)</f>
        <v>0</v>
      </c>
      <c r="AE97" s="286">
        <f>IF(Table23[[#This Row],[hideText]]=FALSE,AE96+1,AE96)</f>
        <v>28</v>
      </c>
      <c r="AF97" s="269"/>
      <c r="AO97" s="286" t="s">
        <v>1790</v>
      </c>
    </row>
    <row r="98" spans="1:41" ht="45" x14ac:dyDescent="0.25">
      <c r="A98" s="206" t="s">
        <v>214</v>
      </c>
      <c r="B98" s="206" t="s">
        <v>43</v>
      </c>
      <c r="C98" s="206" t="s">
        <v>44</v>
      </c>
      <c r="D98" s="306" t="str">
        <f>IF(Table23[[#This Row],[hideText]]=FALSE,HYPERLINK(INDEX('Verify Baseline Links'!$P$10:$P$132,MATCH(Table23[[#This Row],[DSorder]],'Verify Baseline Links'!$M$10:$M$132,0)),"DS"),"")</f>
        <v/>
      </c>
      <c r="E98" s="206" t="s">
        <v>1497</v>
      </c>
      <c r="F98" s="223" t="str">
        <f>CLEAN(TRIM(SUBSTITUTE(LEFT(Table23[[#This Row],[Declarative Statement]],MIN(250,LEN(Table23[[#This Row],[Declarative Statement]]))),CHAR(160)," ")))</f>
        <v>Annual information security training includes incident response, current cyber threats (e.g., phishing, spear phishing, social engineering, and mobile security), and emerging issues.</v>
      </c>
      <c r="G98" s="206">
        <f>MATCH(Table23[[#This Row],[clean DS]],combinedMaturityTable[Dsm clean],0)</f>
        <v>119</v>
      </c>
      <c r="H98" s="223"/>
      <c r="I98" s="223" t="s">
        <v>1500</v>
      </c>
      <c r="J98" s="308" t="str">
        <f>HYPERLINK(Table23[[#This Row],[URL]],Table23[[#This Row],[Link to Reference]])</f>
        <v>IS.WP.6.8.f</v>
      </c>
      <c r="K98" s="206" t="s">
        <v>1501</v>
      </c>
      <c r="X98" s="286" t="s">
        <v>1186</v>
      </c>
      <c r="Y98" s="302" t="str">
        <f>IFERROR(IF(SEARCH("WP",Table23[[#This Row],[Link to Reference]])&gt;0,"Work Program","Booklet"),"Booklet")</f>
        <v>Work Program</v>
      </c>
      <c r="Z98" s="286">
        <v>8</v>
      </c>
      <c r="AA98" s="302">
        <f>IF(Table23[[#This Row],[Type]]="Booklet",MATCH(LEFT(Table23[[#This Row],[Link to Reference]],FIND(".",Table23[[#This Row],[Link to Reference]])-1),bookletsInfo[Initial],0),MATCH(LEFT(Table23[[#This Row],[Link to Reference]],FIND(".",Table23[[#This Row],[Link to Reference]])-1),WPInfo[Initials],0))</f>
        <v>5</v>
      </c>
      <c r="AB9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98" s="286">
        <v>93</v>
      </c>
      <c r="AD98" s="286" t="str">
        <f>IF(G98=G97,IF(MOD(Table23[[#This Row],[order]],2)=1,"hideOdd","hideEven"),FALSE)</f>
        <v>hideOdd</v>
      </c>
      <c r="AE98" s="286">
        <f>IF(Table23[[#This Row],[hideText]]=FALSE,AE97+1,AE97)</f>
        <v>28</v>
      </c>
      <c r="AF98" s="269"/>
      <c r="AO98" s="286" t="s">
        <v>1794</v>
      </c>
    </row>
    <row r="99" spans="1:41" ht="60" x14ac:dyDescent="0.25">
      <c r="A99" s="206" t="s">
        <v>214</v>
      </c>
      <c r="B99" s="206" t="s">
        <v>43</v>
      </c>
      <c r="C99" s="206" t="s">
        <v>44</v>
      </c>
      <c r="D99" s="306" t="str">
        <f ca="1">IF(Table23[[#This Row],[hideText]]=FALSE,HYPERLINK(INDEX('Verify Baseline Links'!$P$10:$P$132,MATCH(Table23[[#This Row],[DSorder]],'Verify Baseline Links'!$M$10:$M$132,0)),"DS"),"")</f>
        <v>DS</v>
      </c>
      <c r="E99" s="206" t="s">
        <v>1502</v>
      </c>
      <c r="F99" s="223" t="str">
        <f>CLEAN(TRIM(SUBSTITUTE(LEFT(Table23[[#This Row],[Declarative Statement]],MIN(250,LEN(Table23[[#This Row],[Declarative Statement]]))),CHAR(160)," ")))</f>
        <v>Situational awareness materials are made available to employees when prompted by highly visible cyber events or by regulatory alerts.</v>
      </c>
      <c r="G99" s="206">
        <f>MATCH(Table23[[#This Row],[clean DS]],combinedMaturityTable[Dsm clean],0)</f>
        <v>120</v>
      </c>
      <c r="H99" s="223">
        <v>2</v>
      </c>
      <c r="I99" s="223" t="s">
        <v>1498</v>
      </c>
      <c r="J99" s="308" t="str">
        <f>HYPERLINK(Table23[[#This Row],[URL]],Table23[[#This Row],[Link to Reference]])</f>
        <v>IS.II.C.7(e):pg17</v>
      </c>
      <c r="K99" s="206" t="s">
        <v>1504</v>
      </c>
      <c r="L99" s="286" t="s">
        <v>1500</v>
      </c>
      <c r="M99" s="286" t="s">
        <v>1501</v>
      </c>
      <c r="N99" s="286" t="s">
        <v>1378</v>
      </c>
      <c r="O99" s="286" t="s">
        <v>1378</v>
      </c>
      <c r="P99" s="286" t="s">
        <v>1378</v>
      </c>
      <c r="Q99" s="286" t="s">
        <v>1378</v>
      </c>
      <c r="R99" s="286" t="s">
        <v>1378</v>
      </c>
      <c r="S99" s="286" t="s">
        <v>1378</v>
      </c>
      <c r="T99" s="286" t="s">
        <v>1378</v>
      </c>
      <c r="U99" s="286" t="s">
        <v>1378</v>
      </c>
      <c r="X99" s="286" t="s">
        <v>1186</v>
      </c>
      <c r="Y99" s="302" t="str">
        <f>IFERROR(IF(SEARCH("WP",Table23[[#This Row],[Link to Reference]])&gt;0,"Work Program","Booklet"),"Booklet")</f>
        <v>Booklet</v>
      </c>
      <c r="Z99" s="286" t="s">
        <v>2005</v>
      </c>
      <c r="AA99" s="302">
        <f>IF(Table23[[#This Row],[Type]]="Booklet",MATCH(LEFT(Table23[[#This Row],[Link to Reference]],FIND(".",Table23[[#This Row],[Link to Reference]])-1),bookletsInfo[Initial],0),MATCH(LEFT(Table23[[#This Row],[Link to Reference]],FIND(".",Table23[[#This Row],[Link to Reference]])-1),WPInfo[Initials],0))</f>
        <v>5</v>
      </c>
      <c r="AB9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https://ithandbook.ffiec.gov/media/274793/ffiec_itbooklet_informationsecurity.pdf#Page=20</v>
      </c>
      <c r="AC99" s="286">
        <v>94</v>
      </c>
      <c r="AD99" s="286" t="b">
        <f>IF(G99=G98,IF(MOD(Table23[[#This Row],[order]],2)=1,"hideOdd","hideEven"),FALSE)</f>
        <v>0</v>
      </c>
      <c r="AE99" s="286">
        <f>IF(Table23[[#This Row],[hideText]]=FALSE,AE98+1,AE98)</f>
        <v>29</v>
      </c>
      <c r="AF99" s="269"/>
      <c r="AO99" s="286" t="s">
        <v>1804</v>
      </c>
    </row>
    <row r="100" spans="1:41" ht="45" x14ac:dyDescent="0.25">
      <c r="A100" s="206" t="s">
        <v>214</v>
      </c>
      <c r="B100" s="206" t="s">
        <v>43</v>
      </c>
      <c r="C100" s="206" t="s">
        <v>44</v>
      </c>
      <c r="D100" s="306" t="str">
        <f>IF(Table23[[#This Row],[hideText]]=FALSE,HYPERLINK(INDEX('Verify Baseline Links'!$P$10:$P$132,MATCH(Table23[[#This Row],[DSorder]],'Verify Baseline Links'!$M$10:$M$132,0)),"DS"),"")</f>
        <v/>
      </c>
      <c r="E100" s="206" t="s">
        <v>1502</v>
      </c>
      <c r="F100" s="223" t="str">
        <f>CLEAN(TRIM(SUBSTITUTE(LEFT(Table23[[#This Row],[Declarative Statement]],MIN(250,LEN(Table23[[#This Row],[Declarative Statement]]))),CHAR(160)," ")))</f>
        <v>Situational awareness materials are made available to employees when prompted by highly visible cyber events or by regulatory alerts.</v>
      </c>
      <c r="G100" s="206">
        <f>MATCH(Table23[[#This Row],[clean DS]],combinedMaturityTable[Dsm clean],0)</f>
        <v>120</v>
      </c>
      <c r="H100" s="223"/>
      <c r="I100" s="223" t="s">
        <v>1500</v>
      </c>
      <c r="J100" s="308" t="str">
        <f>HYPERLINK(Table23[[#This Row],[URL]],Table23[[#This Row],[Link to Reference]])</f>
        <v>IS.WP.6.8.f</v>
      </c>
      <c r="K100" s="206" t="s">
        <v>1501</v>
      </c>
      <c r="X100" s="286" t="s">
        <v>1186</v>
      </c>
      <c r="Y100" s="302" t="str">
        <f>IFERROR(IF(SEARCH("WP",Table23[[#This Row],[Link to Reference]])&gt;0,"Work Program","Booklet"),"Booklet")</f>
        <v>Work Program</v>
      </c>
      <c r="Z100" s="286">
        <v>8</v>
      </c>
      <c r="AA100" s="302">
        <f>IF(Table23[[#This Row],[Type]]="Booklet",MATCH(LEFT(Table23[[#This Row],[Link to Reference]],FIND(".",Table23[[#This Row],[Link to Reference]])-1),bookletsInfo[Initial],0),MATCH(LEFT(Table23[[#This Row],[Link to Reference]],FIND(".",Table23[[#This Row],[Link to Reference]])-1),WPInfo[Initials],0))</f>
        <v>5</v>
      </c>
      <c r="AB10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100" s="286">
        <v>95</v>
      </c>
      <c r="AD100" s="286" t="str">
        <f>IF(G100=G99,IF(MOD(Table23[[#This Row],[order]],2)=1,"hideOdd","hideEven"),FALSE)</f>
        <v>hideOdd</v>
      </c>
      <c r="AE100" s="286">
        <f>IF(Table23[[#This Row],[hideText]]=FALSE,AE99+1,AE99)</f>
        <v>29</v>
      </c>
      <c r="AF100" s="269"/>
      <c r="AO100" s="286" t="s">
        <v>1810</v>
      </c>
    </row>
    <row r="101" spans="1:41" ht="45" x14ac:dyDescent="0.25">
      <c r="A101" s="206" t="s">
        <v>214</v>
      </c>
      <c r="B101" s="206" t="s">
        <v>43</v>
      </c>
      <c r="C101" s="206" t="s">
        <v>44</v>
      </c>
      <c r="D101" s="306" t="str">
        <f ca="1">IF(Table23[[#This Row],[hideText]]=FALSE,HYPERLINK(INDEX('Verify Baseline Links'!$P$10:$P$132,MATCH(Table23[[#This Row],[DSorder]],'Verify Baseline Links'!$M$10:$M$132,0)),"DS"),"")</f>
        <v>DS</v>
      </c>
      <c r="E101" s="206" t="s">
        <v>1505</v>
      </c>
      <c r="F101" s="223" t="str">
        <f>CLEAN(TRIM(SUBSTITUTE(LEFT(Table23[[#This Row],[Declarative Statement]],MIN(250,LEN(Table23[[#This Row],[Declarative Statement]]))),CHAR(160)," ")))</f>
        <v>Customer awareness materials are readily available (e.g., DHS’ Cybersecurity Awareness Month materials).</v>
      </c>
      <c r="G101" s="206">
        <f>MATCH(Table23[[#This Row],[clean DS]],combinedMaturityTable[Dsm clean],0)</f>
        <v>121</v>
      </c>
      <c r="H101" s="223">
        <v>3</v>
      </c>
      <c r="I101" s="223" t="s">
        <v>1506</v>
      </c>
      <c r="J101" s="308" t="str">
        <f>HYPERLINK(Table23[[#This Row],[URL]],Table23[[#This Row],[Link to Reference]])</f>
        <v>IS.II.C.16:pg36</v>
      </c>
      <c r="K101" s="206" t="s">
        <v>1507</v>
      </c>
      <c r="L101" s="286" t="s">
        <v>1508</v>
      </c>
      <c r="M101" s="286" t="s">
        <v>1509</v>
      </c>
      <c r="N101" s="286" t="s">
        <v>1510</v>
      </c>
      <c r="O101" s="286" t="s">
        <v>1511</v>
      </c>
      <c r="P101" s="286" t="s">
        <v>1378</v>
      </c>
      <c r="Q101" s="286" t="s">
        <v>1378</v>
      </c>
      <c r="R101" s="286" t="s">
        <v>1378</v>
      </c>
      <c r="S101" s="286" t="s">
        <v>1378</v>
      </c>
      <c r="T101" s="286" t="s">
        <v>1378</v>
      </c>
      <c r="U101" s="286" t="s">
        <v>1378</v>
      </c>
      <c r="X101" s="286" t="s">
        <v>1186</v>
      </c>
      <c r="Y101" s="302" t="str">
        <f>IFERROR(IF(SEARCH("WP",Table23[[#This Row],[Link to Reference]])&gt;0,"Work Program","Booklet"),"Booklet")</f>
        <v>Booklet</v>
      </c>
      <c r="Z101" s="286" t="s">
        <v>2022</v>
      </c>
      <c r="AA101" s="302">
        <f>IF(Table23[[#This Row],[Type]]="Booklet",MATCH(LEFT(Table23[[#This Row],[Link to Reference]],FIND(".",Table23[[#This Row],[Link to Reference]])-1),bookletsInfo[Initial],0),MATCH(LEFT(Table23[[#This Row],[Link to Reference]],FIND(".",Table23[[#This Row],[Link to Reference]])-1),WPInfo[Initials],0))</f>
        <v>5</v>
      </c>
      <c r="AB10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01" s="286">
        <v>96</v>
      </c>
      <c r="AD101" s="286" t="b">
        <f>IF(G101=G100,IF(MOD(Table23[[#This Row],[order]],2)=1,"hideOdd","hideEven"),FALSE)</f>
        <v>0</v>
      </c>
      <c r="AE101" s="286">
        <f>IF(Table23[[#This Row],[hideText]]=FALSE,AE100+1,AE100)</f>
        <v>30</v>
      </c>
      <c r="AF101" s="269"/>
      <c r="AO101" s="286" t="s">
        <v>1813</v>
      </c>
    </row>
    <row r="102" spans="1:41" ht="45" x14ac:dyDescent="0.25">
      <c r="A102" s="206" t="s">
        <v>214</v>
      </c>
      <c r="B102" s="206" t="s">
        <v>43</v>
      </c>
      <c r="C102" s="206" t="s">
        <v>44</v>
      </c>
      <c r="D102" s="306" t="str">
        <f>IF(Table23[[#This Row],[hideText]]=FALSE,HYPERLINK(INDEX('Verify Baseline Links'!$P$10:$P$132,MATCH(Table23[[#This Row],[DSorder]],'Verify Baseline Links'!$M$10:$M$132,0)),"DS"),"")</f>
        <v/>
      </c>
      <c r="E102" s="206" t="s">
        <v>1505</v>
      </c>
      <c r="F102" s="223" t="str">
        <f>CLEAN(TRIM(SUBSTITUTE(LEFT(Table23[[#This Row],[Declarative Statement]],MIN(250,LEN(Table23[[#This Row],[Declarative Statement]]))),CHAR(160)," ")))</f>
        <v>Customer awareness materials are readily available (e.g., DHS’ Cybersecurity Awareness Month materials).</v>
      </c>
      <c r="G102" s="206">
        <f>MATCH(Table23[[#This Row],[clean DS]],combinedMaturityTable[Dsm clean],0)</f>
        <v>121</v>
      </c>
      <c r="H102" s="223"/>
      <c r="I102" s="223" t="s">
        <v>1510</v>
      </c>
      <c r="J102" s="308" t="str">
        <f>HYPERLINK(Table23[[#This Row],[URL]],Table23[[#This Row],[Link to Reference]])</f>
        <v>IS.WP.6.26</v>
      </c>
      <c r="K102" s="206" t="s">
        <v>1511</v>
      </c>
      <c r="X102" s="286" t="s">
        <v>1186</v>
      </c>
      <c r="Y102" s="302" t="str">
        <f>IFERROR(IF(SEARCH("WP",Table23[[#This Row],[Link to Reference]])&gt;0,"Work Program","Booklet"),"Booklet")</f>
        <v>Work Program</v>
      </c>
      <c r="Z102" s="286">
        <v>14</v>
      </c>
      <c r="AA102" s="302">
        <f>IF(Table23[[#This Row],[Type]]="Booklet",MATCH(LEFT(Table23[[#This Row],[Link to Reference]],FIND(".",Table23[[#This Row],[Link to Reference]])-1),bookletsInfo[Initial],0),MATCH(LEFT(Table23[[#This Row],[Link to Reference]],FIND(".",Table23[[#This Row],[Link to Reference]])-1),WPInfo[Initials],0))</f>
        <v>5</v>
      </c>
      <c r="AB10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102" s="286">
        <v>98</v>
      </c>
      <c r="AD102" s="286" t="str">
        <f>IF(G102=G101,IF(MOD(Table23[[#This Row],[order]],2)=1,"hideOdd","hideEven"),FALSE)</f>
        <v>hideEven</v>
      </c>
      <c r="AE102" s="286">
        <f>IF(Table23[[#This Row],[hideText]]=FALSE,AE101+1,AE101)</f>
        <v>30</v>
      </c>
      <c r="AF102" s="269"/>
      <c r="AO102" s="286" t="s">
        <v>1817</v>
      </c>
    </row>
    <row r="103" spans="1:41" ht="45" x14ac:dyDescent="0.25">
      <c r="A103" s="206" t="s">
        <v>214</v>
      </c>
      <c r="B103" s="206" t="s">
        <v>43</v>
      </c>
      <c r="C103" s="206" t="s">
        <v>44</v>
      </c>
      <c r="D103" s="306" t="str">
        <f>IF(Table23[[#This Row],[hideText]]=FALSE,HYPERLINK(INDEX('Verify Baseline Links'!$P$10:$P$132,MATCH(Table23[[#This Row],[DSorder]],'Verify Baseline Links'!$M$10:$M$132,0)),"DS"),"")</f>
        <v/>
      </c>
      <c r="E103" s="206" t="s">
        <v>1505</v>
      </c>
      <c r="F103" s="223" t="str">
        <f>CLEAN(TRIM(SUBSTITUTE(LEFT(Table23[[#This Row],[Declarative Statement]],MIN(250,LEN(Table23[[#This Row],[Declarative Statement]]))),CHAR(160)," ")))</f>
        <v>Customer awareness materials are readily available (e.g., DHS’ Cybersecurity Awareness Month materials).</v>
      </c>
      <c r="G103" s="206">
        <f>MATCH(Table23[[#This Row],[clean DS]],combinedMaturityTable[Dsm clean],0)</f>
        <v>121</v>
      </c>
      <c r="H103" s="223"/>
      <c r="I103" s="223" t="s">
        <v>1508</v>
      </c>
      <c r="J103" s="308" t="str">
        <f>HYPERLINK(Table23[[#This Row],[URL]],Table23[[#This Row],[Link to Reference]])</f>
        <v>IS.II.C.16(a)</v>
      </c>
      <c r="K103" s="206" t="s">
        <v>1509</v>
      </c>
      <c r="X103" s="286" t="s">
        <v>1186</v>
      </c>
      <c r="Y103" s="302" t="str">
        <f>IFERROR(IF(SEARCH("WP",Table23[[#This Row],[Link to Reference]])&gt;0,"Work Program","Booklet"),"Booklet")</f>
        <v>Booklet</v>
      </c>
      <c r="Z103" s="286">
        <v>37</v>
      </c>
      <c r="AA103" s="302">
        <f>IF(Table23[[#This Row],[Type]]="Booklet",MATCH(LEFT(Table23[[#This Row],[Link to Reference]],FIND(".",Table23[[#This Row],[Link to Reference]])-1),bookletsInfo[Initial],0),MATCH(LEFT(Table23[[#This Row],[Link to Reference]],FIND(".",Table23[[#This Row],[Link to Reference]])-1),WPInfo[Initials],0))</f>
        <v>5</v>
      </c>
      <c r="AB10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https://ithandbook.ffiec.gov/media/274793/ffiec_itbooklet_informationsecurity.pdf#Page=40</v>
      </c>
      <c r="AC103" s="286">
        <v>97</v>
      </c>
      <c r="AD103" s="286" t="str">
        <f>IF(G103=G102,IF(MOD(Table23[[#This Row],[order]],2)=1,"hideOdd","hideEven"),FALSE)</f>
        <v>hideOdd</v>
      </c>
      <c r="AE103" s="286">
        <f>IF(Table23[[#This Row],[hideText]]=FALSE,AE102+1,AE102)</f>
        <v>30</v>
      </c>
      <c r="AF103" s="269"/>
      <c r="AO103" s="286" t="s">
        <v>1821</v>
      </c>
    </row>
    <row r="104" spans="1:41" ht="45" x14ac:dyDescent="0.25">
      <c r="A104" s="206" t="s">
        <v>214</v>
      </c>
      <c r="B104" s="206" t="s">
        <v>43</v>
      </c>
      <c r="C104" s="206" t="s">
        <v>45</v>
      </c>
      <c r="D104" s="306" t="str">
        <f ca="1">IF(Table23[[#This Row],[hideText]]=FALSE,HYPERLINK(INDEX('Verify Baseline Links'!$P$10:$P$132,MATCH(Table23[[#This Row],[DSorder]],'Verify Baseline Links'!$M$10:$M$132,0)),"DS"),"")</f>
        <v>DS</v>
      </c>
      <c r="E104" s="206" t="s">
        <v>1512</v>
      </c>
      <c r="F104" s="223" t="str">
        <f>CLEAN(TRIM(SUBSTITUTE(LEFT(Table23[[#This Row],[Declarative Statement]],MIN(250,LEN(Table23[[#This Row],[Declarative Statement]]))),CHAR(160)," ")))</f>
        <v>Management holds employees accountable for complying with the information security program.</v>
      </c>
      <c r="G104" s="206">
        <f>MATCH(Table23[[#This Row],[clean DS]],combinedMaturityTable[Dsm clean],0)</f>
        <v>133</v>
      </c>
      <c r="H104" s="223">
        <v>3</v>
      </c>
      <c r="I104" s="223" t="s">
        <v>1498</v>
      </c>
      <c r="J104" s="308" t="str">
        <f>HYPERLINK(Table23[[#This Row],[URL]],Table23[[#This Row],[Link to Reference]])</f>
        <v>IS.II.C.7(e):pg17</v>
      </c>
      <c r="K104" s="206" t="s">
        <v>1513</v>
      </c>
      <c r="L104" s="286" t="s">
        <v>1493</v>
      </c>
      <c r="M104" s="286" t="s">
        <v>1514</v>
      </c>
      <c r="N104" s="286" t="s">
        <v>1515</v>
      </c>
      <c r="O104" s="286" t="s">
        <v>1516</v>
      </c>
      <c r="P104" s="286" t="s">
        <v>1378</v>
      </c>
      <c r="Q104" s="286" t="s">
        <v>1378</v>
      </c>
      <c r="R104" s="286" t="s">
        <v>1378</v>
      </c>
      <c r="S104" s="286" t="s">
        <v>1378</v>
      </c>
      <c r="T104" s="286" t="s">
        <v>1378</v>
      </c>
      <c r="U104" s="286" t="s">
        <v>1378</v>
      </c>
      <c r="X104" s="286" t="s">
        <v>1186</v>
      </c>
      <c r="Y104" s="302" t="str">
        <f>IFERROR(IF(SEARCH("WP",Table23[[#This Row],[Link to Reference]])&gt;0,"Work Program","Booklet"),"Booklet")</f>
        <v>Booklet</v>
      </c>
      <c r="Z104" s="286" t="s">
        <v>2005</v>
      </c>
      <c r="AA104" s="302">
        <f>IF(Table23[[#This Row],[Type]]="Booklet",MATCH(LEFT(Table23[[#This Row],[Link to Reference]],FIND(".",Table23[[#This Row],[Link to Reference]])-1),bookletsInfo[Initial],0),MATCH(LEFT(Table23[[#This Row],[Link to Reference]],FIND(".",Table23[[#This Row],[Link to Reference]])-1),WPInfo[Initials],0))</f>
        <v>5</v>
      </c>
      <c r="AB10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https://ithandbook.ffiec.gov/media/274793/ffiec_itbooklet_informationsecurity.pdf#Page=20</v>
      </c>
      <c r="AC104" s="286">
        <v>99</v>
      </c>
      <c r="AD104" s="286" t="b">
        <f>IF(G104=G103,IF(MOD(Table23[[#This Row],[order]],2)=1,"hideOdd","hideEven"),FALSE)</f>
        <v>0</v>
      </c>
      <c r="AE104" s="286">
        <f>IF(Table23[[#This Row],[hideText]]=FALSE,AE103+1,AE103)</f>
        <v>31</v>
      </c>
      <c r="AF104" s="269"/>
      <c r="AO104" s="286" t="s">
        <v>1825</v>
      </c>
    </row>
    <row r="105" spans="1:41" ht="45" x14ac:dyDescent="0.25">
      <c r="A105" s="206" t="s">
        <v>214</v>
      </c>
      <c r="B105" s="206" t="s">
        <v>43</v>
      </c>
      <c r="C105" s="206" t="s">
        <v>45</v>
      </c>
      <c r="D105" s="306" t="str">
        <f>IF(Table23[[#This Row],[hideText]]=FALSE,HYPERLINK(INDEX('Verify Baseline Links'!$P$10:$P$132,MATCH(Table23[[#This Row],[DSorder]],'Verify Baseline Links'!$M$10:$M$132,0)),"DS"),"")</f>
        <v/>
      </c>
      <c r="E105" s="206" t="s">
        <v>1512</v>
      </c>
      <c r="F105" s="223" t="str">
        <f>CLEAN(TRIM(SUBSTITUTE(LEFT(Table23[[#This Row],[Declarative Statement]],MIN(250,LEN(Table23[[#This Row],[Declarative Statement]]))),CHAR(160)," ")))</f>
        <v>Management holds employees accountable for complying with the information security program.</v>
      </c>
      <c r="G105" s="206">
        <f>MATCH(Table23[[#This Row],[clean DS]],combinedMaturityTable[Dsm clean],0)</f>
        <v>133</v>
      </c>
      <c r="H105" s="223"/>
      <c r="I105" s="223" t="s">
        <v>1493</v>
      </c>
      <c r="J105" s="308" t="str">
        <f>HYPERLINK(Table23[[#This Row],[URL]],Table23[[#This Row],[Link to Reference]])</f>
        <v>MGT.III.C.2:pg28</v>
      </c>
      <c r="K105" s="206" t="s">
        <v>1514</v>
      </c>
      <c r="X105" s="286" t="s">
        <v>1957</v>
      </c>
      <c r="Y105" s="302" t="str">
        <f>IFERROR(IF(SEARCH("WP",Table23[[#This Row],[Link to Reference]])&gt;0,"Work Program","Booklet"),"Booklet")</f>
        <v>Booklet</v>
      </c>
      <c r="Z105" s="286" t="s">
        <v>2000</v>
      </c>
      <c r="AA105" s="302">
        <f>IF(Table23[[#This Row],[Type]]="Booklet",MATCH(LEFT(Table23[[#This Row],[Link to Reference]],FIND(".",Table23[[#This Row],[Link to Reference]])-1),bookletsInfo[Initial],0),MATCH(LEFT(Table23[[#This Row],[Link to Reference]],FIND(".",Table23[[#This Row],[Link to Reference]])-1),WPInfo[Initials],0))</f>
        <v>6</v>
      </c>
      <c r="AB10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105" s="286">
        <v>100</v>
      </c>
      <c r="AD105" s="286" t="str">
        <f>IF(G105=G104,IF(MOD(Table23[[#This Row],[order]],2)=1,"hideOdd","hideEven"),FALSE)</f>
        <v>hideEven</v>
      </c>
      <c r="AE105" s="286">
        <f>IF(Table23[[#This Row],[hideText]]=FALSE,AE104+1,AE104)</f>
        <v>31</v>
      </c>
      <c r="AF105" s="269"/>
      <c r="AO105" s="286" t="s">
        <v>1827</v>
      </c>
    </row>
    <row r="106" spans="1:41" ht="45" x14ac:dyDescent="0.25">
      <c r="A106" s="206" t="s">
        <v>214</v>
      </c>
      <c r="B106" s="206" t="s">
        <v>43</v>
      </c>
      <c r="C106" s="206" t="s">
        <v>45</v>
      </c>
      <c r="D106" s="306" t="str">
        <f>IF(Table23[[#This Row],[hideText]]=FALSE,HYPERLINK(INDEX('Verify Baseline Links'!$P$10:$P$132,MATCH(Table23[[#This Row],[DSorder]],'Verify Baseline Links'!$M$10:$M$132,0)),"DS"),"")</f>
        <v/>
      </c>
      <c r="E106" s="206" t="s">
        <v>1512</v>
      </c>
      <c r="F106" s="223" t="str">
        <f>CLEAN(TRIM(SUBSTITUTE(LEFT(Table23[[#This Row],[Declarative Statement]],MIN(250,LEN(Table23[[#This Row],[Declarative Statement]]))),CHAR(160)," ")))</f>
        <v>Management holds employees accountable for complying with the information security program.</v>
      </c>
      <c r="G106" s="206">
        <f>MATCH(Table23[[#This Row],[clean DS]],combinedMaturityTable[Dsm clean],0)</f>
        <v>133</v>
      </c>
      <c r="H106" s="223"/>
      <c r="I106" s="223" t="s">
        <v>1515</v>
      </c>
      <c r="J106" s="308" t="str">
        <f>HYPERLINK(Table23[[#This Row],[URL]],Table23[[#This Row],[Link to Reference]])</f>
        <v>MGT.WP.12.5</v>
      </c>
      <c r="K106" s="206" t="s">
        <v>1516</v>
      </c>
      <c r="X106" s="286" t="s">
        <v>1957</v>
      </c>
      <c r="Y106" s="302" t="str">
        <f>IFERROR(IF(SEARCH("WP",Table23[[#This Row],[Link to Reference]])&gt;0,"Work Program","Booklet"),"Booklet")</f>
        <v>Work Program</v>
      </c>
      <c r="Z106" s="286">
        <v>15</v>
      </c>
      <c r="AA106" s="302">
        <f>IF(Table23[[#This Row],[Type]]="Booklet",MATCH(LEFT(Table23[[#This Row],[Link to Reference]],FIND(".",Table23[[#This Row],[Link to Reference]])-1),bookletsInfo[Initial],0),MATCH(LEFT(Table23[[#This Row],[Link to Reference]],FIND(".",Table23[[#This Row],[Link to Reference]])-1),WPInfo[Initials],0))</f>
        <v>6</v>
      </c>
      <c r="AB10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https://watkinsconsulting.com/wp-content/uploads/2019/02/Management-IT-WorkProgram.pdf#Page=15</v>
      </c>
      <c r="AC106" s="286">
        <v>101</v>
      </c>
      <c r="AD106" s="286" t="str">
        <f>IF(G106=G105,IF(MOD(Table23[[#This Row],[order]],2)=1,"hideOdd","hideEven"),FALSE)</f>
        <v>hideOdd</v>
      </c>
      <c r="AE106" s="286">
        <f>IF(Table23[[#This Row],[hideText]]=FALSE,AE105+1,AE105)</f>
        <v>31</v>
      </c>
      <c r="AF106" s="269"/>
      <c r="AO106" s="286" t="s">
        <v>1829</v>
      </c>
    </row>
    <row r="107" spans="1:41" ht="60" x14ac:dyDescent="0.25">
      <c r="A107" s="206" t="s">
        <v>210</v>
      </c>
      <c r="B107" s="206" t="s">
        <v>191</v>
      </c>
      <c r="C107" s="206" t="s">
        <v>611</v>
      </c>
      <c r="D107" s="306" t="str">
        <f ca="1">IF(Table23[[#This Row],[hideText]]=FALSE,HYPERLINK(INDEX('Verify Baseline Links'!$P$10:$P$132,MATCH(Table23[[#This Row],[DSorder]],'Verify Baseline Links'!$M$10:$M$132,0)),"DS"),"")</f>
        <v>DS</v>
      </c>
      <c r="E107" s="206" t="s">
        <v>2072</v>
      </c>
      <c r="F107" s="223"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07" s="206">
        <f>MATCH(Table23[[#This Row],[clean DS]],combinedMaturityTable[Dsm clean],0)</f>
        <v>142</v>
      </c>
      <c r="H107" s="223">
        <v>4</v>
      </c>
      <c r="I107" s="223" t="s">
        <v>1436</v>
      </c>
      <c r="J107" s="308" t="str">
        <f>HYPERLINK(Table23[[#This Row],[URL]],Table23[[#This Row],[Link to Reference]])</f>
        <v>IS.II.C:pg11</v>
      </c>
      <c r="K107" s="206" t="s">
        <v>1518</v>
      </c>
      <c r="L107" s="286" t="s">
        <v>1519</v>
      </c>
      <c r="M107" s="286" t="s">
        <v>1520</v>
      </c>
      <c r="N107" s="286" t="s">
        <v>1374</v>
      </c>
      <c r="O107" s="286" t="s">
        <v>1375</v>
      </c>
      <c r="P107" s="286" t="s">
        <v>1376</v>
      </c>
      <c r="Q107" s="286" t="s">
        <v>1521</v>
      </c>
      <c r="R107" s="286" t="s">
        <v>1378</v>
      </c>
      <c r="S107" s="286" t="s">
        <v>1378</v>
      </c>
      <c r="T107" s="286" t="s">
        <v>1378</v>
      </c>
      <c r="U107" s="286" t="s">
        <v>1378</v>
      </c>
      <c r="X107" s="286" t="s">
        <v>1186</v>
      </c>
      <c r="Y107" s="302" t="str">
        <f>IFERROR(IF(SEARCH("WP",Table23[[#This Row],[Link to Reference]])&gt;0,"Work Program","Booklet"),"Booklet")</f>
        <v>Booklet</v>
      </c>
      <c r="Z107" s="286" t="s">
        <v>2017</v>
      </c>
      <c r="AA107" s="302">
        <f>IF(Table23[[#This Row],[Type]]="Booklet",MATCH(LEFT(Table23[[#This Row],[Link to Reference]],FIND(".",Table23[[#This Row],[Link to Reference]])-1),bookletsInfo[Initial],0),MATCH(LEFT(Table23[[#This Row],[Link to Reference]],FIND(".",Table23[[#This Row],[Link to Reference]])-1),WPInfo[Initials],0))</f>
        <v>5</v>
      </c>
      <c r="AB10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07" s="286">
        <v>102</v>
      </c>
      <c r="AD107" s="286" t="b">
        <f>IF(G107=G106,IF(MOD(Table23[[#This Row],[order]],2)=1,"hideOdd","hideEven"),FALSE)</f>
        <v>0</v>
      </c>
      <c r="AE107" s="286">
        <f>IF(Table23[[#This Row],[hideText]]=FALSE,AE106+1,AE106)</f>
        <v>32</v>
      </c>
      <c r="AF107" s="269"/>
      <c r="AO107" s="286" t="s">
        <v>1836</v>
      </c>
    </row>
    <row r="108" spans="1:41" ht="60" x14ac:dyDescent="0.25">
      <c r="A108" s="206" t="s">
        <v>210</v>
      </c>
      <c r="B108" s="206" t="s">
        <v>191</v>
      </c>
      <c r="C108" s="206" t="s">
        <v>611</v>
      </c>
      <c r="D108" s="306" t="str">
        <f>IF(Table23[[#This Row],[hideText]]=FALSE,HYPERLINK(INDEX('Verify Baseline Links'!$P$10:$P$132,MATCH(Table23[[#This Row],[DSorder]],'Verify Baseline Links'!$M$10:$M$132,0)),"DS"),"")</f>
        <v/>
      </c>
      <c r="E108" s="206" t="s">
        <v>2072</v>
      </c>
      <c r="F108" s="223"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08" s="206">
        <f>MATCH(Table23[[#This Row],[clean DS]],combinedMaturityTable[Dsm clean],0)</f>
        <v>142</v>
      </c>
      <c r="H108" s="223"/>
      <c r="I108" s="223" t="s">
        <v>1519</v>
      </c>
      <c r="J108" s="308" t="str">
        <f>HYPERLINK(Table23[[#This Row],[URL]],Table23[[#This Row],[Link to Reference]])</f>
        <v>IS.WP.8.3.f</v>
      </c>
      <c r="K108" s="206" t="s">
        <v>1520</v>
      </c>
      <c r="X108" s="286" t="s">
        <v>1186</v>
      </c>
      <c r="Y108" s="302" t="str">
        <f>IFERROR(IF(SEARCH("WP",Table23[[#This Row],[Link to Reference]])&gt;0,"Work Program","Booklet"),"Booklet")</f>
        <v>Work Program</v>
      </c>
      <c r="Z108" s="286">
        <v>19</v>
      </c>
      <c r="AA108" s="302">
        <f>IF(Table23[[#This Row],[Type]]="Booklet",MATCH(LEFT(Table23[[#This Row],[Link to Reference]],FIND(".",Table23[[#This Row],[Link to Reference]])-1),bookletsInfo[Initial],0),MATCH(LEFT(Table23[[#This Row],[Link to Reference]],FIND(".",Table23[[#This Row],[Link to Reference]])-1),WPInfo[Initials],0))</f>
        <v>5</v>
      </c>
      <c r="AB10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108" s="286">
        <v>103</v>
      </c>
      <c r="AD108" s="286" t="str">
        <f>IF(G108=G107,IF(MOD(Table23[[#This Row],[order]],2)=1,"hideOdd","hideEven"),FALSE)</f>
        <v>hideOdd</v>
      </c>
      <c r="AE108" s="286">
        <f>IF(Table23[[#This Row],[hideText]]=FALSE,AE107+1,AE107)</f>
        <v>32</v>
      </c>
      <c r="AF108" s="269"/>
      <c r="AO108" s="286" t="s">
        <v>1842</v>
      </c>
    </row>
    <row r="109" spans="1:41" ht="60" x14ac:dyDescent="0.25">
      <c r="A109" s="206" t="s">
        <v>210</v>
      </c>
      <c r="B109" s="206" t="s">
        <v>191</v>
      </c>
      <c r="C109" s="206" t="s">
        <v>611</v>
      </c>
      <c r="D109" s="306" t="str">
        <f>IF(Table23[[#This Row],[hideText]]=FALSE,HYPERLINK(INDEX('Verify Baseline Links'!$P$10:$P$132,MATCH(Table23[[#This Row],[DSorder]],'Verify Baseline Links'!$M$10:$M$132,0)),"DS"),"")</f>
        <v/>
      </c>
      <c r="E109" s="206" t="s">
        <v>2072</v>
      </c>
      <c r="F109" s="223"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09" s="206">
        <f>MATCH(Table23[[#This Row],[clean DS]],combinedMaturityTable[Dsm clean],0)</f>
        <v>142</v>
      </c>
      <c r="H109" s="223"/>
      <c r="I109" s="223" t="s">
        <v>1374</v>
      </c>
      <c r="J109" s="308" t="str">
        <f>HYPERLINK(Table23[[#This Row],[URL]],Table23[[#This Row],[Link to Reference]])</f>
        <v>MGT.III.A:pg22</v>
      </c>
      <c r="K109" s="206" t="s">
        <v>1375</v>
      </c>
      <c r="X109" s="286" t="s">
        <v>1957</v>
      </c>
      <c r="Y109" s="302" t="str">
        <f>IFERROR(IF(SEARCH("WP",Table23[[#This Row],[Link to Reference]])&gt;0,"Work Program","Booklet"),"Booklet")</f>
        <v>Booklet</v>
      </c>
      <c r="Z109" s="286" t="s">
        <v>2010</v>
      </c>
      <c r="AA109" s="302">
        <f>IF(Table23[[#This Row],[Type]]="Booklet",MATCH(LEFT(Table23[[#This Row],[Link to Reference]],FIND(".",Table23[[#This Row],[Link to Reference]])-1),bookletsInfo[Initial],0),MATCH(LEFT(Table23[[#This Row],[Link to Reference]],FIND(".",Table23[[#This Row],[Link to Reference]])-1),WPInfo[Initials],0))</f>
        <v>6</v>
      </c>
      <c r="AB10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109" s="286">
        <v>104</v>
      </c>
      <c r="AD109" s="286" t="str">
        <f>IF(G109=G108,IF(MOD(Table23[[#This Row],[order]],2)=1,"hideOdd","hideEven"),FALSE)</f>
        <v>hideEven</v>
      </c>
      <c r="AE109" s="286">
        <f>IF(Table23[[#This Row],[hideText]]=FALSE,AE108+1,AE108)</f>
        <v>32</v>
      </c>
      <c r="AF109" s="269"/>
      <c r="AO109" s="286" t="s">
        <v>1851</v>
      </c>
    </row>
    <row r="110" spans="1:41" ht="60" x14ac:dyDescent="0.25">
      <c r="A110" s="206" t="s">
        <v>210</v>
      </c>
      <c r="B110" s="206" t="s">
        <v>191</v>
      </c>
      <c r="C110" s="206" t="s">
        <v>611</v>
      </c>
      <c r="D110" s="306" t="str">
        <f>IF(Table23[[#This Row],[hideText]]=FALSE,HYPERLINK(INDEX('Verify Baseline Links'!$P$10:$P$132,MATCH(Table23[[#This Row],[DSorder]],'Verify Baseline Links'!$M$10:$M$132,0)),"DS"),"")</f>
        <v/>
      </c>
      <c r="E110" s="206" t="s">
        <v>2072</v>
      </c>
      <c r="F110" s="223"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10" s="206">
        <f>MATCH(Table23[[#This Row],[clean DS]],combinedMaturityTable[Dsm clean],0)</f>
        <v>142</v>
      </c>
      <c r="H110" s="223"/>
      <c r="I110" s="223" t="s">
        <v>1376</v>
      </c>
      <c r="J110" s="308" t="str">
        <f>HYPERLINK(Table23[[#This Row],[URL]],Table23[[#This Row],[Link to Reference]])</f>
        <v>MGT.WP.10.1.b</v>
      </c>
      <c r="K110" s="206" t="s">
        <v>1521</v>
      </c>
      <c r="X110" s="286" t="s">
        <v>1957</v>
      </c>
      <c r="Y110" s="302" t="str">
        <f>IFERROR(IF(SEARCH("WP",Table23[[#This Row],[Link to Reference]])&gt;0,"Work Program","Booklet"),"Booklet")</f>
        <v>Work Program</v>
      </c>
      <c r="Z110" s="286">
        <v>13</v>
      </c>
      <c r="AA110" s="302">
        <f>IF(Table23[[#This Row],[Type]]="Booklet",MATCH(LEFT(Table23[[#This Row],[Link to Reference]],FIND(".",Table23[[#This Row],[Link to Reference]])-1),bookletsInfo[Initial],0),MATCH(LEFT(Table23[[#This Row],[Link to Reference]],FIND(".",Table23[[#This Row],[Link to Reference]])-1),WPInfo[Initials],0))</f>
        <v>6</v>
      </c>
      <c r="AB11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https://watkinsconsulting.com/wp-content/uploads/2019/02/Management-IT-WorkProgram.pdf#Page=13</v>
      </c>
      <c r="AC110" s="286">
        <v>105</v>
      </c>
      <c r="AD110" s="286" t="str">
        <f>IF(G110=G109,IF(MOD(Table23[[#This Row],[order]],2)=1,"hideOdd","hideEven"),FALSE)</f>
        <v>hideOdd</v>
      </c>
      <c r="AE110" s="286">
        <f>IF(Table23[[#This Row],[hideText]]=FALSE,AE109+1,AE109)</f>
        <v>32</v>
      </c>
      <c r="AF110" s="269"/>
      <c r="AO110" s="286" t="s">
        <v>1855</v>
      </c>
    </row>
    <row r="111" spans="1:41" ht="60" x14ac:dyDescent="0.25">
      <c r="A111" s="206" t="s">
        <v>210</v>
      </c>
      <c r="B111" s="206" t="s">
        <v>191</v>
      </c>
      <c r="C111" s="206" t="s">
        <v>611</v>
      </c>
      <c r="D111" s="306" t="str">
        <f ca="1">IF(Table23[[#This Row],[hideText]]=FALSE,HYPERLINK(INDEX('Verify Baseline Links'!$P$10:$P$132,MATCH(Table23[[#This Row],[DSorder]],'Verify Baseline Links'!$M$10:$M$132,0)),"DS"),"")</f>
        <v>DS</v>
      </c>
      <c r="E111" s="206" t="s">
        <v>1522</v>
      </c>
      <c r="F111" s="223" t="str">
        <f>CLEAN(TRIM(SUBSTITUTE(LEFT(Table23[[#This Row],[Declarative Statement]],MIN(250,LEN(Table23[[#This Row],[Declarative Statement]]))),CHAR(160)," ")))</f>
        <v>Threat information is used to monitor threats and vulnerabilities.</v>
      </c>
      <c r="G111" s="206">
        <f>MATCH(Table23[[#This Row],[clean DS]],combinedMaturityTable[Dsm clean],0)</f>
        <v>143</v>
      </c>
      <c r="H111" s="223">
        <v>6</v>
      </c>
      <c r="I111" s="223" t="s">
        <v>1324</v>
      </c>
      <c r="J111" s="308" t="str">
        <f>HYPERLINK(Table23[[#This Row],[URL]],Table23[[#This Row],[Link to Reference]])</f>
        <v>IS.III.A:pg47</v>
      </c>
      <c r="K111" s="206" t="s">
        <v>1523</v>
      </c>
      <c r="L111" s="286" t="s">
        <v>1519</v>
      </c>
      <c r="M111" s="286" t="s">
        <v>1524</v>
      </c>
      <c r="N111" s="286" t="s">
        <v>1525</v>
      </c>
      <c r="O111" s="286" t="s">
        <v>1526</v>
      </c>
      <c r="P111" s="286" t="s">
        <v>1527</v>
      </c>
      <c r="Q111" s="286" t="s">
        <v>1528</v>
      </c>
      <c r="R111" s="286" t="s">
        <v>1529</v>
      </c>
      <c r="S111" s="286" t="s">
        <v>1530</v>
      </c>
      <c r="T111" s="286" t="s">
        <v>1531</v>
      </c>
      <c r="U111" s="286" t="s">
        <v>1532</v>
      </c>
      <c r="X111" s="286" t="s">
        <v>1186</v>
      </c>
      <c r="Y111" s="302" t="str">
        <f>IFERROR(IF(SEARCH("WP",Table23[[#This Row],[Link to Reference]])&gt;0,"Work Program","Booklet"),"Booklet")</f>
        <v>Booklet</v>
      </c>
      <c r="Z111" s="286" t="s">
        <v>2001</v>
      </c>
      <c r="AA111" s="302">
        <f>IF(Table23[[#This Row],[Type]]="Booklet",MATCH(LEFT(Table23[[#This Row],[Link to Reference]],FIND(".",Table23[[#This Row],[Link to Reference]])-1),bookletsInfo[Initial],0),MATCH(LEFT(Table23[[#This Row],[Link to Reference]],FIND(".",Table23[[#This Row],[Link to Reference]])-1),WPInfo[Initials],0))</f>
        <v>5</v>
      </c>
      <c r="AB11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https://ithandbook.ffiec.gov/media/274793/ffiec_itbooklet_informationsecurity.pdf#Page=50</v>
      </c>
      <c r="AC111" s="286">
        <v>106</v>
      </c>
      <c r="AD111" s="286" t="b">
        <f>IF(G111=G110,IF(MOD(Table23[[#This Row],[order]],2)=1,"hideOdd","hideEven"),FALSE)</f>
        <v>0</v>
      </c>
      <c r="AE111" s="286">
        <f>IF(Table23[[#This Row],[hideText]]=FALSE,AE110+1,AE110)</f>
        <v>33</v>
      </c>
      <c r="AF111" s="269"/>
      <c r="AO111" s="286" t="s">
        <v>2069</v>
      </c>
    </row>
    <row r="112" spans="1:41" ht="45" x14ac:dyDescent="0.25">
      <c r="A112" s="206" t="s">
        <v>210</v>
      </c>
      <c r="B112" s="206" t="s">
        <v>191</v>
      </c>
      <c r="C112" s="206" t="s">
        <v>611</v>
      </c>
      <c r="D112" s="306" t="str">
        <f>IF(Table23[[#This Row],[hideText]]=FALSE,HYPERLINK(INDEX('Verify Baseline Links'!$P$10:$P$132,MATCH(Table23[[#This Row],[DSorder]],'Verify Baseline Links'!$M$10:$M$132,0)),"DS"),"")</f>
        <v/>
      </c>
      <c r="E112" s="206" t="s">
        <v>1522</v>
      </c>
      <c r="F112" s="223" t="str">
        <f>CLEAN(TRIM(SUBSTITUTE(LEFT(Table23[[#This Row],[Declarative Statement]],MIN(250,LEN(Table23[[#This Row],[Declarative Statement]]))),CHAR(160)," ")))</f>
        <v>Threat information is used to monitor threats and vulnerabilities.</v>
      </c>
      <c r="G112" s="206">
        <f>MATCH(Table23[[#This Row],[clean DS]],combinedMaturityTable[Dsm clean],0)</f>
        <v>143</v>
      </c>
      <c r="H112" s="223"/>
      <c r="I112" s="223" t="s">
        <v>1519</v>
      </c>
      <c r="J112" s="308" t="str">
        <f>HYPERLINK(Table23[[#This Row],[URL]],Table23[[#This Row],[Link to Reference]])</f>
        <v>IS.WP.8.3.f</v>
      </c>
      <c r="K112" s="206" t="s">
        <v>1524</v>
      </c>
      <c r="X112" s="286" t="s">
        <v>1186</v>
      </c>
      <c r="Y112" s="302" t="str">
        <f>IFERROR(IF(SEARCH("WP",Table23[[#This Row],[Link to Reference]])&gt;0,"Work Program","Booklet"),"Booklet")</f>
        <v>Work Program</v>
      </c>
      <c r="Z112" s="286">
        <v>19</v>
      </c>
      <c r="AA112" s="302">
        <f>IF(Table23[[#This Row],[Type]]="Booklet",MATCH(LEFT(Table23[[#This Row],[Link to Reference]],FIND(".",Table23[[#This Row],[Link to Reference]])-1),bookletsInfo[Initial],0),MATCH(LEFT(Table23[[#This Row],[Link to Reference]],FIND(".",Table23[[#This Row],[Link to Reference]])-1),WPInfo[Initials],0))</f>
        <v>5</v>
      </c>
      <c r="AB11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112" s="286">
        <v>107</v>
      </c>
      <c r="AD112" s="286" t="str">
        <f>IF(G112=G111,IF(MOD(Table23[[#This Row],[order]],2)=1,"hideOdd","hideEven"),FALSE)</f>
        <v>hideOdd</v>
      </c>
      <c r="AE112" s="286">
        <f>IF(Table23[[#This Row],[hideText]]=FALSE,AE111+1,AE111)</f>
        <v>33</v>
      </c>
      <c r="AF112" s="269"/>
      <c r="AO112" s="286" t="s">
        <v>1863</v>
      </c>
    </row>
    <row r="113" spans="1:41" ht="45" x14ac:dyDescent="0.25">
      <c r="A113" s="206" t="s">
        <v>210</v>
      </c>
      <c r="B113" s="206" t="s">
        <v>191</v>
      </c>
      <c r="C113" s="206" t="s">
        <v>611</v>
      </c>
      <c r="D113" s="306" t="str">
        <f>IF(Table23[[#This Row],[hideText]]=FALSE,HYPERLINK(INDEX('Verify Baseline Links'!$P$10:$P$132,MATCH(Table23[[#This Row],[DSorder]],'Verify Baseline Links'!$M$10:$M$132,0)),"DS"),"")</f>
        <v/>
      </c>
      <c r="E113" s="206" t="s">
        <v>1522</v>
      </c>
      <c r="F113" s="223" t="str">
        <f>CLEAN(TRIM(SUBSTITUTE(LEFT(Table23[[#This Row],[Declarative Statement]],MIN(250,LEN(Table23[[#This Row],[Declarative Statement]]))),CHAR(160)," ")))</f>
        <v>Threat information is used to monitor threats and vulnerabilities.</v>
      </c>
      <c r="G113" s="206">
        <f>MATCH(Table23[[#This Row],[clean DS]],combinedMaturityTable[Dsm clean],0)</f>
        <v>143</v>
      </c>
      <c r="H113" s="223"/>
      <c r="I113" s="223" t="s">
        <v>1525</v>
      </c>
      <c r="J113" s="308" t="str">
        <f>HYPERLINK(Table23[[#This Row],[URL]],Table23[[#This Row],[Link to Reference]])</f>
        <v>MGT.I.A.2:pg6</v>
      </c>
      <c r="K113" s="206" t="s">
        <v>1526</v>
      </c>
      <c r="X113" s="286" t="s">
        <v>1957</v>
      </c>
      <c r="Y113" s="302" t="str">
        <f>IFERROR(IF(SEARCH("WP",Table23[[#This Row],[Link to Reference]])&gt;0,"Work Program","Booklet"),"Booklet")</f>
        <v>Booklet</v>
      </c>
      <c r="Z113" s="286" t="s">
        <v>2008</v>
      </c>
      <c r="AA113" s="302">
        <f>IF(Table23[[#This Row],[Type]]="Booklet",MATCH(LEFT(Table23[[#This Row],[Link to Reference]],FIND(".",Table23[[#This Row],[Link to Reference]])-1),bookletsInfo[Initial],0),MATCH(LEFT(Table23[[#This Row],[Link to Reference]],FIND(".",Table23[[#This Row],[Link to Reference]])-1),WPInfo[Initials],0))</f>
        <v>6</v>
      </c>
      <c r="AB11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https://ithandbook.ffiec.gov/media/274809/ffiec_itbooklet_management.pdf#Page=7</v>
      </c>
      <c r="AC113" s="286">
        <v>108</v>
      </c>
      <c r="AD113" s="286" t="str">
        <f>IF(G113=G112,IF(MOD(Table23[[#This Row],[order]],2)=1,"hideOdd","hideEven"),FALSE)</f>
        <v>hideEven</v>
      </c>
      <c r="AE113" s="286">
        <f>IF(Table23[[#This Row],[hideText]]=FALSE,AE112+1,AE112)</f>
        <v>33</v>
      </c>
      <c r="AF113" s="269"/>
      <c r="AO113" s="286" t="s">
        <v>2070</v>
      </c>
    </row>
    <row r="114" spans="1:41" ht="45" x14ac:dyDescent="0.25">
      <c r="A114" s="206" t="s">
        <v>210</v>
      </c>
      <c r="B114" s="206" t="s">
        <v>191</v>
      </c>
      <c r="C114" s="206" t="s">
        <v>611</v>
      </c>
      <c r="D114" s="306" t="str">
        <f>IF(Table23[[#This Row],[hideText]]=FALSE,HYPERLINK(INDEX('Verify Baseline Links'!$P$10:$P$132,MATCH(Table23[[#This Row],[DSorder]],'Verify Baseline Links'!$M$10:$M$132,0)),"DS"),"")</f>
        <v/>
      </c>
      <c r="E114" s="206" t="s">
        <v>1522</v>
      </c>
      <c r="F114" s="223" t="str">
        <f>CLEAN(TRIM(SUBSTITUTE(LEFT(Table23[[#This Row],[Declarative Statement]],MIN(250,LEN(Table23[[#This Row],[Declarative Statement]]))),CHAR(160)," ")))</f>
        <v>Threat information is used to monitor threats and vulnerabilities.</v>
      </c>
      <c r="G114" s="206">
        <f>MATCH(Table23[[#This Row],[clean DS]],combinedMaturityTable[Dsm clean],0)</f>
        <v>143</v>
      </c>
      <c r="H114" s="223"/>
      <c r="I114" s="223" t="s">
        <v>1529</v>
      </c>
      <c r="J114" s="308" t="str">
        <f>HYPERLINK(Table23[[#This Row],[URL]],Table23[[#This Row],[Link to Reference]])</f>
        <v>MGT.III.C.3:pg29</v>
      </c>
      <c r="K114" s="206" t="s">
        <v>1530</v>
      </c>
      <c r="X114" s="286" t="s">
        <v>1957</v>
      </c>
      <c r="Y114" s="302" t="str">
        <f>IFERROR(IF(SEARCH("WP",Table23[[#This Row],[Link to Reference]])&gt;0,"Work Program","Booklet"),"Booklet")</f>
        <v>Booklet</v>
      </c>
      <c r="Z114" s="286" t="s">
        <v>2023</v>
      </c>
      <c r="AA114" s="302">
        <f>IF(Table23[[#This Row],[Type]]="Booklet",MATCH(LEFT(Table23[[#This Row],[Link to Reference]],FIND(".",Table23[[#This Row],[Link to Reference]])-1),bookletsInfo[Initial],0),MATCH(LEFT(Table23[[#This Row],[Link to Reference]],FIND(".",Table23[[#This Row],[Link to Reference]])-1),WPInfo[Initials],0))</f>
        <v>6</v>
      </c>
      <c r="AB11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114" s="286">
        <v>110</v>
      </c>
      <c r="AD114" s="286" t="str">
        <f>IF(G114=G113,IF(MOD(Table23[[#This Row],[order]],2)=1,"hideOdd","hideEven"),FALSE)</f>
        <v>hideEven</v>
      </c>
      <c r="AE114" s="286">
        <f>IF(Table23[[#This Row],[hideText]]=FALSE,AE113+1,AE113)</f>
        <v>33</v>
      </c>
      <c r="AF114" s="269"/>
      <c r="AO114" s="286" t="s">
        <v>1873</v>
      </c>
    </row>
    <row r="115" spans="1:41" ht="45" x14ac:dyDescent="0.25">
      <c r="A115" s="206" t="s">
        <v>210</v>
      </c>
      <c r="B115" s="206" t="s">
        <v>191</v>
      </c>
      <c r="C115" s="206" t="s">
        <v>611</v>
      </c>
      <c r="D115" s="306" t="str">
        <f>IF(Table23[[#This Row],[hideText]]=FALSE,HYPERLINK(INDEX('Verify Baseline Links'!$P$10:$P$132,MATCH(Table23[[#This Row],[DSorder]],'Verify Baseline Links'!$M$10:$M$132,0)),"DS"),"")</f>
        <v/>
      </c>
      <c r="E115" s="206" t="s">
        <v>1522</v>
      </c>
      <c r="F115" s="223" t="str">
        <f>CLEAN(TRIM(SUBSTITUTE(LEFT(Table23[[#This Row],[Declarative Statement]],MIN(250,LEN(Table23[[#This Row],[Declarative Statement]]))),CHAR(160)," ")))</f>
        <v>Threat information is used to monitor threats and vulnerabilities.</v>
      </c>
      <c r="G115" s="206">
        <f>MATCH(Table23[[#This Row],[clean DS]],combinedMaturityTable[Dsm clean],0)</f>
        <v>143</v>
      </c>
      <c r="H115" s="223"/>
      <c r="I115" s="223" t="s">
        <v>1531</v>
      </c>
      <c r="J115" s="308" t="str">
        <f>HYPERLINK(Table23[[#This Row],[URL]],Table23[[#This Row],[Link to Reference]])</f>
        <v>MGT.WP.12.8.c</v>
      </c>
      <c r="K115" s="206" t="s">
        <v>1532</v>
      </c>
      <c r="X115" s="286" t="s">
        <v>1957</v>
      </c>
      <c r="Y115" s="302" t="str">
        <f>IFERROR(IF(SEARCH("WP",Table23[[#This Row],[Link to Reference]])&gt;0,"Work Program","Booklet"),"Booklet")</f>
        <v>Work Program</v>
      </c>
      <c r="Z115" s="286">
        <v>16</v>
      </c>
      <c r="AA115" s="302">
        <f>IF(Table23[[#This Row],[Type]]="Booklet",MATCH(LEFT(Table23[[#This Row],[Link to Reference]],FIND(".",Table23[[#This Row],[Link to Reference]])-1),bookletsInfo[Initial],0),MATCH(LEFT(Table23[[#This Row],[Link to Reference]],FIND(".",Table23[[#This Row],[Link to Reference]])-1),WPInfo[Initials],0))</f>
        <v>6</v>
      </c>
      <c r="AB11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115" s="286">
        <v>111</v>
      </c>
      <c r="AD115" s="286" t="str">
        <f>IF(G115=G114,IF(MOD(Table23[[#This Row],[order]],2)=1,"hideOdd","hideEven"),FALSE)</f>
        <v>hideOdd</v>
      </c>
      <c r="AE115" s="286">
        <f>IF(Table23[[#This Row],[hideText]]=FALSE,AE114+1,AE114)</f>
        <v>33</v>
      </c>
      <c r="AF115" s="269"/>
      <c r="AO115" s="286" t="s">
        <v>1879</v>
      </c>
    </row>
    <row r="116" spans="1:41" ht="45" x14ac:dyDescent="0.25">
      <c r="A116" s="206" t="s">
        <v>210</v>
      </c>
      <c r="B116" s="206" t="s">
        <v>191</v>
      </c>
      <c r="C116" s="206" t="s">
        <v>611</v>
      </c>
      <c r="D116" s="306" t="str">
        <f>IF(Table23[[#This Row],[hideText]]=FALSE,HYPERLINK(INDEX('Verify Baseline Links'!$P$10:$P$132,MATCH(Table23[[#This Row],[DSorder]],'Verify Baseline Links'!$M$10:$M$132,0)),"DS"),"")</f>
        <v/>
      </c>
      <c r="E116" s="206" t="s">
        <v>1522</v>
      </c>
      <c r="F116" s="223" t="str">
        <f>CLEAN(TRIM(SUBSTITUTE(LEFT(Table23[[#This Row],[Declarative Statement]],MIN(250,LEN(Table23[[#This Row],[Declarative Statement]]))),CHAR(160)," ")))</f>
        <v>Threat information is used to monitor threats and vulnerabilities.</v>
      </c>
      <c r="G116" s="206">
        <f>MATCH(Table23[[#This Row],[clean DS]],combinedMaturityTable[Dsm clean],0)</f>
        <v>143</v>
      </c>
      <c r="H116" s="223"/>
      <c r="I116" s="223" t="s">
        <v>1527</v>
      </c>
      <c r="J116" s="308" t="str">
        <f>HYPERLINK(Table23[[#This Row],[URL]],Table23[[#This Row],[Link to Reference]])</f>
        <v>MGT.WP.2.8.f</v>
      </c>
      <c r="K116" s="206" t="s">
        <v>1528</v>
      </c>
      <c r="X116" s="286" t="s">
        <v>1957</v>
      </c>
      <c r="Y116" s="302" t="str">
        <f>IFERROR(IF(SEARCH("WP",Table23[[#This Row],[Link to Reference]])&gt;0,"Work Program","Booklet"),"Booklet")</f>
        <v>Work Program</v>
      </c>
      <c r="Z116" s="286">
        <v>4</v>
      </c>
      <c r="AA116" s="302">
        <f>IF(Table23[[#This Row],[Type]]="Booklet",MATCH(LEFT(Table23[[#This Row],[Link to Reference]],FIND(".",Table23[[#This Row],[Link to Reference]])-1),bookletsInfo[Initial],0),MATCH(LEFT(Table23[[#This Row],[Link to Reference]],FIND(".",Table23[[#This Row],[Link to Reference]])-1),WPInfo[Initials],0))</f>
        <v>6</v>
      </c>
      <c r="AB11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https://watkinsconsulting.com/wp-content/uploads/2019/02/Management-IT-WorkProgram.pdf#Page=4</v>
      </c>
      <c r="AC116" s="286">
        <v>109</v>
      </c>
      <c r="AD116" s="286" t="str">
        <f>IF(G116=G115,IF(MOD(Table23[[#This Row],[order]],2)=1,"hideOdd","hideEven"),FALSE)</f>
        <v>hideOdd</v>
      </c>
      <c r="AE116" s="286">
        <f>IF(Table23[[#This Row],[hideText]]=FALSE,AE115+1,AE115)</f>
        <v>33</v>
      </c>
      <c r="AF116" s="269"/>
      <c r="AO116" s="286" t="s">
        <v>1883</v>
      </c>
    </row>
    <row r="117" spans="1:41" ht="90" x14ac:dyDescent="0.25">
      <c r="A117" s="206" t="s">
        <v>210</v>
      </c>
      <c r="B117" s="206" t="s">
        <v>191</v>
      </c>
      <c r="C117" s="206" t="s">
        <v>611</v>
      </c>
      <c r="D117" s="306" t="str">
        <f ca="1">IF(Table23[[#This Row],[hideText]]=FALSE,HYPERLINK(INDEX('Verify Baseline Links'!$P$10:$P$132,MATCH(Table23[[#This Row],[DSorder]],'Verify Baseline Links'!$M$10:$M$132,0)),"DS"),"")</f>
        <v>DS</v>
      </c>
      <c r="E117" s="206" t="s">
        <v>1533</v>
      </c>
      <c r="F117" s="223" t="str">
        <f>CLEAN(TRIM(SUBSTITUTE(LEFT(Table23[[#This Row],[Declarative Statement]],MIN(250,LEN(Table23[[#This Row],[Declarative Statement]]))),CHAR(160)," ")))</f>
        <v>Threat information is used to enhance internal risk management and controls.</v>
      </c>
      <c r="G117" s="206">
        <f>MATCH(Table23[[#This Row],[clean DS]],combinedMaturityTable[Dsm clean],0)</f>
        <v>144</v>
      </c>
      <c r="H117" s="223">
        <v>2</v>
      </c>
      <c r="I117" s="223" t="s">
        <v>1534</v>
      </c>
      <c r="J117" s="308" t="str">
        <f>HYPERLINK(Table23[[#This Row],[URL]],Table23[[#This Row],[Link to Reference]])</f>
        <v>IS.III.A:pg48</v>
      </c>
      <c r="K117" s="206" t="s">
        <v>1535</v>
      </c>
      <c r="L117" s="286" t="s">
        <v>1536</v>
      </c>
      <c r="M117" s="286" t="s">
        <v>1537</v>
      </c>
      <c r="N117" s="286" t="s">
        <v>1378</v>
      </c>
      <c r="O117" s="286" t="s">
        <v>1378</v>
      </c>
      <c r="P117" s="286" t="s">
        <v>1378</v>
      </c>
      <c r="Q117" s="286" t="s">
        <v>1378</v>
      </c>
      <c r="R117" s="286" t="s">
        <v>1378</v>
      </c>
      <c r="S117" s="286" t="s">
        <v>1378</v>
      </c>
      <c r="T117" s="286" t="s">
        <v>1378</v>
      </c>
      <c r="U117" s="286" t="s">
        <v>1378</v>
      </c>
      <c r="X117" s="286" t="s">
        <v>1186</v>
      </c>
      <c r="Y117" s="302" t="str">
        <f>IFERROR(IF(SEARCH("WP",Table23[[#This Row],[Link to Reference]])&gt;0,"Work Program","Booklet"),"Booklet")</f>
        <v>Booklet</v>
      </c>
      <c r="Z117" s="286" t="s">
        <v>2024</v>
      </c>
      <c r="AA117" s="302">
        <f>IF(Table23[[#This Row],[Type]]="Booklet",MATCH(LEFT(Table23[[#This Row],[Link to Reference]],FIND(".",Table23[[#This Row],[Link to Reference]])-1),bookletsInfo[Initial],0),MATCH(LEFT(Table23[[#This Row],[Link to Reference]],FIND(".",Table23[[#This Row],[Link to Reference]])-1),WPInfo[Initials],0))</f>
        <v>5</v>
      </c>
      <c r="AB11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https://ithandbook.ffiec.gov/media/274793/ffiec_itbooklet_informationsecurity.pdf#Page=51</v>
      </c>
      <c r="AC117" s="286">
        <v>112</v>
      </c>
      <c r="AD117" s="286" t="b">
        <f>IF(G117=G116,IF(MOD(Table23[[#This Row],[order]],2)=1,"hideOdd","hideEven"),FALSE)</f>
        <v>0</v>
      </c>
      <c r="AE117" s="286">
        <f>IF(Table23[[#This Row],[hideText]]=FALSE,AE116+1,AE116)</f>
        <v>34</v>
      </c>
      <c r="AF117" s="269"/>
      <c r="AO117" s="286" t="s">
        <v>1888</v>
      </c>
    </row>
    <row r="118" spans="1:41" ht="45" x14ac:dyDescent="0.25">
      <c r="A118" s="206" t="s">
        <v>210</v>
      </c>
      <c r="B118" s="206" t="s">
        <v>191</v>
      </c>
      <c r="C118" s="206" t="s">
        <v>611</v>
      </c>
      <c r="D118" s="306" t="str">
        <f>IF(Table23[[#This Row],[hideText]]=FALSE,HYPERLINK(INDEX('Verify Baseline Links'!$P$10:$P$132,MATCH(Table23[[#This Row],[DSorder]],'Verify Baseline Links'!$M$10:$M$132,0)),"DS"),"")</f>
        <v/>
      </c>
      <c r="E118" s="206" t="s">
        <v>1533</v>
      </c>
      <c r="F118" s="223" t="str">
        <f>CLEAN(TRIM(SUBSTITUTE(LEFT(Table23[[#This Row],[Declarative Statement]],MIN(250,LEN(Table23[[#This Row],[Declarative Statement]]))),CHAR(160)," ")))</f>
        <v>Threat information is used to enhance internal risk management and controls.</v>
      </c>
      <c r="G118" s="206">
        <f>MATCH(Table23[[#This Row],[clean DS]],combinedMaturityTable[Dsm clean],0)</f>
        <v>144</v>
      </c>
      <c r="H118" s="223"/>
      <c r="I118" s="223" t="s">
        <v>1536</v>
      </c>
      <c r="J118" s="308" t="str">
        <f>HYPERLINK(Table23[[#This Row],[URL]],Table23[[#This Row],[Link to Reference]])</f>
        <v>IS.WP.8.3.a.d</v>
      </c>
      <c r="K118" s="206" t="s">
        <v>1537</v>
      </c>
      <c r="X118" s="286" t="s">
        <v>1186</v>
      </c>
      <c r="Y118" s="302" t="str">
        <f>IFERROR(IF(SEARCH("WP",Table23[[#This Row],[Link to Reference]])&gt;0,"Work Program","Booklet"),"Booklet")</f>
        <v>Work Program</v>
      </c>
      <c r="Z118" s="286">
        <v>18</v>
      </c>
      <c r="AA118" s="302">
        <f>IF(Table23[[#This Row],[Type]]="Booklet",MATCH(LEFT(Table23[[#This Row],[Link to Reference]],FIND(".",Table23[[#This Row],[Link to Reference]])-1),bookletsInfo[Initial],0),MATCH(LEFT(Table23[[#This Row],[Link to Reference]],FIND(".",Table23[[#This Row],[Link to Reference]])-1),WPInfo[Initials],0))</f>
        <v>5</v>
      </c>
      <c r="AB11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118" s="286">
        <v>113</v>
      </c>
      <c r="AD118" s="286" t="str">
        <f>IF(G118=G117,IF(MOD(Table23[[#This Row],[order]],2)=1,"hideOdd","hideEven"),FALSE)</f>
        <v>hideOdd</v>
      </c>
      <c r="AE118" s="286">
        <f>IF(Table23[[#This Row],[hideText]]=FALSE,AE117+1,AE117)</f>
        <v>34</v>
      </c>
      <c r="AF118" s="269"/>
      <c r="AO118" s="286" t="s">
        <v>1894</v>
      </c>
    </row>
    <row r="119" spans="1:41" ht="60" x14ac:dyDescent="0.25">
      <c r="A119" s="206" t="s">
        <v>210</v>
      </c>
      <c r="B119" s="206" t="s">
        <v>609</v>
      </c>
      <c r="C119" s="206" t="s">
        <v>609</v>
      </c>
      <c r="D119" s="306" t="str">
        <f ca="1">IF(Table23[[#This Row],[hideText]]=FALSE,HYPERLINK(INDEX('Verify Baseline Links'!$P$10:$P$132,MATCH(Table23[[#This Row],[DSorder]],'Verify Baseline Links'!$M$10:$M$132,0)),"DS"),"")</f>
        <v>DS</v>
      </c>
      <c r="E119" s="206" t="s">
        <v>1538</v>
      </c>
      <c r="F119" s="223" t="str">
        <f>CLEAN(TRIM(SUBSTITUTE(LEFT(Table23[[#This Row],[Declarative Statement]],MIN(250,LEN(Table23[[#This Row],[Declarative Statement]]))),CHAR(160)," ")))</f>
        <v>Audit log records and other security event logs are reviewed and retained in a secure manner.</v>
      </c>
      <c r="G119" s="206">
        <f>MATCH(Table23[[#This Row],[clean DS]],combinedMaturityTable[Dsm clean],0)</f>
        <v>154</v>
      </c>
      <c r="H119" s="223">
        <v>2</v>
      </c>
      <c r="I119" s="223" t="s">
        <v>1539</v>
      </c>
      <c r="J119" s="308" t="str">
        <f>HYPERLINK(Table23[[#This Row],[URL]],Table23[[#This Row],[Link to Reference]])</f>
        <v>IS.II.C.22:pg44</v>
      </c>
      <c r="K119" s="206" t="s">
        <v>1540</v>
      </c>
      <c r="L119" s="286" t="s">
        <v>1541</v>
      </c>
      <c r="M119" s="286" t="s">
        <v>1542</v>
      </c>
      <c r="N119" s="286" t="s">
        <v>1378</v>
      </c>
      <c r="O119" s="286" t="s">
        <v>1378</v>
      </c>
      <c r="P119" s="286" t="s">
        <v>1378</v>
      </c>
      <c r="Q119" s="286" t="s">
        <v>1378</v>
      </c>
      <c r="R119" s="286" t="s">
        <v>1378</v>
      </c>
      <c r="S119" s="286" t="s">
        <v>1378</v>
      </c>
      <c r="T119" s="286" t="s">
        <v>1378</v>
      </c>
      <c r="U119" s="286" t="s">
        <v>1378</v>
      </c>
      <c r="X119" s="286" t="s">
        <v>1186</v>
      </c>
      <c r="Y119" s="302" t="str">
        <f>IFERROR(IF(SEARCH("WP",Table23[[#This Row],[Link to Reference]])&gt;0,"Work Program","Booklet"),"Booklet")</f>
        <v>Booklet</v>
      </c>
      <c r="Z119" s="286">
        <v>11</v>
      </c>
      <c r="AA119" s="302">
        <f>IF(Table23[[#This Row],[Type]]="Booklet",MATCH(LEFT(Table23[[#This Row],[Link to Reference]],FIND(".",Table23[[#This Row],[Link to Reference]])-1),bookletsInfo[Initial],0),MATCH(LEFT(Table23[[#This Row],[Link to Reference]],FIND(".",Table23[[#This Row],[Link to Reference]])-1),WPInfo[Initials],0))</f>
        <v>5</v>
      </c>
      <c r="AB11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19" s="286">
        <v>114</v>
      </c>
      <c r="AD119" s="286" t="b">
        <f>IF(G119=G118,IF(MOD(Table23[[#This Row],[order]],2)=1,"hideOdd","hideEven"),FALSE)</f>
        <v>0</v>
      </c>
      <c r="AE119" s="286">
        <f>IF(Table23[[#This Row],[hideText]]=FALSE,AE118+1,AE118)</f>
        <v>35</v>
      </c>
      <c r="AF119" s="269"/>
      <c r="AO119" s="286" t="s">
        <v>1897</v>
      </c>
    </row>
    <row r="120" spans="1:41" ht="45" x14ac:dyDescent="0.25">
      <c r="A120" s="206" t="s">
        <v>210</v>
      </c>
      <c r="B120" s="206" t="s">
        <v>609</v>
      </c>
      <c r="C120" s="206" t="s">
        <v>609</v>
      </c>
      <c r="D120" s="306" t="str">
        <f>IF(Table23[[#This Row],[hideText]]=FALSE,HYPERLINK(INDEX('Verify Baseline Links'!$P$10:$P$132,MATCH(Table23[[#This Row],[DSorder]],'Verify Baseline Links'!$M$10:$M$132,0)),"DS"),"")</f>
        <v/>
      </c>
      <c r="E120" s="206" t="s">
        <v>1538</v>
      </c>
      <c r="F120" s="223" t="str">
        <f>CLEAN(TRIM(SUBSTITUTE(LEFT(Table23[[#This Row],[Declarative Statement]],MIN(250,LEN(Table23[[#This Row],[Declarative Statement]]))),CHAR(160)," ")))</f>
        <v>Audit log records and other security event logs are reviewed and retained in a secure manner.</v>
      </c>
      <c r="G120" s="206">
        <f>MATCH(Table23[[#This Row],[clean DS]],combinedMaturityTable[Dsm clean],0)</f>
        <v>154</v>
      </c>
      <c r="H120" s="223"/>
      <c r="I120" s="223" t="s">
        <v>1541</v>
      </c>
      <c r="J120" s="308" t="str">
        <f>HYPERLINK(Table23[[#This Row],[URL]],Table23[[#This Row],[Link to Reference]])</f>
        <v>IS.WP.6.35</v>
      </c>
      <c r="K120" s="206" t="s">
        <v>1542</v>
      </c>
      <c r="X120" s="286" t="s">
        <v>1186</v>
      </c>
      <c r="Y120" s="302" t="str">
        <f>IFERROR(IF(SEARCH("WP",Table23[[#This Row],[Link to Reference]])&gt;0,"Work Program","Booklet"),"Booklet")</f>
        <v>Work Program</v>
      </c>
      <c r="Z120" s="286">
        <v>16</v>
      </c>
      <c r="AA120" s="302">
        <f>IF(Table23[[#This Row],[Type]]="Booklet",MATCH(LEFT(Table23[[#This Row],[Link to Reference]],FIND(".",Table23[[#This Row],[Link to Reference]])-1),bookletsInfo[Initial],0),MATCH(LEFT(Table23[[#This Row],[Link to Reference]],FIND(".",Table23[[#This Row],[Link to Reference]])-1),WPInfo[Initials],0))</f>
        <v>5</v>
      </c>
      <c r="AB12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120" s="286">
        <v>115</v>
      </c>
      <c r="AD120" s="286" t="str">
        <f>IF(G120=G119,IF(MOD(Table23[[#This Row],[order]],2)=1,"hideOdd","hideEven"),FALSE)</f>
        <v>hideOdd</v>
      </c>
      <c r="AE120" s="286">
        <f>IF(Table23[[#This Row],[hideText]]=FALSE,AE119+1,AE119)</f>
        <v>35</v>
      </c>
      <c r="AF120" s="269"/>
      <c r="AO120" s="286" t="s">
        <v>1901</v>
      </c>
    </row>
    <row r="121" spans="1:41" ht="60" x14ac:dyDescent="0.25">
      <c r="A121" s="206" t="s">
        <v>210</v>
      </c>
      <c r="B121" s="206" t="s">
        <v>609</v>
      </c>
      <c r="C121" s="206" t="s">
        <v>609</v>
      </c>
      <c r="D121" s="306" t="str">
        <f ca="1">IF(Table23[[#This Row],[hideText]]=FALSE,HYPERLINK(INDEX('Verify Baseline Links'!$P$10:$P$132,MATCH(Table23[[#This Row],[DSorder]],'Verify Baseline Links'!$M$10:$M$132,0)),"DS"),"")</f>
        <v>DS</v>
      </c>
      <c r="E121" s="206" t="s">
        <v>1543</v>
      </c>
      <c r="F121" s="223" t="str">
        <f>CLEAN(TRIM(SUBSTITUTE(LEFT(Table23[[#This Row],[Declarative Statement]],MIN(250,LEN(Table23[[#This Row],[Declarative Statement]]))),CHAR(160)," ")))</f>
        <v>Computer event logs are used for investigations once an event has occurred.</v>
      </c>
      <c r="G121" s="206">
        <f>MATCH(Table23[[#This Row],[clean DS]],combinedMaturityTable[Dsm clean],0)</f>
        <v>155</v>
      </c>
      <c r="H121" s="223">
        <v>2</v>
      </c>
      <c r="I121" s="223" t="s">
        <v>1539</v>
      </c>
      <c r="J121" s="308" t="str">
        <f>HYPERLINK(Table23[[#This Row],[URL]],Table23[[#This Row],[Link to Reference]])</f>
        <v>IS.II.C.22:pg44</v>
      </c>
      <c r="K121" s="206" t="s">
        <v>1544</v>
      </c>
      <c r="L121" s="286" t="s">
        <v>1541</v>
      </c>
      <c r="M121" s="286" t="s">
        <v>1545</v>
      </c>
      <c r="N121" s="286" t="s">
        <v>1378</v>
      </c>
      <c r="O121" s="286" t="s">
        <v>1378</v>
      </c>
      <c r="P121" s="286" t="s">
        <v>1378</v>
      </c>
      <c r="Q121" s="286" t="s">
        <v>1378</v>
      </c>
      <c r="R121" s="286" t="s">
        <v>1378</v>
      </c>
      <c r="S121" s="286" t="s">
        <v>1378</v>
      </c>
      <c r="T121" s="286" t="s">
        <v>1378</v>
      </c>
      <c r="U121" s="286" t="s">
        <v>1378</v>
      </c>
      <c r="X121" s="286" t="s">
        <v>1186</v>
      </c>
      <c r="Y121" s="302" t="str">
        <f>IFERROR(IF(SEARCH("WP",Table23[[#This Row],[Link to Reference]])&gt;0,"Work Program","Booklet"),"Booklet")</f>
        <v>Booklet</v>
      </c>
      <c r="Z121" s="286">
        <v>11</v>
      </c>
      <c r="AA121" s="302">
        <f>IF(Table23[[#This Row],[Type]]="Booklet",MATCH(LEFT(Table23[[#This Row],[Link to Reference]],FIND(".",Table23[[#This Row],[Link to Reference]])-1),bookletsInfo[Initial],0),MATCH(LEFT(Table23[[#This Row],[Link to Reference]],FIND(".",Table23[[#This Row],[Link to Reference]])-1),WPInfo[Initials],0))</f>
        <v>5</v>
      </c>
      <c r="AB12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1" s="286">
        <v>116</v>
      </c>
      <c r="AD121" s="286" t="b">
        <f>IF(G121=G120,IF(MOD(Table23[[#This Row],[order]],2)=1,"hideOdd","hideEven"),FALSE)</f>
        <v>0</v>
      </c>
      <c r="AE121" s="286">
        <f>IF(Table23[[#This Row],[hideText]]=FALSE,AE120+1,AE120)</f>
        <v>36</v>
      </c>
      <c r="AF121" s="269"/>
      <c r="AO121" s="286" t="s">
        <v>1905</v>
      </c>
    </row>
    <row r="122" spans="1:41" ht="60" x14ac:dyDescent="0.25">
      <c r="A122" s="206" t="s">
        <v>210</v>
      </c>
      <c r="B122" s="206" t="s">
        <v>609</v>
      </c>
      <c r="C122" s="206" t="s">
        <v>609</v>
      </c>
      <c r="D122" s="306" t="str">
        <f>IF(Table23[[#This Row],[hideText]]=FALSE,HYPERLINK(INDEX('Verify Baseline Links'!$P$10:$P$132,MATCH(Table23[[#This Row],[DSorder]],'Verify Baseline Links'!$M$10:$M$132,0)),"DS"),"")</f>
        <v/>
      </c>
      <c r="E122" s="206" t="s">
        <v>1543</v>
      </c>
      <c r="F122" s="223" t="str">
        <f>CLEAN(TRIM(SUBSTITUTE(LEFT(Table23[[#This Row],[Declarative Statement]],MIN(250,LEN(Table23[[#This Row],[Declarative Statement]]))),CHAR(160)," ")))</f>
        <v>Computer event logs are used for investigations once an event has occurred.</v>
      </c>
      <c r="G122" s="206">
        <f>MATCH(Table23[[#This Row],[clean DS]],combinedMaturityTable[Dsm clean],0)</f>
        <v>155</v>
      </c>
      <c r="H122" s="223"/>
      <c r="I122" s="223" t="s">
        <v>1541</v>
      </c>
      <c r="J122" s="308" t="str">
        <f>HYPERLINK(Table23[[#This Row],[URL]],Table23[[#This Row],[Link to Reference]])</f>
        <v>IS.WP.6.35</v>
      </c>
      <c r="K122" s="206" t="s">
        <v>1545</v>
      </c>
      <c r="X122" s="286" t="s">
        <v>1186</v>
      </c>
      <c r="Y122" s="302" t="str">
        <f>IFERROR(IF(SEARCH("WP",Table23[[#This Row],[Link to Reference]])&gt;0,"Work Program","Booklet"),"Booklet")</f>
        <v>Work Program</v>
      </c>
      <c r="Z122" s="286">
        <v>16</v>
      </c>
      <c r="AA122" s="302">
        <f>IF(Table23[[#This Row],[Type]]="Booklet",MATCH(LEFT(Table23[[#This Row],[Link to Reference]],FIND(".",Table23[[#This Row],[Link to Reference]])-1),bookletsInfo[Initial],0),MATCH(LEFT(Table23[[#This Row],[Link to Reference]],FIND(".",Table23[[#This Row],[Link to Reference]])-1),WPInfo[Initials],0))</f>
        <v>5</v>
      </c>
      <c r="AB12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122" s="286">
        <v>117</v>
      </c>
      <c r="AD122" s="286" t="str">
        <f>IF(G122=G121,IF(MOD(Table23[[#This Row],[order]],2)=1,"hideOdd","hideEven"),FALSE)</f>
        <v>hideOdd</v>
      </c>
      <c r="AE122" s="286">
        <f>IF(Table23[[#This Row],[hideText]]=FALSE,AE121+1,AE121)</f>
        <v>36</v>
      </c>
      <c r="AF122" s="269"/>
      <c r="AO122" s="286" t="s">
        <v>1910</v>
      </c>
    </row>
    <row r="123" spans="1:41" ht="75" x14ac:dyDescent="0.25">
      <c r="A123" s="206" t="s">
        <v>210</v>
      </c>
      <c r="B123" s="206" t="s">
        <v>246</v>
      </c>
      <c r="C123" s="206" t="s">
        <v>246</v>
      </c>
      <c r="D123" s="306" t="str">
        <f ca="1">IF(Table23[[#This Row],[hideText]]=FALSE,HYPERLINK(INDEX('Verify Baseline Links'!$P$10:$P$132,MATCH(Table23[[#This Row],[DSorder]],'Verify Baseline Links'!$M$10:$M$132,0)),"DS"),"")</f>
        <v>DS</v>
      </c>
      <c r="E123" s="206" t="s">
        <v>1546</v>
      </c>
      <c r="F123" s="223" t="str">
        <f>CLEAN(TRIM(SUBSTITUTE(LEFT(Table23[[#This Row],[Declarative Statement]],MIN(250,LEN(Table23[[#This Row],[Declarative Statement]]))),CHAR(160)," ")))</f>
        <v>Information security threats are gathered and shared with applicable internal employees.</v>
      </c>
      <c r="G123" s="206">
        <f>MATCH(Table23[[#This Row],[clean DS]],combinedMaturityTable[Dsm clean],0)</f>
        <v>172</v>
      </c>
      <c r="H123" s="223">
        <v>2</v>
      </c>
      <c r="I123" s="223" t="s">
        <v>1250</v>
      </c>
      <c r="J123" s="308" t="str">
        <f>HYPERLINK(Table23[[#This Row],[URL]],Table23[[#This Row],[Link to Reference]])</f>
        <v>IS.II.D:pg45</v>
      </c>
      <c r="K123" s="206" t="s">
        <v>1547</v>
      </c>
      <c r="L123" s="286" t="s">
        <v>1548</v>
      </c>
      <c r="M123" s="286" t="s">
        <v>1549</v>
      </c>
      <c r="N123" s="286" t="s">
        <v>1378</v>
      </c>
      <c r="O123" s="286" t="s">
        <v>1378</v>
      </c>
      <c r="P123" s="286" t="s">
        <v>1378</v>
      </c>
      <c r="Q123" s="286" t="s">
        <v>1378</v>
      </c>
      <c r="R123" s="286" t="s">
        <v>1378</v>
      </c>
      <c r="S123" s="286" t="s">
        <v>1378</v>
      </c>
      <c r="T123" s="286" t="s">
        <v>1378</v>
      </c>
      <c r="U123" s="286" t="s">
        <v>1378</v>
      </c>
      <c r="X123" s="286" t="s">
        <v>1186</v>
      </c>
      <c r="Y123" s="302" t="str">
        <f>IFERROR(IF(SEARCH("WP",Table23[[#This Row],[Link to Reference]])&gt;0,"Work Program","Booklet"),"Booklet")</f>
        <v>Booklet</v>
      </c>
      <c r="Z123" s="286">
        <v>11</v>
      </c>
      <c r="AA123" s="302">
        <f>IF(Table23[[#This Row],[Type]]="Booklet",MATCH(LEFT(Table23[[#This Row],[Link to Reference]],FIND(".",Table23[[#This Row],[Link to Reference]])-1),bookletsInfo[Initial],0),MATCH(LEFT(Table23[[#This Row],[Link to Reference]],FIND(".",Table23[[#This Row],[Link to Reference]])-1),WPInfo[Initials],0))</f>
        <v>5</v>
      </c>
      <c r="AB12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3" s="286">
        <v>118</v>
      </c>
      <c r="AD123" s="286" t="b">
        <f>IF(G123=G122,IF(MOD(Table23[[#This Row],[order]],2)=1,"hideOdd","hideEven"),FALSE)</f>
        <v>0</v>
      </c>
      <c r="AE123" s="286">
        <f>IF(Table23[[#This Row],[hideText]]=FALSE,AE122+1,AE122)</f>
        <v>37</v>
      </c>
      <c r="AF123" s="269"/>
      <c r="AO123" s="286" t="s">
        <v>1917</v>
      </c>
    </row>
    <row r="124" spans="1:41" ht="75" x14ac:dyDescent="0.25">
      <c r="A124" s="206" t="s">
        <v>210</v>
      </c>
      <c r="B124" s="206" t="s">
        <v>246</v>
      </c>
      <c r="C124" s="206" t="s">
        <v>246</v>
      </c>
      <c r="D124" s="306" t="str">
        <f>IF(Table23[[#This Row],[hideText]]=FALSE,HYPERLINK(INDEX('Verify Baseline Links'!$P$10:$P$132,MATCH(Table23[[#This Row],[DSorder]],'Verify Baseline Links'!$M$10:$M$132,0)),"DS"),"")</f>
        <v/>
      </c>
      <c r="E124" s="206" t="s">
        <v>1546</v>
      </c>
      <c r="F124" s="223" t="str">
        <f>CLEAN(TRIM(SUBSTITUTE(LEFT(Table23[[#This Row],[Declarative Statement]],MIN(250,LEN(Table23[[#This Row],[Declarative Statement]]))),CHAR(160)," ")))</f>
        <v>Information security threats are gathered and shared with applicable internal employees.</v>
      </c>
      <c r="G124" s="206">
        <f>MATCH(Table23[[#This Row],[clean DS]],combinedMaturityTable[Dsm clean],0)</f>
        <v>172</v>
      </c>
      <c r="H124" s="223"/>
      <c r="I124" s="223" t="s">
        <v>1548</v>
      </c>
      <c r="J124" s="308" t="str">
        <f>HYPERLINK(Table23[[#This Row],[URL]],Table23[[#This Row],[Link to Reference]])</f>
        <v>IS.WP.7.1</v>
      </c>
      <c r="K124" s="206" t="s">
        <v>1549</v>
      </c>
      <c r="X124" s="286" t="s">
        <v>1186</v>
      </c>
      <c r="Y124" s="302" t="str">
        <f>IFERROR(IF(SEARCH("WP",Table23[[#This Row],[Link to Reference]])&gt;0,"Work Program","Booklet"),"Booklet")</f>
        <v>Work Program</v>
      </c>
      <c r="Z124" s="286">
        <v>17</v>
      </c>
      <c r="AA124" s="302">
        <f>IF(Table23[[#This Row],[Type]]="Booklet",MATCH(LEFT(Table23[[#This Row],[Link to Reference]],FIND(".",Table23[[#This Row],[Link to Reference]])-1),bookletsInfo[Initial],0),MATCH(LEFT(Table23[[#This Row],[Link to Reference]],FIND(".",Table23[[#This Row],[Link to Reference]])-1),WPInfo[Initials],0))</f>
        <v>5</v>
      </c>
      <c r="AB12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https://watkinsconsulting.com/wp-content/uploads/2019/02/Information-Security-IT-WorkProgram.pdf#Page=17</v>
      </c>
      <c r="AC124" s="286">
        <v>119</v>
      </c>
      <c r="AD124" s="286" t="str">
        <f>IF(G124=G123,IF(MOD(Table23[[#This Row],[order]],2)=1,"hideOdd","hideEven"),FALSE)</f>
        <v>hideOdd</v>
      </c>
      <c r="AE124" s="286">
        <f>IF(Table23[[#This Row],[hideText]]=FALSE,AE123+1,AE123)</f>
        <v>37</v>
      </c>
      <c r="AF124" s="269"/>
      <c r="AO124" s="286" t="s">
        <v>1920</v>
      </c>
    </row>
    <row r="125" spans="1:41" ht="45" x14ac:dyDescent="0.25">
      <c r="A125" s="206" t="s">
        <v>210</v>
      </c>
      <c r="B125" s="206" t="s">
        <v>246</v>
      </c>
      <c r="C125" s="206" t="s">
        <v>246</v>
      </c>
      <c r="D125" s="306" t="str">
        <f ca="1">IF(Table23[[#This Row],[hideText]]=FALSE,HYPERLINK(INDEX('Verify Baseline Links'!$P$10:$P$132,MATCH(Table23[[#This Row],[DSorder]],'Verify Baseline Links'!$M$10:$M$132,0)),"DS"),"")</f>
        <v>DS</v>
      </c>
      <c r="E125" s="206" t="s">
        <v>1550</v>
      </c>
      <c r="F125" s="223" t="str">
        <f>CLEAN(TRIM(SUBSTITUTE(LEFT(Table23[[#This Row],[Declarative Statement]],MIN(250,LEN(Table23[[#This Row],[Declarative Statement]]))),CHAR(160)," ")))</f>
        <v>Contact information for law enforcement and the regulator(s) is maintained and updated regularly.</v>
      </c>
      <c r="G125" s="206">
        <f>MATCH(Table23[[#This Row],[clean DS]],combinedMaturityTable[Dsm clean],0)</f>
        <v>173</v>
      </c>
      <c r="H125" s="223">
        <v>4</v>
      </c>
      <c r="I125" s="223" t="s">
        <v>1551</v>
      </c>
      <c r="J125" s="308" t="str">
        <f>HYPERLINK(Table23[[#This Row],[URL]],Table23[[#This Row],[Link to Reference]])</f>
        <v>BCP.WP.I.5.1</v>
      </c>
      <c r="K125" s="206" t="s">
        <v>1552</v>
      </c>
      <c r="L125" s="286" t="s">
        <v>1553</v>
      </c>
      <c r="M125" s="286" t="s">
        <v>1554</v>
      </c>
      <c r="N125" s="286" t="s">
        <v>1529</v>
      </c>
      <c r="O125" s="286" t="s">
        <v>1555</v>
      </c>
      <c r="P125" s="286" t="s">
        <v>1556</v>
      </c>
      <c r="Q125" s="286" t="s">
        <v>1557</v>
      </c>
      <c r="R125" s="286" t="s">
        <v>1378</v>
      </c>
      <c r="S125" s="286" t="s">
        <v>1378</v>
      </c>
      <c r="T125" s="286" t="s">
        <v>1378</v>
      </c>
      <c r="U125" s="286" t="s">
        <v>1378</v>
      </c>
      <c r="X125" s="286" t="s">
        <v>1950</v>
      </c>
      <c r="Y125" s="302" t="str">
        <f>IFERROR(IF(SEARCH("WP",Table23[[#This Row],[Link to Reference]])&gt;0,"Work Program","Booklet"),"Booklet")</f>
        <v>Work Program</v>
      </c>
      <c r="Z125" s="286">
        <v>11</v>
      </c>
      <c r="AA125" s="302">
        <f>IF(Table23[[#This Row],[Type]]="Booklet",MATCH(LEFT(Table23[[#This Row],[Link to Reference]],FIND(".",Table23[[#This Row],[Link to Reference]])-1),bookletsInfo[Initial],0),MATCH(LEFT(Table23[[#This Row],[Link to Reference]],FIND(".",Table23[[#This Row],[Link to Reference]])-1),WPInfo[Initials],0))</f>
        <v>2</v>
      </c>
      <c r="AB12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https://watkinsconsulting.com/wp-content/uploads/2019/02/Business-Continuity-Planning-IT-WorkProgram.pdf#Page=11</v>
      </c>
      <c r="AC125" s="286">
        <v>120</v>
      </c>
      <c r="AD125" s="286" t="b">
        <f>IF(G125=G124,IF(MOD(Table23[[#This Row],[order]],2)=1,"hideOdd","hideEven"),FALSE)</f>
        <v>0</v>
      </c>
      <c r="AE125" s="286">
        <f>IF(Table23[[#This Row],[hideText]]=FALSE,AE124+1,AE124)</f>
        <v>38</v>
      </c>
      <c r="AF125" s="269"/>
      <c r="AO125"/>
    </row>
    <row r="126" spans="1:41" ht="45" x14ac:dyDescent="0.25">
      <c r="A126" s="206" t="s">
        <v>210</v>
      </c>
      <c r="B126" s="206" t="s">
        <v>246</v>
      </c>
      <c r="C126" s="206" t="s">
        <v>246</v>
      </c>
      <c r="D126" s="306" t="str">
        <f>IF(Table23[[#This Row],[hideText]]=FALSE,HYPERLINK(INDEX('Verify Baseline Links'!$P$10:$P$132,MATCH(Table23[[#This Row],[DSorder]],'Verify Baseline Links'!$M$10:$M$132,0)),"DS"),"")</f>
        <v/>
      </c>
      <c r="E126" s="206" t="s">
        <v>1550</v>
      </c>
      <c r="F126" s="223" t="str">
        <f>CLEAN(TRIM(SUBSTITUTE(LEFT(Table23[[#This Row],[Declarative Statement]],MIN(250,LEN(Table23[[#This Row],[Declarative Statement]]))),CHAR(160)," ")))</f>
        <v>Contact information for law enforcement and the regulator(s) is maintained and updated regularly.</v>
      </c>
      <c r="G126" s="206">
        <f>MATCH(Table23[[#This Row],[clean DS]],combinedMaturityTable[Dsm clean],0)</f>
        <v>173</v>
      </c>
      <c r="H126" s="223"/>
      <c r="I126" s="223" t="s">
        <v>1243</v>
      </c>
      <c r="J126" s="308" t="str">
        <f>HYPERLINK(Table23[[#This Row],[URL]],Table23[[#This Row],[Link to Reference]])</f>
        <v>IS.III.D:pg51</v>
      </c>
      <c r="K126" s="206" t="s">
        <v>1554</v>
      </c>
      <c r="X126" s="286" t="s">
        <v>1186</v>
      </c>
      <c r="Y126" s="302" t="str">
        <f>IFERROR(IF(SEARCH("WP",Table23[[#This Row],[Link to Reference]])&gt;0,"Work Program","Booklet"),"Booklet")</f>
        <v>Booklet</v>
      </c>
      <c r="Z126" s="286">
        <v>11</v>
      </c>
      <c r="AA126" s="302">
        <f>IF(Table23[[#This Row],[Type]]="Booklet",MATCH(LEFT(Table23[[#This Row],[Link to Reference]],FIND(".",Table23[[#This Row],[Link to Reference]])-1),bookletsInfo[Initial],0),MATCH(LEFT(Table23[[#This Row],[Link to Reference]],FIND(".",Table23[[#This Row],[Link to Reference]])-1),WPInfo[Initials],0))</f>
        <v>5</v>
      </c>
      <c r="AB12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6" s="286">
        <v>121</v>
      </c>
      <c r="AD126" s="286" t="str">
        <f>IF(G126=G125,IF(MOD(Table23[[#This Row],[order]],2)=1,"hideOdd","hideEven"),FALSE)</f>
        <v>hideOdd</v>
      </c>
      <c r="AE126" s="286">
        <f>IF(Table23[[#This Row],[hideText]]=FALSE,AE125+1,AE125)</f>
        <v>38</v>
      </c>
      <c r="AF126" s="269"/>
      <c r="AO126"/>
    </row>
    <row r="127" spans="1:41" ht="60" x14ac:dyDescent="0.25">
      <c r="A127" s="206" t="s">
        <v>210</v>
      </c>
      <c r="B127" s="206" t="s">
        <v>246</v>
      </c>
      <c r="C127" s="206" t="s">
        <v>246</v>
      </c>
      <c r="D127" s="306" t="str">
        <f>IF(Table23[[#This Row],[hideText]]=FALSE,HYPERLINK(INDEX('Verify Baseline Links'!$P$10:$P$132,MATCH(Table23[[#This Row],[DSorder]],'Verify Baseline Links'!$M$10:$M$132,0)),"DS"),"")</f>
        <v/>
      </c>
      <c r="E127" s="206" t="s">
        <v>1550</v>
      </c>
      <c r="F127" s="223" t="str">
        <f>CLEAN(TRIM(SUBSTITUTE(LEFT(Table23[[#This Row],[Declarative Statement]],MIN(250,LEN(Table23[[#This Row],[Declarative Statement]]))),CHAR(160)," ")))</f>
        <v>Contact information for law enforcement and the regulator(s) is maintained and updated regularly.</v>
      </c>
      <c r="G127" s="206">
        <f>MATCH(Table23[[#This Row],[clean DS]],combinedMaturityTable[Dsm clean],0)</f>
        <v>173</v>
      </c>
      <c r="H127" s="223"/>
      <c r="I127" s="223" t="s">
        <v>1529</v>
      </c>
      <c r="J127" s="308" t="str">
        <f>HYPERLINK(Table23[[#This Row],[URL]],Table23[[#This Row],[Link to Reference]])</f>
        <v>MGT.III.C.3:pg29</v>
      </c>
      <c r="K127" s="206" t="s">
        <v>1555</v>
      </c>
      <c r="X127" s="286" t="s">
        <v>1957</v>
      </c>
      <c r="Y127" s="302" t="str">
        <f>IFERROR(IF(SEARCH("WP",Table23[[#This Row],[Link to Reference]])&gt;0,"Work Program","Booklet"),"Booklet")</f>
        <v>Booklet</v>
      </c>
      <c r="Z127" s="286">
        <v>11</v>
      </c>
      <c r="AA127" s="302">
        <f>IF(Table23[[#This Row],[Type]]="Booklet",MATCH(LEFT(Table23[[#This Row],[Link to Reference]],FIND(".",Table23[[#This Row],[Link to Reference]])-1),bookletsInfo[Initial],0),MATCH(LEFT(Table23[[#This Row],[Link to Reference]],FIND(".",Table23[[#This Row],[Link to Reference]])-1),WPInfo[Initials],0))</f>
        <v>6</v>
      </c>
      <c r="AB12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https://ithandbook.ffiec.gov/media/274809/ffiec_itbooklet_management.pdf#Page=12</v>
      </c>
      <c r="AC127" s="286">
        <v>122</v>
      </c>
      <c r="AD127" s="286" t="str">
        <f>IF(G127=G126,IF(MOD(Table23[[#This Row],[order]],2)=1,"hideOdd","hideEven"),FALSE)</f>
        <v>hideEven</v>
      </c>
      <c r="AE127" s="286">
        <f>IF(Table23[[#This Row],[hideText]]=FALSE,AE126+1,AE126)</f>
        <v>38</v>
      </c>
      <c r="AF127" s="269"/>
      <c r="AO127"/>
    </row>
    <row r="128" spans="1:41" ht="45" x14ac:dyDescent="0.25">
      <c r="A128" s="206" t="s">
        <v>210</v>
      </c>
      <c r="B128" s="206" t="s">
        <v>246</v>
      </c>
      <c r="C128" s="206" t="s">
        <v>246</v>
      </c>
      <c r="D128" s="306" t="str">
        <f>IF(Table23[[#This Row],[hideText]]=FALSE,HYPERLINK(INDEX('Verify Baseline Links'!$P$10:$P$132,MATCH(Table23[[#This Row],[DSorder]],'Verify Baseline Links'!$M$10:$M$132,0)),"DS"),"")</f>
        <v/>
      </c>
      <c r="E128" s="206" t="s">
        <v>1550</v>
      </c>
      <c r="F128" s="223" t="str">
        <f>CLEAN(TRIM(SUBSTITUTE(LEFT(Table23[[#This Row],[Declarative Statement]],MIN(250,LEN(Table23[[#This Row],[Declarative Statement]]))),CHAR(160)," ")))</f>
        <v>Contact information for law enforcement and the regulator(s) is maintained and updated regularly.</v>
      </c>
      <c r="G128" s="206">
        <f>MATCH(Table23[[#This Row],[clean DS]],combinedMaturityTable[Dsm clean],0)</f>
        <v>173</v>
      </c>
      <c r="H128" s="223"/>
      <c r="I128" s="223" t="s">
        <v>1556</v>
      </c>
      <c r="J128" s="308" t="str">
        <f>HYPERLINK(Table23[[#This Row],[URL]],Table23[[#This Row],[Link to Reference]])</f>
        <v>MGT.WP.12.8.i</v>
      </c>
      <c r="K128" s="206" t="s">
        <v>1557</v>
      </c>
      <c r="X128" s="286" t="s">
        <v>1957</v>
      </c>
      <c r="Y128" s="302" t="str">
        <f>IFERROR(IF(SEARCH("WP",Table23[[#This Row],[Link to Reference]])&gt;0,"Work Program","Booklet"),"Booklet")</f>
        <v>Work Program</v>
      </c>
      <c r="Z128" s="286">
        <v>11</v>
      </c>
      <c r="AA128" s="302">
        <f>IF(Table23[[#This Row],[Type]]="Booklet",MATCH(LEFT(Table23[[#This Row],[Link to Reference]],FIND(".",Table23[[#This Row],[Link to Reference]])-1),bookletsInfo[Initial],0),MATCH(LEFT(Table23[[#This Row],[Link to Reference]],FIND(".",Table23[[#This Row],[Link to Reference]])-1),WPInfo[Initials],0))</f>
        <v>6</v>
      </c>
      <c r="AB12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https://watkinsconsulting.com/wp-content/uploads/2019/02/Management-IT-WorkProgram.pdf#Page=11</v>
      </c>
      <c r="AC128" s="286">
        <v>123</v>
      </c>
      <c r="AD128" s="286" t="str">
        <f>IF(G128=G127,IF(MOD(Table23[[#This Row],[order]],2)=1,"hideOdd","hideEven"),FALSE)</f>
        <v>hideOdd</v>
      </c>
      <c r="AE128" s="286">
        <f>IF(Table23[[#This Row],[hideText]]=FALSE,AE127+1,AE127)</f>
        <v>38</v>
      </c>
      <c r="AF128" s="269"/>
      <c r="AO128"/>
    </row>
    <row r="129" spans="1:41" ht="45" x14ac:dyDescent="0.25">
      <c r="A129" s="206" t="s">
        <v>210</v>
      </c>
      <c r="B129" s="206" t="s">
        <v>246</v>
      </c>
      <c r="C129" s="206" t="s">
        <v>246</v>
      </c>
      <c r="D129" s="306" t="str">
        <f ca="1">IF(Table23[[#This Row],[hideText]]=FALSE,HYPERLINK(INDEX('Verify Baseline Links'!$P$10:$P$132,MATCH(Table23[[#This Row],[DSorder]],'Verify Baseline Links'!$M$10:$M$132,0)),"DS"),"")</f>
        <v>DS</v>
      </c>
      <c r="E129" s="206" t="s">
        <v>1558</v>
      </c>
      <c r="F129" s="223" t="str">
        <f>CLEAN(TRIM(SUBSTITUTE(LEFT(Table23[[#This Row],[Declarative Statement]],MIN(250,LEN(Table23[[#This Row],[Declarative Statement]]))),CHAR(160)," ")))</f>
        <v>Information about threats is shared with law enforcement and regulators when required or prompted.</v>
      </c>
      <c r="G129" s="206">
        <f>MATCH(Table23[[#This Row],[clean DS]],combinedMaturityTable[Dsm clean],0)</f>
        <v>174</v>
      </c>
      <c r="H129" s="223">
        <v>3</v>
      </c>
      <c r="I129" s="223" t="s">
        <v>1243</v>
      </c>
      <c r="J129" s="308" t="str">
        <f>HYPERLINK(Table23[[#This Row],[URL]],Table23[[#This Row],[Link to Reference]])</f>
        <v>IS.III.D:pg51</v>
      </c>
      <c r="K129" s="206" t="s">
        <v>1559</v>
      </c>
      <c r="L129" s="286" t="s">
        <v>1529</v>
      </c>
      <c r="M129" s="286" t="s">
        <v>1555</v>
      </c>
      <c r="N129" s="286" t="s">
        <v>1556</v>
      </c>
      <c r="O129" s="286" t="s">
        <v>1557</v>
      </c>
      <c r="P129" s="286" t="s">
        <v>1378</v>
      </c>
      <c r="Q129" s="286" t="s">
        <v>1378</v>
      </c>
      <c r="R129" s="286" t="s">
        <v>1378</v>
      </c>
      <c r="S129" s="286" t="s">
        <v>1378</v>
      </c>
      <c r="T129" s="286" t="s">
        <v>1378</v>
      </c>
      <c r="U129" s="286" t="s">
        <v>1378</v>
      </c>
      <c r="X129" s="286" t="s">
        <v>1186</v>
      </c>
      <c r="Y129" s="302" t="str">
        <f>IFERROR(IF(SEARCH("WP",Table23[[#This Row],[Link to Reference]])&gt;0,"Work Program","Booklet"),"Booklet")</f>
        <v>Booklet</v>
      </c>
      <c r="Z129" s="286">
        <v>11</v>
      </c>
      <c r="AA129" s="302">
        <f>IF(Table23[[#This Row],[Type]]="Booklet",MATCH(LEFT(Table23[[#This Row],[Link to Reference]],FIND(".",Table23[[#This Row],[Link to Reference]])-1),bookletsInfo[Initial],0),MATCH(LEFT(Table23[[#This Row],[Link to Reference]],FIND(".",Table23[[#This Row],[Link to Reference]])-1),WPInfo[Initials],0))</f>
        <v>5</v>
      </c>
      <c r="AB12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9" s="286">
        <v>124</v>
      </c>
      <c r="AD129" s="286" t="b">
        <f>IF(G129=G128,IF(MOD(Table23[[#This Row],[order]],2)=1,"hideOdd","hideEven"),FALSE)</f>
        <v>0</v>
      </c>
      <c r="AE129" s="286">
        <f>IF(Table23[[#This Row],[hideText]]=FALSE,AE128+1,AE128)</f>
        <v>39</v>
      </c>
      <c r="AF129" s="269"/>
      <c r="AO129"/>
    </row>
    <row r="130" spans="1:41" ht="60" x14ac:dyDescent="0.25">
      <c r="A130" s="206" t="s">
        <v>210</v>
      </c>
      <c r="B130" s="206" t="s">
        <v>246</v>
      </c>
      <c r="C130" s="206" t="s">
        <v>246</v>
      </c>
      <c r="D130" s="306" t="str">
        <f>IF(Table23[[#This Row],[hideText]]=FALSE,HYPERLINK(INDEX('Verify Baseline Links'!$P$10:$P$132,MATCH(Table23[[#This Row],[DSorder]],'Verify Baseline Links'!$M$10:$M$132,0)),"DS"),"")</f>
        <v/>
      </c>
      <c r="E130" s="206" t="s">
        <v>1558</v>
      </c>
      <c r="F130" s="223" t="str">
        <f>CLEAN(TRIM(SUBSTITUTE(LEFT(Table23[[#This Row],[Declarative Statement]],MIN(250,LEN(Table23[[#This Row],[Declarative Statement]]))),CHAR(160)," ")))</f>
        <v>Information about threats is shared with law enforcement and regulators when required or prompted.</v>
      </c>
      <c r="G130" s="206">
        <f>MATCH(Table23[[#This Row],[clean DS]],combinedMaturityTable[Dsm clean],0)</f>
        <v>174</v>
      </c>
      <c r="H130" s="223"/>
      <c r="I130" s="223" t="s">
        <v>1529</v>
      </c>
      <c r="J130" s="308" t="str">
        <f>HYPERLINK(Table23[[#This Row],[URL]],Table23[[#This Row],[Link to Reference]])</f>
        <v>MGT.III.C.3:pg29</v>
      </c>
      <c r="K130" s="206" t="s">
        <v>1555</v>
      </c>
      <c r="X130" s="286" t="s">
        <v>1957</v>
      </c>
      <c r="Y130" s="302" t="str">
        <f>IFERROR(IF(SEARCH("WP",Table23[[#This Row],[Link to Reference]])&gt;0,"Work Program","Booklet"),"Booklet")</f>
        <v>Booklet</v>
      </c>
      <c r="Z130" s="286">
        <v>11</v>
      </c>
      <c r="AA130" s="302">
        <f>IF(Table23[[#This Row],[Type]]="Booklet",MATCH(LEFT(Table23[[#This Row],[Link to Reference]],FIND(".",Table23[[#This Row],[Link to Reference]])-1),bookletsInfo[Initial],0),MATCH(LEFT(Table23[[#This Row],[Link to Reference]],FIND(".",Table23[[#This Row],[Link to Reference]])-1),WPInfo[Initials],0))</f>
        <v>6</v>
      </c>
      <c r="AB13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https://ithandbook.ffiec.gov/media/274809/ffiec_itbooklet_management.pdf#Page=12</v>
      </c>
      <c r="AC130" s="286">
        <v>125</v>
      </c>
      <c r="AD130" s="286" t="str">
        <f>IF(G130=G129,IF(MOD(Table23[[#This Row],[order]],2)=1,"hideOdd","hideEven"),FALSE)</f>
        <v>hideOdd</v>
      </c>
      <c r="AE130" s="286">
        <f>IF(Table23[[#This Row],[hideText]]=FALSE,AE129+1,AE129)</f>
        <v>39</v>
      </c>
      <c r="AF130" s="269"/>
      <c r="AO130"/>
    </row>
    <row r="131" spans="1:41" ht="45" x14ac:dyDescent="0.25">
      <c r="A131" s="206" t="s">
        <v>210</v>
      </c>
      <c r="B131" s="206" t="s">
        <v>246</v>
      </c>
      <c r="C131" s="206" t="s">
        <v>246</v>
      </c>
      <c r="D131" s="306" t="str">
        <f>IF(Table23[[#This Row],[hideText]]=FALSE,HYPERLINK(INDEX('Verify Baseline Links'!$P$10:$P$132,MATCH(Table23[[#This Row],[DSorder]],'Verify Baseline Links'!$M$10:$M$132,0)),"DS"),"")</f>
        <v/>
      </c>
      <c r="E131" s="206" t="s">
        <v>1558</v>
      </c>
      <c r="F131" s="223" t="str">
        <f>CLEAN(TRIM(SUBSTITUTE(LEFT(Table23[[#This Row],[Declarative Statement]],MIN(250,LEN(Table23[[#This Row],[Declarative Statement]]))),CHAR(160)," ")))</f>
        <v>Information about threats is shared with law enforcement and regulators when required or prompted.</v>
      </c>
      <c r="G131" s="206">
        <f>MATCH(Table23[[#This Row],[clean DS]],combinedMaturityTable[Dsm clean],0)</f>
        <v>174</v>
      </c>
      <c r="H131" s="223"/>
      <c r="I131" s="223" t="s">
        <v>1556</v>
      </c>
      <c r="J131" s="308" t="str">
        <f>HYPERLINK(Table23[[#This Row],[URL]],Table23[[#This Row],[Link to Reference]])</f>
        <v>MGT.WP.12.8.i</v>
      </c>
      <c r="K131" s="206" t="s">
        <v>1557</v>
      </c>
      <c r="X131" s="286" t="s">
        <v>1957</v>
      </c>
      <c r="Y131" s="302" t="str">
        <f>IFERROR(IF(SEARCH("WP",Table23[[#This Row],[Link to Reference]])&gt;0,"Work Program","Booklet"),"Booklet")</f>
        <v>Work Program</v>
      </c>
      <c r="Z131" s="286">
        <v>11</v>
      </c>
      <c r="AA131" s="302">
        <f>IF(Table23[[#This Row],[Type]]="Booklet",MATCH(LEFT(Table23[[#This Row],[Link to Reference]],FIND(".",Table23[[#This Row],[Link to Reference]])-1),bookletsInfo[Initial],0),MATCH(LEFT(Table23[[#This Row],[Link to Reference]],FIND(".",Table23[[#This Row],[Link to Reference]])-1),WPInfo[Initials],0))</f>
        <v>6</v>
      </c>
      <c r="AB13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https://watkinsconsulting.com/wp-content/uploads/2019/02/Management-IT-WorkProgram.pdf#Page=11</v>
      </c>
      <c r="AC131" s="286">
        <v>126</v>
      </c>
      <c r="AD131" s="286" t="str">
        <f>IF(G131=G130,IF(MOD(Table23[[#This Row],[order]],2)=1,"hideOdd","hideEven"),FALSE)</f>
        <v>hideEven</v>
      </c>
      <c r="AE131" s="286">
        <f>IF(Table23[[#This Row],[hideText]]=FALSE,AE130+1,AE130)</f>
        <v>39</v>
      </c>
      <c r="AF131" s="269"/>
      <c r="AO131"/>
    </row>
    <row r="132" spans="1:41" ht="45" x14ac:dyDescent="0.25">
      <c r="A132" s="206" t="s">
        <v>215</v>
      </c>
      <c r="B132" s="206" t="s">
        <v>1560</v>
      </c>
      <c r="C132" s="206" t="s">
        <v>264</v>
      </c>
      <c r="D132" s="306" t="str">
        <f ca="1">IF(Table23[[#This Row],[hideText]]=FALSE,HYPERLINK(INDEX('Verify Baseline Links'!$P$10:$P$132,MATCH(Table23[[#This Row],[DSorder]],'Verify Baseline Links'!$M$10:$M$132,0)),"DS"),"")</f>
        <v>DS</v>
      </c>
      <c r="E132" s="206" t="s">
        <v>1561</v>
      </c>
      <c r="F132" s="223" t="str">
        <f>CLEAN(TRIM(SUBSTITUTE(LEFT(Table23[[#This Row],[Declarative Statement]],MIN(250,LEN(Table23[[#This Row],[Declarative Statement]]))),CHAR(160)," ")))</f>
        <v>Network perimeter defense tools (e.g., border router and firewall) are used.</v>
      </c>
      <c r="G132" s="206">
        <f>MATCH(Table23[[#This Row],[clean DS]],combinedMaturityTable[Dsm clean],0)</f>
        <v>187</v>
      </c>
      <c r="H132" s="223">
        <v>2</v>
      </c>
      <c r="I132" s="223" t="s">
        <v>1562</v>
      </c>
      <c r="J132" s="308" t="str">
        <f>HYPERLINK(Table23[[#This Row],[URL]],Table23[[#This Row],[Link to Reference]])</f>
        <v>IS.II.C.9:pg19</v>
      </c>
      <c r="K132" s="206" t="s">
        <v>1563</v>
      </c>
      <c r="L132" s="286" t="s">
        <v>1564</v>
      </c>
      <c r="M132" s="286" t="s">
        <v>1565</v>
      </c>
      <c r="N132" s="286" t="s">
        <v>1378</v>
      </c>
      <c r="O132" s="286" t="s">
        <v>1378</v>
      </c>
      <c r="P132" s="286" t="s">
        <v>1378</v>
      </c>
      <c r="Q132" s="286" t="s">
        <v>1378</v>
      </c>
      <c r="R132" s="286" t="s">
        <v>1378</v>
      </c>
      <c r="S132" s="286" t="s">
        <v>1378</v>
      </c>
      <c r="T132" s="286" t="s">
        <v>1378</v>
      </c>
      <c r="U132" s="286" t="s">
        <v>1378</v>
      </c>
      <c r="X132" s="286" t="s">
        <v>1186</v>
      </c>
      <c r="Y132" s="302" t="str">
        <f>IFERROR(IF(SEARCH("WP",Table23[[#This Row],[Link to Reference]])&gt;0,"Work Program","Booklet"),"Booklet")</f>
        <v>Booklet</v>
      </c>
      <c r="Z132" s="286">
        <v>11</v>
      </c>
      <c r="AA132" s="302">
        <f>IF(Table23[[#This Row],[Type]]="Booklet",MATCH(LEFT(Table23[[#This Row],[Link to Reference]],FIND(".",Table23[[#This Row],[Link to Reference]])-1),bookletsInfo[Initial],0),MATCH(LEFT(Table23[[#This Row],[Link to Reference]],FIND(".",Table23[[#This Row],[Link to Reference]])-1),WPInfo[Initials],0))</f>
        <v>5</v>
      </c>
      <c r="AB13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32" s="286">
        <v>127</v>
      </c>
      <c r="AD132" s="286" t="b">
        <f>IF(G132=G131,IF(MOD(Table23[[#This Row],[order]],2)=1,"hideOdd","hideEven"),FALSE)</f>
        <v>0</v>
      </c>
      <c r="AE132" s="286">
        <f>IF(Table23[[#This Row],[hideText]]=FALSE,AE131+1,AE131)</f>
        <v>40</v>
      </c>
      <c r="AF132" s="269"/>
      <c r="AO132"/>
    </row>
    <row r="133" spans="1:41" ht="30" x14ac:dyDescent="0.25">
      <c r="A133" s="206" t="s">
        <v>215</v>
      </c>
      <c r="B133" s="206" t="s">
        <v>1560</v>
      </c>
      <c r="C133" s="206" t="s">
        <v>264</v>
      </c>
      <c r="D133" s="306" t="str">
        <f>IF(Table23[[#This Row],[hideText]]=FALSE,HYPERLINK(INDEX('Verify Baseline Links'!$P$10:$P$132,MATCH(Table23[[#This Row],[DSorder]],'Verify Baseline Links'!$M$10:$M$132,0)),"DS"),"")</f>
        <v/>
      </c>
      <c r="E133" s="206" t="s">
        <v>1561</v>
      </c>
      <c r="F133" s="223" t="str">
        <f>CLEAN(TRIM(SUBSTITUTE(LEFT(Table23[[#This Row],[Declarative Statement]],MIN(250,LEN(Table23[[#This Row],[Declarative Statement]]))),CHAR(160)," ")))</f>
        <v>Network perimeter defense tools (e.g., border router and firewall) are used.</v>
      </c>
      <c r="G133" s="206">
        <f>MATCH(Table23[[#This Row],[clean DS]],combinedMaturityTable[Dsm clean],0)</f>
        <v>187</v>
      </c>
      <c r="H133" s="223"/>
      <c r="I133" s="223" t="s">
        <v>1564</v>
      </c>
      <c r="J133" s="308" t="str">
        <f>HYPERLINK(Table23[[#This Row],[URL]],Table23[[#This Row],[Link to Reference]])</f>
        <v>IS.WP.8.1.a</v>
      </c>
      <c r="K133" s="206" t="s">
        <v>1565</v>
      </c>
      <c r="X133" s="286" t="s">
        <v>1186</v>
      </c>
      <c r="Y133" s="302" t="str">
        <f>IFERROR(IF(SEARCH("WP",Table23[[#This Row],[Link to Reference]])&gt;0,"Work Program","Booklet"),"Booklet")</f>
        <v>Work Program</v>
      </c>
      <c r="Z133" s="286">
        <v>18</v>
      </c>
      <c r="AA133" s="302">
        <f>IF(Table23[[#This Row],[Type]]="Booklet",MATCH(LEFT(Table23[[#This Row],[Link to Reference]],FIND(".",Table23[[#This Row],[Link to Reference]])-1),bookletsInfo[Initial],0),MATCH(LEFT(Table23[[#This Row],[Link to Reference]],FIND(".",Table23[[#This Row],[Link to Reference]])-1),WPInfo[Initials],0))</f>
        <v>5</v>
      </c>
      <c r="AB13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133" s="286">
        <v>128</v>
      </c>
      <c r="AD133" s="286" t="str">
        <f>IF(G133=G132,IF(MOD(Table23[[#This Row],[order]],2)=1,"hideOdd","hideEven"),FALSE)</f>
        <v>hideEven</v>
      </c>
      <c r="AE133" s="286">
        <f>IF(Table23[[#This Row],[hideText]]=FALSE,AE132+1,AE132)</f>
        <v>40</v>
      </c>
      <c r="AF133" s="269"/>
      <c r="AO133"/>
    </row>
    <row r="134" spans="1:41" ht="45" x14ac:dyDescent="0.25">
      <c r="A134" s="206" t="s">
        <v>215</v>
      </c>
      <c r="B134" s="206" t="s">
        <v>1560</v>
      </c>
      <c r="C134" s="206" t="s">
        <v>264</v>
      </c>
      <c r="D134" s="306" t="str">
        <f ca="1">IF(Table23[[#This Row],[hideText]]=FALSE,HYPERLINK(INDEX('Verify Baseline Links'!$P$10:$P$132,MATCH(Table23[[#This Row],[DSorder]],'Verify Baseline Links'!$M$10:$M$132,0)),"DS"),"")</f>
        <v>DS</v>
      </c>
      <c r="E134" s="206" t="s">
        <v>1566</v>
      </c>
      <c r="F134" s="223" t="str">
        <f>CLEAN(TRIM(SUBSTITUTE(LEFT(Table23[[#This Row],[Declarative Statement]],MIN(250,LEN(Table23[[#This Row],[Declarative Statement]]))),CHAR(160)," ")))</f>
        <v>Systems that are accessed from the Internet or by external parties are protected by firewalls or other similar devices.</v>
      </c>
      <c r="G134" s="206">
        <f>MATCH(Table23[[#This Row],[clean DS]],combinedMaturityTable[Dsm clean],0)</f>
        <v>188</v>
      </c>
      <c r="H134" s="223">
        <v>5</v>
      </c>
      <c r="I134" s="223" t="s">
        <v>1567</v>
      </c>
      <c r="J134" s="308" t="str">
        <f>HYPERLINK(Table23[[#This Row],[URL]],Table23[[#This Row],[Link to Reference]])</f>
        <v>IS.II.C.17:pg39</v>
      </c>
      <c r="K134" s="206" t="s">
        <v>1568</v>
      </c>
      <c r="L134" s="286" t="s">
        <v>1569</v>
      </c>
      <c r="M134" s="286" t="s">
        <v>1570</v>
      </c>
      <c r="N134" s="286" t="s">
        <v>1571</v>
      </c>
      <c r="O134" s="286" t="s">
        <v>1572</v>
      </c>
      <c r="P134" s="286" t="s">
        <v>1573</v>
      </c>
      <c r="Q134" s="286" t="s">
        <v>1574</v>
      </c>
      <c r="R134" s="286" t="s">
        <v>1529</v>
      </c>
      <c r="S134" s="286" t="s">
        <v>1575</v>
      </c>
      <c r="T134" s="286" t="s">
        <v>1378</v>
      </c>
      <c r="U134" s="286" t="s">
        <v>1378</v>
      </c>
      <c r="X134" s="286" t="s">
        <v>1186</v>
      </c>
      <c r="Y134" s="302" t="str">
        <f>IFERROR(IF(SEARCH("WP",Table23[[#This Row],[Link to Reference]])&gt;0,"Work Program","Booklet"),"Booklet")</f>
        <v>Booklet</v>
      </c>
      <c r="Z134" s="286" t="s">
        <v>2025</v>
      </c>
      <c r="AA134" s="302">
        <f>IF(Table23[[#This Row],[Type]]="Booklet",MATCH(LEFT(Table23[[#This Row],[Link to Reference]],FIND(".",Table23[[#This Row],[Link to Reference]])-1),bookletsInfo[Initial],0),MATCH(LEFT(Table23[[#This Row],[Link to Reference]],FIND(".",Table23[[#This Row],[Link to Reference]])-1),WPInfo[Initials],0))</f>
        <v>5</v>
      </c>
      <c r="AB13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https://ithandbook.ffiec.gov/media/274793/ffiec_itbooklet_informationsecurity.pdf#Page=42</v>
      </c>
      <c r="AC134" s="286">
        <v>129</v>
      </c>
      <c r="AD134" s="286" t="b">
        <f>IF(G134=G133,IF(MOD(Table23[[#This Row],[order]],2)=1,"hideOdd","hideEven"),FALSE)</f>
        <v>0</v>
      </c>
      <c r="AE134" s="286">
        <f>IF(Table23[[#This Row],[hideText]]=FALSE,AE133+1,AE133)</f>
        <v>41</v>
      </c>
      <c r="AF134" s="269"/>
      <c r="AO134"/>
    </row>
    <row r="135" spans="1:41" ht="45" x14ac:dyDescent="0.25">
      <c r="A135" s="206" t="s">
        <v>215</v>
      </c>
      <c r="B135" s="206" t="s">
        <v>1560</v>
      </c>
      <c r="C135" s="206" t="s">
        <v>264</v>
      </c>
      <c r="D135" s="306" t="str">
        <f>IF(Table23[[#This Row],[hideText]]=FALSE,HYPERLINK(INDEX('Verify Baseline Links'!$P$10:$P$132,MATCH(Table23[[#This Row],[DSorder]],'Verify Baseline Links'!$M$10:$M$132,0)),"DS"),"")</f>
        <v/>
      </c>
      <c r="E135" s="206" t="s">
        <v>1566</v>
      </c>
      <c r="F135" s="223" t="str">
        <f>CLEAN(TRIM(SUBSTITUTE(LEFT(Table23[[#This Row],[Declarative Statement]],MIN(250,LEN(Table23[[#This Row],[Declarative Statement]]))),CHAR(160)," ")))</f>
        <v>Systems that are accessed from the Internet or by external parties are protected by firewalls or other similar devices.</v>
      </c>
      <c r="G135" s="206">
        <f>MATCH(Table23[[#This Row],[clean DS]],combinedMaturityTable[Dsm clean],0)</f>
        <v>188</v>
      </c>
      <c r="H135" s="223"/>
      <c r="I135" s="223" t="s">
        <v>1569</v>
      </c>
      <c r="J135" s="308" t="str">
        <f>HYPERLINK(Table23[[#This Row],[URL]],Table23[[#This Row],[Link to Reference]])</f>
        <v>IS.WP.6.27(g)</v>
      </c>
      <c r="K135" s="206" t="s">
        <v>1570</v>
      </c>
      <c r="X135" s="286" t="s">
        <v>1186</v>
      </c>
      <c r="Y135" s="302" t="str">
        <f>IFERROR(IF(SEARCH("WP",Table23[[#This Row],[Link to Reference]])&gt;0,"Work Program","Booklet"),"Booklet")</f>
        <v>Work Program</v>
      </c>
      <c r="Z135" s="286">
        <v>14</v>
      </c>
      <c r="AA135" s="302">
        <f>IF(Table23[[#This Row],[Type]]="Booklet",MATCH(LEFT(Table23[[#This Row],[Link to Reference]],FIND(".",Table23[[#This Row],[Link to Reference]])-1),bookletsInfo[Initial],0),MATCH(LEFT(Table23[[#This Row],[Link to Reference]],FIND(".",Table23[[#This Row],[Link to Reference]])-1),WPInfo[Initials],0))</f>
        <v>5</v>
      </c>
      <c r="AB13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135" s="286">
        <v>130</v>
      </c>
      <c r="AD135" s="286" t="str">
        <f>IF(G135=G134,IF(MOD(Table23[[#This Row],[order]],2)=1,"hideOdd","hideEven"),FALSE)</f>
        <v>hideEven</v>
      </c>
      <c r="AE135" s="286">
        <f>IF(Table23[[#This Row],[hideText]]=FALSE,AE134+1,AE134)</f>
        <v>41</v>
      </c>
      <c r="AF135" s="269"/>
      <c r="AO135"/>
    </row>
    <row r="136" spans="1:41" ht="30" x14ac:dyDescent="0.25">
      <c r="A136" s="206" t="s">
        <v>215</v>
      </c>
      <c r="B136" s="206" t="s">
        <v>1560</v>
      </c>
      <c r="C136" s="206" t="s">
        <v>264</v>
      </c>
      <c r="D136" s="306" t="str">
        <f>IF(Table23[[#This Row],[hideText]]=FALSE,HYPERLINK(INDEX('Verify Baseline Links'!$P$10:$P$132,MATCH(Table23[[#This Row],[DSorder]],'Verify Baseline Links'!$M$10:$M$132,0)),"DS"),"")</f>
        <v/>
      </c>
      <c r="E136" s="206" t="s">
        <v>1566</v>
      </c>
      <c r="F136" s="223" t="str">
        <f>CLEAN(TRIM(SUBSTITUTE(LEFT(Table23[[#This Row],[Declarative Statement]],MIN(250,LEN(Table23[[#This Row],[Declarative Statement]]))),CHAR(160)," ")))</f>
        <v>Systems that are accessed from the Internet or by external parties are protected by firewalls or other similar devices.</v>
      </c>
      <c r="G136" s="206">
        <f>MATCH(Table23[[#This Row],[clean DS]],combinedMaturityTable[Dsm clean],0)</f>
        <v>188</v>
      </c>
      <c r="H136" s="223"/>
      <c r="I136" s="223" t="s">
        <v>1529</v>
      </c>
      <c r="J136" s="308" t="str">
        <f>HYPERLINK(Table23[[#This Row],[URL]],Table23[[#This Row],[Link to Reference]])</f>
        <v>MGT.III.C.3:pg29</v>
      </c>
      <c r="K136" s="206" t="s">
        <v>1575</v>
      </c>
      <c r="X136" s="286" t="s">
        <v>1957</v>
      </c>
      <c r="Y136" s="302" t="str">
        <f>IFERROR(IF(SEARCH("WP",Table23[[#This Row],[Link to Reference]])&gt;0,"Work Program","Booklet"),"Booklet")</f>
        <v>Booklet</v>
      </c>
      <c r="Z136" s="286" t="s">
        <v>2023</v>
      </c>
      <c r="AA136" s="302">
        <f>IF(Table23[[#This Row],[Type]]="Booklet",MATCH(LEFT(Table23[[#This Row],[Link to Reference]],FIND(".",Table23[[#This Row],[Link to Reference]])-1),bookletsInfo[Initial],0),MATCH(LEFT(Table23[[#This Row],[Link to Reference]],FIND(".",Table23[[#This Row],[Link to Reference]])-1),WPInfo[Initials],0))</f>
        <v>6</v>
      </c>
      <c r="AB13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136" s="286">
        <v>133</v>
      </c>
      <c r="AD136" s="286" t="str">
        <f>IF(G136=G135,IF(MOD(Table23[[#This Row],[order]],2)=1,"hideOdd","hideEven"),FALSE)</f>
        <v>hideOdd</v>
      </c>
      <c r="AE136" s="286">
        <f>IF(Table23[[#This Row],[hideText]]=FALSE,AE135+1,AE135)</f>
        <v>41</v>
      </c>
      <c r="AF136" s="269"/>
      <c r="AO136"/>
    </row>
    <row r="137" spans="1:41" ht="45" x14ac:dyDescent="0.25">
      <c r="A137" s="206" t="s">
        <v>215</v>
      </c>
      <c r="B137" s="206" t="s">
        <v>1560</v>
      </c>
      <c r="C137" s="206" t="s">
        <v>264</v>
      </c>
      <c r="D137" s="306" t="str">
        <f>IF(Table23[[#This Row],[hideText]]=FALSE,HYPERLINK(INDEX('Verify Baseline Links'!$P$10:$P$132,MATCH(Table23[[#This Row],[DSorder]],'Verify Baseline Links'!$M$10:$M$132,0)),"DS"),"")</f>
        <v/>
      </c>
      <c r="E137" s="206" t="s">
        <v>1566</v>
      </c>
      <c r="F137" s="223" t="str">
        <f>CLEAN(TRIM(SUBSTITUTE(LEFT(Table23[[#This Row],[Declarative Statement]],MIN(250,LEN(Table23[[#This Row],[Declarative Statement]]))),CHAR(160)," ")))</f>
        <v>Systems that are accessed from the Internet or by external parties are protected by firewalls or other similar devices.</v>
      </c>
      <c r="G137" s="206">
        <f>MATCH(Table23[[#This Row],[clean DS]],combinedMaturityTable[Dsm clean],0)</f>
        <v>188</v>
      </c>
      <c r="H137" s="223"/>
      <c r="I137" s="223" t="s">
        <v>1571</v>
      </c>
      <c r="J137" s="308" t="str">
        <f>HYPERLINK(Table23[[#This Row],[URL]],Table23[[#This Row],[Link to Reference]])</f>
        <v>OPS.B.23</v>
      </c>
      <c r="K137" s="206" t="s">
        <v>1572</v>
      </c>
      <c r="X137" s="286" t="s">
        <v>1959</v>
      </c>
      <c r="Y137" s="302" t="str">
        <f>IFERROR(IF(SEARCH("WP",Table23[[#This Row],[Link to Reference]])&gt;0,"Work Program","Booklet"),"Booklet")</f>
        <v>Booklet</v>
      </c>
      <c r="Z137" s="286">
        <v>23</v>
      </c>
      <c r="AA137" s="302">
        <f>IF(Table23[[#This Row],[Type]]="Booklet",MATCH(LEFT(Table23[[#This Row],[Link to Reference]],FIND(".",Table23[[#This Row],[Link to Reference]])-1),bookletsInfo[Initial],0),MATCH(LEFT(Table23[[#This Row],[Link to Reference]],FIND(".",Table23[[#This Row],[Link to Reference]])-1),WPInfo[Initials],0))</f>
        <v>7</v>
      </c>
      <c r="AB13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https://ithandbook.ffiec.gov/media/274825/ffiec_itbooklet_operations.pdf#Page=26</v>
      </c>
      <c r="AC137" s="286">
        <v>131</v>
      </c>
      <c r="AD137" s="286" t="str">
        <f>IF(G137=G136,IF(MOD(Table23[[#This Row],[order]],2)=1,"hideOdd","hideEven"),FALSE)</f>
        <v>hideOdd</v>
      </c>
      <c r="AE137" s="286">
        <f>IF(Table23[[#This Row],[hideText]]=FALSE,AE136+1,AE136)</f>
        <v>41</v>
      </c>
      <c r="AF137" s="269"/>
      <c r="AO137"/>
    </row>
    <row r="138" spans="1:41" ht="30" x14ac:dyDescent="0.25">
      <c r="A138" s="206" t="s">
        <v>215</v>
      </c>
      <c r="B138" s="206" t="s">
        <v>1560</v>
      </c>
      <c r="C138" s="206" t="s">
        <v>264</v>
      </c>
      <c r="D138" s="306" t="str">
        <f>IF(Table23[[#This Row],[hideText]]=FALSE,HYPERLINK(INDEX('Verify Baseline Links'!$P$10:$P$132,MATCH(Table23[[#This Row],[DSorder]],'Verify Baseline Links'!$M$10:$M$132,0)),"DS"),"")</f>
        <v/>
      </c>
      <c r="E138" s="206" t="s">
        <v>1566</v>
      </c>
      <c r="F138" s="223" t="str">
        <f>CLEAN(TRIM(SUBSTITUTE(LEFT(Table23[[#This Row],[Declarative Statement]],MIN(250,LEN(Table23[[#This Row],[Declarative Statement]]))),CHAR(160)," ")))</f>
        <v>Systems that are accessed from the Internet or by external parties are protected by firewalls or other similar devices.</v>
      </c>
      <c r="G138" s="206">
        <f>MATCH(Table23[[#This Row],[clean DS]],combinedMaturityTable[Dsm clean],0)</f>
        <v>188</v>
      </c>
      <c r="H138" s="223"/>
      <c r="I138" s="223" t="s">
        <v>1573</v>
      </c>
      <c r="J138" s="308" t="str">
        <f>HYPERLINK(Table23[[#This Row],[URL]],Table23[[#This Row],[Link to Reference]])</f>
        <v>OPS.WP.8.1</v>
      </c>
      <c r="K138" s="206" t="s">
        <v>1574</v>
      </c>
      <c r="X138" s="286" t="s">
        <v>1959</v>
      </c>
      <c r="Y138" s="302" t="str">
        <f>IFERROR(IF(SEARCH("WP",Table23[[#This Row],[Link to Reference]])&gt;0,"Work Program","Booklet"),"Booklet")</f>
        <v>Work Program</v>
      </c>
      <c r="Z138" s="286">
        <v>9</v>
      </c>
      <c r="AA138" s="302">
        <f>IF(Table23[[#This Row],[Type]]="Booklet",MATCH(LEFT(Table23[[#This Row],[Link to Reference]],FIND(".",Table23[[#This Row],[Link to Reference]])-1),bookletsInfo[Initial],0),MATCH(LEFT(Table23[[#This Row],[Link to Reference]],FIND(".",Table23[[#This Row],[Link to Reference]])-1),WPInfo[Initials],0))</f>
        <v>7</v>
      </c>
      <c r="AB13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https://watkinsconsulting.com/wp-content/uploads/2019/02/Operations-IT-WorkProgram.pdf#Page=9</v>
      </c>
      <c r="AC138" s="286">
        <v>132</v>
      </c>
      <c r="AD138" s="286" t="str">
        <f>IF(G138=G137,IF(MOD(Table23[[#This Row],[order]],2)=1,"hideOdd","hideEven"),FALSE)</f>
        <v>hideEven</v>
      </c>
      <c r="AE138" s="286">
        <f>IF(Table23[[#This Row],[hideText]]=FALSE,AE137+1,AE137)</f>
        <v>41</v>
      </c>
      <c r="AF138" s="269"/>
      <c r="AO138"/>
    </row>
    <row r="139" spans="1:41" ht="45" x14ac:dyDescent="0.25">
      <c r="A139" s="206" t="s">
        <v>215</v>
      </c>
      <c r="B139" s="206" t="s">
        <v>1560</v>
      </c>
      <c r="C139" s="206" t="s">
        <v>264</v>
      </c>
      <c r="D139" s="306" t="str">
        <f ca="1">IF(Table23[[#This Row],[hideText]]=FALSE,HYPERLINK(INDEX('Verify Baseline Links'!$P$10:$P$132,MATCH(Table23[[#This Row],[DSorder]],'Verify Baseline Links'!$M$10:$M$132,0)),"DS"),"")</f>
        <v>DS</v>
      </c>
      <c r="E139" s="206" t="s">
        <v>2059</v>
      </c>
      <c r="F139" s="223" t="str">
        <f>CLEAN(TRIM(SUBSTITUTE(LEFT(Table23[[#This Row],[Declarative Statement]],MIN(250,LEN(Table23[[#This Row],[Declarative Statement]]))),CHAR(160)," ")))</f>
        <v>All ports are monitored.</v>
      </c>
      <c r="G139" s="206">
        <f>MATCH(Table23[[#This Row],[clean DS]],combinedMaturityTable[Dsm clean],0)</f>
        <v>189</v>
      </c>
      <c r="H139" s="223">
        <v>1</v>
      </c>
      <c r="I139" s="223" t="s">
        <v>1181</v>
      </c>
      <c r="J139" s="308" t="str">
        <f>HYPERLINK(Table23[[#This Row],[URL]],Table23[[#This Row],[Link to Reference]])</f>
        <v>IS.II.C.12:pg26</v>
      </c>
      <c r="K139" s="206" t="s">
        <v>1577</v>
      </c>
      <c r="L139" s="286" t="s">
        <v>1378</v>
      </c>
      <c r="M139" s="286" t="s">
        <v>1378</v>
      </c>
      <c r="N139" s="286" t="s">
        <v>1378</v>
      </c>
      <c r="O139" s="286" t="s">
        <v>1378</v>
      </c>
      <c r="P139" s="286" t="s">
        <v>1378</v>
      </c>
      <c r="Q139" s="286" t="s">
        <v>1378</v>
      </c>
      <c r="R139" s="286" t="s">
        <v>1378</v>
      </c>
      <c r="S139" s="286" t="s">
        <v>1378</v>
      </c>
      <c r="T139" s="286" t="s">
        <v>1378</v>
      </c>
      <c r="U139" s="286" t="s">
        <v>1378</v>
      </c>
      <c r="X139" s="286" t="s">
        <v>1186</v>
      </c>
      <c r="Y139" s="302" t="str">
        <f>IFERROR(IF(SEARCH("WP",Table23[[#This Row],[Link to Reference]])&gt;0,"Work Program","Booklet"),"Booklet")</f>
        <v>Booklet</v>
      </c>
      <c r="Z139" s="286" t="s">
        <v>2026</v>
      </c>
      <c r="AA139" s="302">
        <f>IF(Table23[[#This Row],[Type]]="Booklet",MATCH(LEFT(Table23[[#This Row],[Link to Reference]],FIND(".",Table23[[#This Row],[Link to Reference]])-1),bookletsInfo[Initial],0),MATCH(LEFT(Table23[[#This Row],[Link to Reference]],FIND(".",Table23[[#This Row],[Link to Reference]])-1),WPInfo[Initials],0))</f>
        <v>5</v>
      </c>
      <c r="AB13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139" s="286">
        <v>134</v>
      </c>
      <c r="AD139" s="286" t="b">
        <f>IF(G139=G138,IF(MOD(Table23[[#This Row],[order]],2)=1,"hideOdd","hideEven"),FALSE)</f>
        <v>0</v>
      </c>
      <c r="AE139" s="286">
        <f>IF(Table23[[#This Row],[hideText]]=FALSE,AE138+1,AE138)</f>
        <v>42</v>
      </c>
      <c r="AF139" s="269"/>
      <c r="AO139"/>
    </row>
    <row r="140" spans="1:41" ht="30" x14ac:dyDescent="0.25">
      <c r="A140" s="206" t="s">
        <v>215</v>
      </c>
      <c r="B140" s="206" t="s">
        <v>1560</v>
      </c>
      <c r="C140" s="206" t="s">
        <v>264</v>
      </c>
      <c r="D140" s="306" t="str">
        <f ca="1">IF(Table23[[#This Row],[hideText]]=FALSE,HYPERLINK(INDEX('Verify Baseline Links'!$P$10:$P$132,MATCH(Table23[[#This Row],[DSorder]],'Verify Baseline Links'!$M$10:$M$132,0)),"DS"),"")</f>
        <v>DS</v>
      </c>
      <c r="E140" s="206" t="s">
        <v>2060</v>
      </c>
      <c r="F140" s="223" t="str">
        <f>CLEAN(TRIM(SUBSTITUTE(LEFT(Table23[[#This Row],[Declarative Statement]],MIN(250,LEN(Table23[[#This Row],[Declarative Statement]]))),CHAR(160)," ")))</f>
        <v>Up to date antivirus and anti-malware tools are used.</v>
      </c>
      <c r="G140" s="206">
        <f>MATCH(Table23[[#This Row],[clean DS]],combinedMaturityTable[Dsm clean],0)</f>
        <v>190</v>
      </c>
      <c r="H140" s="223">
        <v>2</v>
      </c>
      <c r="I140" s="223" t="s">
        <v>1181</v>
      </c>
      <c r="J140" s="308" t="str">
        <f>HYPERLINK(Table23[[#This Row],[URL]],Table23[[#This Row],[Link to Reference]])</f>
        <v>IS.II.C.12:pg26</v>
      </c>
      <c r="K140" s="206" t="s">
        <v>1579</v>
      </c>
      <c r="L140" s="286" t="s">
        <v>1580</v>
      </c>
      <c r="M140" s="286" t="s">
        <v>1581</v>
      </c>
      <c r="N140" s="286" t="s">
        <v>1378</v>
      </c>
      <c r="O140" s="286" t="s">
        <v>1378</v>
      </c>
      <c r="P140" s="286" t="s">
        <v>1378</v>
      </c>
      <c r="Q140" s="286" t="s">
        <v>1378</v>
      </c>
      <c r="R140" s="286" t="s">
        <v>1378</v>
      </c>
      <c r="S140" s="286" t="s">
        <v>1378</v>
      </c>
      <c r="T140" s="286" t="s">
        <v>1378</v>
      </c>
      <c r="U140" s="286" t="s">
        <v>1378</v>
      </c>
      <c r="X140" s="286" t="s">
        <v>1186</v>
      </c>
      <c r="Y140" s="302" t="str">
        <f>IFERROR(IF(SEARCH("WP",Table23[[#This Row],[Link to Reference]])&gt;0,"Work Program","Booklet"),"Booklet")</f>
        <v>Booklet</v>
      </c>
      <c r="Z140" s="286" t="s">
        <v>2026</v>
      </c>
      <c r="AA140" s="302">
        <f>IF(Table23[[#This Row],[Type]]="Booklet",MATCH(LEFT(Table23[[#This Row],[Link to Reference]],FIND(".",Table23[[#This Row],[Link to Reference]])-1),bookletsInfo[Initial],0),MATCH(LEFT(Table23[[#This Row],[Link to Reference]],FIND(".",Table23[[#This Row],[Link to Reference]])-1),WPInfo[Initials],0))</f>
        <v>5</v>
      </c>
      <c r="AB14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140" s="286">
        <v>135</v>
      </c>
      <c r="AD140" s="286" t="b">
        <f>IF(G140=G139,IF(MOD(Table23[[#This Row],[order]],2)=1,"hideOdd","hideEven"),FALSE)</f>
        <v>0</v>
      </c>
      <c r="AE140" s="286">
        <f>IF(Table23[[#This Row],[hideText]]=FALSE,AE139+1,AE139)</f>
        <v>43</v>
      </c>
      <c r="AF140" s="269"/>
      <c r="AO140"/>
    </row>
    <row r="141" spans="1:41" ht="30" x14ac:dyDescent="0.25">
      <c r="A141" s="206" t="s">
        <v>215</v>
      </c>
      <c r="B141" s="206" t="s">
        <v>1560</v>
      </c>
      <c r="C141" s="206" t="s">
        <v>264</v>
      </c>
      <c r="D141" s="306" t="str">
        <f>IF(Table23[[#This Row],[hideText]]=FALSE,HYPERLINK(INDEX('Verify Baseline Links'!$P$10:$P$132,MATCH(Table23[[#This Row],[DSorder]],'Verify Baseline Links'!$M$10:$M$132,0)),"DS"),"")</f>
        <v/>
      </c>
      <c r="E141" s="206" t="s">
        <v>2060</v>
      </c>
      <c r="F141" s="223" t="str">
        <f>CLEAN(TRIM(SUBSTITUTE(LEFT(Table23[[#This Row],[Declarative Statement]],MIN(250,LEN(Table23[[#This Row],[Declarative Statement]]))),CHAR(160)," ")))</f>
        <v>Up to date antivirus and anti-malware tools are used.</v>
      </c>
      <c r="G141" s="206">
        <f>MATCH(Table23[[#This Row],[clean DS]],combinedMaturityTable[Dsm clean],0)</f>
        <v>190</v>
      </c>
      <c r="H141" s="223"/>
      <c r="I141" s="223" t="s">
        <v>1580</v>
      </c>
      <c r="J141" s="308" t="str">
        <f>HYPERLINK(Table23[[#This Row],[URL]],Table23[[#This Row],[Link to Reference]])</f>
        <v>IS.WP.6.17</v>
      </c>
      <c r="K141" s="206" t="s">
        <v>1581</v>
      </c>
      <c r="X141" s="286" t="s">
        <v>1186</v>
      </c>
      <c r="Y141" s="302" t="str">
        <f>IFERROR(IF(SEARCH("WP",Table23[[#This Row],[Link to Reference]])&gt;0,"Work Program","Booklet"),"Booklet")</f>
        <v>Work Program</v>
      </c>
      <c r="Z141" s="286">
        <v>11</v>
      </c>
      <c r="AA141" s="302">
        <f>IF(Table23[[#This Row],[Type]]="Booklet",MATCH(LEFT(Table23[[#This Row],[Link to Reference]],FIND(".",Table23[[#This Row],[Link to Reference]])-1),bookletsInfo[Initial],0),MATCH(LEFT(Table23[[#This Row],[Link to Reference]],FIND(".",Table23[[#This Row],[Link to Reference]])-1),WPInfo[Initials],0))</f>
        <v>5</v>
      </c>
      <c r="AB14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41" s="286">
        <v>136</v>
      </c>
      <c r="AD141" s="286" t="str">
        <f>IF(G141=G140,IF(MOD(Table23[[#This Row],[order]],2)=1,"hideOdd","hideEven"),FALSE)</f>
        <v>hideEven</v>
      </c>
      <c r="AE141" s="286">
        <f>IF(Table23[[#This Row],[hideText]]=FALSE,AE140+1,AE140)</f>
        <v>43</v>
      </c>
      <c r="AF141" s="269"/>
      <c r="AO141"/>
    </row>
    <row r="142" spans="1:41" ht="30" x14ac:dyDescent="0.25">
      <c r="A142" s="206" t="s">
        <v>215</v>
      </c>
      <c r="B142" s="206" t="s">
        <v>1560</v>
      </c>
      <c r="C142" s="206" t="s">
        <v>264</v>
      </c>
      <c r="D142" s="306" t="str">
        <f ca="1">IF(Table23[[#This Row],[hideText]]=FALSE,HYPERLINK(INDEX('Verify Baseline Links'!$P$10:$P$132,MATCH(Table23[[#This Row],[DSorder]],'Verify Baseline Links'!$M$10:$M$132,0)),"DS"),"")</f>
        <v>DS</v>
      </c>
      <c r="E142" s="206" t="s">
        <v>1582</v>
      </c>
      <c r="F142" s="223" t="str">
        <f>CLEAN(TRIM(SUBSTITUTE(LEFT(Table23[[#This Row],[Declarative Statement]],MIN(250,LEN(Table23[[#This Row],[Declarative Statement]]))),CHAR(160)," ")))</f>
        <v>Systems configurations (for servers, desktops, routers, etc.) follow industry standards and are enforced.</v>
      </c>
      <c r="G142" s="206">
        <f>MATCH(Table23[[#This Row],[clean DS]],combinedMaturityTable[Dsm clean],0)</f>
        <v>191</v>
      </c>
      <c r="H142" s="223">
        <v>2</v>
      </c>
      <c r="I142" s="223" t="s">
        <v>1583</v>
      </c>
      <c r="J142" s="308" t="str">
        <f>HYPERLINK(Table23[[#This Row],[URL]],Table23[[#This Row],[Link to Reference]])</f>
        <v>IS.II.C.10(c):pg23</v>
      </c>
      <c r="K142" s="206" t="s">
        <v>1584</v>
      </c>
      <c r="L142" s="286" t="s">
        <v>1585</v>
      </c>
      <c r="M142" s="286" t="s">
        <v>1586</v>
      </c>
      <c r="N142" s="286" t="s">
        <v>1378</v>
      </c>
      <c r="O142" s="286" t="s">
        <v>1378</v>
      </c>
      <c r="P142" s="286" t="s">
        <v>1378</v>
      </c>
      <c r="Q142" s="286" t="s">
        <v>1378</v>
      </c>
      <c r="R142" s="286" t="s">
        <v>1378</v>
      </c>
      <c r="S142" s="286" t="s">
        <v>1378</v>
      </c>
      <c r="T142" s="286" t="s">
        <v>1378</v>
      </c>
      <c r="U142" s="286" t="s">
        <v>1378</v>
      </c>
      <c r="X142" s="286" t="s">
        <v>1186</v>
      </c>
      <c r="Y142" s="302" t="str">
        <f>IFERROR(IF(SEARCH("WP",Table23[[#This Row],[Link to Reference]])&gt;0,"Work Program","Booklet"),"Booklet")</f>
        <v>Booklet</v>
      </c>
      <c r="Z142" s="286" t="s">
        <v>2027</v>
      </c>
      <c r="AA142" s="302">
        <f>IF(Table23[[#This Row],[Type]]="Booklet",MATCH(LEFT(Table23[[#This Row],[Link to Reference]],FIND(".",Table23[[#This Row],[Link to Reference]])-1),bookletsInfo[Initial],0),MATCH(LEFT(Table23[[#This Row],[Link to Reference]],FIND(".",Table23[[#This Row],[Link to Reference]])-1),WPInfo[Initials],0))</f>
        <v>5</v>
      </c>
      <c r="AB14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https://ithandbook.ffiec.gov/media/274793/ffiec_itbooklet_informationsecurity.pdf#Page=26</v>
      </c>
      <c r="AC142" s="286">
        <v>137</v>
      </c>
      <c r="AD142" s="286" t="b">
        <f>IF(G142=G141,IF(MOD(Table23[[#This Row],[order]],2)=1,"hideOdd","hideEven"),FALSE)</f>
        <v>0</v>
      </c>
      <c r="AE142" s="286">
        <f>IF(Table23[[#This Row],[hideText]]=FALSE,AE141+1,AE141)</f>
        <v>44</v>
      </c>
      <c r="AF142" s="269"/>
      <c r="AO142"/>
    </row>
    <row r="143" spans="1:41" ht="45" x14ac:dyDescent="0.25">
      <c r="A143" s="206" t="s">
        <v>215</v>
      </c>
      <c r="B143" s="206" t="s">
        <v>1560</v>
      </c>
      <c r="C143" s="206" t="s">
        <v>264</v>
      </c>
      <c r="D143" s="306" t="str">
        <f>IF(Table23[[#This Row],[hideText]]=FALSE,HYPERLINK(INDEX('Verify Baseline Links'!$P$10:$P$132,MATCH(Table23[[#This Row],[DSorder]],'Verify Baseline Links'!$M$10:$M$132,0)),"DS"),"")</f>
        <v/>
      </c>
      <c r="E143" s="206" t="s">
        <v>1582</v>
      </c>
      <c r="F143" s="223" t="str">
        <f>CLEAN(TRIM(SUBSTITUTE(LEFT(Table23[[#This Row],[Declarative Statement]],MIN(250,LEN(Table23[[#This Row],[Declarative Statement]]))),CHAR(160)," ")))</f>
        <v>Systems configurations (for servers, desktops, routers, etc.) follow industry standards and are enforced.</v>
      </c>
      <c r="G143" s="206">
        <f>MATCH(Table23[[#This Row],[clean DS]],combinedMaturityTable[Dsm clean],0)</f>
        <v>191</v>
      </c>
      <c r="H143" s="223"/>
      <c r="I143" s="223" t="s">
        <v>1585</v>
      </c>
      <c r="J143" s="308" t="str">
        <f>HYPERLINK(Table23[[#This Row],[URL]],Table23[[#This Row],[Link to Reference]])</f>
        <v>IS.WP.6.14</v>
      </c>
      <c r="K143" s="206" t="s">
        <v>1586</v>
      </c>
      <c r="X143" s="286" t="s">
        <v>1186</v>
      </c>
      <c r="Y143" s="302" t="str">
        <f>IFERROR(IF(SEARCH("WP",Table23[[#This Row],[Link to Reference]])&gt;0,"Work Program","Booklet"),"Booklet")</f>
        <v>Work Program</v>
      </c>
      <c r="Z143" s="286">
        <v>10</v>
      </c>
      <c r="AA143" s="302">
        <f>IF(Table23[[#This Row],[Type]]="Booklet",MATCH(LEFT(Table23[[#This Row],[Link to Reference]],FIND(".",Table23[[#This Row],[Link to Reference]])-1),bookletsInfo[Initial],0),MATCH(LEFT(Table23[[#This Row],[Link to Reference]],FIND(".",Table23[[#This Row],[Link to Reference]])-1),WPInfo[Initials],0))</f>
        <v>5</v>
      </c>
      <c r="AB14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143" s="286">
        <v>138</v>
      </c>
      <c r="AD143" s="286" t="str">
        <f>IF(G143=G142,IF(MOD(Table23[[#This Row],[order]],2)=1,"hideOdd","hideEven"),FALSE)</f>
        <v>hideEven</v>
      </c>
      <c r="AE143" s="286">
        <f>IF(Table23[[#This Row],[hideText]]=FALSE,AE142+1,AE142)</f>
        <v>44</v>
      </c>
      <c r="AF143" s="269"/>
      <c r="AO143"/>
    </row>
    <row r="144" spans="1:41" ht="45" x14ac:dyDescent="0.25">
      <c r="A144" s="206" t="s">
        <v>215</v>
      </c>
      <c r="B144" s="206" t="s">
        <v>1560</v>
      </c>
      <c r="C144" s="206" t="s">
        <v>264</v>
      </c>
      <c r="D144" s="306" t="str">
        <f ca="1">IF(Table23[[#This Row],[hideText]]=FALSE,HYPERLINK(INDEX('Verify Baseline Links'!$P$10:$P$132,MATCH(Table23[[#This Row],[DSorder]],'Verify Baseline Links'!$M$10:$M$132,0)),"DS"),"")</f>
        <v>DS</v>
      </c>
      <c r="E144" s="206" t="s">
        <v>1587</v>
      </c>
      <c r="F144" s="223" t="str">
        <f>CLEAN(TRIM(SUBSTITUTE(LEFT(Table23[[#This Row],[Declarative Statement]],MIN(250,LEN(Table23[[#This Row],[Declarative Statement]]))),CHAR(160)," ")))</f>
        <v>Ports, functions, protocols and services are prohibited if no longer needed for business purposes.</v>
      </c>
      <c r="G144" s="206">
        <f>MATCH(Table23[[#This Row],[clean DS]],combinedMaturityTable[Dsm clean],0)</f>
        <v>192</v>
      </c>
      <c r="H144" s="223"/>
      <c r="I144" s="223" t="s">
        <v>1590</v>
      </c>
      <c r="J144" s="308" t="str">
        <f>HYPERLINK(Table23[[#This Row],[URL]],Table23[[#This Row],[Link to Reference]])</f>
        <v>IS.B.6.13</v>
      </c>
      <c r="K144" s="206" t="s">
        <v>1591</v>
      </c>
      <c r="X144" s="286" t="s">
        <v>1186</v>
      </c>
      <c r="Y144" s="302" t="str">
        <f>IFERROR(IF(SEARCH("WP",Table23[[#This Row],[Link to Reference]])&gt;0,"Work Program","Booklet"),"Booklet")</f>
        <v>Booklet</v>
      </c>
      <c r="Z144" s="286">
        <v>64</v>
      </c>
      <c r="AA144" s="302">
        <f>IF(Table23[[#This Row],[Type]]="Booklet",MATCH(LEFT(Table23[[#This Row],[Link to Reference]],FIND(".",Table23[[#This Row],[Link to Reference]])-1),bookletsInfo[Initial],0),MATCH(LEFT(Table23[[#This Row],[Link to Reference]],FIND(".",Table23[[#This Row],[Link to Reference]])-1),WPInfo[Initials],0))</f>
        <v>5</v>
      </c>
      <c r="AB14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https://ithandbook.ffiec.gov/media/274793/ffiec_itbooklet_informationsecurity.pdf#Page=67</v>
      </c>
      <c r="AC144" s="286">
        <v>140</v>
      </c>
      <c r="AD144" s="286" t="b">
        <f>IF(G144=G143,IF(MOD(Table23[[#This Row],[order]],2)=1,"hideOdd","hideEven"),FALSE)</f>
        <v>0</v>
      </c>
      <c r="AE144" s="286">
        <f>IF(Table23[[#This Row],[hideText]]=FALSE,AE143+1,AE143)</f>
        <v>45</v>
      </c>
      <c r="AF144" s="269"/>
      <c r="AO144"/>
    </row>
    <row r="145" spans="1:41" ht="45" x14ac:dyDescent="0.25">
      <c r="A145" s="206" t="s">
        <v>215</v>
      </c>
      <c r="B145" s="206" t="s">
        <v>1560</v>
      </c>
      <c r="C145" s="206" t="s">
        <v>264</v>
      </c>
      <c r="D145" s="306" t="str">
        <f>IF(Table23[[#This Row],[hideText]]=FALSE,HYPERLINK(INDEX('Verify Baseline Links'!$P$10:$P$132,MATCH(Table23[[#This Row],[DSorder]],'Verify Baseline Links'!$M$10:$M$132,0)),"DS"),"")</f>
        <v/>
      </c>
      <c r="E145" s="206" t="s">
        <v>1587</v>
      </c>
      <c r="F145" s="223" t="str">
        <f>CLEAN(TRIM(SUBSTITUTE(LEFT(Table23[[#This Row],[Declarative Statement]],MIN(250,LEN(Table23[[#This Row],[Declarative Statement]]))),CHAR(160)," ")))</f>
        <v>Ports, functions, protocols and services are prohibited if no longer needed for business purposes.</v>
      </c>
      <c r="G145" s="206">
        <f>MATCH(Table23[[#This Row],[clean DS]],combinedMaturityTable[Dsm clean],0)</f>
        <v>192</v>
      </c>
      <c r="H145" s="223">
        <v>2</v>
      </c>
      <c r="I145" s="223" t="s">
        <v>1588</v>
      </c>
      <c r="J145" s="308" t="str">
        <f>HYPERLINK(Table23[[#This Row],[URL]],Table23[[#This Row],[Link to Reference]])</f>
        <v>IS.II.C.10(b):pg23</v>
      </c>
      <c r="K145" s="206" t="s">
        <v>1589</v>
      </c>
      <c r="L145" s="286" t="s">
        <v>1590</v>
      </c>
      <c r="M145" s="286" t="s">
        <v>1591</v>
      </c>
      <c r="N145" s="286" t="s">
        <v>1378</v>
      </c>
      <c r="O145" s="286" t="s">
        <v>1378</v>
      </c>
      <c r="P145" s="286" t="s">
        <v>1378</v>
      </c>
      <c r="Q145" s="286" t="s">
        <v>1378</v>
      </c>
      <c r="R145" s="286" t="s">
        <v>1378</v>
      </c>
      <c r="S145" s="286" t="s">
        <v>1378</v>
      </c>
      <c r="T145" s="286" t="s">
        <v>1378</v>
      </c>
      <c r="U145" s="286" t="s">
        <v>1378</v>
      </c>
      <c r="X145" s="286" t="s">
        <v>1186</v>
      </c>
      <c r="Y145" s="302" t="str">
        <f>IFERROR(IF(SEARCH("WP",Table23[[#This Row],[Link to Reference]])&gt;0,"Work Program","Booklet"),"Booklet")</f>
        <v>Booklet</v>
      </c>
      <c r="Z145" s="286" t="s">
        <v>2027</v>
      </c>
      <c r="AA145" s="302">
        <f>IF(Table23[[#This Row],[Type]]="Booklet",MATCH(LEFT(Table23[[#This Row],[Link to Reference]],FIND(".",Table23[[#This Row],[Link to Reference]])-1),bookletsInfo[Initial],0),MATCH(LEFT(Table23[[#This Row],[Link to Reference]],FIND(".",Table23[[#This Row],[Link to Reference]])-1),WPInfo[Initials],0))</f>
        <v>5</v>
      </c>
      <c r="AB14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https://ithandbook.ffiec.gov/media/274793/ffiec_itbooklet_informationsecurity.pdf#Page=26</v>
      </c>
      <c r="AC145" s="286">
        <v>139</v>
      </c>
      <c r="AD145" s="286" t="str">
        <f>IF(G145=G144,IF(MOD(Table23[[#This Row],[order]],2)=1,"hideOdd","hideEven"),FALSE)</f>
        <v>hideOdd</v>
      </c>
      <c r="AE145" s="286">
        <f>IF(Table23[[#This Row],[hideText]]=FALSE,AE144+1,AE144)</f>
        <v>45</v>
      </c>
      <c r="AF145" s="269"/>
      <c r="AO145"/>
    </row>
    <row r="146" spans="1:41" ht="60" x14ac:dyDescent="0.25">
      <c r="A146" s="206" t="s">
        <v>215</v>
      </c>
      <c r="B146" s="206" t="s">
        <v>1560</v>
      </c>
      <c r="C146" s="206" t="s">
        <v>264</v>
      </c>
      <c r="D146" s="306" t="str">
        <f ca="1">IF(Table23[[#This Row],[hideText]]=FALSE,HYPERLINK(INDEX('Verify Baseline Links'!$P$10:$P$132,MATCH(Table23[[#This Row],[DSorder]],'Verify Baseline Links'!$M$10:$M$132,0)),"DS"),"")</f>
        <v>DS</v>
      </c>
      <c r="E146" s="206" t="s">
        <v>2061</v>
      </c>
      <c r="F146" s="223" t="str">
        <f>CLEAN(TRIM(SUBSTITUTE(LEFT(Table23[[#This Row],[Declarative Statement]],MIN(250,LEN(Table23[[#This Row],[Declarative Statement]]))),CHAR(160)," ")))</f>
        <v>Access to make changes to systems configurations (including virtual machines and hypervisors) is controlled and monitored.</v>
      </c>
      <c r="G146" s="206">
        <f>MATCH(Table23[[#This Row],[clean DS]],combinedMaturityTable[Dsm clean],0)</f>
        <v>193</v>
      </c>
      <c r="H146" s="223">
        <v>2</v>
      </c>
      <c r="I146" s="223" t="s">
        <v>1409</v>
      </c>
      <c r="J146" s="308" t="str">
        <f>HYPERLINK(Table23[[#This Row],[URL]],Table23[[#This Row],[Link to Reference]])</f>
        <v>IS.II.C.10:pg21</v>
      </c>
      <c r="K146" s="206" t="s">
        <v>1593</v>
      </c>
      <c r="L146" s="286" t="s">
        <v>1411</v>
      </c>
      <c r="M146" s="286" t="s">
        <v>1412</v>
      </c>
      <c r="N146" s="286" t="s">
        <v>1378</v>
      </c>
      <c r="O146" s="286" t="s">
        <v>1378</v>
      </c>
      <c r="P146" s="286" t="s">
        <v>1378</v>
      </c>
      <c r="Q146" s="286" t="s">
        <v>1378</v>
      </c>
      <c r="R146" s="286" t="s">
        <v>1378</v>
      </c>
      <c r="S146" s="286" t="s">
        <v>1378</v>
      </c>
      <c r="T146" s="286" t="s">
        <v>1378</v>
      </c>
      <c r="U146" s="286" t="s">
        <v>1378</v>
      </c>
      <c r="X146" s="286" t="s">
        <v>1186</v>
      </c>
      <c r="Y146" s="302" t="str">
        <f>IFERROR(IF(SEARCH("WP",Table23[[#This Row],[Link to Reference]])&gt;0,"Work Program","Booklet"),"Booklet")</f>
        <v>Booklet</v>
      </c>
      <c r="Z146" s="286" t="s">
        <v>2013</v>
      </c>
      <c r="AA146" s="302">
        <f>IF(Table23[[#This Row],[Type]]="Booklet",MATCH(LEFT(Table23[[#This Row],[Link to Reference]],FIND(".",Table23[[#This Row],[Link to Reference]])-1),bookletsInfo[Initial],0),MATCH(LEFT(Table23[[#This Row],[Link to Reference]],FIND(".",Table23[[#This Row],[Link to Reference]])-1),WPInfo[Initials],0))</f>
        <v>5</v>
      </c>
      <c r="AB14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146" s="286">
        <v>141</v>
      </c>
      <c r="AD146" s="286" t="b">
        <f>IF(G146=G145,IF(MOD(Table23[[#This Row],[order]],2)=1,"hideOdd","hideEven"),FALSE)</f>
        <v>0</v>
      </c>
      <c r="AE146" s="286">
        <f>IF(Table23[[#This Row],[hideText]]=FALSE,AE145+1,AE145)</f>
        <v>46</v>
      </c>
      <c r="AF146" s="269"/>
      <c r="AO146"/>
    </row>
    <row r="147" spans="1:41" ht="45" x14ac:dyDescent="0.25">
      <c r="A147" s="206" t="s">
        <v>215</v>
      </c>
      <c r="B147" s="206" t="s">
        <v>1560</v>
      </c>
      <c r="C147" s="206" t="s">
        <v>264</v>
      </c>
      <c r="D147" s="306" t="str">
        <f>IF(Table23[[#This Row],[hideText]]=FALSE,HYPERLINK(INDEX('Verify Baseline Links'!$P$10:$P$132,MATCH(Table23[[#This Row],[DSorder]],'Verify Baseline Links'!$M$10:$M$132,0)),"DS"),"")</f>
        <v/>
      </c>
      <c r="E147" s="206" t="s">
        <v>2061</v>
      </c>
      <c r="F147" s="223" t="str">
        <f>CLEAN(TRIM(SUBSTITUTE(LEFT(Table23[[#This Row],[Declarative Statement]],MIN(250,LEN(Table23[[#This Row],[Declarative Statement]]))),CHAR(160)," ")))</f>
        <v>Access to make changes to systems configurations (including virtual machines and hypervisors) is controlled and monitored.</v>
      </c>
      <c r="G147" s="206">
        <f>MATCH(Table23[[#This Row],[clean DS]],combinedMaturityTable[Dsm clean],0)</f>
        <v>193</v>
      </c>
      <c r="H147" s="223"/>
      <c r="I147" s="223" t="s">
        <v>1411</v>
      </c>
      <c r="J147" s="308" t="str">
        <f>HYPERLINK(Table23[[#This Row],[URL]],Table23[[#This Row],[Link to Reference]])</f>
        <v>IS.WP.6.11</v>
      </c>
      <c r="K147" s="206" t="s">
        <v>1412</v>
      </c>
      <c r="X147" s="286" t="s">
        <v>1186</v>
      </c>
      <c r="Y147" s="302" t="str">
        <f>IFERROR(IF(SEARCH("WP",Table23[[#This Row],[Link to Reference]])&gt;0,"Work Program","Booklet"),"Booklet")</f>
        <v>Work Program</v>
      </c>
      <c r="Z147" s="286">
        <v>9</v>
      </c>
      <c r="AA147" s="302">
        <f>IF(Table23[[#This Row],[Type]]="Booklet",MATCH(LEFT(Table23[[#This Row],[Link to Reference]],FIND(".",Table23[[#This Row],[Link to Reference]])-1),bookletsInfo[Initial],0),MATCH(LEFT(Table23[[#This Row],[Link to Reference]],FIND(".",Table23[[#This Row],[Link to Reference]])-1),WPInfo[Initials],0))</f>
        <v>5</v>
      </c>
      <c r="AB14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47" s="286">
        <v>142</v>
      </c>
      <c r="AD147" s="286" t="str">
        <f>IF(G147=G146,IF(MOD(Table23[[#This Row],[order]],2)=1,"hideOdd","hideEven"),FALSE)</f>
        <v>hideEven</v>
      </c>
      <c r="AE147" s="286">
        <f>IF(Table23[[#This Row],[hideText]]=FALSE,AE146+1,AE146)</f>
        <v>46</v>
      </c>
      <c r="AF147" s="269"/>
      <c r="AO147"/>
    </row>
    <row r="148" spans="1:41" ht="30" x14ac:dyDescent="0.25">
      <c r="A148" s="206" t="s">
        <v>215</v>
      </c>
      <c r="B148" s="206" t="s">
        <v>1560</v>
      </c>
      <c r="C148" s="206" t="s">
        <v>264</v>
      </c>
      <c r="D148" s="306" t="str">
        <f ca="1">IF(Table23[[#This Row],[hideText]]=FALSE,HYPERLINK(INDEX('Verify Baseline Links'!$P$10:$P$132,MATCH(Table23[[#This Row],[DSorder]],'Verify Baseline Links'!$M$10:$M$132,0)),"DS"),"")</f>
        <v>DS</v>
      </c>
      <c r="E148" s="206" t="s">
        <v>1594</v>
      </c>
      <c r="F148" s="223" t="str">
        <f>CLEAN(TRIM(SUBSTITUTE(LEFT(Table23[[#This Row],[Declarative Statement]],MIN(250,LEN(Table23[[#This Row],[Declarative Statement]]))),CHAR(160)," ")))</f>
        <v>Programs that can override system, object, network, virtual machine, and application controls are restricted.</v>
      </c>
      <c r="G148" s="206">
        <f>MATCH(Table23[[#This Row],[clean DS]],combinedMaturityTable[Dsm clean],0)</f>
        <v>194</v>
      </c>
      <c r="H148" s="223">
        <v>2</v>
      </c>
      <c r="I148" s="223" t="s">
        <v>1249</v>
      </c>
      <c r="J148" s="308" t="str">
        <f>HYPERLINK(Table23[[#This Row],[URL]],Table23[[#This Row],[Link to Reference]])</f>
        <v>IS.II.C.15(a):pg32</v>
      </c>
      <c r="K148" s="206" t="s">
        <v>1595</v>
      </c>
      <c r="L148" s="286" t="s">
        <v>1596</v>
      </c>
      <c r="M148" s="286" t="s">
        <v>1597</v>
      </c>
      <c r="N148" s="286" t="s">
        <v>1378</v>
      </c>
      <c r="O148" s="286" t="s">
        <v>1378</v>
      </c>
      <c r="P148" s="286" t="s">
        <v>1378</v>
      </c>
      <c r="Q148" s="286" t="s">
        <v>1378</v>
      </c>
      <c r="R148" s="286" t="s">
        <v>1378</v>
      </c>
      <c r="S148" s="286" t="s">
        <v>1378</v>
      </c>
      <c r="T148" s="286" t="s">
        <v>1378</v>
      </c>
      <c r="U148" s="286" t="s">
        <v>1378</v>
      </c>
      <c r="X148" s="286" t="s">
        <v>1186</v>
      </c>
      <c r="Y148" s="302" t="str">
        <f>IFERROR(IF(SEARCH("WP",Table23[[#This Row],[Link to Reference]])&gt;0,"Work Program","Booklet"),"Booklet")</f>
        <v>Booklet</v>
      </c>
      <c r="Z148" s="286" t="s">
        <v>2028</v>
      </c>
      <c r="AA148" s="302">
        <f>IF(Table23[[#This Row],[Type]]="Booklet",MATCH(LEFT(Table23[[#This Row],[Link to Reference]],FIND(".",Table23[[#This Row],[Link to Reference]])-1),bookletsInfo[Initial],0),MATCH(LEFT(Table23[[#This Row],[Link to Reference]],FIND(".",Table23[[#This Row],[Link to Reference]])-1),WPInfo[Initials],0))</f>
        <v>5</v>
      </c>
      <c r="AB14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https://ithandbook.ffiec.gov/media/274793/ffiec_itbooklet_informationsecurity.pdf#Page=35</v>
      </c>
      <c r="AC148" s="286">
        <v>143</v>
      </c>
      <c r="AD148" s="286" t="b">
        <f>IF(G148=G147,IF(MOD(Table23[[#This Row],[order]],2)=1,"hideOdd","hideEven"),FALSE)</f>
        <v>0</v>
      </c>
      <c r="AE148" s="286">
        <f>IF(Table23[[#This Row],[hideText]]=FALSE,AE147+1,AE147)</f>
        <v>47</v>
      </c>
      <c r="AF148" s="269"/>
      <c r="AO148"/>
    </row>
    <row r="149" spans="1:41" ht="45" x14ac:dyDescent="0.25">
      <c r="A149" s="206" t="s">
        <v>215</v>
      </c>
      <c r="B149" s="206" t="s">
        <v>1560</v>
      </c>
      <c r="C149" s="206" t="s">
        <v>264</v>
      </c>
      <c r="D149" s="306" t="str">
        <f>IF(Table23[[#This Row],[hideText]]=FALSE,HYPERLINK(INDEX('Verify Baseline Links'!$P$10:$P$132,MATCH(Table23[[#This Row],[DSorder]],'Verify Baseline Links'!$M$10:$M$132,0)),"DS"),"")</f>
        <v/>
      </c>
      <c r="E149" s="206" t="s">
        <v>1594</v>
      </c>
      <c r="F149" s="223" t="str">
        <f>CLEAN(TRIM(SUBSTITUTE(LEFT(Table23[[#This Row],[Declarative Statement]],MIN(250,LEN(Table23[[#This Row],[Declarative Statement]]))),CHAR(160)," ")))</f>
        <v>Programs that can override system, object, network, virtual machine, and application controls are restricted.</v>
      </c>
      <c r="G149" s="206">
        <f>MATCH(Table23[[#This Row],[clean DS]],combinedMaturityTable[Dsm clean],0)</f>
        <v>194</v>
      </c>
      <c r="H149" s="223"/>
      <c r="I149" s="223" t="s">
        <v>1596</v>
      </c>
      <c r="J149" s="308" t="str">
        <f>HYPERLINK(Table23[[#This Row],[URL]],Table23[[#This Row],[Link to Reference]])</f>
        <v>IS.WP.6.21</v>
      </c>
      <c r="K149" s="206" t="s">
        <v>1597</v>
      </c>
      <c r="X149" s="286" t="s">
        <v>1186</v>
      </c>
      <c r="Y149" s="302" t="str">
        <f>IFERROR(IF(SEARCH("WP",Table23[[#This Row],[Link to Reference]])&gt;0,"Work Program","Booklet"),"Booklet")</f>
        <v>Work Program</v>
      </c>
      <c r="Z149" s="286">
        <v>12</v>
      </c>
      <c r="AA149" s="302">
        <f>IF(Table23[[#This Row],[Type]]="Booklet",MATCH(LEFT(Table23[[#This Row],[Link to Reference]],FIND(".",Table23[[#This Row],[Link to Reference]])-1),bookletsInfo[Initial],0),MATCH(LEFT(Table23[[#This Row],[Link to Reference]],FIND(".",Table23[[#This Row],[Link to Reference]])-1),WPInfo[Initials],0))</f>
        <v>5</v>
      </c>
      <c r="AB14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49" s="286">
        <v>144</v>
      </c>
      <c r="AD149" s="286" t="str">
        <f>IF(G149=G148,IF(MOD(Table23[[#This Row],[order]],2)=1,"hideOdd","hideEven"),FALSE)</f>
        <v>hideEven</v>
      </c>
      <c r="AE149" s="286">
        <f>IF(Table23[[#This Row],[hideText]]=FALSE,AE148+1,AE148)</f>
        <v>47</v>
      </c>
      <c r="AF149" s="269"/>
      <c r="AO149"/>
    </row>
    <row r="150" spans="1:41" ht="30" x14ac:dyDescent="0.25">
      <c r="A150" s="206" t="s">
        <v>215</v>
      </c>
      <c r="B150" s="206" t="s">
        <v>1560</v>
      </c>
      <c r="C150" s="206" t="s">
        <v>264</v>
      </c>
      <c r="D150" s="306" t="str">
        <f ca="1">IF(Table23[[#This Row],[hideText]]=FALSE,HYPERLINK(INDEX('Verify Baseline Links'!$P$10:$P$132,MATCH(Table23[[#This Row],[DSorder]],'Verify Baseline Links'!$M$10:$M$132,0)),"DS"),"")</f>
        <v>DS</v>
      </c>
      <c r="E150" s="206" t="s">
        <v>1598</v>
      </c>
      <c r="F150" s="223" t="str">
        <f>CLEAN(TRIM(SUBSTITUTE(LEFT(Table23[[#This Row],[Declarative Statement]],MIN(250,LEN(Table23[[#This Row],[Declarative Statement]]))),CHAR(160)," ")))</f>
        <v>System sessions are locked after a pre-defined period of inactivity and are terminated after pre-defined conditions are met.</v>
      </c>
      <c r="G150" s="206">
        <f>MATCH(Table23[[#This Row],[clean DS]],combinedMaturityTable[Dsm clean],0)</f>
        <v>195</v>
      </c>
      <c r="H150" s="223">
        <v>1</v>
      </c>
      <c r="I150" s="223" t="s">
        <v>1506</v>
      </c>
      <c r="J150" s="308" t="str">
        <f>HYPERLINK(Table23[[#This Row],[URL]],Table23[[#This Row],[Link to Reference]])</f>
        <v>IS.II.C.16:pg36</v>
      </c>
      <c r="K150" s="206" t="s">
        <v>1599</v>
      </c>
      <c r="L150" s="286" t="s">
        <v>1378</v>
      </c>
      <c r="M150" s="286" t="s">
        <v>1378</v>
      </c>
      <c r="N150" s="286" t="s">
        <v>1378</v>
      </c>
      <c r="O150" s="286" t="s">
        <v>1378</v>
      </c>
      <c r="P150" s="286" t="s">
        <v>1378</v>
      </c>
      <c r="Q150" s="286" t="s">
        <v>1378</v>
      </c>
      <c r="R150" s="286" t="s">
        <v>1378</v>
      </c>
      <c r="S150" s="286" t="s">
        <v>1378</v>
      </c>
      <c r="T150" s="286" t="s">
        <v>1378</v>
      </c>
      <c r="U150" s="286" t="s">
        <v>1378</v>
      </c>
      <c r="X150" s="286" t="s">
        <v>1186</v>
      </c>
      <c r="Y150" s="302" t="str">
        <f>IFERROR(IF(SEARCH("WP",Table23[[#This Row],[Link to Reference]])&gt;0,"Work Program","Booklet"),"Booklet")</f>
        <v>Booklet</v>
      </c>
      <c r="Z150" s="286" t="s">
        <v>2022</v>
      </c>
      <c r="AA150" s="302">
        <f>IF(Table23[[#This Row],[Type]]="Booklet",MATCH(LEFT(Table23[[#This Row],[Link to Reference]],FIND(".",Table23[[#This Row],[Link to Reference]])-1),bookletsInfo[Initial],0),MATCH(LEFT(Table23[[#This Row],[Link to Reference]],FIND(".",Table23[[#This Row],[Link to Reference]])-1),WPInfo[Initials],0))</f>
        <v>5</v>
      </c>
      <c r="AB15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50" s="286">
        <v>145</v>
      </c>
      <c r="AD150" s="286" t="b">
        <f>IF(G150=G149,IF(MOD(Table23[[#This Row],[order]],2)=1,"hideOdd","hideEven"),FALSE)</f>
        <v>0</v>
      </c>
      <c r="AE150" s="286">
        <f>IF(Table23[[#This Row],[hideText]]=FALSE,AE149+1,AE149)</f>
        <v>48</v>
      </c>
      <c r="AF150" s="269"/>
      <c r="AO150"/>
    </row>
    <row r="151" spans="1:41" ht="45" x14ac:dyDescent="0.25">
      <c r="A151" s="206" t="s">
        <v>215</v>
      </c>
      <c r="B151" s="206" t="s">
        <v>1560</v>
      </c>
      <c r="C151" s="206" t="s">
        <v>264</v>
      </c>
      <c r="D151" s="306" t="str">
        <f ca="1">IF(Table23[[#This Row],[hideText]]=FALSE,HYPERLINK(INDEX('Verify Baseline Links'!$P$10:$P$132,MATCH(Table23[[#This Row],[DSorder]],'Verify Baseline Links'!$M$10:$M$132,0)),"DS"),"")</f>
        <v>DS</v>
      </c>
      <c r="E151" s="206" t="s">
        <v>2062</v>
      </c>
      <c r="F151" s="223" t="str">
        <f>CLEAN(TRIM(SUBSTITUTE(LEFT(Table23[[#This Row],[Declarative Statement]],MIN(250,LEN(Table23[[#This Row],[Declarative Statement]]))),CHAR(160)," ")))</f>
        <v>Wireless network environments require security settings with strong encryption for authentication and transmission. (*N/A if there are no wireless networks.)</v>
      </c>
      <c r="G151" s="206">
        <f>MATCH(Table23[[#This Row],[clean DS]],combinedMaturityTable[Dsm clean],0)</f>
        <v>196</v>
      </c>
      <c r="H151" s="223">
        <v>2</v>
      </c>
      <c r="I151" s="223" t="s">
        <v>1601</v>
      </c>
      <c r="J151" s="308" t="str">
        <f>HYPERLINK(Table23[[#This Row],[URL]],Table23[[#This Row],[Link to Reference]])</f>
        <v>IS.II.C.9(a):pg20</v>
      </c>
      <c r="K151" s="206" t="s">
        <v>1602</v>
      </c>
      <c r="L151" s="286" t="s">
        <v>1603</v>
      </c>
      <c r="M151" s="286" t="s">
        <v>1604</v>
      </c>
      <c r="N151" s="286" t="s">
        <v>1378</v>
      </c>
      <c r="O151" s="286" t="s">
        <v>1378</v>
      </c>
      <c r="P151" s="286" t="s">
        <v>1378</v>
      </c>
      <c r="Q151" s="286" t="s">
        <v>1378</v>
      </c>
      <c r="R151" s="286" t="s">
        <v>1378</v>
      </c>
      <c r="S151" s="286" t="s">
        <v>1378</v>
      </c>
      <c r="T151" s="286" t="s">
        <v>1378</v>
      </c>
      <c r="U151" s="286" t="s">
        <v>1378</v>
      </c>
      <c r="X151" s="286" t="s">
        <v>1186</v>
      </c>
      <c r="Y151" s="302" t="str">
        <f>IFERROR(IF(SEARCH("WP",Table23[[#This Row],[Link to Reference]])&gt;0,"Work Program","Booklet"),"Booklet")</f>
        <v>Booklet</v>
      </c>
      <c r="Z151" s="286" t="s">
        <v>2029</v>
      </c>
      <c r="AA151" s="302">
        <f>IF(Table23[[#This Row],[Type]]="Booklet",MATCH(LEFT(Table23[[#This Row],[Link to Reference]],FIND(".",Table23[[#This Row],[Link to Reference]])-1),bookletsInfo[Initial],0),MATCH(LEFT(Table23[[#This Row],[Link to Reference]],FIND(".",Table23[[#This Row],[Link to Reference]])-1),WPInfo[Initials],0))</f>
        <v>5</v>
      </c>
      <c r="AB15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https://ithandbook.ffiec.gov/media/274793/ffiec_itbooklet_informationsecurity.pdf#Page=23</v>
      </c>
      <c r="AC151" s="286">
        <v>146</v>
      </c>
      <c r="AD151" s="286" t="b">
        <f>IF(G151=G150,IF(MOD(Table23[[#This Row],[order]],2)=1,"hideOdd","hideEven"),FALSE)</f>
        <v>0</v>
      </c>
      <c r="AE151" s="286">
        <f>IF(Table23[[#This Row],[hideText]]=FALSE,AE150+1,AE150)</f>
        <v>49</v>
      </c>
      <c r="AF151" s="269"/>
      <c r="AO151"/>
    </row>
    <row r="152" spans="1:41" ht="60" x14ac:dyDescent="0.25">
      <c r="A152" s="206" t="s">
        <v>215</v>
      </c>
      <c r="B152" s="206" t="s">
        <v>1560</v>
      </c>
      <c r="C152" s="206" t="s">
        <v>264</v>
      </c>
      <c r="D152" s="306" t="str">
        <f>IF(Table23[[#This Row],[hideText]]=FALSE,HYPERLINK(INDEX('Verify Baseline Links'!$P$10:$P$132,MATCH(Table23[[#This Row],[DSorder]],'Verify Baseline Links'!$M$10:$M$132,0)),"DS"),"")</f>
        <v/>
      </c>
      <c r="E152" s="206" t="s">
        <v>2062</v>
      </c>
      <c r="F152" s="223" t="str">
        <f>CLEAN(TRIM(SUBSTITUTE(LEFT(Table23[[#This Row],[Declarative Statement]],MIN(250,LEN(Table23[[#This Row],[Declarative Statement]]))),CHAR(160)," ")))</f>
        <v>Wireless network environments require security settings with strong encryption for authentication and transmission. (*N/A if there are no wireless networks.)</v>
      </c>
      <c r="G152" s="206">
        <f>MATCH(Table23[[#This Row],[clean DS]],combinedMaturityTable[Dsm clean],0)</f>
        <v>196</v>
      </c>
      <c r="H152" s="223"/>
      <c r="I152" s="223" t="s">
        <v>1603</v>
      </c>
      <c r="J152" s="308" t="str">
        <f>HYPERLINK(Table23[[#This Row],[URL]],Table23[[#This Row],[Link to Reference]])</f>
        <v>IS.II.C.9(a):pg21</v>
      </c>
      <c r="K152" s="206" t="s">
        <v>1604</v>
      </c>
      <c r="X152" s="286" t="s">
        <v>1186</v>
      </c>
      <c r="Y152" s="302" t="str">
        <f>IFERROR(IF(SEARCH("WP",Table23[[#This Row],[Link to Reference]])&gt;0,"Work Program","Booklet"),"Booklet")</f>
        <v>Booklet</v>
      </c>
      <c r="Z152" s="286" t="s">
        <v>2013</v>
      </c>
      <c r="AA152" s="302">
        <f>IF(Table23[[#This Row],[Type]]="Booklet",MATCH(LEFT(Table23[[#This Row],[Link to Reference]],FIND(".",Table23[[#This Row],[Link to Reference]])-1),bookletsInfo[Initial],0),MATCH(LEFT(Table23[[#This Row],[Link to Reference]],FIND(".",Table23[[#This Row],[Link to Reference]])-1),WPInfo[Initials],0))</f>
        <v>5</v>
      </c>
      <c r="AB15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152" s="286">
        <v>147</v>
      </c>
      <c r="AD152" s="286" t="str">
        <f>IF(G152=G151,IF(MOD(Table23[[#This Row],[order]],2)=1,"hideOdd","hideEven"),FALSE)</f>
        <v>hideOdd</v>
      </c>
      <c r="AE152" s="286">
        <f>IF(Table23[[#This Row],[hideText]]=FALSE,AE151+1,AE151)</f>
        <v>49</v>
      </c>
      <c r="AF152" s="269"/>
      <c r="AO152"/>
    </row>
    <row r="153" spans="1:41" ht="30" x14ac:dyDescent="0.25">
      <c r="A153" s="206" t="s">
        <v>215</v>
      </c>
      <c r="B153" s="206" t="s">
        <v>1560</v>
      </c>
      <c r="C153" s="206" t="s">
        <v>296</v>
      </c>
      <c r="D153" s="306" t="str">
        <f ca="1">IF(Table23[[#This Row],[hideText]]=FALSE,HYPERLINK(INDEX('Verify Baseline Links'!$P$10:$P$132,MATCH(Table23[[#This Row],[DSorder]],'Verify Baseline Links'!$M$10:$M$132,0)),"DS"),"")</f>
        <v>DS</v>
      </c>
      <c r="E153" s="206" t="s">
        <v>1605</v>
      </c>
      <c r="F153" s="223" t="str">
        <f>CLEAN(TRIM(SUBSTITUTE(LEFT(Table23[[#This Row],[Declarative Statement]],MIN(250,LEN(Table23[[#This Row],[Declarative Statement]]))),CHAR(160)," ")))</f>
        <v>Employee access is granted to systems and confidential data based on job responsibilities and the principles of least privilege.</v>
      </c>
      <c r="G153" s="206">
        <f>MATCH(Table23[[#This Row],[clean DS]],combinedMaturityTable[Dsm clean],0)</f>
        <v>218</v>
      </c>
      <c r="H153" s="223">
        <v>4</v>
      </c>
      <c r="I153" s="223" t="s">
        <v>1606</v>
      </c>
      <c r="J153" s="308" t="str">
        <f>HYPERLINK(Table23[[#This Row],[URL]],Table23[[#This Row],[Link to Reference]])</f>
        <v>IS.II.C.7:pg15</v>
      </c>
      <c r="K153" s="206" t="s">
        <v>1607</v>
      </c>
      <c r="L153" s="286" t="s">
        <v>1588</v>
      </c>
      <c r="M153" s="286" t="s">
        <v>1608</v>
      </c>
      <c r="N153" s="286" t="s">
        <v>1609</v>
      </c>
      <c r="O153" s="286" t="s">
        <v>1610</v>
      </c>
      <c r="P153" s="286" t="s">
        <v>1493</v>
      </c>
      <c r="Q153" s="286" t="s">
        <v>1611</v>
      </c>
      <c r="R153" s="286" t="s">
        <v>1378</v>
      </c>
      <c r="S153" s="286" t="s">
        <v>1378</v>
      </c>
      <c r="T153" s="286" t="s">
        <v>1378</v>
      </c>
      <c r="U153" s="286" t="s">
        <v>1378</v>
      </c>
      <c r="X153" s="286" t="s">
        <v>1186</v>
      </c>
      <c r="Y153" s="302" t="str">
        <f>IFERROR(IF(SEARCH("WP",Table23[[#This Row],[Link to Reference]])&gt;0,"Work Program","Booklet"),"Booklet")</f>
        <v>Booklet</v>
      </c>
      <c r="Z153" s="286" t="s">
        <v>2030</v>
      </c>
      <c r="AA153" s="302">
        <f>IF(Table23[[#This Row],[Type]]="Booklet",MATCH(LEFT(Table23[[#This Row],[Link to Reference]],FIND(".",Table23[[#This Row],[Link to Reference]])-1),bookletsInfo[Initial],0),MATCH(LEFT(Table23[[#This Row],[Link to Reference]],FIND(".",Table23[[#This Row],[Link to Reference]])-1),WPInfo[Initials],0))</f>
        <v>5</v>
      </c>
      <c r="AB15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https://ithandbook.ffiec.gov/media/274793/ffiec_itbooklet_informationsecurity.pdf#Page=18</v>
      </c>
      <c r="AC153" s="286">
        <v>148</v>
      </c>
      <c r="AD153" s="286" t="b">
        <f>IF(G153=G152,IF(MOD(Table23[[#This Row],[order]],2)=1,"hideOdd","hideEven"),FALSE)</f>
        <v>0</v>
      </c>
      <c r="AE153" s="286">
        <f>IF(Table23[[#This Row],[hideText]]=FALSE,AE152+1,AE152)</f>
        <v>50</v>
      </c>
      <c r="AF153" s="269"/>
      <c r="AO153"/>
    </row>
    <row r="154" spans="1:41" ht="30" x14ac:dyDescent="0.25">
      <c r="A154" s="206" t="s">
        <v>215</v>
      </c>
      <c r="B154" s="206" t="s">
        <v>1560</v>
      </c>
      <c r="C154" s="206" t="s">
        <v>296</v>
      </c>
      <c r="D154" s="306" t="str">
        <f>IF(Table23[[#This Row],[hideText]]=FALSE,HYPERLINK(INDEX('Verify Baseline Links'!$P$10:$P$132,MATCH(Table23[[#This Row],[DSorder]],'Verify Baseline Links'!$M$10:$M$132,0)),"DS"),"")</f>
        <v/>
      </c>
      <c r="E154" s="206" t="s">
        <v>1605</v>
      </c>
      <c r="F154" s="223" t="str">
        <f>CLEAN(TRIM(SUBSTITUTE(LEFT(Table23[[#This Row],[Declarative Statement]],MIN(250,LEN(Table23[[#This Row],[Declarative Statement]]))),CHAR(160)," ")))</f>
        <v>Employee access is granted to systems and confidential data based on job responsibilities and the principles of least privilege.</v>
      </c>
      <c r="G154" s="206">
        <f>MATCH(Table23[[#This Row],[clean DS]],combinedMaturityTable[Dsm clean],0)</f>
        <v>218</v>
      </c>
      <c r="H154" s="223"/>
      <c r="I154" s="223" t="s">
        <v>1588</v>
      </c>
      <c r="J154" s="308" t="str">
        <f>HYPERLINK(Table23[[#This Row],[URL]],Table23[[#This Row],[Link to Reference]])</f>
        <v>IS.II.C.10(b):pg23</v>
      </c>
      <c r="K154" s="206" t="s">
        <v>1608</v>
      </c>
      <c r="X154" s="286" t="s">
        <v>1186</v>
      </c>
      <c r="Y154" s="302" t="str">
        <f>IFERROR(IF(SEARCH("WP",Table23[[#This Row],[Link to Reference]])&gt;0,"Work Program","Booklet"),"Booklet")</f>
        <v>Booklet</v>
      </c>
      <c r="Z154" s="286" t="s">
        <v>2027</v>
      </c>
      <c r="AA154" s="302">
        <f>IF(Table23[[#This Row],[Type]]="Booklet",MATCH(LEFT(Table23[[#This Row],[Link to Reference]],FIND(".",Table23[[#This Row],[Link to Reference]])-1),bookletsInfo[Initial],0),MATCH(LEFT(Table23[[#This Row],[Link to Reference]],FIND(".",Table23[[#This Row],[Link to Reference]])-1),WPInfo[Initials],0))</f>
        <v>5</v>
      </c>
      <c r="AB15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https://ithandbook.ffiec.gov/media/274793/ffiec_itbooklet_informationsecurity.pdf#Page=26</v>
      </c>
      <c r="AC154" s="286">
        <v>149</v>
      </c>
      <c r="AD154" s="286" t="str">
        <f>IF(G154=G153,IF(MOD(Table23[[#This Row],[order]],2)=1,"hideOdd","hideEven"),FALSE)</f>
        <v>hideOdd</v>
      </c>
      <c r="AE154" s="286">
        <f>IF(Table23[[#This Row],[hideText]]=FALSE,AE153+1,AE153)</f>
        <v>50</v>
      </c>
      <c r="AF154" s="269"/>
      <c r="AO154"/>
    </row>
    <row r="155" spans="1:41" ht="45" x14ac:dyDescent="0.25">
      <c r="A155" s="206" t="s">
        <v>215</v>
      </c>
      <c r="B155" s="206" t="s">
        <v>1560</v>
      </c>
      <c r="C155" s="206" t="s">
        <v>296</v>
      </c>
      <c r="D155" s="306" t="str">
        <f>IF(Table23[[#This Row],[hideText]]=FALSE,HYPERLINK(INDEX('Verify Baseline Links'!$P$10:$P$132,MATCH(Table23[[#This Row],[DSorder]],'Verify Baseline Links'!$M$10:$M$132,0)),"DS"),"")</f>
        <v/>
      </c>
      <c r="E155" s="206" t="s">
        <v>1605</v>
      </c>
      <c r="F155" s="223" t="str">
        <f>CLEAN(TRIM(SUBSTITUTE(LEFT(Table23[[#This Row],[Declarative Statement]],MIN(250,LEN(Table23[[#This Row],[Declarative Statement]]))),CHAR(160)," ")))</f>
        <v>Employee access is granted to systems and confidential data based on job responsibilities and the principles of least privilege.</v>
      </c>
      <c r="G155" s="206">
        <f>MATCH(Table23[[#This Row],[clean DS]],combinedMaturityTable[Dsm clean],0)</f>
        <v>218</v>
      </c>
      <c r="H155" s="223"/>
      <c r="I155" s="223" t="s">
        <v>1609</v>
      </c>
      <c r="J155" s="308" t="str">
        <f>HYPERLINK(Table23[[#This Row],[URL]],Table23[[#This Row],[Link to Reference]])</f>
        <v>IS.WP.6.13</v>
      </c>
      <c r="K155" s="206" t="s">
        <v>1610</v>
      </c>
      <c r="X155" s="286" t="s">
        <v>1186</v>
      </c>
      <c r="Y155" s="302" t="str">
        <f>IFERROR(IF(SEARCH("WP",Table23[[#This Row],[Link to Reference]])&gt;0,"Work Program","Booklet"),"Booklet")</f>
        <v>Work Program</v>
      </c>
      <c r="Z155" s="286">
        <v>10</v>
      </c>
      <c r="AA155" s="302">
        <f>IF(Table23[[#This Row],[Type]]="Booklet",MATCH(LEFT(Table23[[#This Row],[Link to Reference]],FIND(".",Table23[[#This Row],[Link to Reference]])-1),bookletsInfo[Initial],0),MATCH(LEFT(Table23[[#This Row],[Link to Reference]],FIND(".",Table23[[#This Row],[Link to Reference]])-1),WPInfo[Initials],0))</f>
        <v>5</v>
      </c>
      <c r="AB15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155" s="286">
        <v>150</v>
      </c>
      <c r="AD155" s="286" t="str">
        <f>IF(G155=G154,IF(MOD(Table23[[#This Row],[order]],2)=1,"hideOdd","hideEven"),FALSE)</f>
        <v>hideEven</v>
      </c>
      <c r="AE155" s="286">
        <f>IF(Table23[[#This Row],[hideText]]=FALSE,AE154+1,AE154)</f>
        <v>50</v>
      </c>
      <c r="AF155" s="269"/>
      <c r="AO155"/>
    </row>
    <row r="156" spans="1:41" ht="30" x14ac:dyDescent="0.25">
      <c r="A156" s="206" t="s">
        <v>215</v>
      </c>
      <c r="B156" s="206" t="s">
        <v>1560</v>
      </c>
      <c r="C156" s="206" t="s">
        <v>296</v>
      </c>
      <c r="D156" s="306" t="str">
        <f>IF(Table23[[#This Row],[hideText]]=FALSE,HYPERLINK(INDEX('Verify Baseline Links'!$P$10:$P$132,MATCH(Table23[[#This Row],[DSorder]],'Verify Baseline Links'!$M$10:$M$132,0)),"DS"),"")</f>
        <v/>
      </c>
      <c r="E156" s="206" t="s">
        <v>1605</v>
      </c>
      <c r="F156" s="223" t="str">
        <f>CLEAN(TRIM(SUBSTITUTE(LEFT(Table23[[#This Row],[Declarative Statement]],MIN(250,LEN(Table23[[#This Row],[Declarative Statement]]))),CHAR(160)," ")))</f>
        <v>Employee access is granted to systems and confidential data based on job responsibilities and the principles of least privilege.</v>
      </c>
      <c r="G156" s="206">
        <f>MATCH(Table23[[#This Row],[clean DS]],combinedMaturityTable[Dsm clean],0)</f>
        <v>218</v>
      </c>
      <c r="H156" s="223"/>
      <c r="I156" s="223" t="s">
        <v>1493</v>
      </c>
      <c r="J156" s="308" t="str">
        <f>HYPERLINK(Table23[[#This Row],[URL]],Table23[[#This Row],[Link to Reference]])</f>
        <v>MGT.III.C.2:pg28</v>
      </c>
      <c r="K156" s="206" t="s">
        <v>1611</v>
      </c>
      <c r="X156" s="286" t="s">
        <v>1957</v>
      </c>
      <c r="Y156" s="302" t="str">
        <f>IFERROR(IF(SEARCH("WP",Table23[[#This Row],[Link to Reference]])&gt;0,"Work Program","Booklet"),"Booklet")</f>
        <v>Booklet</v>
      </c>
      <c r="Z156" s="286" t="s">
        <v>2000</v>
      </c>
      <c r="AA156" s="302">
        <f>IF(Table23[[#This Row],[Type]]="Booklet",MATCH(LEFT(Table23[[#This Row],[Link to Reference]],FIND(".",Table23[[#This Row],[Link to Reference]])-1),bookletsInfo[Initial],0),MATCH(LEFT(Table23[[#This Row],[Link to Reference]],FIND(".",Table23[[#This Row],[Link to Reference]])-1),WPInfo[Initials],0))</f>
        <v>6</v>
      </c>
      <c r="AB15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156" s="286">
        <v>151</v>
      </c>
      <c r="AD156" s="286" t="str">
        <f>IF(G156=G155,IF(MOD(Table23[[#This Row],[order]],2)=1,"hideOdd","hideEven"),FALSE)</f>
        <v>hideOdd</v>
      </c>
      <c r="AE156" s="286">
        <f>IF(Table23[[#This Row],[hideText]]=FALSE,AE155+1,AE155)</f>
        <v>50</v>
      </c>
      <c r="AF156" s="269"/>
      <c r="AO156"/>
    </row>
    <row r="157" spans="1:41" ht="30" x14ac:dyDescent="0.25">
      <c r="A157" s="206" t="s">
        <v>215</v>
      </c>
      <c r="B157" s="206" t="s">
        <v>1560</v>
      </c>
      <c r="C157" s="206" t="s">
        <v>296</v>
      </c>
      <c r="D157" s="306" t="str">
        <f ca="1">IF(Table23[[#This Row],[hideText]]=FALSE,HYPERLINK(INDEX('Verify Baseline Links'!$P$10:$P$132,MATCH(Table23[[#This Row],[DSorder]],'Verify Baseline Links'!$M$10:$M$132,0)),"DS"),"")</f>
        <v>DS</v>
      </c>
      <c r="E157" s="206" t="s">
        <v>1612</v>
      </c>
      <c r="F157" s="223" t="str">
        <f>CLEAN(TRIM(SUBSTITUTE(LEFT(Table23[[#This Row],[Declarative Statement]],MIN(250,LEN(Table23[[#This Row],[Declarative Statement]]))),CHAR(160)," ")))</f>
        <v>Employee access to systems and confidential data provides for separation of duties.</v>
      </c>
      <c r="G157" s="206">
        <f>MATCH(Table23[[#This Row],[clean DS]],combinedMaturityTable[Dsm clean],0)</f>
        <v>219</v>
      </c>
      <c r="H157" s="223">
        <v>2</v>
      </c>
      <c r="I157" s="223" t="s">
        <v>1606</v>
      </c>
      <c r="J157" s="308" t="str">
        <f>HYPERLINK(Table23[[#This Row],[URL]],Table23[[#This Row],[Link to Reference]])</f>
        <v>IS.II.C.7:pg15</v>
      </c>
      <c r="K157" s="206" t="s">
        <v>1613</v>
      </c>
      <c r="L157" s="286" t="s">
        <v>1614</v>
      </c>
      <c r="M157" s="286" t="s">
        <v>1615</v>
      </c>
      <c r="N157" s="286" t="s">
        <v>1378</v>
      </c>
      <c r="O157" s="286" t="s">
        <v>1378</v>
      </c>
      <c r="P157" s="286" t="s">
        <v>1378</v>
      </c>
      <c r="Q157" s="286" t="s">
        <v>1378</v>
      </c>
      <c r="R157" s="286" t="s">
        <v>1378</v>
      </c>
      <c r="S157" s="286" t="s">
        <v>1378</v>
      </c>
      <c r="T157" s="286" t="s">
        <v>1378</v>
      </c>
      <c r="U157" s="286" t="s">
        <v>1378</v>
      </c>
      <c r="X157" s="286" t="s">
        <v>1186</v>
      </c>
      <c r="Y157" s="302" t="str">
        <f>IFERROR(IF(SEARCH("WP",Table23[[#This Row],[Link to Reference]])&gt;0,"Work Program","Booklet"),"Booklet")</f>
        <v>Booklet</v>
      </c>
      <c r="Z157" s="286" t="s">
        <v>2030</v>
      </c>
      <c r="AA157" s="302">
        <f>IF(Table23[[#This Row],[Type]]="Booklet",MATCH(LEFT(Table23[[#This Row],[Link to Reference]],FIND(".",Table23[[#This Row],[Link to Reference]])-1),bookletsInfo[Initial],0),MATCH(LEFT(Table23[[#This Row],[Link to Reference]],FIND(".",Table23[[#This Row],[Link to Reference]])-1),WPInfo[Initials],0))</f>
        <v>5</v>
      </c>
      <c r="AB15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https://ithandbook.ffiec.gov/media/274793/ffiec_itbooklet_informationsecurity.pdf#Page=18</v>
      </c>
      <c r="AC157" s="286">
        <v>152</v>
      </c>
      <c r="AD157" s="286" t="b">
        <f>IF(G157=G156,IF(MOD(Table23[[#This Row],[order]],2)=1,"hideOdd","hideEven"),FALSE)</f>
        <v>0</v>
      </c>
      <c r="AE157" s="286">
        <f>IF(Table23[[#This Row],[hideText]]=FALSE,AE156+1,AE156)</f>
        <v>51</v>
      </c>
      <c r="AF157" s="269"/>
      <c r="AO157"/>
    </row>
    <row r="158" spans="1:41" ht="30" x14ac:dyDescent="0.25">
      <c r="A158" s="206" t="s">
        <v>215</v>
      </c>
      <c r="B158" s="206" t="s">
        <v>1560</v>
      </c>
      <c r="C158" s="206" t="s">
        <v>296</v>
      </c>
      <c r="D158" s="306" t="str">
        <f>IF(Table23[[#This Row],[hideText]]=FALSE,HYPERLINK(INDEX('Verify Baseline Links'!$P$10:$P$132,MATCH(Table23[[#This Row],[DSorder]],'Verify Baseline Links'!$M$10:$M$132,0)),"DS"),"")</f>
        <v/>
      </c>
      <c r="E158" s="206" t="s">
        <v>1612</v>
      </c>
      <c r="F158" s="223" t="str">
        <f>CLEAN(TRIM(SUBSTITUTE(LEFT(Table23[[#This Row],[Declarative Statement]],MIN(250,LEN(Table23[[#This Row],[Declarative Statement]]))),CHAR(160)," ")))</f>
        <v>Employee access to systems and confidential data provides for separation of duties.</v>
      </c>
      <c r="G158" s="206">
        <f>MATCH(Table23[[#This Row],[clean DS]],combinedMaturityTable[Dsm clean],0)</f>
        <v>219</v>
      </c>
      <c r="H158" s="223"/>
      <c r="I158" s="223" t="s">
        <v>1614</v>
      </c>
      <c r="J158" s="308" t="str">
        <f>HYPERLINK(Table23[[#This Row],[URL]],Table23[[#This Row],[Link to Reference]])</f>
        <v>IS.WP.2.5.g</v>
      </c>
      <c r="K158" s="206" t="s">
        <v>1615</v>
      </c>
      <c r="X158" s="286" t="s">
        <v>1186</v>
      </c>
      <c r="Y158" s="302" t="str">
        <f>IFERROR(IF(SEARCH("WP",Table23[[#This Row],[Link to Reference]])&gt;0,"Work Program","Booklet"),"Booklet")</f>
        <v>Work Program</v>
      </c>
      <c r="Z158" s="286">
        <v>3</v>
      </c>
      <c r="AA158" s="302">
        <f>IF(Table23[[#This Row],[Type]]="Booklet",MATCH(LEFT(Table23[[#This Row],[Link to Reference]],FIND(".",Table23[[#This Row],[Link to Reference]])-1),bookletsInfo[Initial],0),MATCH(LEFT(Table23[[#This Row],[Link to Reference]],FIND(".",Table23[[#This Row],[Link to Reference]])-1),WPInfo[Initials],0))</f>
        <v>5</v>
      </c>
      <c r="AB15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158" s="286">
        <v>153</v>
      </c>
      <c r="AD158" s="286" t="str">
        <f>IF(G158=G157,IF(MOD(Table23[[#This Row],[order]],2)=1,"hideOdd","hideEven"),FALSE)</f>
        <v>hideOdd</v>
      </c>
      <c r="AE158" s="286">
        <f>IF(Table23[[#This Row],[hideText]]=FALSE,AE157+1,AE157)</f>
        <v>51</v>
      </c>
      <c r="AF158" s="269"/>
      <c r="AO158"/>
    </row>
    <row r="159" spans="1:41" ht="45" x14ac:dyDescent="0.25">
      <c r="A159" s="206" t="s">
        <v>215</v>
      </c>
      <c r="B159" s="206" t="s">
        <v>1560</v>
      </c>
      <c r="C159" s="206" t="s">
        <v>296</v>
      </c>
      <c r="D159" s="306" t="str">
        <f ca="1">IF(Table23[[#This Row],[hideText]]=FALSE,HYPERLINK(INDEX('Verify Baseline Links'!$P$10:$P$132,MATCH(Table23[[#This Row],[DSorder]],'Verify Baseline Links'!$M$10:$M$132,0)),"DS"),"")</f>
        <v>DS</v>
      </c>
      <c r="E159" s="206" t="s">
        <v>1616</v>
      </c>
      <c r="F159" s="223" t="str">
        <f>CLEAN(TRIM(SUBSTITUTE(LEFT(Table23[[#This Row],[Declarative Statement]],MIN(250,LEN(Table23[[#This Row],[Declarative Statement]]))),CHAR(160)," ")))</f>
        <v>Elevated privileges (e.g., administrator privileges) are limited and tightly controlled (e.g., assigned to individuals, not shared, and require stronger password controls).</v>
      </c>
      <c r="G159" s="206">
        <f>MATCH(Table23[[#This Row],[clean DS]],combinedMaturityTable[Dsm clean],0)</f>
        <v>220</v>
      </c>
      <c r="H159" s="223">
        <v>2</v>
      </c>
      <c r="I159" s="223" t="s">
        <v>1169</v>
      </c>
      <c r="J159" s="308" t="str">
        <f>HYPERLINK(Table23[[#This Row],[URL]],Table23[[#This Row],[Link to Reference]])</f>
        <v>IS.II.C.15:pg31</v>
      </c>
      <c r="K159" s="206" t="s">
        <v>1617</v>
      </c>
      <c r="L159" s="286" t="s">
        <v>1618</v>
      </c>
      <c r="M159" s="286" t="s">
        <v>1619</v>
      </c>
      <c r="N159" s="286" t="s">
        <v>1378</v>
      </c>
      <c r="O159" s="286" t="s">
        <v>1378</v>
      </c>
      <c r="P159" s="286" t="s">
        <v>1378</v>
      </c>
      <c r="Q159" s="286" t="s">
        <v>1378</v>
      </c>
      <c r="R159" s="286" t="s">
        <v>1378</v>
      </c>
      <c r="S159" s="286" t="s">
        <v>1378</v>
      </c>
      <c r="T159" s="286" t="s">
        <v>1378</v>
      </c>
      <c r="U159" s="286" t="s">
        <v>1378</v>
      </c>
      <c r="X159" s="286" t="s">
        <v>1186</v>
      </c>
      <c r="Y159" s="302" t="str">
        <f>IFERROR(IF(SEARCH("WP",Table23[[#This Row],[Link to Reference]])&gt;0,"Work Program","Booklet"),"Booklet")</f>
        <v>Booklet</v>
      </c>
      <c r="Z159" s="286" t="s">
        <v>2031</v>
      </c>
      <c r="AA159" s="302">
        <f>IF(Table23[[#This Row],[Type]]="Booklet",MATCH(LEFT(Table23[[#This Row],[Link to Reference]],FIND(".",Table23[[#This Row],[Link to Reference]])-1),bookletsInfo[Initial],0),MATCH(LEFT(Table23[[#This Row],[Link to Reference]],FIND(".",Table23[[#This Row],[Link to Reference]])-1),WPInfo[Initials],0))</f>
        <v>5</v>
      </c>
      <c r="AB15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159" s="286">
        <v>154</v>
      </c>
      <c r="AD159" s="286" t="b">
        <f>IF(G159=G158,IF(MOD(Table23[[#This Row],[order]],2)=1,"hideOdd","hideEven"),FALSE)</f>
        <v>0</v>
      </c>
      <c r="AE159" s="286">
        <f>IF(Table23[[#This Row],[hideText]]=FALSE,AE158+1,AE158)</f>
        <v>52</v>
      </c>
      <c r="AF159" s="269"/>
      <c r="AO159"/>
    </row>
    <row r="160" spans="1:41" ht="45" x14ac:dyDescent="0.25">
      <c r="A160" s="206" t="s">
        <v>215</v>
      </c>
      <c r="B160" s="206" t="s">
        <v>1560</v>
      </c>
      <c r="C160" s="206" t="s">
        <v>296</v>
      </c>
      <c r="D160" s="306" t="str">
        <f>IF(Table23[[#This Row],[hideText]]=FALSE,HYPERLINK(INDEX('Verify Baseline Links'!$P$10:$P$132,MATCH(Table23[[#This Row],[DSorder]],'Verify Baseline Links'!$M$10:$M$132,0)),"DS"),"")</f>
        <v/>
      </c>
      <c r="E160" s="206" t="s">
        <v>1616</v>
      </c>
      <c r="F160" s="223" t="str">
        <f>CLEAN(TRIM(SUBSTITUTE(LEFT(Table23[[#This Row],[Declarative Statement]],MIN(250,LEN(Table23[[#This Row],[Declarative Statement]]))),CHAR(160)," ")))</f>
        <v>Elevated privileges (e.g., administrator privileges) are limited and tightly controlled (e.g., assigned to individuals, not shared, and require stronger password controls).</v>
      </c>
      <c r="G160" s="206">
        <f>MATCH(Table23[[#This Row],[clean DS]],combinedMaturityTable[Dsm clean],0)</f>
        <v>220</v>
      </c>
      <c r="H160" s="223"/>
      <c r="I160" s="223" t="s">
        <v>1618</v>
      </c>
      <c r="J160" s="308" t="str">
        <f>HYPERLINK(Table23[[#This Row],[URL]],Table23[[#This Row],[Link to Reference]])</f>
        <v>IS.WP.6.20</v>
      </c>
      <c r="K160" s="206" t="s">
        <v>1619</v>
      </c>
      <c r="X160" s="286" t="s">
        <v>1186</v>
      </c>
      <c r="Y160" s="302" t="str">
        <f>IFERROR(IF(SEARCH("WP",Table23[[#This Row],[Link to Reference]])&gt;0,"Work Program","Booklet"),"Booklet")</f>
        <v>Work Program</v>
      </c>
      <c r="Z160" s="286">
        <v>11</v>
      </c>
      <c r="AA160" s="302">
        <f>IF(Table23[[#This Row],[Type]]="Booklet",MATCH(LEFT(Table23[[#This Row],[Link to Reference]],FIND(".",Table23[[#This Row],[Link to Reference]])-1),bookletsInfo[Initial],0),MATCH(LEFT(Table23[[#This Row],[Link to Reference]],FIND(".",Table23[[#This Row],[Link to Reference]])-1),WPInfo[Initials],0))</f>
        <v>5</v>
      </c>
      <c r="AB16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60" s="286">
        <v>155</v>
      </c>
      <c r="AD160" s="286" t="str">
        <f>IF(G160=G159,IF(MOD(Table23[[#This Row],[order]],2)=1,"hideOdd","hideEven"),FALSE)</f>
        <v>hideOdd</v>
      </c>
      <c r="AE160" s="286">
        <f>IF(Table23[[#This Row],[hideText]]=FALSE,AE159+1,AE159)</f>
        <v>52</v>
      </c>
      <c r="AF160" s="269"/>
      <c r="AO160"/>
    </row>
    <row r="161" spans="1:41" ht="45" x14ac:dyDescent="0.25">
      <c r="A161" s="206" t="s">
        <v>215</v>
      </c>
      <c r="B161" s="206" t="s">
        <v>1560</v>
      </c>
      <c r="C161" s="206" t="s">
        <v>296</v>
      </c>
      <c r="D161" s="306" t="str">
        <f ca="1">IF(Table23[[#This Row],[hideText]]=FALSE,HYPERLINK(INDEX('Verify Baseline Links'!$P$10:$P$132,MATCH(Table23[[#This Row],[DSorder]],'Verify Baseline Links'!$M$10:$M$132,0)),"DS"),"")</f>
        <v>DS</v>
      </c>
      <c r="E161" s="206" t="s">
        <v>1620</v>
      </c>
      <c r="F161" s="223" t="str">
        <f>CLEAN(TRIM(SUBSTITUTE(LEFT(Table23[[#This Row],[Declarative Statement]],MIN(250,LEN(Table23[[#This Row],[Declarative Statement]]))),CHAR(160)," ")))</f>
        <v>User access reviews are performed periodically for all systems and applications based on the risk to the application or system.</v>
      </c>
      <c r="G161" s="206">
        <f>MATCH(Table23[[#This Row],[clean DS]],combinedMaturityTable[Dsm clean],0)</f>
        <v>221</v>
      </c>
      <c r="H161" s="223">
        <v>3</v>
      </c>
      <c r="I161" s="223" t="s">
        <v>1169</v>
      </c>
      <c r="J161" s="308" t="str">
        <f>HYPERLINK(Table23[[#This Row],[URL]],Table23[[#This Row],[Link to Reference]])</f>
        <v>IS.II.C.15:pg31</v>
      </c>
      <c r="K161" s="206" t="s">
        <v>1621</v>
      </c>
      <c r="L161" s="286" t="s">
        <v>1622</v>
      </c>
      <c r="M161" s="286" t="s">
        <v>1623</v>
      </c>
      <c r="N161" s="286" t="s">
        <v>1493</v>
      </c>
      <c r="O161" s="286" t="s">
        <v>1624</v>
      </c>
      <c r="P161" s="286" t="s">
        <v>1378</v>
      </c>
      <c r="Q161" s="286" t="s">
        <v>1378</v>
      </c>
      <c r="R161" s="286" t="s">
        <v>1378</v>
      </c>
      <c r="S161" s="286" t="s">
        <v>1378</v>
      </c>
      <c r="T161" s="286" t="s">
        <v>1378</v>
      </c>
      <c r="U161" s="286" t="s">
        <v>1378</v>
      </c>
      <c r="X161" s="286" t="s">
        <v>1186</v>
      </c>
      <c r="Y161" s="302" t="str">
        <f>IFERROR(IF(SEARCH("WP",Table23[[#This Row],[Link to Reference]])&gt;0,"Work Program","Booklet"),"Booklet")</f>
        <v>Booklet</v>
      </c>
      <c r="Z161" s="286" t="s">
        <v>2031</v>
      </c>
      <c r="AA161" s="302">
        <f>IF(Table23[[#This Row],[Type]]="Booklet",MATCH(LEFT(Table23[[#This Row],[Link to Reference]],FIND(".",Table23[[#This Row],[Link to Reference]])-1),bookletsInfo[Initial],0),MATCH(LEFT(Table23[[#This Row],[Link to Reference]],FIND(".",Table23[[#This Row],[Link to Reference]])-1),WPInfo[Initials],0))</f>
        <v>5</v>
      </c>
      <c r="AB16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161" s="286">
        <v>156</v>
      </c>
      <c r="AD161" s="286" t="b">
        <f>IF(G161=G160,IF(MOD(Table23[[#This Row],[order]],2)=1,"hideOdd","hideEven"),FALSE)</f>
        <v>0</v>
      </c>
      <c r="AE161" s="286">
        <f>IF(Table23[[#This Row],[hideText]]=FALSE,AE160+1,AE160)</f>
        <v>53</v>
      </c>
      <c r="AF161" s="269"/>
      <c r="AO161"/>
    </row>
    <row r="162" spans="1:41" ht="30" x14ac:dyDescent="0.25">
      <c r="A162" s="206" t="s">
        <v>215</v>
      </c>
      <c r="B162" s="206" t="s">
        <v>1560</v>
      </c>
      <c r="C162" s="206" t="s">
        <v>296</v>
      </c>
      <c r="D162" s="306" t="str">
        <f>IF(Table23[[#This Row],[hideText]]=FALSE,HYPERLINK(INDEX('Verify Baseline Links'!$P$10:$P$132,MATCH(Table23[[#This Row],[DSorder]],'Verify Baseline Links'!$M$10:$M$132,0)),"DS"),"")</f>
        <v/>
      </c>
      <c r="E162" s="206" t="s">
        <v>1620</v>
      </c>
      <c r="F162" s="223" t="str">
        <f>CLEAN(TRIM(SUBSTITUTE(LEFT(Table23[[#This Row],[Declarative Statement]],MIN(250,LEN(Table23[[#This Row],[Declarative Statement]]))),CHAR(160)," ")))</f>
        <v>User access reviews are performed periodically for all systems and applications based on the risk to the application or system.</v>
      </c>
      <c r="G162" s="206">
        <f>MATCH(Table23[[#This Row],[clean DS]],combinedMaturityTable[Dsm clean],0)</f>
        <v>221</v>
      </c>
      <c r="H162" s="223"/>
      <c r="I162" s="223" t="s">
        <v>1622</v>
      </c>
      <c r="J162" s="308" t="str">
        <f>HYPERLINK(Table23[[#This Row],[URL]],Table23[[#This Row],[Link to Reference]])</f>
        <v>IS.Wp.6.8.c</v>
      </c>
      <c r="K162" s="206" t="s">
        <v>1623</v>
      </c>
      <c r="X162" s="286" t="s">
        <v>1186</v>
      </c>
      <c r="Y162" s="302" t="str">
        <f>IFERROR(IF(SEARCH("WP",Table23[[#This Row],[Link to Reference]])&gt;0,"Work Program","Booklet"),"Booklet")</f>
        <v>Work Program</v>
      </c>
      <c r="Z162" s="286">
        <v>8</v>
      </c>
      <c r="AA162" s="302">
        <f>IF(Table23[[#This Row],[Type]]="Booklet",MATCH(LEFT(Table23[[#This Row],[Link to Reference]],FIND(".",Table23[[#This Row],[Link to Reference]])-1),bookletsInfo[Initial],0),MATCH(LEFT(Table23[[#This Row],[Link to Reference]],FIND(".",Table23[[#This Row],[Link to Reference]])-1),WPInfo[Initials],0))</f>
        <v>5</v>
      </c>
      <c r="AB16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162" s="286">
        <v>157</v>
      </c>
      <c r="AD162" s="286" t="str">
        <f>IF(G162=G161,IF(MOD(Table23[[#This Row],[order]],2)=1,"hideOdd","hideEven"),FALSE)</f>
        <v>hideOdd</v>
      </c>
      <c r="AE162" s="286">
        <f>IF(Table23[[#This Row],[hideText]]=FALSE,AE161+1,AE161)</f>
        <v>53</v>
      </c>
      <c r="AF162" s="269"/>
      <c r="AO162"/>
    </row>
    <row r="163" spans="1:41" ht="45" x14ac:dyDescent="0.25">
      <c r="A163" s="206" t="s">
        <v>215</v>
      </c>
      <c r="B163" s="206" t="s">
        <v>1560</v>
      </c>
      <c r="C163" s="206" t="s">
        <v>296</v>
      </c>
      <c r="D163" s="306" t="str">
        <f>IF(Table23[[#This Row],[hideText]]=FALSE,HYPERLINK(INDEX('Verify Baseline Links'!$P$10:$P$132,MATCH(Table23[[#This Row],[DSorder]],'Verify Baseline Links'!$M$10:$M$132,0)),"DS"),"")</f>
        <v/>
      </c>
      <c r="E163" s="206" t="s">
        <v>1620</v>
      </c>
      <c r="F163" s="223" t="str">
        <f>CLEAN(TRIM(SUBSTITUTE(LEFT(Table23[[#This Row],[Declarative Statement]],MIN(250,LEN(Table23[[#This Row],[Declarative Statement]]))),CHAR(160)," ")))</f>
        <v>User access reviews are performed periodically for all systems and applications based on the risk to the application or system.</v>
      </c>
      <c r="G163" s="206">
        <f>MATCH(Table23[[#This Row],[clean DS]],combinedMaturityTable[Dsm clean],0)</f>
        <v>221</v>
      </c>
      <c r="H163" s="223"/>
      <c r="I163" s="223" t="s">
        <v>1493</v>
      </c>
      <c r="J163" s="308" t="str">
        <f>HYPERLINK(Table23[[#This Row],[URL]],Table23[[#This Row],[Link to Reference]])</f>
        <v>MGT.III.C.2:pg28</v>
      </c>
      <c r="K163" s="206" t="s">
        <v>1624</v>
      </c>
      <c r="X163" s="286" t="s">
        <v>1957</v>
      </c>
      <c r="Y163" s="302" t="str">
        <f>IFERROR(IF(SEARCH("WP",Table23[[#This Row],[Link to Reference]])&gt;0,"Work Program","Booklet"),"Booklet")</f>
        <v>Booklet</v>
      </c>
      <c r="Z163" s="286" t="s">
        <v>2000</v>
      </c>
      <c r="AA163" s="302">
        <f>IF(Table23[[#This Row],[Type]]="Booklet",MATCH(LEFT(Table23[[#This Row],[Link to Reference]],FIND(".",Table23[[#This Row],[Link to Reference]])-1),bookletsInfo[Initial],0),MATCH(LEFT(Table23[[#This Row],[Link to Reference]],FIND(".",Table23[[#This Row],[Link to Reference]])-1),WPInfo[Initials],0))</f>
        <v>6</v>
      </c>
      <c r="AB16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163" s="286">
        <v>158</v>
      </c>
      <c r="AD163" s="286" t="str">
        <f>IF(G163=G162,IF(MOD(Table23[[#This Row],[order]],2)=1,"hideOdd","hideEven"),FALSE)</f>
        <v>hideEven</v>
      </c>
      <c r="AE163" s="286">
        <f>IF(Table23[[#This Row],[hideText]]=FALSE,AE162+1,AE162)</f>
        <v>53</v>
      </c>
      <c r="AF163" s="269"/>
      <c r="AO163"/>
    </row>
    <row r="164" spans="1:41" ht="75" x14ac:dyDescent="0.25">
      <c r="A164" s="206" t="s">
        <v>215</v>
      </c>
      <c r="B164" s="206" t="s">
        <v>1560</v>
      </c>
      <c r="C164" s="206" t="s">
        <v>296</v>
      </c>
      <c r="D164" s="306" t="str">
        <f ca="1">IF(Table23[[#This Row],[hideText]]=FALSE,HYPERLINK(INDEX('Verify Baseline Links'!$P$10:$P$132,MATCH(Table23[[#This Row],[DSorder]],'Verify Baseline Links'!$M$10:$M$132,0)),"DS"),"")</f>
        <v>DS</v>
      </c>
      <c r="E164" s="206" t="s">
        <v>1625</v>
      </c>
      <c r="F164" s="223" t="str">
        <f>CLEAN(TRIM(SUBSTITUTE(LEFT(Table23[[#This Row],[Declarative Statement]],MIN(250,LEN(Table23[[#This Row],[Declarative Statement]]))),CHAR(160)," ")))</f>
        <v>Changes to physical and logical user access, including those that result from voluntary and involuntary terminations, are submitted to and approved by appropriate personnel.</v>
      </c>
      <c r="G164" s="206">
        <f>MATCH(Table23[[#This Row],[clean DS]],combinedMaturityTable[Dsm clean],0)</f>
        <v>222</v>
      </c>
      <c r="H164" s="223">
        <v>2</v>
      </c>
      <c r="I164" s="223" t="s">
        <v>1626</v>
      </c>
      <c r="J164" s="308" t="str">
        <f>HYPERLINK(Table23[[#This Row],[URL]],Table23[[#This Row],[Link to Reference]])</f>
        <v>IS.II.C.7(b):pg16</v>
      </c>
      <c r="K164" s="206" t="s">
        <v>1627</v>
      </c>
      <c r="L164" s="286" t="s">
        <v>1628</v>
      </c>
      <c r="M164" s="286" t="s">
        <v>1629</v>
      </c>
      <c r="N164" s="286" t="s">
        <v>1378</v>
      </c>
      <c r="O164" s="286" t="s">
        <v>1378</v>
      </c>
      <c r="P164" s="286" t="s">
        <v>1378</v>
      </c>
      <c r="Q164" s="286" t="s">
        <v>1378</v>
      </c>
      <c r="R164" s="286" t="s">
        <v>1378</v>
      </c>
      <c r="S164" s="286" t="s">
        <v>1378</v>
      </c>
      <c r="T164" s="286" t="s">
        <v>1378</v>
      </c>
      <c r="U164" s="286" t="s">
        <v>1378</v>
      </c>
      <c r="X164" s="286" t="s">
        <v>1186</v>
      </c>
      <c r="Y164" s="302" t="str">
        <f>IFERROR(IF(SEARCH("WP",Table23[[#This Row],[Link to Reference]])&gt;0,"Work Program","Booklet"),"Booklet")</f>
        <v>Booklet</v>
      </c>
      <c r="Z164" s="286" t="s">
        <v>2032</v>
      </c>
      <c r="AA164" s="302">
        <f>IF(Table23[[#This Row],[Type]]="Booklet",MATCH(LEFT(Table23[[#This Row],[Link to Reference]],FIND(".",Table23[[#This Row],[Link to Reference]])-1),bookletsInfo[Initial],0),MATCH(LEFT(Table23[[#This Row],[Link to Reference]],FIND(".",Table23[[#This Row],[Link to Reference]])-1),WPInfo[Initials],0))</f>
        <v>5</v>
      </c>
      <c r="AB16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https://ithandbook.ffiec.gov/media/274793/ffiec_itbooklet_informationsecurity.pdf#Page=19</v>
      </c>
      <c r="AC164" s="286">
        <v>159</v>
      </c>
      <c r="AD164" s="286" t="b">
        <f>IF(G164=G163,IF(MOD(Table23[[#This Row],[order]],2)=1,"hideOdd","hideEven"),FALSE)</f>
        <v>0</v>
      </c>
      <c r="AE164" s="286">
        <f>IF(Table23[[#This Row],[hideText]]=FALSE,AE163+1,AE163)</f>
        <v>54</v>
      </c>
      <c r="AF164" s="269"/>
      <c r="AO164"/>
    </row>
    <row r="165" spans="1:41" ht="45" x14ac:dyDescent="0.25">
      <c r="A165" s="206" t="s">
        <v>215</v>
      </c>
      <c r="B165" s="206" t="s">
        <v>1560</v>
      </c>
      <c r="C165" s="206" t="s">
        <v>296</v>
      </c>
      <c r="D165" s="306" t="str">
        <f>IF(Table23[[#This Row],[hideText]]=FALSE,HYPERLINK(INDEX('Verify Baseline Links'!$P$10:$P$132,MATCH(Table23[[#This Row],[DSorder]],'Verify Baseline Links'!$M$10:$M$132,0)),"DS"),"")</f>
        <v/>
      </c>
      <c r="E165" s="206" t="s">
        <v>1625</v>
      </c>
      <c r="F165" s="223" t="str">
        <f>CLEAN(TRIM(SUBSTITUTE(LEFT(Table23[[#This Row],[Declarative Statement]],MIN(250,LEN(Table23[[#This Row],[Declarative Statement]]))),CHAR(160)," ")))</f>
        <v>Changes to physical and logical user access, including those that result from voluntary and involuntary terminations, are submitted to and approved by appropriate personnel.</v>
      </c>
      <c r="G165" s="206">
        <f>MATCH(Table23[[#This Row],[clean DS]],combinedMaturityTable[Dsm clean],0)</f>
        <v>222</v>
      </c>
      <c r="H165" s="223"/>
      <c r="I165" s="223" t="s">
        <v>1628</v>
      </c>
      <c r="J165" s="308" t="str">
        <f>HYPERLINK(Table23[[#This Row],[URL]],Table23[[#This Row],[Link to Reference]])</f>
        <v>IS.WP.6.8</v>
      </c>
      <c r="K165" s="206" t="s">
        <v>1629</v>
      </c>
      <c r="X165" s="286" t="s">
        <v>1186</v>
      </c>
      <c r="Y165" s="302" t="str">
        <f>IFERROR(IF(SEARCH("WP",Table23[[#This Row],[Link to Reference]])&gt;0,"Work Program","Booklet"),"Booklet")</f>
        <v>Work Program</v>
      </c>
      <c r="Z165" s="286">
        <v>8</v>
      </c>
      <c r="AA165" s="302">
        <f>IF(Table23[[#This Row],[Type]]="Booklet",MATCH(LEFT(Table23[[#This Row],[Link to Reference]],FIND(".",Table23[[#This Row],[Link to Reference]])-1),bookletsInfo[Initial],0),MATCH(LEFT(Table23[[#This Row],[Link to Reference]],FIND(".",Table23[[#This Row],[Link to Reference]])-1),WPInfo[Initials],0))</f>
        <v>5</v>
      </c>
      <c r="AB16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165" s="286">
        <v>160</v>
      </c>
      <c r="AD165" s="286" t="str">
        <f>IF(G165=G164,IF(MOD(Table23[[#This Row],[order]],2)=1,"hideOdd","hideEven"),FALSE)</f>
        <v>hideEven</v>
      </c>
      <c r="AE165" s="286">
        <f>IF(Table23[[#This Row],[hideText]]=FALSE,AE164+1,AE164)</f>
        <v>54</v>
      </c>
      <c r="AF165" s="269"/>
      <c r="AO165"/>
    </row>
    <row r="166" spans="1:41" ht="30" x14ac:dyDescent="0.25">
      <c r="A166" s="206" t="s">
        <v>215</v>
      </c>
      <c r="B166" s="206" t="s">
        <v>1560</v>
      </c>
      <c r="C166" s="206" t="s">
        <v>296</v>
      </c>
      <c r="D166" s="306" t="str">
        <f ca="1">IF(Table23[[#This Row],[hideText]]=FALSE,HYPERLINK(INDEX('Verify Baseline Links'!$P$10:$P$132,MATCH(Table23[[#This Row],[DSorder]],'Verify Baseline Links'!$M$10:$M$132,0)),"DS"),"")</f>
        <v>DS</v>
      </c>
      <c r="E166" s="206" t="s">
        <v>1630</v>
      </c>
      <c r="F166" s="223" t="str">
        <f>CLEAN(TRIM(SUBSTITUTE(LEFT(Table23[[#This Row],[Declarative Statement]],MIN(250,LEN(Table23[[#This Row],[Declarative Statement]]))),CHAR(160)," ")))</f>
        <v>Identification and authentication are required and managed for access to systems, applications, and hardware.</v>
      </c>
      <c r="G166" s="206">
        <f>MATCH(Table23[[#This Row],[clean DS]],combinedMaturityTable[Dsm clean],0)</f>
        <v>223</v>
      </c>
      <c r="H166" s="223">
        <v>2</v>
      </c>
      <c r="I166" s="223" t="s">
        <v>2033</v>
      </c>
      <c r="J166" s="308" t="str">
        <f>HYPERLINK(Table23[[#This Row],[URL]],Table23[[#This Row],[Link to Reference]])</f>
        <v>IS.IS.II.C.15(b):pg33</v>
      </c>
      <c r="K166" s="206" t="s">
        <v>2034</v>
      </c>
      <c r="L166" s="286" t="s">
        <v>1633</v>
      </c>
      <c r="M166" s="286" t="s">
        <v>1634</v>
      </c>
      <c r="N166" s="286" t="s">
        <v>1378</v>
      </c>
      <c r="O166" s="286" t="s">
        <v>1378</v>
      </c>
      <c r="P166" s="286" t="s">
        <v>1378</v>
      </c>
      <c r="Q166" s="286" t="s">
        <v>1378</v>
      </c>
      <c r="R166" s="286" t="s">
        <v>1378</v>
      </c>
      <c r="S166" s="286" t="s">
        <v>1378</v>
      </c>
      <c r="T166" s="286" t="s">
        <v>1378</v>
      </c>
      <c r="U166" s="286" t="s">
        <v>1378</v>
      </c>
      <c r="X166" s="286" t="s">
        <v>1186</v>
      </c>
      <c r="Y166" s="302" t="str">
        <f>IFERROR(IF(SEARCH("WP",Table23[[#This Row],[Link to Reference]])&gt;0,"Work Program","Booklet"),"Booklet")</f>
        <v>Booklet</v>
      </c>
      <c r="Z166" s="286" t="s">
        <v>2035</v>
      </c>
      <c r="AA166" s="302">
        <f>IF(Table23[[#This Row],[Type]]="Booklet",MATCH(LEFT(Table23[[#This Row],[Link to Reference]],FIND(".",Table23[[#This Row],[Link to Reference]])-1),bookletsInfo[Initial],0),MATCH(LEFT(Table23[[#This Row],[Link to Reference]],FIND(".",Table23[[#This Row],[Link to Reference]])-1),WPInfo[Initials],0))</f>
        <v>5</v>
      </c>
      <c r="AB16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https://ithandbook.ffiec.gov/media/274793/ffiec_itbooklet_informationsecurity.pdf#Page=36</v>
      </c>
      <c r="AC166" s="286">
        <v>161</v>
      </c>
      <c r="AD166" s="286" t="b">
        <f>IF(G166=G165,IF(MOD(Table23[[#This Row],[order]],2)=1,"hideOdd","hideEven"),FALSE)</f>
        <v>0</v>
      </c>
      <c r="AE166" s="286">
        <f>IF(Table23[[#This Row],[hideText]]=FALSE,AE165+1,AE165)</f>
        <v>55</v>
      </c>
      <c r="AF166" s="269"/>
      <c r="AO166"/>
    </row>
    <row r="167" spans="1:41" ht="30" x14ac:dyDescent="0.25">
      <c r="A167" s="206" t="s">
        <v>215</v>
      </c>
      <c r="B167" s="206" t="s">
        <v>1560</v>
      </c>
      <c r="C167" s="206" t="s">
        <v>296</v>
      </c>
      <c r="D167" s="306" t="str">
        <f>IF(Table23[[#This Row],[hideText]]=FALSE,HYPERLINK(INDEX('Verify Baseline Links'!$P$10:$P$132,MATCH(Table23[[#This Row],[DSorder]],'Verify Baseline Links'!$M$10:$M$132,0)),"DS"),"")</f>
        <v/>
      </c>
      <c r="E167" s="206" t="s">
        <v>1630</v>
      </c>
      <c r="F167" s="223" t="str">
        <f>CLEAN(TRIM(SUBSTITUTE(LEFT(Table23[[#This Row],[Declarative Statement]],MIN(250,LEN(Table23[[#This Row],[Declarative Statement]]))),CHAR(160)," ")))</f>
        <v>Identification and authentication are required and managed for access to systems, applications, and hardware.</v>
      </c>
      <c r="G167" s="206">
        <f>MATCH(Table23[[#This Row],[clean DS]],combinedMaturityTable[Dsm clean],0)</f>
        <v>223</v>
      </c>
      <c r="H167" s="223"/>
      <c r="I167" s="223" t="s">
        <v>1633</v>
      </c>
      <c r="J167" s="308" t="str">
        <f>HYPERLINK(Table23[[#This Row],[URL]],Table23[[#This Row],[Link to Reference]])</f>
        <v>IS.WP.6.22</v>
      </c>
      <c r="K167" s="206" t="s">
        <v>1634</v>
      </c>
      <c r="X167" s="286" t="s">
        <v>1186</v>
      </c>
      <c r="Y167" s="302" t="str">
        <f>IFERROR(IF(SEARCH("WP",Table23[[#This Row],[Link to Reference]])&gt;0,"Work Program","Booklet"),"Booklet")</f>
        <v>Work Program</v>
      </c>
      <c r="Z167" s="286">
        <v>12</v>
      </c>
      <c r="AA167" s="302">
        <f>IF(Table23[[#This Row],[Type]]="Booklet",MATCH(LEFT(Table23[[#This Row],[Link to Reference]],FIND(".",Table23[[#This Row],[Link to Reference]])-1),bookletsInfo[Initial],0),MATCH(LEFT(Table23[[#This Row],[Link to Reference]],FIND(".",Table23[[#This Row],[Link to Reference]])-1),WPInfo[Initials],0))</f>
        <v>5</v>
      </c>
      <c r="AB16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67" s="286">
        <v>162</v>
      </c>
      <c r="AD167" s="286" t="str">
        <f>IF(G167=G166,IF(MOD(Table23[[#This Row],[order]],2)=1,"hideOdd","hideEven"),FALSE)</f>
        <v>hideEven</v>
      </c>
      <c r="AE167" s="286">
        <f>IF(Table23[[#This Row],[hideText]]=FALSE,AE166+1,AE166)</f>
        <v>55</v>
      </c>
      <c r="AF167" s="269"/>
      <c r="AO167"/>
    </row>
    <row r="168" spans="1:41" ht="30" x14ac:dyDescent="0.25">
      <c r="A168" s="206" t="s">
        <v>215</v>
      </c>
      <c r="B168" s="206" t="s">
        <v>1560</v>
      </c>
      <c r="C168" s="206" t="s">
        <v>296</v>
      </c>
      <c r="D168" s="306" t="str">
        <f ca="1">IF(Table23[[#This Row],[hideText]]=FALSE,HYPERLINK(INDEX('Verify Baseline Links'!$P$10:$P$132,MATCH(Table23[[#This Row],[DSorder]],'Verify Baseline Links'!$M$10:$M$132,0)),"DS"),"")</f>
        <v>DS</v>
      </c>
      <c r="E168" s="206" t="s">
        <v>1635</v>
      </c>
      <c r="F168" s="223" t="str">
        <f>CLEAN(TRIM(SUBSTITUTE(LEFT(Table23[[#This Row],[Declarative Statement]],MIN(250,LEN(Table23[[#This Row],[Declarative Statement]]))),CHAR(160)," ")))</f>
        <v>Access controls include password complexity and limits to password attempts and reuse.</v>
      </c>
      <c r="G168" s="206">
        <f>MATCH(Table23[[#This Row],[clean DS]],combinedMaturityTable[Dsm clean],0)</f>
        <v>224</v>
      </c>
      <c r="H168" s="223">
        <v>2</v>
      </c>
      <c r="I168" s="223" t="s">
        <v>1606</v>
      </c>
      <c r="J168" s="308" t="str">
        <f>HYPERLINK(Table23[[#This Row],[URL]],Table23[[#This Row],[Link to Reference]])</f>
        <v>IS.II.C.7:pg15</v>
      </c>
      <c r="K168" s="206" t="s">
        <v>1636</v>
      </c>
      <c r="L168" s="286" t="s">
        <v>1637</v>
      </c>
      <c r="M168" s="286" t="s">
        <v>1638</v>
      </c>
      <c r="N168" s="286" t="s">
        <v>1378</v>
      </c>
      <c r="O168" s="286" t="s">
        <v>1378</v>
      </c>
      <c r="P168" s="286" t="s">
        <v>1378</v>
      </c>
      <c r="Q168" s="286" t="s">
        <v>1378</v>
      </c>
      <c r="R168" s="286" t="s">
        <v>1378</v>
      </c>
      <c r="S168" s="286" t="s">
        <v>1378</v>
      </c>
      <c r="T168" s="286" t="s">
        <v>1378</v>
      </c>
      <c r="U168" s="286" t="s">
        <v>1378</v>
      </c>
      <c r="X168" s="286" t="s">
        <v>1186</v>
      </c>
      <c r="Y168" s="302" t="str">
        <f>IFERROR(IF(SEARCH("WP",Table23[[#This Row],[Link to Reference]])&gt;0,"Work Program","Booklet"),"Booklet")</f>
        <v>Booklet</v>
      </c>
      <c r="Z168" s="286" t="s">
        <v>2030</v>
      </c>
      <c r="AA168" s="302">
        <f>IF(Table23[[#This Row],[Type]]="Booklet",MATCH(LEFT(Table23[[#This Row],[Link to Reference]],FIND(".",Table23[[#This Row],[Link to Reference]])-1),bookletsInfo[Initial],0),MATCH(LEFT(Table23[[#This Row],[Link to Reference]],FIND(".",Table23[[#This Row],[Link to Reference]])-1),WPInfo[Initials],0))</f>
        <v>5</v>
      </c>
      <c r="AB16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https://ithandbook.ffiec.gov/media/274793/ffiec_itbooklet_informationsecurity.pdf#Page=18</v>
      </c>
      <c r="AC168" s="286">
        <v>163</v>
      </c>
      <c r="AD168" s="286" t="b">
        <f>IF(G168=G167,IF(MOD(Table23[[#This Row],[order]],2)=1,"hideOdd","hideEven"),FALSE)</f>
        <v>0</v>
      </c>
      <c r="AE168" s="286">
        <f>IF(Table23[[#This Row],[hideText]]=FALSE,AE167+1,AE167)</f>
        <v>56</v>
      </c>
      <c r="AF168" s="269"/>
      <c r="AO168"/>
    </row>
    <row r="169" spans="1:41" ht="30" x14ac:dyDescent="0.25">
      <c r="A169" s="206" t="s">
        <v>215</v>
      </c>
      <c r="B169" s="206" t="s">
        <v>1560</v>
      </c>
      <c r="C169" s="206" t="s">
        <v>296</v>
      </c>
      <c r="D169" s="306" t="str">
        <f>IF(Table23[[#This Row],[hideText]]=FALSE,HYPERLINK(INDEX('Verify Baseline Links'!$P$10:$P$132,MATCH(Table23[[#This Row],[DSorder]],'Verify Baseline Links'!$M$10:$M$132,0)),"DS"),"")</f>
        <v/>
      </c>
      <c r="E169" s="206" t="s">
        <v>1635</v>
      </c>
      <c r="F169" s="223" t="str">
        <f>CLEAN(TRIM(SUBSTITUTE(LEFT(Table23[[#This Row],[Declarative Statement]],MIN(250,LEN(Table23[[#This Row],[Declarative Statement]]))),CHAR(160)," ")))</f>
        <v>Access controls include password complexity and limits to password attempts and reuse.</v>
      </c>
      <c r="G169" s="206">
        <f>MATCH(Table23[[#This Row],[clean DS]],combinedMaturityTable[Dsm clean],0)</f>
        <v>224</v>
      </c>
      <c r="H169" s="223"/>
      <c r="I169" s="223" t="s">
        <v>1637</v>
      </c>
      <c r="J169" s="308" t="str">
        <f>HYPERLINK(Table23[[#This Row],[URL]],Table23[[#This Row],[Link to Reference]])</f>
        <v>IS.WP.8.1.k</v>
      </c>
      <c r="K169" s="206" t="s">
        <v>1638</v>
      </c>
      <c r="X169" s="286" t="s">
        <v>1186</v>
      </c>
      <c r="Y169" s="302" t="str">
        <f>IFERROR(IF(SEARCH("WP",Table23[[#This Row],[Link to Reference]])&gt;0,"Work Program","Booklet"),"Booklet")</f>
        <v>Work Program</v>
      </c>
      <c r="Z169" s="286">
        <v>18</v>
      </c>
      <c r="AA169" s="302">
        <f>IF(Table23[[#This Row],[Type]]="Booklet",MATCH(LEFT(Table23[[#This Row],[Link to Reference]],FIND(".",Table23[[#This Row],[Link to Reference]])-1),bookletsInfo[Initial],0),MATCH(LEFT(Table23[[#This Row],[Link to Reference]],FIND(".",Table23[[#This Row],[Link to Reference]])-1),WPInfo[Initials],0))</f>
        <v>5</v>
      </c>
      <c r="AB16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169" s="286">
        <v>164</v>
      </c>
      <c r="AD169" s="286" t="str">
        <f>IF(G169=G168,IF(MOD(Table23[[#This Row],[order]],2)=1,"hideOdd","hideEven"),FALSE)</f>
        <v>hideEven</v>
      </c>
      <c r="AE169" s="286">
        <f>IF(Table23[[#This Row],[hideText]]=FALSE,AE168+1,AE168)</f>
        <v>56</v>
      </c>
      <c r="AF169" s="269"/>
      <c r="AO169"/>
    </row>
    <row r="170" spans="1:41" ht="60" x14ac:dyDescent="0.25">
      <c r="A170" s="206" t="s">
        <v>215</v>
      </c>
      <c r="B170" s="206" t="s">
        <v>1560</v>
      </c>
      <c r="C170" s="206" t="s">
        <v>296</v>
      </c>
      <c r="D170" s="306" t="str">
        <f ca="1">IF(Table23[[#This Row],[hideText]]=FALSE,HYPERLINK(INDEX('Verify Baseline Links'!$P$10:$P$132,MATCH(Table23[[#This Row],[DSorder]],'Verify Baseline Links'!$M$10:$M$132,0)),"DS"),"")</f>
        <v>DS</v>
      </c>
      <c r="E170" s="206" t="s">
        <v>1639</v>
      </c>
      <c r="F170" s="223" t="str">
        <f>CLEAN(TRIM(SUBSTITUTE(LEFT(Table23[[#This Row],[Declarative Statement]],MIN(250,LEN(Table23[[#This Row],[Declarative Statement]]))),CHAR(160)," ")))</f>
        <v>All default passwords and unnecessary default accounts are changed before system implementation.</v>
      </c>
      <c r="G170" s="206">
        <f>MATCH(Table23[[#This Row],[clean DS]],combinedMaturityTable[Dsm clean],0)</f>
        <v>225</v>
      </c>
      <c r="H170" s="223">
        <v>2</v>
      </c>
      <c r="I170" s="223" t="s">
        <v>1169</v>
      </c>
      <c r="J170" s="308" t="str">
        <f>HYPERLINK(Table23[[#This Row],[URL]],Table23[[#This Row],[Link to Reference]])</f>
        <v>IS.II.C.15:pg31</v>
      </c>
      <c r="K170" s="206" t="s">
        <v>1640</v>
      </c>
      <c r="L170" s="286" t="s">
        <v>1618</v>
      </c>
      <c r="M170" s="286" t="s">
        <v>1641</v>
      </c>
      <c r="N170" s="286" t="s">
        <v>1378</v>
      </c>
      <c r="O170" s="286" t="s">
        <v>1378</v>
      </c>
      <c r="P170" s="286" t="s">
        <v>1378</v>
      </c>
      <c r="Q170" s="286" t="s">
        <v>1378</v>
      </c>
      <c r="R170" s="286" t="s">
        <v>1378</v>
      </c>
      <c r="S170" s="286" t="s">
        <v>1378</v>
      </c>
      <c r="T170" s="286" t="s">
        <v>1378</v>
      </c>
      <c r="U170" s="286" t="s">
        <v>1378</v>
      </c>
      <c r="X170" s="286" t="s">
        <v>1186</v>
      </c>
      <c r="Y170" s="302" t="str">
        <f>IFERROR(IF(SEARCH("WP",Table23[[#This Row],[Link to Reference]])&gt;0,"Work Program","Booklet"),"Booklet")</f>
        <v>Booklet</v>
      </c>
      <c r="Z170" s="286" t="s">
        <v>2031</v>
      </c>
      <c r="AA170" s="302">
        <f>IF(Table23[[#This Row],[Type]]="Booklet",MATCH(LEFT(Table23[[#This Row],[Link to Reference]],FIND(".",Table23[[#This Row],[Link to Reference]])-1),bookletsInfo[Initial],0),MATCH(LEFT(Table23[[#This Row],[Link to Reference]],FIND(".",Table23[[#This Row],[Link to Reference]])-1),WPInfo[Initials],0))</f>
        <v>5</v>
      </c>
      <c r="AB17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170" s="286">
        <v>165</v>
      </c>
      <c r="AD170" s="286" t="b">
        <f>IF(G170=G169,IF(MOD(Table23[[#This Row],[order]],2)=1,"hideOdd","hideEven"),FALSE)</f>
        <v>0</v>
      </c>
      <c r="AE170" s="286">
        <f>IF(Table23[[#This Row],[hideText]]=FALSE,AE169+1,AE169)</f>
        <v>57</v>
      </c>
      <c r="AF170" s="269"/>
      <c r="AO170"/>
    </row>
    <row r="171" spans="1:41" ht="45" x14ac:dyDescent="0.25">
      <c r="A171" s="206" t="s">
        <v>215</v>
      </c>
      <c r="B171" s="206" t="s">
        <v>1560</v>
      </c>
      <c r="C171" s="206" t="s">
        <v>296</v>
      </c>
      <c r="D171" s="306" t="str">
        <f>IF(Table23[[#This Row],[hideText]]=FALSE,HYPERLINK(INDEX('Verify Baseline Links'!$P$10:$P$132,MATCH(Table23[[#This Row],[DSorder]],'Verify Baseline Links'!$M$10:$M$132,0)),"DS"),"")</f>
        <v/>
      </c>
      <c r="E171" s="206" t="s">
        <v>1639</v>
      </c>
      <c r="F171" s="223" t="str">
        <f>CLEAN(TRIM(SUBSTITUTE(LEFT(Table23[[#This Row],[Declarative Statement]],MIN(250,LEN(Table23[[#This Row],[Declarative Statement]]))),CHAR(160)," ")))</f>
        <v>All default passwords and unnecessary default accounts are changed before system implementation.</v>
      </c>
      <c r="G171" s="206">
        <f>MATCH(Table23[[#This Row],[clean DS]],combinedMaturityTable[Dsm clean],0)</f>
        <v>225</v>
      </c>
      <c r="H171" s="223"/>
      <c r="I171" s="223" t="s">
        <v>1618</v>
      </c>
      <c r="J171" s="308" t="str">
        <f>HYPERLINK(Table23[[#This Row],[URL]],Table23[[#This Row],[Link to Reference]])</f>
        <v>IS.WP.6.20</v>
      </c>
      <c r="K171" s="206" t="s">
        <v>1641</v>
      </c>
      <c r="X171" s="286" t="s">
        <v>1186</v>
      </c>
      <c r="Y171" s="302" t="str">
        <f>IFERROR(IF(SEARCH("WP",Table23[[#This Row],[Link to Reference]])&gt;0,"Work Program","Booklet"),"Booklet")</f>
        <v>Work Program</v>
      </c>
      <c r="Z171" s="286">
        <v>11</v>
      </c>
      <c r="AA171" s="302">
        <f>IF(Table23[[#This Row],[Type]]="Booklet",MATCH(LEFT(Table23[[#This Row],[Link to Reference]],FIND(".",Table23[[#This Row],[Link to Reference]])-1),bookletsInfo[Initial],0),MATCH(LEFT(Table23[[#This Row],[Link to Reference]],FIND(".",Table23[[#This Row],[Link to Reference]])-1),WPInfo[Initials],0))</f>
        <v>5</v>
      </c>
      <c r="AB17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71" s="286">
        <v>166</v>
      </c>
      <c r="AD171" s="286" t="str">
        <f>IF(G171=G170,IF(MOD(Table23[[#This Row],[order]],2)=1,"hideOdd","hideEven"),FALSE)</f>
        <v>hideEven</v>
      </c>
      <c r="AE171" s="286">
        <f>IF(Table23[[#This Row],[hideText]]=FALSE,AE170+1,AE170)</f>
        <v>57</v>
      </c>
      <c r="AF171" s="269"/>
      <c r="AO171"/>
    </row>
    <row r="172" spans="1:41" ht="45" x14ac:dyDescent="0.25">
      <c r="A172" s="206" t="s">
        <v>215</v>
      </c>
      <c r="B172" s="206" t="s">
        <v>1560</v>
      </c>
      <c r="C172" s="206" t="s">
        <v>296</v>
      </c>
      <c r="D172" s="306" t="str">
        <f ca="1">IF(Table23[[#This Row],[hideText]]=FALSE,HYPERLINK(INDEX('Verify Baseline Links'!$P$10:$P$132,MATCH(Table23[[#This Row],[DSorder]],'Verify Baseline Links'!$M$10:$M$132,0)),"DS"),"")</f>
        <v>DS</v>
      </c>
      <c r="E172" s="206" t="s">
        <v>1642</v>
      </c>
      <c r="F172" s="223" t="str">
        <f>CLEAN(TRIM(SUBSTITUTE(LEFT(Table23[[#This Row],[Declarative Statement]],MIN(250,LEN(Table23[[#This Row],[Declarative Statement]]))),CHAR(160)," ")))</f>
        <v>Customer access to Internet-based products or services requires authentication controls (e.g., layered controls, multifactor) that are commensurate with the risk.</v>
      </c>
      <c r="G172" s="206">
        <f>MATCH(Table23[[#This Row],[clean DS]],combinedMaturityTable[Dsm clean],0)</f>
        <v>226</v>
      </c>
      <c r="H172" s="223">
        <v>2</v>
      </c>
      <c r="I172" s="223" t="s">
        <v>1506</v>
      </c>
      <c r="J172" s="308" t="str">
        <f>HYPERLINK(Table23[[#This Row],[URL]],Table23[[#This Row],[Link to Reference]])</f>
        <v>IS.II.C.16:pg36</v>
      </c>
      <c r="K172" s="206" t="s">
        <v>1643</v>
      </c>
      <c r="L172" s="286" t="s">
        <v>1633</v>
      </c>
      <c r="M172" s="286" t="s">
        <v>1644</v>
      </c>
      <c r="N172" s="286" t="s">
        <v>1378</v>
      </c>
      <c r="O172" s="286" t="s">
        <v>1378</v>
      </c>
      <c r="P172" s="286" t="s">
        <v>1378</v>
      </c>
      <c r="Q172" s="286" t="s">
        <v>1378</v>
      </c>
      <c r="R172" s="286" t="s">
        <v>1378</v>
      </c>
      <c r="S172" s="286" t="s">
        <v>1378</v>
      </c>
      <c r="T172" s="286" t="s">
        <v>1378</v>
      </c>
      <c r="U172" s="286" t="s">
        <v>1378</v>
      </c>
      <c r="X172" s="286" t="s">
        <v>1186</v>
      </c>
      <c r="Y172" s="302" t="str">
        <f>IFERROR(IF(SEARCH("WP",Table23[[#This Row],[Link to Reference]])&gt;0,"Work Program","Booklet"),"Booklet")</f>
        <v>Booklet</v>
      </c>
      <c r="Z172" s="286" t="s">
        <v>2022</v>
      </c>
      <c r="AA172" s="302">
        <f>IF(Table23[[#This Row],[Type]]="Booklet",MATCH(LEFT(Table23[[#This Row],[Link to Reference]],FIND(".",Table23[[#This Row],[Link to Reference]])-1),bookletsInfo[Initial],0),MATCH(LEFT(Table23[[#This Row],[Link to Reference]],FIND(".",Table23[[#This Row],[Link to Reference]])-1),WPInfo[Initials],0))</f>
        <v>5</v>
      </c>
      <c r="AB17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72" s="286">
        <v>167</v>
      </c>
      <c r="AD172" s="286" t="b">
        <f>IF(G172=G171,IF(MOD(Table23[[#This Row],[order]],2)=1,"hideOdd","hideEven"),FALSE)</f>
        <v>0</v>
      </c>
      <c r="AE172" s="286">
        <f>IF(Table23[[#This Row],[hideText]]=FALSE,AE171+1,AE171)</f>
        <v>58</v>
      </c>
      <c r="AF172" s="269"/>
      <c r="AO172"/>
    </row>
    <row r="173" spans="1:41" ht="45" x14ac:dyDescent="0.25">
      <c r="A173" s="206" t="s">
        <v>215</v>
      </c>
      <c r="B173" s="206" t="s">
        <v>1560</v>
      </c>
      <c r="C173" s="206" t="s">
        <v>296</v>
      </c>
      <c r="D173" s="306" t="str">
        <f>IF(Table23[[#This Row],[hideText]]=FALSE,HYPERLINK(INDEX('Verify Baseline Links'!$P$10:$P$132,MATCH(Table23[[#This Row],[DSorder]],'Verify Baseline Links'!$M$10:$M$132,0)),"DS"),"")</f>
        <v/>
      </c>
      <c r="E173" s="206" t="s">
        <v>1642</v>
      </c>
      <c r="F173" s="223" t="str">
        <f>CLEAN(TRIM(SUBSTITUTE(LEFT(Table23[[#This Row],[Declarative Statement]],MIN(250,LEN(Table23[[#This Row],[Declarative Statement]]))),CHAR(160)," ")))</f>
        <v>Customer access to Internet-based products or services requires authentication controls (e.g., layered controls, multifactor) that are commensurate with the risk.</v>
      </c>
      <c r="G173" s="206">
        <f>MATCH(Table23[[#This Row],[clean DS]],combinedMaturityTable[Dsm clean],0)</f>
        <v>226</v>
      </c>
      <c r="H173" s="223"/>
      <c r="I173" s="223" t="s">
        <v>1633</v>
      </c>
      <c r="J173" s="308" t="str">
        <f>HYPERLINK(Table23[[#This Row],[URL]],Table23[[#This Row],[Link to Reference]])</f>
        <v>IS.WP.6.22</v>
      </c>
      <c r="K173" s="206" t="s">
        <v>1644</v>
      </c>
      <c r="X173" s="286" t="s">
        <v>1186</v>
      </c>
      <c r="Y173" s="302" t="str">
        <f>IFERROR(IF(SEARCH("WP",Table23[[#This Row],[Link to Reference]])&gt;0,"Work Program","Booklet"),"Booklet")</f>
        <v>Work Program</v>
      </c>
      <c r="Z173" s="286">
        <v>12</v>
      </c>
      <c r="AA173" s="302">
        <f>IF(Table23[[#This Row],[Type]]="Booklet",MATCH(LEFT(Table23[[#This Row],[Link to Reference]],FIND(".",Table23[[#This Row],[Link to Reference]])-1),bookletsInfo[Initial],0),MATCH(LEFT(Table23[[#This Row],[Link to Reference]],FIND(".",Table23[[#This Row],[Link to Reference]])-1),WPInfo[Initials],0))</f>
        <v>5</v>
      </c>
      <c r="AB17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73" s="286">
        <v>168</v>
      </c>
      <c r="AD173" s="286" t="str">
        <f>IF(G173=G172,IF(MOD(Table23[[#This Row],[order]],2)=1,"hideOdd","hideEven"),FALSE)</f>
        <v>hideEven</v>
      </c>
      <c r="AE173" s="286">
        <f>IF(Table23[[#This Row],[hideText]]=FALSE,AE172+1,AE172)</f>
        <v>58</v>
      </c>
      <c r="AF173" s="269"/>
      <c r="AO173"/>
    </row>
    <row r="174" spans="1:41" ht="45" x14ac:dyDescent="0.25">
      <c r="A174" s="206" t="s">
        <v>215</v>
      </c>
      <c r="B174" s="206" t="s">
        <v>1560</v>
      </c>
      <c r="C174" s="206" t="s">
        <v>296</v>
      </c>
      <c r="D174" s="306" t="str">
        <f ca="1">IF(Table23[[#This Row],[hideText]]=FALSE,HYPERLINK(INDEX('Verify Baseline Links'!$P$10:$P$132,MATCH(Table23[[#This Row],[DSorder]],'Verify Baseline Links'!$M$10:$M$132,0)),"DS"),"")</f>
        <v>DS</v>
      </c>
      <c r="E174" s="206" t="s">
        <v>1645</v>
      </c>
      <c r="F174" s="223" t="str">
        <f>CLEAN(TRIM(SUBSTITUTE(LEFT(Table23[[#This Row],[Declarative Statement]],MIN(250,LEN(Table23[[#This Row],[Declarative Statement]]))),CHAR(160)," ")))</f>
        <v>Production and non-production environments are segregated to prevent unauthorized access or changes to information assets. (*N/A if no production environment exists at the institution or the institution’s third party.)</v>
      </c>
      <c r="G174" s="206">
        <f>MATCH(Table23[[#This Row],[clean DS]],combinedMaturityTable[Dsm clean],0)</f>
        <v>227</v>
      </c>
      <c r="H174" s="223">
        <v>2</v>
      </c>
      <c r="I174" s="223" t="s">
        <v>1562</v>
      </c>
      <c r="J174" s="308" t="str">
        <f>HYPERLINK(Table23[[#This Row],[URL]],Table23[[#This Row],[Link to Reference]])</f>
        <v>IS.II.C.9:pg19</v>
      </c>
      <c r="K174" s="206" t="s">
        <v>1646</v>
      </c>
      <c r="L174" s="286" t="s">
        <v>1647</v>
      </c>
      <c r="M174" s="286" t="s">
        <v>1648</v>
      </c>
      <c r="N174" s="286" t="s">
        <v>1378</v>
      </c>
      <c r="O174" s="286" t="s">
        <v>1378</v>
      </c>
      <c r="P174" s="286" t="s">
        <v>1378</v>
      </c>
      <c r="Q174" s="286" t="s">
        <v>1378</v>
      </c>
      <c r="R174" s="286" t="s">
        <v>1378</v>
      </c>
      <c r="S174" s="286" t="s">
        <v>1378</v>
      </c>
      <c r="T174" s="286" t="s">
        <v>1378</v>
      </c>
      <c r="U174" s="286" t="s">
        <v>1378</v>
      </c>
      <c r="X174" s="286" t="s">
        <v>1186</v>
      </c>
      <c r="Y174" s="302" t="str">
        <f>IFERROR(IF(SEARCH("WP",Table23[[#This Row],[Link to Reference]])&gt;0,"Work Program","Booklet"),"Booklet")</f>
        <v>Booklet</v>
      </c>
      <c r="Z174" s="286" t="s">
        <v>2019</v>
      </c>
      <c r="AA174" s="302">
        <f>IF(Table23[[#This Row],[Type]]="Booklet",MATCH(LEFT(Table23[[#This Row],[Link to Reference]],FIND(".",Table23[[#This Row],[Link to Reference]])-1),bookletsInfo[Initial],0),MATCH(LEFT(Table23[[#This Row],[Link to Reference]],FIND(".",Table23[[#This Row],[Link to Reference]])-1),WPInfo[Initials],0))</f>
        <v>5</v>
      </c>
      <c r="AB17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https://ithandbook.ffiec.gov/media/274793/ffiec_itbooklet_informationsecurity.pdf#Page=22</v>
      </c>
      <c r="AC174" s="286">
        <v>169</v>
      </c>
      <c r="AD174" s="286" t="b">
        <f>IF(G174=G173,IF(MOD(Table23[[#This Row],[order]],2)=1,"hideOdd","hideEven"),FALSE)</f>
        <v>0</v>
      </c>
      <c r="AE174" s="286">
        <f>IF(Table23[[#This Row],[hideText]]=FALSE,AE173+1,AE173)</f>
        <v>59</v>
      </c>
      <c r="AF174" s="269"/>
      <c r="AO174"/>
    </row>
    <row r="175" spans="1:41" ht="45" x14ac:dyDescent="0.25">
      <c r="A175" s="206" t="s">
        <v>215</v>
      </c>
      <c r="B175" s="206" t="s">
        <v>1560</v>
      </c>
      <c r="C175" s="206" t="s">
        <v>296</v>
      </c>
      <c r="D175" s="306" t="str">
        <f>IF(Table23[[#This Row],[hideText]]=FALSE,HYPERLINK(INDEX('Verify Baseline Links'!$P$10:$P$132,MATCH(Table23[[#This Row],[DSorder]],'Verify Baseline Links'!$M$10:$M$132,0)),"DS"),"")</f>
        <v/>
      </c>
      <c r="E175" s="206" t="s">
        <v>1645</v>
      </c>
      <c r="F175" s="223" t="str">
        <f>CLEAN(TRIM(SUBSTITUTE(LEFT(Table23[[#This Row],[Declarative Statement]],MIN(250,LEN(Table23[[#This Row],[Declarative Statement]]))),CHAR(160)," ")))</f>
        <v>Production and non-production environments are segregated to prevent unauthorized access or changes to information assets. (*N/A if no production environment exists at the institution or the institution’s third party.)</v>
      </c>
      <c r="G175" s="206">
        <f>MATCH(Table23[[#This Row],[clean DS]],combinedMaturityTable[Dsm clean],0)</f>
        <v>227</v>
      </c>
      <c r="H175" s="223"/>
      <c r="I175" s="223" t="s">
        <v>1647</v>
      </c>
      <c r="J175" s="308" t="str">
        <f>HYPERLINK(Table23[[#This Row],[URL]],Table23[[#This Row],[Link to Reference]])</f>
        <v>IS.WP.6.10.a</v>
      </c>
      <c r="K175" s="206" t="s">
        <v>1648</v>
      </c>
      <c r="X175" s="286" t="s">
        <v>1186</v>
      </c>
      <c r="Y175" s="302" t="str">
        <f>IFERROR(IF(SEARCH("WP",Table23[[#This Row],[Link to Reference]])&gt;0,"Work Program","Booklet"),"Booklet")</f>
        <v>Work Program</v>
      </c>
      <c r="Z175" s="286">
        <v>9</v>
      </c>
      <c r="AA175" s="302">
        <f>IF(Table23[[#This Row],[Type]]="Booklet",MATCH(LEFT(Table23[[#This Row],[Link to Reference]],FIND(".",Table23[[#This Row],[Link to Reference]])-1),bookletsInfo[Initial],0),MATCH(LEFT(Table23[[#This Row],[Link to Reference]],FIND(".",Table23[[#This Row],[Link to Reference]])-1),WPInfo[Initials],0))</f>
        <v>5</v>
      </c>
      <c r="AB17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75" s="286">
        <v>170</v>
      </c>
      <c r="AD175" s="286" t="str">
        <f>IF(G175=G174,IF(MOD(Table23[[#This Row],[order]],2)=1,"hideOdd","hideEven"),FALSE)</f>
        <v>hideEven</v>
      </c>
      <c r="AE175" s="286">
        <f>IF(Table23[[#This Row],[hideText]]=FALSE,AE174+1,AE174)</f>
        <v>59</v>
      </c>
      <c r="AF175" s="269"/>
      <c r="AO175"/>
    </row>
    <row r="176" spans="1:41" ht="60" x14ac:dyDescent="0.25">
      <c r="A176" s="206" t="s">
        <v>215</v>
      </c>
      <c r="B176" s="206" t="s">
        <v>1560</v>
      </c>
      <c r="C176" s="206" t="s">
        <v>296</v>
      </c>
      <c r="D176" s="306" t="str">
        <f ca="1">IF(Table23[[#This Row],[hideText]]=FALSE,HYPERLINK(INDEX('Verify Baseline Links'!$P$10:$P$132,MATCH(Table23[[#This Row],[DSorder]],'Verify Baseline Links'!$M$10:$M$132,0)),"DS"),"")</f>
        <v>DS</v>
      </c>
      <c r="E176" s="206" t="s">
        <v>1649</v>
      </c>
      <c r="F176" s="223" t="str">
        <f>CLEAN(TRIM(SUBSTITUTE(LEFT(Table23[[#This Row],[Declarative Statement]],MIN(250,LEN(Table23[[#This Row],[Declarative Statement]]))),CHAR(160)," ")))</f>
        <v>Physical security controls are used to prevent unauthorized access to information systems and telecommunication systems.</v>
      </c>
      <c r="G176" s="206">
        <f>MATCH(Table23[[#This Row],[clean DS]],combinedMaturityTable[Dsm clean],0)</f>
        <v>228</v>
      </c>
      <c r="H176" s="223">
        <v>2</v>
      </c>
      <c r="I176" s="223" t="s">
        <v>1170</v>
      </c>
      <c r="J176" s="308" t="str">
        <f>HYPERLINK(Table23[[#This Row],[URL]],Table23[[#This Row],[Link to Reference]])</f>
        <v>IS.II.C.8:pg18</v>
      </c>
      <c r="K176" s="206" t="s">
        <v>1650</v>
      </c>
      <c r="L176" s="286" t="s">
        <v>1651</v>
      </c>
      <c r="M176" s="286" t="s">
        <v>1652</v>
      </c>
      <c r="N176" s="286" t="s">
        <v>1378</v>
      </c>
      <c r="O176" s="286" t="s">
        <v>1378</v>
      </c>
      <c r="P176" s="286" t="s">
        <v>1378</v>
      </c>
      <c r="Q176" s="286" t="s">
        <v>1378</v>
      </c>
      <c r="R176" s="286" t="s">
        <v>1378</v>
      </c>
      <c r="S176" s="286" t="s">
        <v>1378</v>
      </c>
      <c r="T176" s="286" t="s">
        <v>1378</v>
      </c>
      <c r="U176" s="286" t="s">
        <v>1378</v>
      </c>
      <c r="X176" s="286" t="s">
        <v>1186</v>
      </c>
      <c r="Y176" s="302" t="str">
        <f>IFERROR(IF(SEARCH("WP",Table23[[#This Row],[Link to Reference]])&gt;0,"Work Program","Booklet"),"Booklet")</f>
        <v>Booklet</v>
      </c>
      <c r="Z176" s="286" t="s">
        <v>2020</v>
      </c>
      <c r="AA176" s="302">
        <f>IF(Table23[[#This Row],[Type]]="Booklet",MATCH(LEFT(Table23[[#This Row],[Link to Reference]],FIND(".",Table23[[#This Row],[Link to Reference]])-1),bookletsInfo[Initial],0),MATCH(LEFT(Table23[[#This Row],[Link to Reference]],FIND(".",Table23[[#This Row],[Link to Reference]])-1),WPInfo[Initials],0))</f>
        <v>5</v>
      </c>
      <c r="AB17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https://ithandbook.ffiec.gov/media/274793/ffiec_itbooklet_informationsecurity.pdf#Page=21</v>
      </c>
      <c r="AC176" s="286">
        <v>171</v>
      </c>
      <c r="AD176" s="286" t="b">
        <f>IF(G176=G175,IF(MOD(Table23[[#This Row],[order]],2)=1,"hideOdd","hideEven"),FALSE)</f>
        <v>0</v>
      </c>
      <c r="AE176" s="286">
        <f>IF(Table23[[#This Row],[hideText]]=FALSE,AE175+1,AE175)</f>
        <v>60</v>
      </c>
      <c r="AF176" s="269"/>
      <c r="AO176"/>
    </row>
    <row r="177" spans="1:41" ht="30" x14ac:dyDescent="0.25">
      <c r="A177" s="206" t="s">
        <v>215</v>
      </c>
      <c r="B177" s="206" t="s">
        <v>1560</v>
      </c>
      <c r="C177" s="206" t="s">
        <v>296</v>
      </c>
      <c r="D177" s="306" t="str">
        <f>IF(Table23[[#This Row],[hideText]]=FALSE,HYPERLINK(INDEX('Verify Baseline Links'!$P$10:$P$132,MATCH(Table23[[#This Row],[DSorder]],'Verify Baseline Links'!$M$10:$M$132,0)),"DS"),"")</f>
        <v/>
      </c>
      <c r="E177" s="206" t="s">
        <v>1649</v>
      </c>
      <c r="F177" s="223" t="str">
        <f>CLEAN(TRIM(SUBSTITUTE(LEFT(Table23[[#This Row],[Declarative Statement]],MIN(250,LEN(Table23[[#This Row],[Declarative Statement]]))),CHAR(160)," ")))</f>
        <v>Physical security controls are used to prevent unauthorized access to information systems and telecommunication systems.</v>
      </c>
      <c r="G177" s="206">
        <f>MATCH(Table23[[#This Row],[clean DS]],combinedMaturityTable[Dsm clean],0)</f>
        <v>228</v>
      </c>
      <c r="H177" s="223"/>
      <c r="I177" s="223" t="s">
        <v>1651</v>
      </c>
      <c r="J177" s="308" t="str">
        <f>HYPERLINK(Table23[[#This Row],[URL]],Table23[[#This Row],[Link to Reference]])</f>
        <v>IS.WP.6.9</v>
      </c>
      <c r="K177" s="206" t="s">
        <v>1652</v>
      </c>
      <c r="X177" s="286" t="s">
        <v>1186</v>
      </c>
      <c r="Y177" s="302" t="str">
        <f>IFERROR(IF(SEARCH("WP",Table23[[#This Row],[Link to Reference]])&gt;0,"Work Program","Booklet"),"Booklet")</f>
        <v>Work Program</v>
      </c>
      <c r="Z177" s="286">
        <v>9</v>
      </c>
      <c r="AA177" s="302">
        <f>IF(Table23[[#This Row],[Type]]="Booklet",MATCH(LEFT(Table23[[#This Row],[Link to Reference]],FIND(".",Table23[[#This Row],[Link to Reference]])-1),bookletsInfo[Initial],0),MATCH(LEFT(Table23[[#This Row],[Link to Reference]],FIND(".",Table23[[#This Row],[Link to Reference]])-1),WPInfo[Initials],0))</f>
        <v>5</v>
      </c>
      <c r="AB17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77" s="286">
        <v>172</v>
      </c>
      <c r="AD177" s="286" t="str">
        <f>IF(G177=G176,IF(MOD(Table23[[#This Row],[order]],2)=1,"hideOdd","hideEven"),FALSE)</f>
        <v>hideEven</v>
      </c>
      <c r="AE177" s="286">
        <f>IF(Table23[[#This Row],[hideText]]=FALSE,AE176+1,AE176)</f>
        <v>60</v>
      </c>
      <c r="AF177" s="269"/>
      <c r="AO177"/>
    </row>
    <row r="178" spans="1:41" ht="30" x14ac:dyDescent="0.25">
      <c r="A178" s="206" t="s">
        <v>215</v>
      </c>
      <c r="B178" s="206" t="s">
        <v>1560</v>
      </c>
      <c r="C178" s="206" t="s">
        <v>296</v>
      </c>
      <c r="D178" s="306" t="str">
        <f ca="1">IF(Table23[[#This Row],[hideText]]=FALSE,HYPERLINK(INDEX('Verify Baseline Links'!$P$10:$P$132,MATCH(Table23[[#This Row],[DSorder]],'Verify Baseline Links'!$M$10:$M$132,0)),"DS"),"")</f>
        <v>DS</v>
      </c>
      <c r="E178" s="206" t="s">
        <v>1653</v>
      </c>
      <c r="F178" s="223" t="str">
        <f>CLEAN(TRIM(SUBSTITUTE(LEFT(Table23[[#This Row],[Declarative Statement]],MIN(250,LEN(Table23[[#This Row],[Declarative Statement]]))),CHAR(160)," ")))</f>
        <v>All passwords are encrypted in storage and in transit.</v>
      </c>
      <c r="G178" s="206">
        <f>MATCH(Table23[[#This Row],[clean DS]],combinedMaturityTable[Dsm clean],0)</f>
        <v>229</v>
      </c>
      <c r="H178" s="223">
        <v>2</v>
      </c>
      <c r="I178" s="223" t="s">
        <v>1654</v>
      </c>
      <c r="J178" s="308" t="str">
        <f>HYPERLINK(Table23[[#This Row],[URL]],Table23[[#This Row],[Link to Reference]])</f>
        <v>IS.II.C.19:pg41</v>
      </c>
      <c r="K178" s="206" t="s">
        <v>1655</v>
      </c>
      <c r="L178" s="286" t="s">
        <v>1656</v>
      </c>
      <c r="M178" s="286" t="s">
        <v>1657</v>
      </c>
      <c r="N178" s="286" t="s">
        <v>1378</v>
      </c>
      <c r="O178" s="286" t="s">
        <v>1378</v>
      </c>
      <c r="P178" s="286" t="s">
        <v>1378</v>
      </c>
      <c r="Q178" s="286" t="s">
        <v>1378</v>
      </c>
      <c r="R178" s="286" t="s">
        <v>1378</v>
      </c>
      <c r="S178" s="286" t="s">
        <v>1378</v>
      </c>
      <c r="T178" s="286" t="s">
        <v>1378</v>
      </c>
      <c r="U178" s="286" t="s">
        <v>1378</v>
      </c>
      <c r="X178" s="286" t="s">
        <v>1186</v>
      </c>
      <c r="Y178" s="302" t="str">
        <f>IFERROR(IF(SEARCH("WP",Table23[[#This Row],[Link to Reference]])&gt;0,"Work Program","Booklet"),"Booklet")</f>
        <v>Booklet</v>
      </c>
      <c r="Z178" s="286" t="s">
        <v>2036</v>
      </c>
      <c r="AA178" s="302">
        <f>IF(Table23[[#This Row],[Type]]="Booklet",MATCH(LEFT(Table23[[#This Row],[Link to Reference]],FIND(".",Table23[[#This Row],[Link to Reference]])-1),bookletsInfo[Initial],0),MATCH(LEFT(Table23[[#This Row],[Link to Reference]],FIND(".",Table23[[#This Row],[Link to Reference]])-1),WPInfo[Initials],0))</f>
        <v>5</v>
      </c>
      <c r="AB17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https://ithandbook.ffiec.gov/media/274793/ffiec_itbooklet_informationsecurity.pdf#Page=44</v>
      </c>
      <c r="AC178" s="286">
        <v>173</v>
      </c>
      <c r="AD178" s="286" t="b">
        <f>IF(G178=G177,IF(MOD(Table23[[#This Row],[order]],2)=1,"hideOdd","hideEven"),FALSE)</f>
        <v>0</v>
      </c>
      <c r="AE178" s="286">
        <f>IF(Table23[[#This Row],[hideText]]=FALSE,AE177+1,AE177)</f>
        <v>61</v>
      </c>
      <c r="AF178" s="269"/>
      <c r="AO178"/>
    </row>
    <row r="179" spans="1:41" ht="30" x14ac:dyDescent="0.25">
      <c r="A179" s="206" t="s">
        <v>215</v>
      </c>
      <c r="B179" s="206" t="s">
        <v>1560</v>
      </c>
      <c r="C179" s="206" t="s">
        <v>296</v>
      </c>
      <c r="D179" s="306" t="str">
        <f>IF(Table23[[#This Row],[hideText]]=FALSE,HYPERLINK(INDEX('Verify Baseline Links'!$P$10:$P$132,MATCH(Table23[[#This Row],[DSorder]],'Verify Baseline Links'!$M$10:$M$132,0)),"DS"),"")</f>
        <v/>
      </c>
      <c r="E179" s="206" t="s">
        <v>1653</v>
      </c>
      <c r="F179" s="223" t="str">
        <f>CLEAN(TRIM(SUBSTITUTE(LEFT(Table23[[#This Row],[Declarative Statement]],MIN(250,LEN(Table23[[#This Row],[Declarative Statement]]))),CHAR(160)," ")))</f>
        <v>All passwords are encrypted in storage and in transit.</v>
      </c>
      <c r="G179" s="206">
        <f>MATCH(Table23[[#This Row],[clean DS]],combinedMaturityTable[Dsm clean],0)</f>
        <v>229</v>
      </c>
      <c r="H179" s="223"/>
      <c r="I179" s="223" t="s">
        <v>1656</v>
      </c>
      <c r="J179" s="308" t="str">
        <f>HYPERLINK(Table23[[#This Row],[URL]],Table23[[#This Row],[Link to Reference]])</f>
        <v>IS.WP.6.30</v>
      </c>
      <c r="K179" s="206" t="s">
        <v>1657</v>
      </c>
      <c r="X179" s="286" t="s">
        <v>1186</v>
      </c>
      <c r="Y179" s="302" t="str">
        <f>IFERROR(IF(SEARCH("WP",Table23[[#This Row],[Link to Reference]])&gt;0,"Work Program","Booklet"),"Booklet")</f>
        <v>Work Program</v>
      </c>
      <c r="Z179" s="286">
        <v>15</v>
      </c>
      <c r="AA179" s="302">
        <f>IF(Table23[[#This Row],[Type]]="Booklet",MATCH(LEFT(Table23[[#This Row],[Link to Reference]],FIND(".",Table23[[#This Row],[Link to Reference]])-1),bookletsInfo[Initial],0),MATCH(LEFT(Table23[[#This Row],[Link to Reference]],FIND(".",Table23[[#This Row],[Link to Reference]])-1),WPInfo[Initials],0))</f>
        <v>5</v>
      </c>
      <c r="AB17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179" s="286">
        <v>174</v>
      </c>
      <c r="AD179" s="286" t="str">
        <f>IF(G179=G178,IF(MOD(Table23[[#This Row],[order]],2)=1,"hideOdd","hideEven"),FALSE)</f>
        <v>hideEven</v>
      </c>
      <c r="AE179" s="286">
        <f>IF(Table23[[#This Row],[hideText]]=FALSE,AE178+1,AE178)</f>
        <v>61</v>
      </c>
      <c r="AF179" s="269"/>
      <c r="AO179"/>
    </row>
    <row r="180" spans="1:41" ht="30" x14ac:dyDescent="0.25">
      <c r="A180" s="206" t="s">
        <v>215</v>
      </c>
      <c r="B180" s="206" t="s">
        <v>1560</v>
      </c>
      <c r="C180" s="206" t="s">
        <v>296</v>
      </c>
      <c r="D180" s="306" t="str">
        <f ca="1">IF(Table23[[#This Row],[hideText]]=FALSE,HYPERLINK(INDEX('Verify Baseline Links'!$P$10:$P$132,MATCH(Table23[[#This Row],[DSorder]],'Verify Baseline Links'!$M$10:$M$132,0)),"DS"),"")</f>
        <v>DS</v>
      </c>
      <c r="E180" s="206" t="s">
        <v>1658</v>
      </c>
      <c r="F180" s="223" t="str">
        <f>CLEAN(TRIM(SUBSTITUTE(LEFT(Table23[[#This Row],[Declarative Statement]],MIN(250,LEN(Table23[[#This Row],[Declarative Statement]]))),CHAR(160)," ")))</f>
        <v>Confidential data are encrypted when transmitted across public or untrusted networks (e.g., Internet).</v>
      </c>
      <c r="G180" s="206">
        <f>MATCH(Table23[[#This Row],[clean DS]],combinedMaturityTable[Dsm clean],0)</f>
        <v>230</v>
      </c>
      <c r="H180" s="223">
        <v>2</v>
      </c>
      <c r="I180" s="223" t="s">
        <v>1659</v>
      </c>
      <c r="J180" s="308" t="str">
        <f>HYPERLINK(Table23[[#This Row],[URL]],Table23[[#This Row],[Link to Reference]])</f>
        <v>IS.II.C.13(b):pg28</v>
      </c>
      <c r="K180" s="206" t="s">
        <v>1660</v>
      </c>
      <c r="L180" s="286" t="s">
        <v>1656</v>
      </c>
      <c r="M180" s="286" t="s">
        <v>1657</v>
      </c>
      <c r="N180" s="286" t="s">
        <v>1378</v>
      </c>
      <c r="O180" s="286" t="s">
        <v>1378</v>
      </c>
      <c r="P180" s="286" t="s">
        <v>1378</v>
      </c>
      <c r="Q180" s="286" t="s">
        <v>1378</v>
      </c>
      <c r="R180" s="286" t="s">
        <v>1378</v>
      </c>
      <c r="S180" s="286" t="s">
        <v>1378</v>
      </c>
      <c r="T180" s="286" t="s">
        <v>1378</v>
      </c>
      <c r="U180" s="286" t="s">
        <v>1378</v>
      </c>
      <c r="X180" s="286" t="s">
        <v>1186</v>
      </c>
      <c r="Y180" s="302" t="str">
        <f>IFERROR(IF(SEARCH("WP",Table23[[#This Row],[Link to Reference]])&gt;0,"Work Program","Booklet"),"Booklet")</f>
        <v>Booklet</v>
      </c>
      <c r="Z180" s="286" t="s">
        <v>2000</v>
      </c>
      <c r="AA180" s="302">
        <f>IF(Table23[[#This Row],[Type]]="Booklet",MATCH(LEFT(Table23[[#This Row],[Link to Reference]],FIND(".",Table23[[#This Row],[Link to Reference]])-1),bookletsInfo[Initial],0),MATCH(LEFT(Table23[[#This Row],[Link to Reference]],FIND(".",Table23[[#This Row],[Link to Reference]])-1),WPInfo[Initials],0))</f>
        <v>5</v>
      </c>
      <c r="AB18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https://ithandbook.ffiec.gov/media/274793/ffiec_itbooklet_informationsecurity.pdf#Page=31</v>
      </c>
      <c r="AC180" s="286">
        <v>175</v>
      </c>
      <c r="AD180" s="286" t="b">
        <f>IF(G180=G179,IF(MOD(Table23[[#This Row],[order]],2)=1,"hideOdd","hideEven"),FALSE)</f>
        <v>0</v>
      </c>
      <c r="AE180" s="286">
        <f>IF(Table23[[#This Row],[hideText]]=FALSE,AE179+1,AE179)</f>
        <v>62</v>
      </c>
      <c r="AF180" s="269"/>
      <c r="AO180"/>
    </row>
    <row r="181" spans="1:41" ht="30" x14ac:dyDescent="0.25">
      <c r="A181" s="206" t="s">
        <v>215</v>
      </c>
      <c r="B181" s="206" t="s">
        <v>1560</v>
      </c>
      <c r="C181" s="206" t="s">
        <v>296</v>
      </c>
      <c r="D181" s="306" t="str">
        <f>IF(Table23[[#This Row],[hideText]]=FALSE,HYPERLINK(INDEX('Verify Baseline Links'!$P$10:$P$132,MATCH(Table23[[#This Row],[DSorder]],'Verify Baseline Links'!$M$10:$M$132,0)),"DS"),"")</f>
        <v/>
      </c>
      <c r="E181" s="206" t="s">
        <v>1658</v>
      </c>
      <c r="F181" s="223" t="str">
        <f>CLEAN(TRIM(SUBSTITUTE(LEFT(Table23[[#This Row],[Declarative Statement]],MIN(250,LEN(Table23[[#This Row],[Declarative Statement]]))),CHAR(160)," ")))</f>
        <v>Confidential data are encrypted when transmitted across public or untrusted networks (e.g., Internet).</v>
      </c>
      <c r="G181" s="206">
        <f>MATCH(Table23[[#This Row],[clean DS]],combinedMaturityTable[Dsm clean],0)</f>
        <v>230</v>
      </c>
      <c r="H181" s="223"/>
      <c r="I181" s="223" t="s">
        <v>1656</v>
      </c>
      <c r="J181" s="308" t="str">
        <f>HYPERLINK(Table23[[#This Row],[URL]],Table23[[#This Row],[Link to Reference]])</f>
        <v>IS.WP.6.30</v>
      </c>
      <c r="K181" s="206" t="s">
        <v>1657</v>
      </c>
      <c r="X181" s="286" t="s">
        <v>1186</v>
      </c>
      <c r="Y181" s="302" t="str">
        <f>IFERROR(IF(SEARCH("WP",Table23[[#This Row],[Link to Reference]])&gt;0,"Work Program","Booklet"),"Booklet")</f>
        <v>Work Program</v>
      </c>
      <c r="Z181" s="286">
        <v>15</v>
      </c>
      <c r="AA181" s="302">
        <f>IF(Table23[[#This Row],[Type]]="Booklet",MATCH(LEFT(Table23[[#This Row],[Link to Reference]],FIND(".",Table23[[#This Row],[Link to Reference]])-1),bookletsInfo[Initial],0),MATCH(LEFT(Table23[[#This Row],[Link to Reference]],FIND(".",Table23[[#This Row],[Link to Reference]])-1),WPInfo[Initials],0))</f>
        <v>5</v>
      </c>
      <c r="AB18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181" s="286">
        <v>176</v>
      </c>
      <c r="AD181" s="286" t="str">
        <f>IF(G181=G180,IF(MOD(Table23[[#This Row],[order]],2)=1,"hideOdd","hideEven"),FALSE)</f>
        <v>hideEven</v>
      </c>
      <c r="AE181" s="286">
        <f>IF(Table23[[#This Row],[hideText]]=FALSE,AE180+1,AE180)</f>
        <v>62</v>
      </c>
      <c r="AF181" s="269"/>
      <c r="AO181"/>
    </row>
    <row r="182" spans="1:41" ht="30" x14ac:dyDescent="0.25">
      <c r="A182" s="206" t="s">
        <v>215</v>
      </c>
      <c r="B182" s="206" t="s">
        <v>1560</v>
      </c>
      <c r="C182" s="206" t="s">
        <v>296</v>
      </c>
      <c r="D182" s="306" t="str">
        <f ca="1">IF(Table23[[#This Row],[hideText]]=FALSE,HYPERLINK(INDEX('Verify Baseline Links'!$P$10:$P$132,MATCH(Table23[[#This Row],[DSorder]],'Verify Baseline Links'!$M$10:$M$132,0)),"DS"),"")</f>
        <v>DS</v>
      </c>
      <c r="E182" s="206" t="s">
        <v>2063</v>
      </c>
      <c r="F182" s="223" t="str">
        <f>CLEAN(TRIM(SUBSTITUTE(LEFT(Table23[[#This Row],[Declarative Statement]],MIN(250,LEN(Table23[[#This Row],[Declarative Statement]]))),CHAR(160)," ")))</f>
        <v>Mobile devices (e.g., laptops, tablets, and removable media) are encrypted if used to store confidential data. (*N/A if mobile devices are not used.)</v>
      </c>
      <c r="G182" s="206">
        <f>MATCH(Table23[[#This Row],[clean DS]],combinedMaturityTable[Dsm clean],0)</f>
        <v>231</v>
      </c>
      <c r="H182" s="223">
        <v>2</v>
      </c>
      <c r="I182" s="223" t="s">
        <v>1662</v>
      </c>
      <c r="J182" s="308" t="str">
        <f>HYPERLINK(Table23[[#This Row],[URL]],Table23[[#This Row],[Link to Reference]])</f>
        <v>IS.II.C.13(a):pg27</v>
      </c>
      <c r="K182" s="206" t="s">
        <v>1663</v>
      </c>
      <c r="L182" s="286" t="s">
        <v>1656</v>
      </c>
      <c r="M182" s="286" t="s">
        <v>1657</v>
      </c>
      <c r="N182" s="286" t="s">
        <v>1378</v>
      </c>
      <c r="O182" s="286" t="s">
        <v>1378</v>
      </c>
      <c r="P182" s="286" t="s">
        <v>1378</v>
      </c>
      <c r="Q182" s="286" t="s">
        <v>1378</v>
      </c>
      <c r="R182" s="286" t="s">
        <v>1378</v>
      </c>
      <c r="S182" s="286" t="s">
        <v>1378</v>
      </c>
      <c r="T182" s="286" t="s">
        <v>1378</v>
      </c>
      <c r="U182" s="286" t="s">
        <v>1378</v>
      </c>
      <c r="X182" s="286" t="s">
        <v>1186</v>
      </c>
      <c r="Y182" s="302" t="str">
        <f>IFERROR(IF(SEARCH("WP",Table23[[#This Row],[Link to Reference]])&gt;0,"Work Program","Booklet"),"Booklet")</f>
        <v>Booklet</v>
      </c>
      <c r="Z182" s="286" t="s">
        <v>2007</v>
      </c>
      <c r="AA182" s="302">
        <f>IF(Table23[[#This Row],[Type]]="Booklet",MATCH(LEFT(Table23[[#This Row],[Link to Reference]],FIND(".",Table23[[#This Row],[Link to Reference]])-1),bookletsInfo[Initial],0),MATCH(LEFT(Table23[[#This Row],[Link to Reference]],FIND(".",Table23[[#This Row],[Link to Reference]])-1),WPInfo[Initials],0))</f>
        <v>5</v>
      </c>
      <c r="AB18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https://ithandbook.ffiec.gov/media/274793/ffiec_itbooklet_informationsecurity.pdf#Page=30</v>
      </c>
      <c r="AC182" s="286">
        <v>177</v>
      </c>
      <c r="AD182" s="286" t="b">
        <f>IF(G182=G181,IF(MOD(Table23[[#This Row],[order]],2)=1,"hideOdd","hideEven"),FALSE)</f>
        <v>0</v>
      </c>
      <c r="AE182" s="286">
        <f>IF(Table23[[#This Row],[hideText]]=FALSE,AE181+1,AE181)</f>
        <v>63</v>
      </c>
      <c r="AF182" s="269"/>
      <c r="AO182"/>
    </row>
    <row r="183" spans="1:41" ht="30" x14ac:dyDescent="0.25">
      <c r="A183" s="206" t="s">
        <v>215</v>
      </c>
      <c r="B183" s="206" t="s">
        <v>1560</v>
      </c>
      <c r="C183" s="206" t="s">
        <v>296</v>
      </c>
      <c r="D183" s="306" t="str">
        <f>IF(Table23[[#This Row],[hideText]]=FALSE,HYPERLINK(INDEX('Verify Baseline Links'!$P$10:$P$132,MATCH(Table23[[#This Row],[DSorder]],'Verify Baseline Links'!$M$10:$M$132,0)),"DS"),"")</f>
        <v/>
      </c>
      <c r="E183" s="206" t="s">
        <v>2063</v>
      </c>
      <c r="F183" s="223" t="str">
        <f>CLEAN(TRIM(SUBSTITUTE(LEFT(Table23[[#This Row],[Declarative Statement]],MIN(250,LEN(Table23[[#This Row],[Declarative Statement]]))),CHAR(160)," ")))</f>
        <v>Mobile devices (e.g., laptops, tablets, and removable media) are encrypted if used to store confidential data. (*N/A if mobile devices are not used.)</v>
      </c>
      <c r="G183" s="206">
        <f>MATCH(Table23[[#This Row],[clean DS]],combinedMaturityTable[Dsm clean],0)</f>
        <v>231</v>
      </c>
      <c r="H183" s="223"/>
      <c r="I183" s="223" t="s">
        <v>1656</v>
      </c>
      <c r="J183" s="308" t="str">
        <f>HYPERLINK(Table23[[#This Row],[URL]],Table23[[#This Row],[Link to Reference]])</f>
        <v>IS.WP.6.30</v>
      </c>
      <c r="K183" s="206" t="s">
        <v>1657</v>
      </c>
      <c r="X183" s="286" t="s">
        <v>1186</v>
      </c>
      <c r="Y183" s="302" t="str">
        <f>IFERROR(IF(SEARCH("WP",Table23[[#This Row],[Link to Reference]])&gt;0,"Work Program","Booklet"),"Booklet")</f>
        <v>Work Program</v>
      </c>
      <c r="Z183" s="286">
        <v>15</v>
      </c>
      <c r="AA183" s="302">
        <f>IF(Table23[[#This Row],[Type]]="Booklet",MATCH(LEFT(Table23[[#This Row],[Link to Reference]],FIND(".",Table23[[#This Row],[Link to Reference]])-1),bookletsInfo[Initial],0),MATCH(LEFT(Table23[[#This Row],[Link to Reference]],FIND(".",Table23[[#This Row],[Link to Reference]])-1),WPInfo[Initials],0))</f>
        <v>5</v>
      </c>
      <c r="AB18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183" s="286">
        <v>178</v>
      </c>
      <c r="AD183" s="286" t="str">
        <f>IF(G183=G182,IF(MOD(Table23[[#This Row],[order]],2)=1,"hideOdd","hideEven"),FALSE)</f>
        <v>hideEven</v>
      </c>
      <c r="AE183" s="286">
        <f>IF(Table23[[#This Row],[hideText]]=FALSE,AE182+1,AE182)</f>
        <v>63</v>
      </c>
      <c r="AF183" s="269"/>
      <c r="AO183"/>
    </row>
    <row r="184" spans="1:41" ht="45" x14ac:dyDescent="0.25">
      <c r="A184" s="206" t="s">
        <v>215</v>
      </c>
      <c r="B184" s="206" t="s">
        <v>1560</v>
      </c>
      <c r="C184" s="206" t="s">
        <v>296</v>
      </c>
      <c r="D184" s="306" t="str">
        <f ca="1">IF(Table23[[#This Row],[hideText]]=FALSE,HYPERLINK(INDEX('Verify Baseline Links'!$P$10:$P$132,MATCH(Table23[[#This Row],[DSorder]],'Verify Baseline Links'!$M$10:$M$132,0)),"DS"),"")</f>
        <v>DS</v>
      </c>
      <c r="E184" s="206" t="s">
        <v>1664</v>
      </c>
      <c r="F184" s="223" t="str">
        <f>CLEAN(TRIM(SUBSTITUTE(LEFT(Table23[[#This Row],[Declarative Statement]],MIN(250,LEN(Table23[[#This Row],[Declarative Statement]]))),CHAR(160)," ")))</f>
        <v>Remote access to critical systems by employees, contractors, and third parties uses encrypted connections and multifactor authentication.</v>
      </c>
      <c r="G184" s="206">
        <f>MATCH(Table23[[#This Row],[clean DS]],combinedMaturityTable[Dsm clean],0)</f>
        <v>232</v>
      </c>
      <c r="H184" s="223">
        <v>2</v>
      </c>
      <c r="I184" s="223" t="s">
        <v>1665</v>
      </c>
      <c r="J184" s="308" t="str">
        <f>HYPERLINK(Table23[[#This Row],[URL]],Table23[[#This Row],[Link to Reference]])</f>
        <v>IS.II.C.15(c):pg33</v>
      </c>
      <c r="K184" s="206" t="s">
        <v>1666</v>
      </c>
      <c r="L184" s="286" t="s">
        <v>1667</v>
      </c>
      <c r="M184" s="286" t="s">
        <v>1668</v>
      </c>
      <c r="N184" s="286" t="s">
        <v>1378</v>
      </c>
      <c r="O184" s="286" t="s">
        <v>1378</v>
      </c>
      <c r="P184" s="286" t="s">
        <v>1378</v>
      </c>
      <c r="Q184" s="286" t="s">
        <v>1378</v>
      </c>
      <c r="R184" s="286" t="s">
        <v>1378</v>
      </c>
      <c r="S184" s="286" t="s">
        <v>1378</v>
      </c>
      <c r="T184" s="286" t="s">
        <v>1378</v>
      </c>
      <c r="U184" s="286" t="s">
        <v>1378</v>
      </c>
      <c r="X184" s="286" t="s">
        <v>1186</v>
      </c>
      <c r="Y184" s="302" t="str">
        <f>IFERROR(IF(SEARCH("WP",Table23[[#This Row],[Link to Reference]])&gt;0,"Work Program","Booklet"),"Booklet")</f>
        <v>Booklet</v>
      </c>
      <c r="Z184" s="286" t="s">
        <v>2035</v>
      </c>
      <c r="AA184" s="302">
        <f>IF(Table23[[#This Row],[Type]]="Booklet",MATCH(LEFT(Table23[[#This Row],[Link to Reference]],FIND(".",Table23[[#This Row],[Link to Reference]])-1),bookletsInfo[Initial],0),MATCH(LEFT(Table23[[#This Row],[Link to Reference]],FIND(".",Table23[[#This Row],[Link to Reference]])-1),WPInfo[Initials],0))</f>
        <v>5</v>
      </c>
      <c r="AB18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https://ithandbook.ffiec.gov/media/274793/ffiec_itbooklet_informationsecurity.pdf#Page=36</v>
      </c>
      <c r="AC184" s="286">
        <v>179</v>
      </c>
      <c r="AD184" s="286" t="b">
        <f>IF(G184=G183,IF(MOD(Table23[[#This Row],[order]],2)=1,"hideOdd","hideEven"),FALSE)</f>
        <v>0</v>
      </c>
      <c r="AE184" s="286">
        <f>IF(Table23[[#This Row],[hideText]]=FALSE,AE183+1,AE183)</f>
        <v>64</v>
      </c>
      <c r="AF184" s="269"/>
      <c r="AO184"/>
    </row>
    <row r="185" spans="1:41" ht="60" x14ac:dyDescent="0.25">
      <c r="A185" s="206" t="s">
        <v>215</v>
      </c>
      <c r="B185" s="206" t="s">
        <v>1560</v>
      </c>
      <c r="C185" s="206" t="s">
        <v>296</v>
      </c>
      <c r="D185" s="306" t="str">
        <f>IF(Table23[[#This Row],[hideText]]=FALSE,HYPERLINK(INDEX('Verify Baseline Links'!$P$10:$P$132,MATCH(Table23[[#This Row],[DSorder]],'Verify Baseline Links'!$M$10:$M$132,0)),"DS"),"")</f>
        <v/>
      </c>
      <c r="E185" s="206" t="s">
        <v>1664</v>
      </c>
      <c r="F185" s="223" t="str">
        <f>CLEAN(TRIM(SUBSTITUTE(LEFT(Table23[[#This Row],[Declarative Statement]],MIN(250,LEN(Table23[[#This Row],[Declarative Statement]]))),CHAR(160)," ")))</f>
        <v>Remote access to critical systems by employees, contractors, and third parties uses encrypted connections and multifactor authentication.</v>
      </c>
      <c r="G185" s="206">
        <f>MATCH(Table23[[#This Row],[clean DS]],combinedMaturityTable[Dsm clean],0)</f>
        <v>232</v>
      </c>
      <c r="H185" s="223"/>
      <c r="I185" s="223" t="s">
        <v>1667</v>
      </c>
      <c r="J185" s="308" t="str">
        <f>HYPERLINK(Table23[[#This Row],[URL]],Table23[[#This Row],[Link to Reference]])</f>
        <v>IS.WP.6.23</v>
      </c>
      <c r="K185" s="206" t="s">
        <v>1668</v>
      </c>
      <c r="X185" s="286" t="s">
        <v>1186</v>
      </c>
      <c r="Y185" s="302" t="str">
        <f>IFERROR(IF(SEARCH("WP",Table23[[#This Row],[Link to Reference]])&gt;0,"Work Program","Booklet"),"Booklet")</f>
        <v>Work Program</v>
      </c>
      <c r="Z185" s="286">
        <v>13</v>
      </c>
      <c r="AA185" s="302">
        <f>IF(Table23[[#This Row],[Type]]="Booklet",MATCH(LEFT(Table23[[#This Row],[Link to Reference]],FIND(".",Table23[[#This Row],[Link to Reference]])-1),bookletsInfo[Initial],0),MATCH(LEFT(Table23[[#This Row],[Link to Reference]],FIND(".",Table23[[#This Row],[Link to Reference]])-1),WPInfo[Initials],0))</f>
        <v>5</v>
      </c>
      <c r="AB18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https://watkinsconsulting.com/wp-content/uploads/2019/02/Information-Security-IT-WorkProgram.pdf#Page=13</v>
      </c>
      <c r="AC185" s="286">
        <v>180</v>
      </c>
      <c r="AD185" s="286" t="str">
        <f>IF(G185=G184,IF(MOD(Table23[[#This Row],[order]],2)=1,"hideOdd","hideEven"),FALSE)</f>
        <v>hideEven</v>
      </c>
      <c r="AE185" s="286">
        <f>IF(Table23[[#This Row],[hideText]]=FALSE,AE184+1,AE184)</f>
        <v>64</v>
      </c>
      <c r="AF185" s="269"/>
      <c r="AO185"/>
    </row>
    <row r="186" spans="1:41" ht="30" x14ac:dyDescent="0.25">
      <c r="A186" s="206" t="s">
        <v>215</v>
      </c>
      <c r="B186" s="206" t="s">
        <v>1560</v>
      </c>
      <c r="C186" s="206" t="s">
        <v>296</v>
      </c>
      <c r="D186" s="306" t="str">
        <f ca="1">IF(Table23[[#This Row],[hideText]]=FALSE,HYPERLINK(INDEX('Verify Baseline Links'!$P$10:$P$132,MATCH(Table23[[#This Row],[DSorder]],'Verify Baseline Links'!$M$10:$M$132,0)),"DS"),"")</f>
        <v>DS</v>
      </c>
      <c r="E186" s="206" t="s">
        <v>1669</v>
      </c>
      <c r="F186" s="223" t="str">
        <f>CLEAN(TRIM(SUBSTITUTE(LEFT(Table23[[#This Row],[Declarative Statement]],MIN(250,LEN(Table23[[#This Row],[Declarative Statement]]))),CHAR(160)," ")))</f>
        <v>Administrative, physical, or technical controls are in place to prevent users without administrative responsibilities from installing unauthorized software.</v>
      </c>
      <c r="G186" s="206">
        <f>MATCH(Table23[[#This Row],[clean DS]],combinedMaturityTable[Dsm clean],0)</f>
        <v>233</v>
      </c>
      <c r="H186" s="223">
        <v>2</v>
      </c>
      <c r="I186" s="223" t="s">
        <v>1181</v>
      </c>
      <c r="J186" s="308" t="str">
        <f>HYPERLINK(Table23[[#This Row],[URL]],Table23[[#This Row],[Link to Reference]])</f>
        <v>IS.II.C.12:pg26</v>
      </c>
      <c r="K186" s="206" t="s">
        <v>1670</v>
      </c>
      <c r="L186" s="286" t="s">
        <v>1411</v>
      </c>
      <c r="M186" s="286" t="s">
        <v>1412</v>
      </c>
      <c r="N186" s="286" t="s">
        <v>1378</v>
      </c>
      <c r="O186" s="286" t="s">
        <v>1378</v>
      </c>
      <c r="P186" s="286" t="s">
        <v>1378</v>
      </c>
      <c r="Q186" s="286" t="s">
        <v>1378</v>
      </c>
      <c r="R186" s="286" t="s">
        <v>1378</v>
      </c>
      <c r="S186" s="286" t="s">
        <v>1378</v>
      </c>
      <c r="T186" s="286" t="s">
        <v>1378</v>
      </c>
      <c r="U186" s="286" t="s">
        <v>1378</v>
      </c>
      <c r="X186" s="286" t="s">
        <v>1186</v>
      </c>
      <c r="Y186" s="302" t="str">
        <f>IFERROR(IF(SEARCH("WP",Table23[[#This Row],[Link to Reference]])&gt;0,"Work Program","Booklet"),"Booklet")</f>
        <v>Booklet</v>
      </c>
      <c r="Z186" s="286" t="s">
        <v>2026</v>
      </c>
      <c r="AA186" s="302">
        <f>IF(Table23[[#This Row],[Type]]="Booklet",MATCH(LEFT(Table23[[#This Row],[Link to Reference]],FIND(".",Table23[[#This Row],[Link to Reference]])-1),bookletsInfo[Initial],0),MATCH(LEFT(Table23[[#This Row],[Link to Reference]],FIND(".",Table23[[#This Row],[Link to Reference]])-1),WPInfo[Initials],0))</f>
        <v>5</v>
      </c>
      <c r="AB18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186" s="286">
        <v>181</v>
      </c>
      <c r="AD186" s="286" t="b">
        <f>IF(G186=G185,IF(MOD(Table23[[#This Row],[order]],2)=1,"hideOdd","hideEven"),FALSE)</f>
        <v>0</v>
      </c>
      <c r="AE186" s="286">
        <f>IF(Table23[[#This Row],[hideText]]=FALSE,AE185+1,AE185)</f>
        <v>65</v>
      </c>
      <c r="AF186" s="269"/>
      <c r="AO186"/>
    </row>
    <row r="187" spans="1:41" ht="45" x14ac:dyDescent="0.25">
      <c r="A187" s="206" t="s">
        <v>215</v>
      </c>
      <c r="B187" s="206" t="s">
        <v>1560</v>
      </c>
      <c r="C187" s="206" t="s">
        <v>296</v>
      </c>
      <c r="D187" s="306" t="str">
        <f>IF(Table23[[#This Row],[hideText]]=FALSE,HYPERLINK(INDEX('Verify Baseline Links'!$P$10:$P$132,MATCH(Table23[[#This Row],[DSorder]],'Verify Baseline Links'!$M$10:$M$132,0)),"DS"),"")</f>
        <v/>
      </c>
      <c r="E187" s="206" t="s">
        <v>1669</v>
      </c>
      <c r="F187" s="223" t="str">
        <f>CLEAN(TRIM(SUBSTITUTE(LEFT(Table23[[#This Row],[Declarative Statement]],MIN(250,LEN(Table23[[#This Row],[Declarative Statement]]))),CHAR(160)," ")))</f>
        <v>Administrative, physical, or technical controls are in place to prevent users without administrative responsibilities from installing unauthorized software.</v>
      </c>
      <c r="G187" s="206">
        <f>MATCH(Table23[[#This Row],[clean DS]],combinedMaturityTable[Dsm clean],0)</f>
        <v>233</v>
      </c>
      <c r="H187" s="223"/>
      <c r="I187" s="223" t="s">
        <v>1411</v>
      </c>
      <c r="J187" s="308" t="str">
        <f>HYPERLINK(Table23[[#This Row],[URL]],Table23[[#This Row],[Link to Reference]])</f>
        <v>IS.WP.6.11</v>
      </c>
      <c r="K187" s="206" t="s">
        <v>1412</v>
      </c>
      <c r="X187" s="286" t="s">
        <v>1186</v>
      </c>
      <c r="Y187" s="302" t="str">
        <f>IFERROR(IF(SEARCH("WP",Table23[[#This Row],[Link to Reference]])&gt;0,"Work Program","Booklet"),"Booklet")</f>
        <v>Work Program</v>
      </c>
      <c r="Z187" s="286">
        <v>9</v>
      </c>
      <c r="AA187" s="302">
        <f>IF(Table23[[#This Row],[Type]]="Booklet",MATCH(LEFT(Table23[[#This Row],[Link to Reference]],FIND(".",Table23[[#This Row],[Link to Reference]])-1),bookletsInfo[Initial],0),MATCH(LEFT(Table23[[#This Row],[Link to Reference]],FIND(".",Table23[[#This Row],[Link to Reference]])-1),WPInfo[Initials],0))</f>
        <v>5</v>
      </c>
      <c r="AB18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87" s="286">
        <v>182</v>
      </c>
      <c r="AD187" s="286" t="str">
        <f>IF(G187=G186,IF(MOD(Table23[[#This Row],[order]],2)=1,"hideOdd","hideEven"),FALSE)</f>
        <v>hideEven</v>
      </c>
      <c r="AE187" s="286">
        <f>IF(Table23[[#This Row],[hideText]]=FALSE,AE186+1,AE186)</f>
        <v>65</v>
      </c>
      <c r="AF187" s="269"/>
      <c r="AO187"/>
    </row>
    <row r="188" spans="1:41" ht="45" x14ac:dyDescent="0.25">
      <c r="A188" s="206" t="s">
        <v>215</v>
      </c>
      <c r="B188" s="206" t="s">
        <v>1560</v>
      </c>
      <c r="C188" s="206" t="s">
        <v>296</v>
      </c>
      <c r="D188" s="306" t="str">
        <f ca="1">IF(Table23[[#This Row],[hideText]]=FALSE,HYPERLINK(INDEX('Verify Baseline Links'!$P$10:$P$132,MATCH(Table23[[#This Row],[DSorder]],'Verify Baseline Links'!$M$10:$M$132,0)),"DS"),"")</f>
        <v>DS</v>
      </c>
      <c r="E188" s="206" t="s">
        <v>1671</v>
      </c>
      <c r="F188" s="223" t="str">
        <f>CLEAN(TRIM(SUBSTITUTE(LEFT(Table23[[#This Row],[Declarative Statement]],MIN(250,LEN(Table23[[#This Row],[Declarative Statement]]))),CHAR(160)," ")))</f>
        <v>Customer service (e.g., the call center) utilizes formal procedures to authenticate customers commensurate with the risk of the transaction or request.</v>
      </c>
      <c r="G188" s="206">
        <f>MATCH(Table23[[#This Row],[clean DS]],combinedMaturityTable[Dsm clean],0)</f>
        <v>234</v>
      </c>
      <c r="H188" s="223">
        <v>2</v>
      </c>
      <c r="I188" s="223" t="s">
        <v>1506</v>
      </c>
      <c r="J188" s="308" t="str">
        <f>HYPERLINK(Table23[[#This Row],[URL]],Table23[[#This Row],[Link to Reference]])</f>
        <v>IS.II.C.16:pg36</v>
      </c>
      <c r="K188" s="206" t="s">
        <v>1672</v>
      </c>
      <c r="L188" s="286" t="s">
        <v>1673</v>
      </c>
      <c r="M188" s="286" t="s">
        <v>1674</v>
      </c>
      <c r="N188" s="286" t="s">
        <v>1378</v>
      </c>
      <c r="O188" s="286" t="s">
        <v>1378</v>
      </c>
      <c r="P188" s="286" t="s">
        <v>1378</v>
      </c>
      <c r="Q188" s="286" t="s">
        <v>1378</v>
      </c>
      <c r="R188" s="286" t="s">
        <v>1378</v>
      </c>
      <c r="S188" s="286" t="s">
        <v>1378</v>
      </c>
      <c r="T188" s="286" t="s">
        <v>1378</v>
      </c>
      <c r="U188" s="286" t="s">
        <v>1378</v>
      </c>
      <c r="X188" s="286" t="s">
        <v>1186</v>
      </c>
      <c r="Y188" s="302" t="str">
        <f>IFERROR(IF(SEARCH("WP",Table23[[#This Row],[Link to Reference]])&gt;0,"Work Program","Booklet"),"Booklet")</f>
        <v>Booklet</v>
      </c>
      <c r="Z188" s="286" t="s">
        <v>2022</v>
      </c>
      <c r="AA188" s="302">
        <f>IF(Table23[[#This Row],[Type]]="Booklet",MATCH(LEFT(Table23[[#This Row],[Link to Reference]],FIND(".",Table23[[#This Row],[Link to Reference]])-1),bookletsInfo[Initial],0),MATCH(LEFT(Table23[[#This Row],[Link to Reference]],FIND(".",Table23[[#This Row],[Link to Reference]])-1),WPInfo[Initials],0))</f>
        <v>5</v>
      </c>
      <c r="AB18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88" s="286">
        <v>183</v>
      </c>
      <c r="AD188" s="286" t="b">
        <f>IF(G188=G187,IF(MOD(Table23[[#This Row],[order]],2)=1,"hideOdd","hideEven"),FALSE)</f>
        <v>0</v>
      </c>
      <c r="AE188" s="286">
        <f>IF(Table23[[#This Row],[hideText]]=FALSE,AE187+1,AE187)</f>
        <v>66</v>
      </c>
      <c r="AF188" s="269"/>
      <c r="AO188"/>
    </row>
    <row r="189" spans="1:41" ht="45" x14ac:dyDescent="0.25">
      <c r="A189" s="206" t="s">
        <v>215</v>
      </c>
      <c r="B189" s="206" t="s">
        <v>1560</v>
      </c>
      <c r="C189" s="206" t="s">
        <v>296</v>
      </c>
      <c r="D189" s="306" t="str">
        <f>IF(Table23[[#This Row],[hideText]]=FALSE,HYPERLINK(INDEX('Verify Baseline Links'!$P$10:$P$132,MATCH(Table23[[#This Row],[DSorder]],'Verify Baseline Links'!$M$10:$M$132,0)),"DS"),"")</f>
        <v/>
      </c>
      <c r="E189" s="206" t="s">
        <v>1671</v>
      </c>
      <c r="F189" s="223" t="str">
        <f>CLEAN(TRIM(SUBSTITUTE(LEFT(Table23[[#This Row],[Declarative Statement]],MIN(250,LEN(Table23[[#This Row],[Declarative Statement]]))),CHAR(160)," ")))</f>
        <v>Customer service (e.g., the call center) utilizes formal procedures to authenticate customers commensurate with the risk of the transaction or request.</v>
      </c>
      <c r="G189" s="206">
        <f>MATCH(Table23[[#This Row],[clean DS]],combinedMaturityTable[Dsm clean],0)</f>
        <v>234</v>
      </c>
      <c r="H189" s="223"/>
      <c r="I189" s="223" t="s">
        <v>1673</v>
      </c>
      <c r="J189" s="308" t="str">
        <f>HYPERLINK(Table23[[#This Row],[URL]],Table23[[#This Row],[Link to Reference]])</f>
        <v>IS.WP.6.22.a</v>
      </c>
      <c r="K189" s="206" t="s">
        <v>1674</v>
      </c>
      <c r="X189" s="286" t="s">
        <v>1186</v>
      </c>
      <c r="Y189" s="302" t="str">
        <f>IFERROR(IF(SEARCH("WP",Table23[[#This Row],[Link to Reference]])&gt;0,"Work Program","Booklet"),"Booklet")</f>
        <v>Work Program</v>
      </c>
      <c r="Z189" s="286">
        <v>12</v>
      </c>
      <c r="AA189" s="302">
        <f>IF(Table23[[#This Row],[Type]]="Booklet",MATCH(LEFT(Table23[[#This Row],[Link to Reference]],FIND(".",Table23[[#This Row],[Link to Reference]])-1),bookletsInfo[Initial],0),MATCH(LEFT(Table23[[#This Row],[Link to Reference]],FIND(".",Table23[[#This Row],[Link to Reference]])-1),WPInfo[Initials],0))</f>
        <v>5</v>
      </c>
      <c r="AB18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89" s="286">
        <v>184</v>
      </c>
      <c r="AD189" s="286" t="str">
        <f>IF(G189=G188,IF(MOD(Table23[[#This Row],[order]],2)=1,"hideOdd","hideEven"),FALSE)</f>
        <v>hideEven</v>
      </c>
      <c r="AE189" s="286">
        <f>IF(Table23[[#This Row],[hideText]]=FALSE,AE188+1,AE188)</f>
        <v>66</v>
      </c>
      <c r="AF189" s="269"/>
      <c r="AO189"/>
    </row>
    <row r="190" spans="1:41" ht="45" x14ac:dyDescent="0.25">
      <c r="A190" s="206" t="s">
        <v>215</v>
      </c>
      <c r="B190" s="206" t="s">
        <v>1560</v>
      </c>
      <c r="C190" s="206" t="s">
        <v>296</v>
      </c>
      <c r="D190" s="306" t="str">
        <f ca="1">IF(Table23[[#This Row],[hideText]]=FALSE,HYPERLINK(INDEX('Verify Baseline Links'!$P$10:$P$132,MATCH(Table23[[#This Row],[DSorder]],'Verify Baseline Links'!$M$10:$M$132,0)),"DS"),"")</f>
        <v>DS</v>
      </c>
      <c r="E190" s="206" t="s">
        <v>2064</v>
      </c>
      <c r="F190" s="223" t="str">
        <f>CLEAN(TRIM(SUBSTITUTE(LEFT(Table23[[#This Row],[Declarative Statement]],MIN(250,LEN(Table23[[#This Row],[Declarative Statement]]))),CHAR(160)," ")))</f>
        <v>Data is disposed of or destroyed according to documented requirements and within expected time frames.</v>
      </c>
      <c r="G190" s="206">
        <f>MATCH(Table23[[#This Row],[clean DS]],combinedMaturityTable[Dsm clean],0)</f>
        <v>235</v>
      </c>
      <c r="H190" s="223">
        <v>2</v>
      </c>
      <c r="I190" s="223" t="s">
        <v>1676</v>
      </c>
      <c r="J190" s="308" t="str">
        <f>HYPERLINK(Table23[[#This Row],[URL]],Table23[[#This Row],[Link to Reference]])</f>
        <v>IS.II.C.13(c):pg28</v>
      </c>
      <c r="K190" s="206" t="s">
        <v>1677</v>
      </c>
      <c r="L190" s="286" t="s">
        <v>1678</v>
      </c>
      <c r="M190" s="286" t="s">
        <v>1679</v>
      </c>
      <c r="N190" s="286" t="s">
        <v>1378</v>
      </c>
      <c r="O190" s="286" t="s">
        <v>1378</v>
      </c>
      <c r="P190" s="286" t="s">
        <v>1378</v>
      </c>
      <c r="Q190" s="286" t="s">
        <v>1378</v>
      </c>
      <c r="R190" s="286" t="s">
        <v>1378</v>
      </c>
      <c r="S190" s="286" t="s">
        <v>1378</v>
      </c>
      <c r="T190" s="286" t="s">
        <v>1378</v>
      </c>
      <c r="U190" s="286" t="s">
        <v>1378</v>
      </c>
      <c r="X190" s="286" t="s">
        <v>1186</v>
      </c>
      <c r="Y190" s="302" t="str">
        <f>IFERROR(IF(SEARCH("WP",Table23[[#This Row],[Link to Reference]])&gt;0,"Work Program","Booklet"),"Booklet")</f>
        <v>Booklet</v>
      </c>
      <c r="Z190" s="286" t="s">
        <v>2000</v>
      </c>
      <c r="AA190" s="302">
        <f>IF(Table23[[#This Row],[Type]]="Booklet",MATCH(LEFT(Table23[[#This Row],[Link to Reference]],FIND(".",Table23[[#This Row],[Link to Reference]])-1),bookletsInfo[Initial],0),MATCH(LEFT(Table23[[#This Row],[Link to Reference]],FIND(".",Table23[[#This Row],[Link to Reference]])-1),WPInfo[Initials],0))</f>
        <v>5</v>
      </c>
      <c r="AB19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https://ithandbook.ffiec.gov/media/274793/ffiec_itbooklet_informationsecurity.pdf#Page=31</v>
      </c>
      <c r="AC190" s="286">
        <v>185</v>
      </c>
      <c r="AD190" s="286" t="b">
        <f>IF(G190=G189,IF(MOD(Table23[[#This Row],[order]],2)=1,"hideOdd","hideEven"),FALSE)</f>
        <v>0</v>
      </c>
      <c r="AE190" s="286">
        <f>IF(Table23[[#This Row],[hideText]]=FALSE,AE189+1,AE189)</f>
        <v>67</v>
      </c>
      <c r="AF190" s="269"/>
      <c r="AO190"/>
    </row>
    <row r="191" spans="1:41" ht="45" x14ac:dyDescent="0.25">
      <c r="A191" s="206" t="s">
        <v>215</v>
      </c>
      <c r="B191" s="206" t="s">
        <v>1560</v>
      </c>
      <c r="C191" s="206" t="s">
        <v>296</v>
      </c>
      <c r="D191" s="306" t="str">
        <f>IF(Table23[[#This Row],[hideText]]=FALSE,HYPERLINK(INDEX('Verify Baseline Links'!$P$10:$P$132,MATCH(Table23[[#This Row],[DSorder]],'Verify Baseline Links'!$M$10:$M$132,0)),"DS"),"")</f>
        <v/>
      </c>
      <c r="E191" s="206" t="s">
        <v>2064</v>
      </c>
      <c r="F191" s="223" t="str">
        <f>CLEAN(TRIM(SUBSTITUTE(LEFT(Table23[[#This Row],[Declarative Statement]],MIN(250,LEN(Table23[[#This Row],[Declarative Statement]]))),CHAR(160)," ")))</f>
        <v>Data is disposed of or destroyed according to documented requirements and within expected time frames.</v>
      </c>
      <c r="G191" s="206">
        <f>MATCH(Table23[[#This Row],[clean DS]],combinedMaturityTable[Dsm clean],0)</f>
        <v>235</v>
      </c>
      <c r="H191" s="223"/>
      <c r="I191" s="223" t="s">
        <v>1678</v>
      </c>
      <c r="J191" s="308" t="str">
        <f>HYPERLINK(Table23[[#This Row],[URL]],Table23[[#This Row],[Link to Reference]])</f>
        <v>IS.WP.6.18.e</v>
      </c>
      <c r="K191" s="206" t="s">
        <v>1679</v>
      </c>
      <c r="X191" s="286" t="s">
        <v>1186</v>
      </c>
      <c r="Y191" s="302" t="str">
        <f>IFERROR(IF(SEARCH("WP",Table23[[#This Row],[Link to Reference]])&gt;0,"Work Program","Booklet"),"Booklet")</f>
        <v>Work Program</v>
      </c>
      <c r="Z191" s="286">
        <v>11</v>
      </c>
      <c r="AA191" s="302">
        <f>IF(Table23[[#This Row],[Type]]="Booklet",MATCH(LEFT(Table23[[#This Row],[Link to Reference]],FIND(".",Table23[[#This Row],[Link to Reference]])-1),bookletsInfo[Initial],0),MATCH(LEFT(Table23[[#This Row],[Link to Reference]],FIND(".",Table23[[#This Row],[Link to Reference]])-1),WPInfo[Initials],0))</f>
        <v>5</v>
      </c>
      <c r="AB19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91" s="286">
        <v>186</v>
      </c>
      <c r="AD191" s="286" t="str">
        <f>IF(G191=G190,IF(MOD(Table23[[#This Row],[order]],2)=1,"hideOdd","hideEven"),FALSE)</f>
        <v>hideEven</v>
      </c>
      <c r="AE191" s="286">
        <f>IF(Table23[[#This Row],[hideText]]=FALSE,AE190+1,AE190)</f>
        <v>67</v>
      </c>
      <c r="AF191" s="269"/>
      <c r="AO191"/>
    </row>
    <row r="192" spans="1:41" ht="30" x14ac:dyDescent="0.25">
      <c r="A192" s="206" t="s">
        <v>215</v>
      </c>
      <c r="B192" s="206" t="s">
        <v>1560</v>
      </c>
      <c r="C192" s="206" t="s">
        <v>1680</v>
      </c>
      <c r="D192" s="306" t="str">
        <f ca="1">IF(Table23[[#This Row],[hideText]]=FALSE,HYPERLINK(INDEX('Verify Baseline Links'!$P$10:$P$132,MATCH(Table23[[#This Row],[DSorder]],'Verify Baseline Links'!$M$10:$M$132,0)),"DS"),"")</f>
        <v>DS</v>
      </c>
      <c r="E192" s="206" t="s">
        <v>1681</v>
      </c>
      <c r="F192" s="223" t="str">
        <f>CLEAN(TRIM(SUBSTITUTE(LEFT(Table23[[#This Row],[Declarative Statement]],MIN(250,LEN(Table23[[#This Row],[Declarative Statement]]))),CHAR(160)," ")))</f>
        <v>Controls are in place to restrict the use of removable media to authorized personnel.</v>
      </c>
      <c r="G192" s="206">
        <f>MATCH(Table23[[#This Row],[clean DS]],combinedMaturityTable[Dsm clean],0)</f>
        <v>256</v>
      </c>
      <c r="H192" s="223">
        <v>3</v>
      </c>
      <c r="I192" s="223" t="s">
        <v>1662</v>
      </c>
      <c r="J192" s="308" t="str">
        <f>HYPERLINK(Table23[[#This Row],[URL]],Table23[[#This Row],[Link to Reference]])</f>
        <v>IS.II.C.13(a):pg27</v>
      </c>
      <c r="K192" s="206" t="s">
        <v>1682</v>
      </c>
      <c r="L192" s="286" t="s">
        <v>1683</v>
      </c>
      <c r="M192" s="286" t="s">
        <v>1684</v>
      </c>
      <c r="N192" s="286" t="s">
        <v>1685</v>
      </c>
      <c r="O192" s="286" t="s">
        <v>1686</v>
      </c>
      <c r="P192" s="286" t="s">
        <v>1378</v>
      </c>
      <c r="Q192" s="286" t="s">
        <v>1378</v>
      </c>
      <c r="R192" s="286" t="s">
        <v>1378</v>
      </c>
      <c r="S192" s="286" t="s">
        <v>1378</v>
      </c>
      <c r="T192" s="286" t="s">
        <v>1378</v>
      </c>
      <c r="U192" s="286" t="s">
        <v>1378</v>
      </c>
      <c r="X192" s="286" t="s">
        <v>1186</v>
      </c>
      <c r="Y192" s="302" t="str">
        <f>IFERROR(IF(SEARCH("WP",Table23[[#This Row],[Link to Reference]])&gt;0,"Work Program","Booklet"),"Booklet")</f>
        <v>Booklet</v>
      </c>
      <c r="Z192" s="286" t="s">
        <v>2007</v>
      </c>
      <c r="AA192" s="302">
        <f>IF(Table23[[#This Row],[Type]]="Booklet",MATCH(LEFT(Table23[[#This Row],[Link to Reference]],FIND(".",Table23[[#This Row],[Link to Reference]])-1),bookletsInfo[Initial],0),MATCH(LEFT(Table23[[#This Row],[Link to Reference]],FIND(".",Table23[[#This Row],[Link to Reference]])-1),WPInfo[Initials],0))</f>
        <v>5</v>
      </c>
      <c r="AB19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https://ithandbook.ffiec.gov/media/274793/ffiec_itbooklet_informationsecurity.pdf#Page=30</v>
      </c>
      <c r="AC192" s="286">
        <v>187</v>
      </c>
      <c r="AD192" s="286" t="b">
        <f>IF(G192=G191,IF(MOD(Table23[[#This Row],[order]],2)=1,"hideOdd","hideEven"),FALSE)</f>
        <v>0</v>
      </c>
      <c r="AE192" s="286">
        <f>IF(Table23[[#This Row],[hideText]]=FALSE,AE191+1,AE191)</f>
        <v>68</v>
      </c>
      <c r="AF192" s="269"/>
      <c r="AO192"/>
    </row>
    <row r="193" spans="1:41" ht="45" x14ac:dyDescent="0.25">
      <c r="A193" s="206" t="s">
        <v>215</v>
      </c>
      <c r="B193" s="206" t="s">
        <v>1560</v>
      </c>
      <c r="C193" s="206" t="s">
        <v>1680</v>
      </c>
      <c r="D193" s="306" t="str">
        <f>IF(Table23[[#This Row],[hideText]]=FALSE,HYPERLINK(INDEX('Verify Baseline Links'!$P$10:$P$132,MATCH(Table23[[#This Row],[DSorder]],'Verify Baseline Links'!$M$10:$M$132,0)),"DS"),"")</f>
        <v/>
      </c>
      <c r="E193" s="206" t="s">
        <v>1681</v>
      </c>
      <c r="F193" s="223" t="str">
        <f>CLEAN(TRIM(SUBSTITUTE(LEFT(Table23[[#This Row],[Declarative Statement]],MIN(250,LEN(Table23[[#This Row],[Declarative Statement]]))),CHAR(160)," ")))</f>
        <v>Controls are in place to restrict the use of removable media to authorized personnel.</v>
      </c>
      <c r="G193" s="206">
        <f>MATCH(Table23[[#This Row],[clean DS]],combinedMaturityTable[Dsm clean],0)</f>
        <v>256</v>
      </c>
      <c r="H193" s="223"/>
      <c r="I193" s="223" t="s">
        <v>1683</v>
      </c>
      <c r="J193" s="308" t="str">
        <f>HYPERLINK(Table23[[#This Row],[URL]],Table23[[#This Row],[Link to Reference]])</f>
        <v>IS.II.C.13(d):pg29</v>
      </c>
      <c r="K193" s="206" t="s">
        <v>1684</v>
      </c>
      <c r="X193" s="286" t="s">
        <v>1186</v>
      </c>
      <c r="Y193" s="302" t="str">
        <f>IFERROR(IF(SEARCH("WP",Table23[[#This Row],[Link to Reference]])&gt;0,"Work Program","Booklet"),"Booklet")</f>
        <v>Booklet</v>
      </c>
      <c r="Z193" s="286" t="s">
        <v>2023</v>
      </c>
      <c r="AA193" s="302">
        <f>IF(Table23[[#This Row],[Type]]="Booklet",MATCH(LEFT(Table23[[#This Row],[Link to Reference]],FIND(".",Table23[[#This Row],[Link to Reference]])-1),bookletsInfo[Initial],0),MATCH(LEFT(Table23[[#This Row],[Link to Reference]],FIND(".",Table23[[#This Row],[Link to Reference]])-1),WPInfo[Initials],0))</f>
        <v>5</v>
      </c>
      <c r="AB19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https://ithandbook.ffiec.gov/media/274793/ffiec_itbooklet_informationsecurity.pdf#Page=32</v>
      </c>
      <c r="AC193" s="286">
        <v>188</v>
      </c>
      <c r="AD193" s="286" t="str">
        <f>IF(G193=G192,IF(MOD(Table23[[#This Row],[order]],2)=1,"hideOdd","hideEven"),FALSE)</f>
        <v>hideEven</v>
      </c>
      <c r="AE193" s="286">
        <f>IF(Table23[[#This Row],[hideText]]=FALSE,AE192+1,AE192)</f>
        <v>68</v>
      </c>
      <c r="AF193" s="269"/>
      <c r="AO193"/>
    </row>
    <row r="194" spans="1:41" ht="45" x14ac:dyDescent="0.25">
      <c r="A194" s="206" t="s">
        <v>215</v>
      </c>
      <c r="B194" s="206" t="s">
        <v>1560</v>
      </c>
      <c r="C194" s="206" t="s">
        <v>1680</v>
      </c>
      <c r="D194" s="306" t="str">
        <f>IF(Table23[[#This Row],[hideText]]=FALSE,HYPERLINK(INDEX('Verify Baseline Links'!$P$10:$P$132,MATCH(Table23[[#This Row],[DSorder]],'Verify Baseline Links'!$M$10:$M$132,0)),"DS"),"")</f>
        <v/>
      </c>
      <c r="E194" s="206" t="s">
        <v>1681</v>
      </c>
      <c r="F194" s="223" t="str">
        <f>CLEAN(TRIM(SUBSTITUTE(LEFT(Table23[[#This Row],[Declarative Statement]],MIN(250,LEN(Table23[[#This Row],[Declarative Statement]]))),CHAR(160)," ")))</f>
        <v>Controls are in place to restrict the use of removable media to authorized personnel.</v>
      </c>
      <c r="G194" s="206">
        <f>MATCH(Table23[[#This Row],[clean DS]],combinedMaturityTable[Dsm clean],0)</f>
        <v>256</v>
      </c>
      <c r="H194" s="223"/>
      <c r="I194" s="223" t="s">
        <v>1685</v>
      </c>
      <c r="J194" s="308" t="str">
        <f>HYPERLINK(Table23[[#This Row],[URL]],Table23[[#This Row],[Link to Reference]])</f>
        <v>IS.WP.6.18</v>
      </c>
      <c r="K194" s="206" t="s">
        <v>1686</v>
      </c>
      <c r="X194" s="286" t="s">
        <v>1186</v>
      </c>
      <c r="Y194" s="302" t="str">
        <f>IFERROR(IF(SEARCH("WP",Table23[[#This Row],[Link to Reference]])&gt;0,"Work Program","Booklet"),"Booklet")</f>
        <v>Work Program</v>
      </c>
      <c r="Z194" s="286">
        <v>11</v>
      </c>
      <c r="AA194" s="302">
        <f>IF(Table23[[#This Row],[Type]]="Booklet",MATCH(LEFT(Table23[[#This Row],[Link to Reference]],FIND(".",Table23[[#This Row],[Link to Reference]])-1),bookletsInfo[Initial],0),MATCH(LEFT(Table23[[#This Row],[Link to Reference]],FIND(".",Table23[[#This Row],[Link to Reference]])-1),WPInfo[Initials],0))</f>
        <v>5</v>
      </c>
      <c r="AB19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94" s="286">
        <v>189</v>
      </c>
      <c r="AD194" s="286" t="str">
        <f>IF(G194=G193,IF(MOD(Table23[[#This Row],[order]],2)=1,"hideOdd","hideEven"),FALSE)</f>
        <v>hideOdd</v>
      </c>
      <c r="AE194" s="286">
        <f>IF(Table23[[#This Row],[hideText]]=FALSE,AE193+1,AE193)</f>
        <v>68</v>
      </c>
      <c r="AF194" s="269"/>
      <c r="AO194"/>
    </row>
    <row r="195" spans="1:41" ht="45" x14ac:dyDescent="0.25">
      <c r="A195" s="206" t="s">
        <v>215</v>
      </c>
      <c r="B195" s="206" t="s">
        <v>1560</v>
      </c>
      <c r="C195" s="206" t="s">
        <v>350</v>
      </c>
      <c r="D195" s="306" t="str">
        <f ca="1">IF(Table23[[#This Row],[hideText]]=FALSE,HYPERLINK(INDEX('Verify Baseline Links'!$P$10:$P$132,MATCH(Table23[[#This Row],[DSorder]],'Verify Baseline Links'!$M$10:$M$132,0)),"DS"),"")</f>
        <v>DS</v>
      </c>
      <c r="E195" s="206" t="s">
        <v>1687</v>
      </c>
      <c r="F195" s="223"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5" s="206">
        <f>MATCH(Table23[[#This Row],[clean DS]],combinedMaturityTable[Dsm clean],0)</f>
        <v>270</v>
      </c>
      <c r="H195" s="223">
        <v>4</v>
      </c>
      <c r="I195" s="223" t="s">
        <v>1688</v>
      </c>
      <c r="J195" s="308" t="str">
        <f>HYPERLINK(Table23[[#This Row],[URL]],Table23[[#This Row],[Link to Reference]])</f>
        <v>IS.II.C.17:pg38</v>
      </c>
      <c r="K195" s="206" t="s">
        <v>1689</v>
      </c>
      <c r="L195" s="286" t="s">
        <v>1690</v>
      </c>
      <c r="M195" s="286" t="s">
        <v>1691</v>
      </c>
      <c r="N195" s="286" t="s">
        <v>1692</v>
      </c>
      <c r="O195" s="286" t="s">
        <v>1693</v>
      </c>
      <c r="P195" s="286" t="s">
        <v>1694</v>
      </c>
      <c r="Q195" s="286" t="s">
        <v>1694</v>
      </c>
      <c r="R195" s="286" t="s">
        <v>1378</v>
      </c>
      <c r="S195" s="286" t="s">
        <v>1378</v>
      </c>
      <c r="T195" s="286" t="s">
        <v>1378</v>
      </c>
      <c r="U195" s="286" t="s">
        <v>1378</v>
      </c>
      <c r="X195" s="286" t="s">
        <v>1186</v>
      </c>
      <c r="Y195" s="302" t="str">
        <f>IFERROR(IF(SEARCH("WP",Table23[[#This Row],[Link to Reference]])&gt;0,"Work Program","Booklet"),"Booklet")</f>
        <v>Booklet</v>
      </c>
      <c r="Z195" s="286" t="s">
        <v>2015</v>
      </c>
      <c r="AA195" s="302">
        <f>IF(Table23[[#This Row],[Type]]="Booklet",MATCH(LEFT(Table23[[#This Row],[Link to Reference]],FIND(".",Table23[[#This Row],[Link to Reference]])-1),bookletsInfo[Initial],0),MATCH(LEFT(Table23[[#This Row],[Link to Reference]],FIND(".",Table23[[#This Row],[Link to Reference]])-1),WPInfo[Initials],0))</f>
        <v>5</v>
      </c>
      <c r="AB19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https://ithandbook.ffiec.gov/media/274793/ffiec_itbooklet_informationsecurity.pdf#Page=41</v>
      </c>
      <c r="AC195" s="286">
        <v>190</v>
      </c>
      <c r="AD195" s="286" t="b">
        <f>IF(G195=G194,IF(MOD(Table23[[#This Row],[order]],2)=1,"hideOdd","hideEven"),FALSE)</f>
        <v>0</v>
      </c>
      <c r="AE195" s="286">
        <f>IF(Table23[[#This Row],[hideText]]=FALSE,AE194+1,AE194)</f>
        <v>69</v>
      </c>
      <c r="AF195" s="269"/>
      <c r="AO195"/>
    </row>
    <row r="196" spans="1:41" ht="45" x14ac:dyDescent="0.25">
      <c r="A196" s="206" t="s">
        <v>215</v>
      </c>
      <c r="B196" s="206" t="s">
        <v>1560</v>
      </c>
      <c r="C196" s="206" t="s">
        <v>350</v>
      </c>
      <c r="D196" s="306" t="str">
        <f>IF(Table23[[#This Row],[hideText]]=FALSE,HYPERLINK(INDEX('Verify Baseline Links'!$P$10:$P$132,MATCH(Table23[[#This Row],[DSorder]],'Verify Baseline Links'!$M$10:$M$132,0)),"DS"),"")</f>
        <v/>
      </c>
      <c r="E196" s="206" t="s">
        <v>1687</v>
      </c>
      <c r="F196" s="223"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6" s="206">
        <f>MATCH(Table23[[#This Row],[clean DS]],combinedMaturityTable[Dsm clean],0)</f>
        <v>270</v>
      </c>
      <c r="H196" s="223"/>
      <c r="I196" s="223" t="s">
        <v>1690</v>
      </c>
      <c r="J196" s="308" t="str">
        <f>HYPERLINK(Table23[[#This Row],[URL]],Table23[[#This Row],[Link to Reference]])</f>
        <v>IS.WP.6.27</v>
      </c>
      <c r="K196" s="206" t="s">
        <v>1691</v>
      </c>
      <c r="X196" s="286" t="s">
        <v>1186</v>
      </c>
      <c r="Y196" s="302" t="str">
        <f>IFERROR(IF(SEARCH("WP",Table23[[#This Row],[Link to Reference]])&gt;0,"Work Program","Booklet"),"Booklet")</f>
        <v>Work Program</v>
      </c>
      <c r="Z196" s="286">
        <v>14</v>
      </c>
      <c r="AA196" s="302">
        <f>IF(Table23[[#This Row],[Type]]="Booklet",MATCH(LEFT(Table23[[#This Row],[Link to Reference]],FIND(".",Table23[[#This Row],[Link to Reference]])-1),bookletsInfo[Initial],0),MATCH(LEFT(Table23[[#This Row],[Link to Reference]],FIND(".",Table23[[#This Row],[Link to Reference]])-1),WPInfo[Initials],0))</f>
        <v>5</v>
      </c>
      <c r="AB19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196" s="286">
        <v>191</v>
      </c>
      <c r="AD196" s="286" t="str">
        <f>IF(G196=G195,IF(MOD(Table23[[#This Row],[order]],2)=1,"hideOdd","hideEven"),FALSE)</f>
        <v>hideOdd</v>
      </c>
      <c r="AE196" s="286">
        <f>IF(Table23[[#This Row],[hideText]]=FALSE,AE195+1,AE195)</f>
        <v>69</v>
      </c>
      <c r="AF196" s="269"/>
      <c r="AO196"/>
    </row>
    <row r="197" spans="1:41" ht="60" x14ac:dyDescent="0.25">
      <c r="A197" s="206" t="s">
        <v>215</v>
      </c>
      <c r="B197" s="206" t="s">
        <v>1560</v>
      </c>
      <c r="C197" s="206" t="s">
        <v>350</v>
      </c>
      <c r="D197" s="306" t="str">
        <f>IF(Table23[[#This Row],[hideText]]=FALSE,HYPERLINK(INDEX('Verify Baseline Links'!$P$10:$P$132,MATCH(Table23[[#This Row],[DSorder]],'Verify Baseline Links'!$M$10:$M$132,0)),"DS"),"")</f>
        <v/>
      </c>
      <c r="E197" s="206" t="s">
        <v>1687</v>
      </c>
      <c r="F197" s="223"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7" s="206">
        <f>MATCH(Table23[[#This Row],[clean DS]],combinedMaturityTable[Dsm clean],0)</f>
        <v>270</v>
      </c>
      <c r="H197" s="223"/>
      <c r="I197" s="223" t="s">
        <v>1692</v>
      </c>
      <c r="J197" s="308" t="str">
        <f>HYPERLINK(Table23[[#This Row],[URL]],Table23[[#This Row],[Link to Reference]])</f>
        <v>MGT.III.C.5:pg31</v>
      </c>
      <c r="K197" s="206" t="s">
        <v>1693</v>
      </c>
      <c r="X197" s="286" t="s">
        <v>1957</v>
      </c>
      <c r="Y197" s="302" t="str">
        <f>IFERROR(IF(SEARCH("WP",Table23[[#This Row],[Link to Reference]])&gt;0,"Work Program","Booklet"),"Booklet")</f>
        <v>Booklet</v>
      </c>
      <c r="Z197" s="286" t="s">
        <v>2031</v>
      </c>
      <c r="AA197" s="302">
        <f>IF(Table23[[#This Row],[Type]]="Booklet",MATCH(LEFT(Table23[[#This Row],[Link to Reference]],FIND(".",Table23[[#This Row],[Link to Reference]])-1),bookletsInfo[Initial],0),MATCH(LEFT(Table23[[#This Row],[Link to Reference]],FIND(".",Table23[[#This Row],[Link to Reference]])-1),WPInfo[Initials],0))</f>
        <v>6</v>
      </c>
      <c r="AB19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https://ithandbook.ffiec.gov/media/274809/ffiec_itbooklet_management.pdf#Page=32</v>
      </c>
      <c r="AC197" s="286">
        <v>192</v>
      </c>
      <c r="AD197" s="286" t="str">
        <f>IF(G197=G196,IF(MOD(Table23[[#This Row],[order]],2)=1,"hideOdd","hideEven"),FALSE)</f>
        <v>hideEven</v>
      </c>
      <c r="AE197" s="286">
        <f>IF(Table23[[#This Row],[hideText]]=FALSE,AE196+1,AE196)</f>
        <v>69</v>
      </c>
      <c r="AF197" s="269"/>
      <c r="AO197"/>
    </row>
    <row r="198" spans="1:41" ht="60" x14ac:dyDescent="0.25">
      <c r="A198" s="206" t="s">
        <v>215</v>
      </c>
      <c r="B198" s="206" t="s">
        <v>1560</v>
      </c>
      <c r="C198" s="206" t="s">
        <v>350</v>
      </c>
      <c r="D198" s="306" t="str">
        <f>IF(Table23[[#This Row],[hideText]]=FALSE,HYPERLINK(INDEX('Verify Baseline Links'!$P$10:$P$132,MATCH(Table23[[#This Row],[DSorder]],'Verify Baseline Links'!$M$10:$M$132,0)),"DS"),"")</f>
        <v/>
      </c>
      <c r="E198" s="206" t="s">
        <v>1687</v>
      </c>
      <c r="F198" s="223"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8" s="206">
        <f>MATCH(Table23[[#This Row],[clean DS]],combinedMaturityTable[Dsm clean],0)</f>
        <v>270</v>
      </c>
      <c r="H198" s="223"/>
      <c r="I198" s="223" t="s">
        <v>2037</v>
      </c>
      <c r="J198" s="308" t="str">
        <f>HYPERLINK(Table23[[#This Row],[URL]],Table23[[#This Row],[Link to Reference]])</f>
        <v>MGT.WP.12.10</v>
      </c>
      <c r="K198" s="206" t="s">
        <v>1694</v>
      </c>
      <c r="X198" s="286" t="s">
        <v>1957</v>
      </c>
      <c r="Y198" s="302" t="str">
        <f>IFERROR(IF(SEARCH("WP",Table23[[#This Row],[Link to Reference]])&gt;0,"Work Program","Booklet"),"Booklet")</f>
        <v>Work Program</v>
      </c>
      <c r="Z198" s="286">
        <v>17</v>
      </c>
      <c r="AA198" s="302">
        <f>IF(Table23[[#This Row],[Type]]="Booklet",MATCH(LEFT(Table23[[#This Row],[Link to Reference]],FIND(".",Table23[[#This Row],[Link to Reference]])-1),bookletsInfo[Initial],0),MATCH(LEFT(Table23[[#This Row],[Link to Reference]],FIND(".",Table23[[#This Row],[Link to Reference]])-1),WPInfo[Initials],0))</f>
        <v>6</v>
      </c>
      <c r="AB19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https://watkinsconsulting.com/wp-content/uploads/2019/02/Management-IT-WorkProgram.pdf#Page=17</v>
      </c>
      <c r="AC198" s="286">
        <v>193</v>
      </c>
      <c r="AD198" s="286" t="str">
        <f>IF(G198=G197,IF(MOD(Table23[[#This Row],[order]],2)=1,"hideOdd","hideEven"),FALSE)</f>
        <v>hideOdd</v>
      </c>
      <c r="AE198" s="286">
        <f>IF(Table23[[#This Row],[hideText]]=FALSE,AE197+1,AE197)</f>
        <v>69</v>
      </c>
      <c r="AF198" s="269"/>
      <c r="AO198"/>
    </row>
    <row r="199" spans="1:41" ht="30" x14ac:dyDescent="0.25">
      <c r="A199" s="206" t="s">
        <v>215</v>
      </c>
      <c r="B199" s="206" t="s">
        <v>1560</v>
      </c>
      <c r="C199" s="206" t="s">
        <v>350</v>
      </c>
      <c r="D199" s="306" t="str">
        <f ca="1">IF(Table23[[#This Row],[hideText]]=FALSE,HYPERLINK(INDEX('Verify Baseline Links'!$P$10:$P$132,MATCH(Table23[[#This Row],[DSorder]],'Verify Baseline Links'!$M$10:$M$132,0)),"DS"),"")</f>
        <v>DS</v>
      </c>
      <c r="E199" s="206" t="s">
        <v>2065</v>
      </c>
      <c r="F199" s="223" t="str">
        <f>CLEAN(TRIM(SUBSTITUTE(LEFT(Table23[[#This Row],[Declarative Statement]],MIN(250,LEN(Table23[[#This Row],[Declarative Statement]]))),CHAR(160)," ")))</f>
        <v>The security controls of internally developed software are periodically reviewed and tested. (*N/A if there is no software development.)</v>
      </c>
      <c r="G199" s="206">
        <f>MATCH(Table23[[#This Row],[clean DS]],combinedMaturityTable[Dsm clean],0)</f>
        <v>271</v>
      </c>
      <c r="H199" s="223">
        <v>4</v>
      </c>
      <c r="I199" s="223" t="s">
        <v>1409</v>
      </c>
      <c r="J199" s="308" t="str">
        <f>HYPERLINK(Table23[[#This Row],[URL]],Table23[[#This Row],[Link to Reference]])</f>
        <v>IS.II.C.10:pg21</v>
      </c>
      <c r="K199" s="206" t="s">
        <v>1696</v>
      </c>
      <c r="L199" s="286" t="s">
        <v>1697</v>
      </c>
      <c r="M199" s="286" t="s">
        <v>1698</v>
      </c>
      <c r="N199" s="286" t="s">
        <v>1692</v>
      </c>
      <c r="O199" s="286" t="s">
        <v>1699</v>
      </c>
      <c r="P199" s="286" t="s">
        <v>1700</v>
      </c>
      <c r="Q199" s="286" t="s">
        <v>1700</v>
      </c>
      <c r="R199" s="286" t="s">
        <v>1378</v>
      </c>
      <c r="S199" s="286" t="s">
        <v>1378</v>
      </c>
      <c r="T199" s="286" t="s">
        <v>1378</v>
      </c>
      <c r="U199" s="286" t="s">
        <v>1378</v>
      </c>
      <c r="X199" s="286" t="s">
        <v>1186</v>
      </c>
      <c r="Y199" s="302" t="str">
        <f>IFERROR(IF(SEARCH("WP",Table23[[#This Row],[Link to Reference]])&gt;0,"Work Program","Booklet"),"Booklet")</f>
        <v>Booklet</v>
      </c>
      <c r="Z199" s="286" t="s">
        <v>2013</v>
      </c>
      <c r="AA199" s="302">
        <f>IF(Table23[[#This Row],[Type]]="Booklet",MATCH(LEFT(Table23[[#This Row],[Link to Reference]],FIND(".",Table23[[#This Row],[Link to Reference]])-1),bookletsInfo[Initial],0),MATCH(LEFT(Table23[[#This Row],[Link to Reference]],FIND(".",Table23[[#This Row],[Link to Reference]])-1),WPInfo[Initials],0))</f>
        <v>5</v>
      </c>
      <c r="AB19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199" s="286">
        <v>194</v>
      </c>
      <c r="AD199" s="286" t="b">
        <f>IF(G199=G198,IF(MOD(Table23[[#This Row],[order]],2)=1,"hideOdd","hideEven"),FALSE)</f>
        <v>0</v>
      </c>
      <c r="AE199" s="286">
        <f>IF(Table23[[#This Row],[hideText]]=FALSE,AE198+1,AE198)</f>
        <v>70</v>
      </c>
      <c r="AF199" s="269"/>
      <c r="AO199"/>
    </row>
    <row r="200" spans="1:41" ht="30" x14ac:dyDescent="0.25">
      <c r="A200" s="206" t="s">
        <v>215</v>
      </c>
      <c r="B200" s="206" t="s">
        <v>1560</v>
      </c>
      <c r="C200" s="206" t="s">
        <v>350</v>
      </c>
      <c r="D200" s="306" t="str">
        <f>IF(Table23[[#This Row],[hideText]]=FALSE,HYPERLINK(INDEX('Verify Baseline Links'!$P$10:$P$132,MATCH(Table23[[#This Row],[DSorder]],'Verify Baseline Links'!$M$10:$M$132,0)),"DS"),"")</f>
        <v/>
      </c>
      <c r="E200" s="206" t="s">
        <v>2065</v>
      </c>
      <c r="F200" s="223" t="str">
        <f>CLEAN(TRIM(SUBSTITUTE(LEFT(Table23[[#This Row],[Declarative Statement]],MIN(250,LEN(Table23[[#This Row],[Declarative Statement]]))),CHAR(160)," ")))</f>
        <v>The security controls of internally developed software are periodically reviewed and tested. (*N/A if there is no software development.)</v>
      </c>
      <c r="G200" s="206">
        <f>MATCH(Table23[[#This Row],[clean DS]],combinedMaturityTable[Dsm clean],0)</f>
        <v>271</v>
      </c>
      <c r="H200" s="223"/>
      <c r="I200" s="223" t="s">
        <v>1697</v>
      </c>
      <c r="J200" s="308" t="str">
        <f>HYPERLINK(Table23[[#This Row],[URL]],Table23[[#This Row],[Link to Reference]])</f>
        <v>IS.WP.6.15</v>
      </c>
      <c r="K200" s="206" t="s">
        <v>1698</v>
      </c>
      <c r="X200" s="286" t="s">
        <v>1186</v>
      </c>
      <c r="Y200" s="302" t="str">
        <f>IFERROR(IF(SEARCH("WP",Table23[[#This Row],[Link to Reference]])&gt;0,"Work Program","Booklet"),"Booklet")</f>
        <v>Work Program</v>
      </c>
      <c r="Z200" s="286">
        <v>10</v>
      </c>
      <c r="AA200" s="302">
        <f>IF(Table23[[#This Row],[Type]]="Booklet",MATCH(LEFT(Table23[[#This Row],[Link to Reference]],FIND(".",Table23[[#This Row],[Link to Reference]])-1),bookletsInfo[Initial],0),MATCH(LEFT(Table23[[#This Row],[Link to Reference]],FIND(".",Table23[[#This Row],[Link to Reference]])-1),WPInfo[Initials],0))</f>
        <v>5</v>
      </c>
      <c r="AB20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200" s="286">
        <v>195</v>
      </c>
      <c r="AD200" s="286" t="str">
        <f>IF(G200=G199,IF(MOD(Table23[[#This Row],[order]],2)=1,"hideOdd","hideEven"),FALSE)</f>
        <v>hideOdd</v>
      </c>
      <c r="AE200" s="286">
        <f>IF(Table23[[#This Row],[hideText]]=FALSE,AE199+1,AE199)</f>
        <v>70</v>
      </c>
      <c r="AF200" s="269"/>
      <c r="AO200"/>
    </row>
    <row r="201" spans="1:41" ht="60" x14ac:dyDescent="0.25">
      <c r="A201" s="206" t="s">
        <v>215</v>
      </c>
      <c r="B201" s="206" t="s">
        <v>1560</v>
      </c>
      <c r="C201" s="206" t="s">
        <v>350</v>
      </c>
      <c r="D201" s="306" t="str">
        <f>IF(Table23[[#This Row],[hideText]]=FALSE,HYPERLINK(INDEX('Verify Baseline Links'!$P$10:$P$132,MATCH(Table23[[#This Row],[DSorder]],'Verify Baseline Links'!$M$10:$M$132,0)),"DS"),"")</f>
        <v/>
      </c>
      <c r="E201" s="206" t="s">
        <v>2065</v>
      </c>
      <c r="F201" s="223" t="str">
        <f>CLEAN(TRIM(SUBSTITUTE(LEFT(Table23[[#This Row],[Declarative Statement]],MIN(250,LEN(Table23[[#This Row],[Declarative Statement]]))),CHAR(160)," ")))</f>
        <v>The security controls of internally developed software are periodically reviewed and tested. (*N/A if there is no software development.)</v>
      </c>
      <c r="G201" s="206">
        <f>MATCH(Table23[[#This Row],[clean DS]],combinedMaturityTable[Dsm clean],0)</f>
        <v>271</v>
      </c>
      <c r="H201" s="223"/>
      <c r="I201" s="223" t="s">
        <v>1692</v>
      </c>
      <c r="J201" s="308" t="str">
        <f>HYPERLINK(Table23[[#This Row],[URL]],Table23[[#This Row],[Link to Reference]])</f>
        <v>MGT.III.C.5:pg31</v>
      </c>
      <c r="K201" s="206" t="s">
        <v>1699</v>
      </c>
      <c r="X201" s="286" t="s">
        <v>1957</v>
      </c>
      <c r="Y201" s="302" t="str">
        <f>IFERROR(IF(SEARCH("WP",Table23[[#This Row],[Link to Reference]])&gt;0,"Work Program","Booklet"),"Booklet")</f>
        <v>Booklet</v>
      </c>
      <c r="Z201" s="286" t="s">
        <v>2031</v>
      </c>
      <c r="AA201" s="302">
        <f>IF(Table23[[#This Row],[Type]]="Booklet",MATCH(LEFT(Table23[[#This Row],[Link to Reference]],FIND(".",Table23[[#This Row],[Link to Reference]])-1),bookletsInfo[Initial],0),MATCH(LEFT(Table23[[#This Row],[Link to Reference]],FIND(".",Table23[[#This Row],[Link to Reference]])-1),WPInfo[Initials],0))</f>
        <v>6</v>
      </c>
      <c r="AB20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https://ithandbook.ffiec.gov/media/274809/ffiec_itbooklet_management.pdf#Page=32</v>
      </c>
      <c r="AC201" s="286">
        <v>196</v>
      </c>
      <c r="AD201" s="286" t="str">
        <f>IF(G201=G200,IF(MOD(Table23[[#This Row],[order]],2)=1,"hideOdd","hideEven"),FALSE)</f>
        <v>hideEven</v>
      </c>
      <c r="AE201" s="286">
        <f>IF(Table23[[#This Row],[hideText]]=FALSE,AE200+1,AE200)</f>
        <v>70</v>
      </c>
      <c r="AF201" s="269"/>
      <c r="AO201"/>
    </row>
    <row r="202" spans="1:41" ht="75" x14ac:dyDescent="0.25">
      <c r="A202" s="206" t="s">
        <v>215</v>
      </c>
      <c r="B202" s="206" t="s">
        <v>1560</v>
      </c>
      <c r="C202" s="206" t="s">
        <v>350</v>
      </c>
      <c r="D202" s="306" t="str">
        <f>IF(Table23[[#This Row],[hideText]]=FALSE,HYPERLINK(INDEX('Verify Baseline Links'!$P$10:$P$132,MATCH(Table23[[#This Row],[DSorder]],'Verify Baseline Links'!$M$10:$M$132,0)),"DS"),"")</f>
        <v/>
      </c>
      <c r="E202" s="206" t="s">
        <v>2065</v>
      </c>
      <c r="F202" s="223" t="str">
        <f>CLEAN(TRIM(SUBSTITUTE(LEFT(Table23[[#This Row],[Declarative Statement]],MIN(250,LEN(Table23[[#This Row],[Declarative Statement]]))),CHAR(160)," ")))</f>
        <v>The security controls of internally developed software are periodically reviewed and tested. (*N/A if there is no software development.)</v>
      </c>
      <c r="G202" s="206">
        <f>MATCH(Table23[[#This Row],[clean DS]],combinedMaturityTable[Dsm clean],0)</f>
        <v>271</v>
      </c>
      <c r="H202" s="223"/>
      <c r="I202" s="223" t="s">
        <v>2037</v>
      </c>
      <c r="J202" s="308" t="str">
        <f>HYPERLINK(Table23[[#This Row],[URL]],Table23[[#This Row],[Link to Reference]])</f>
        <v>MGT.WP.12.10</v>
      </c>
      <c r="K202" s="206" t="s">
        <v>1700</v>
      </c>
      <c r="X202" s="286" t="s">
        <v>1957</v>
      </c>
      <c r="Y202" s="302" t="str">
        <f>IFERROR(IF(SEARCH("WP",Table23[[#This Row],[Link to Reference]])&gt;0,"Work Program","Booklet"),"Booklet")</f>
        <v>Work Program</v>
      </c>
      <c r="Z202" s="286">
        <v>17</v>
      </c>
      <c r="AA202" s="302">
        <f>IF(Table23[[#This Row],[Type]]="Booklet",MATCH(LEFT(Table23[[#This Row],[Link to Reference]],FIND(".",Table23[[#This Row],[Link to Reference]])-1),bookletsInfo[Initial],0),MATCH(LEFT(Table23[[#This Row],[Link to Reference]],FIND(".",Table23[[#This Row],[Link to Reference]])-1),WPInfo[Initials],0))</f>
        <v>6</v>
      </c>
      <c r="AB20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https://watkinsconsulting.com/wp-content/uploads/2019/02/Management-IT-WorkProgram.pdf#Page=17</v>
      </c>
      <c r="AC202" s="286">
        <v>197</v>
      </c>
      <c r="AD202" s="286" t="str">
        <f>IF(G202=G201,IF(MOD(Table23[[#This Row],[order]],2)=1,"hideOdd","hideEven"),FALSE)</f>
        <v>hideOdd</v>
      </c>
      <c r="AE202" s="286">
        <f>IF(Table23[[#This Row],[hideText]]=FALSE,AE201+1,AE201)</f>
        <v>70</v>
      </c>
      <c r="AF202" s="269"/>
      <c r="AO202"/>
    </row>
    <row r="203" spans="1:41" ht="45" x14ac:dyDescent="0.25">
      <c r="A203" s="206" t="s">
        <v>215</v>
      </c>
      <c r="B203" s="206" t="s">
        <v>1560</v>
      </c>
      <c r="C203" s="206" t="s">
        <v>350</v>
      </c>
      <c r="D203" s="306" t="str">
        <f ca="1">IF(Table23[[#This Row],[hideText]]=FALSE,HYPERLINK(INDEX('Verify Baseline Links'!$P$10:$P$132,MATCH(Table23[[#This Row],[DSorder]],'Verify Baseline Links'!$M$10:$M$132,0)),"DS"),"")</f>
        <v>DS</v>
      </c>
      <c r="E203" s="206" t="s">
        <v>1701</v>
      </c>
      <c r="F203" s="223"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3" s="206">
        <f>MATCH(Table23[[#This Row],[clean DS]],combinedMaturityTable[Dsm clean],0)</f>
        <v>272</v>
      </c>
      <c r="H203" s="223">
        <v>5</v>
      </c>
      <c r="I203" s="223" t="s">
        <v>1702</v>
      </c>
      <c r="J203" s="308" t="str">
        <f>HYPERLINK(Table23[[#This Row],[URL]],Table23[[#This Row],[Link to Reference]])</f>
        <v>D&amp;A.B.2</v>
      </c>
      <c r="K203" s="206" t="s">
        <v>1703</v>
      </c>
      <c r="L203" s="286" t="s">
        <v>1704</v>
      </c>
      <c r="M203" s="286" t="s">
        <v>1705</v>
      </c>
      <c r="N203" s="286" t="s">
        <v>1706</v>
      </c>
      <c r="O203" s="286" t="s">
        <v>1707</v>
      </c>
      <c r="P203" s="286" t="s">
        <v>1692</v>
      </c>
      <c r="Q203" s="286" t="s">
        <v>1708</v>
      </c>
      <c r="R203" s="286" t="s">
        <v>1709</v>
      </c>
      <c r="S203" s="286" t="s">
        <v>1710</v>
      </c>
      <c r="T203" s="286" t="s">
        <v>1378</v>
      </c>
      <c r="U203" s="286" t="s">
        <v>1378</v>
      </c>
      <c r="X203" s="286" t="s">
        <v>1952</v>
      </c>
      <c r="Y203" s="302" t="str">
        <f>IFERROR(IF(SEARCH("WP",Table23[[#This Row],[Link to Reference]])&gt;0,"Work Program","Booklet"),"Booklet")</f>
        <v>Booklet</v>
      </c>
      <c r="Z203" s="286">
        <v>2</v>
      </c>
      <c r="AA203" s="302">
        <f>IF(Table23[[#This Row],[Type]]="Booklet",MATCH(LEFT(Table23[[#This Row],[Link to Reference]],FIND(".",Table23[[#This Row],[Link to Reference]])-1),bookletsInfo[Initial],0),MATCH(LEFT(Table23[[#This Row],[Link to Reference]],FIND(".",Table23[[#This Row],[Link to Reference]])-1),WPInfo[Initials],0))</f>
        <v>3</v>
      </c>
      <c r="AB20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https://ithandbook.ffiec.gov/media/274741/ffiec_itbooklet_developmentandacquisition.pdf#Page=6</v>
      </c>
      <c r="AC203" s="286">
        <v>198</v>
      </c>
      <c r="AD203" s="286" t="b">
        <f>IF(G203=G202,IF(MOD(Table23[[#This Row],[order]],2)=1,"hideOdd","hideEven"),FALSE)</f>
        <v>0</v>
      </c>
      <c r="AE203" s="286">
        <f>IF(Table23[[#This Row],[hideText]]=FALSE,AE202+1,AE202)</f>
        <v>71</v>
      </c>
      <c r="AF203" s="269"/>
      <c r="AO203"/>
    </row>
    <row r="204" spans="1:41" ht="45" x14ac:dyDescent="0.25">
      <c r="A204" s="206" t="s">
        <v>215</v>
      </c>
      <c r="B204" s="206" t="s">
        <v>1560</v>
      </c>
      <c r="C204" s="206" t="s">
        <v>350</v>
      </c>
      <c r="D204" s="306" t="str">
        <f>IF(Table23[[#This Row],[hideText]]=FALSE,HYPERLINK(INDEX('Verify Baseline Links'!$P$10:$P$132,MATCH(Table23[[#This Row],[DSorder]],'Verify Baseline Links'!$M$10:$M$132,0)),"DS"),"")</f>
        <v/>
      </c>
      <c r="E204" s="206" t="s">
        <v>1701</v>
      </c>
      <c r="F204" s="223"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4" s="206">
        <f>MATCH(Table23[[#This Row],[clean DS]],combinedMaturityTable[Dsm clean],0)</f>
        <v>272</v>
      </c>
      <c r="H204" s="223"/>
      <c r="I204" s="223" t="s">
        <v>1704</v>
      </c>
      <c r="J204" s="308" t="str">
        <f>HYPERLINK(Table23[[#This Row],[URL]],Table23[[#This Row],[Link to Reference]])</f>
        <v>D&amp;A.B.9</v>
      </c>
      <c r="K204" s="206" t="s">
        <v>1705</v>
      </c>
      <c r="X204" s="286" t="s">
        <v>1952</v>
      </c>
      <c r="Y204" s="302" t="str">
        <f>IFERROR(IF(SEARCH("WP",Table23[[#This Row],[Link to Reference]])&gt;0,"Work Program","Booklet"),"Booklet")</f>
        <v>Booklet</v>
      </c>
      <c r="Z204" s="286">
        <v>9</v>
      </c>
      <c r="AA204" s="302">
        <f>IF(Table23[[#This Row],[Type]]="Booklet",MATCH(LEFT(Table23[[#This Row],[Link to Reference]],FIND(".",Table23[[#This Row],[Link to Reference]])-1),bookletsInfo[Initial],0),MATCH(LEFT(Table23[[#This Row],[Link to Reference]],FIND(".",Table23[[#This Row],[Link to Reference]])-1),WPInfo[Initials],0))</f>
        <v>3</v>
      </c>
      <c r="AB20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https://ithandbook.ffiec.gov/media/274741/ffiec_itbooklet_developmentandacquisition.pdf#Page=13</v>
      </c>
      <c r="AC204" s="286">
        <v>199</v>
      </c>
      <c r="AD204" s="286" t="str">
        <f>IF(G204=G203,IF(MOD(Table23[[#This Row],[order]],2)=1,"hideOdd","hideEven"),FALSE)</f>
        <v>hideOdd</v>
      </c>
      <c r="AE204" s="286">
        <f>IF(Table23[[#This Row],[hideText]]=FALSE,AE203+1,AE203)</f>
        <v>71</v>
      </c>
      <c r="AF204" s="269"/>
      <c r="AO204"/>
    </row>
    <row r="205" spans="1:41" ht="60" x14ac:dyDescent="0.25">
      <c r="A205" s="206" t="s">
        <v>215</v>
      </c>
      <c r="B205" s="206" t="s">
        <v>1560</v>
      </c>
      <c r="C205" s="206" t="s">
        <v>350</v>
      </c>
      <c r="D205" s="306" t="str">
        <f>IF(Table23[[#This Row],[hideText]]=FALSE,HYPERLINK(INDEX('Verify Baseline Links'!$P$10:$P$132,MATCH(Table23[[#This Row],[DSorder]],'Verify Baseline Links'!$M$10:$M$132,0)),"DS"),"")</f>
        <v/>
      </c>
      <c r="E205" s="206" t="s">
        <v>1701</v>
      </c>
      <c r="F205" s="223"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5" s="206">
        <f>MATCH(Table23[[#This Row],[clean DS]],combinedMaturityTable[Dsm clean],0)</f>
        <v>272</v>
      </c>
      <c r="H205" s="223"/>
      <c r="I205" s="223" t="s">
        <v>1706</v>
      </c>
      <c r="J205" s="308" t="str">
        <f>HYPERLINK(Table23[[#This Row],[URL]],Table23[[#This Row],[Link to Reference]])</f>
        <v>D&amp;A.WP.13.1</v>
      </c>
      <c r="K205" s="206" t="s">
        <v>1707</v>
      </c>
      <c r="X205" s="286" t="s">
        <v>1952</v>
      </c>
      <c r="Y205" s="302" t="str">
        <f>IFERROR(IF(SEARCH("WP",Table23[[#This Row],[Link to Reference]])&gt;0,"Work Program","Booklet"),"Booklet")</f>
        <v>Work Program</v>
      </c>
      <c r="Z205" s="286">
        <v>14</v>
      </c>
      <c r="AA205" s="302">
        <f>IF(Table23[[#This Row],[Type]]="Booklet",MATCH(LEFT(Table23[[#This Row],[Link to Reference]],FIND(".",Table23[[#This Row],[Link to Reference]])-1),bookletsInfo[Initial],0),MATCH(LEFT(Table23[[#This Row],[Link to Reference]],FIND(".",Table23[[#This Row],[Link to Reference]])-1),WPInfo[Initials],0))</f>
        <v>3</v>
      </c>
      <c r="AB20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https://watkinsconsulting.com/wp-content/uploads/2019/02/Development-and-Acquisition-IT-WorkProgram.pdf#Page=14</v>
      </c>
      <c r="AC205" s="286">
        <v>200</v>
      </c>
      <c r="AD205" s="286" t="str">
        <f>IF(G205=G204,IF(MOD(Table23[[#This Row],[order]],2)=1,"hideOdd","hideEven"),FALSE)</f>
        <v>hideEven</v>
      </c>
      <c r="AE205" s="286">
        <f>IF(Table23[[#This Row],[hideText]]=FALSE,AE204+1,AE204)</f>
        <v>71</v>
      </c>
      <c r="AF205" s="269"/>
      <c r="AO205"/>
    </row>
    <row r="206" spans="1:41" ht="45" x14ac:dyDescent="0.25">
      <c r="A206" s="206" t="s">
        <v>215</v>
      </c>
      <c r="B206" s="206" t="s">
        <v>1560</v>
      </c>
      <c r="C206" s="206" t="s">
        <v>350</v>
      </c>
      <c r="D206" s="306" t="str">
        <f>IF(Table23[[#This Row],[hideText]]=FALSE,HYPERLINK(INDEX('Verify Baseline Links'!$P$10:$P$132,MATCH(Table23[[#This Row],[DSorder]],'Verify Baseline Links'!$M$10:$M$132,0)),"DS"),"")</f>
        <v/>
      </c>
      <c r="E206" s="206" t="s">
        <v>1701</v>
      </c>
      <c r="F206" s="223"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6" s="206">
        <f>MATCH(Table23[[#This Row],[clean DS]],combinedMaturityTable[Dsm clean],0)</f>
        <v>272</v>
      </c>
      <c r="H206" s="223"/>
      <c r="I206" s="223" t="s">
        <v>1692</v>
      </c>
      <c r="J206" s="308" t="str">
        <f>HYPERLINK(Table23[[#This Row],[URL]],Table23[[#This Row],[Link to Reference]])</f>
        <v>MGT.III.C.5:pg31</v>
      </c>
      <c r="K206" s="206" t="s">
        <v>1708</v>
      </c>
      <c r="X206" s="286" t="s">
        <v>1957</v>
      </c>
      <c r="Y206" s="302" t="str">
        <f>IFERROR(IF(SEARCH("WP",Table23[[#This Row],[Link to Reference]])&gt;0,"Work Program","Booklet"),"Booklet")</f>
        <v>Booklet</v>
      </c>
      <c r="Z206" s="286" t="s">
        <v>2031</v>
      </c>
      <c r="AA206" s="302">
        <f>IF(Table23[[#This Row],[Type]]="Booklet",MATCH(LEFT(Table23[[#This Row],[Link to Reference]],FIND(".",Table23[[#This Row],[Link to Reference]])-1),bookletsInfo[Initial],0),MATCH(LEFT(Table23[[#This Row],[Link to Reference]],FIND(".",Table23[[#This Row],[Link to Reference]])-1),WPInfo[Initials],0))</f>
        <v>6</v>
      </c>
      <c r="AB20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https://ithandbook.ffiec.gov/media/274809/ffiec_itbooklet_management.pdf#Page=32</v>
      </c>
      <c r="AC206" s="286">
        <v>201</v>
      </c>
      <c r="AD206" s="286" t="str">
        <f>IF(G206=G205,IF(MOD(Table23[[#This Row],[order]],2)=1,"hideOdd","hideEven"),FALSE)</f>
        <v>hideOdd</v>
      </c>
      <c r="AE206" s="286">
        <f>IF(Table23[[#This Row],[hideText]]=FALSE,AE205+1,AE205)</f>
        <v>71</v>
      </c>
      <c r="AF206" s="269"/>
      <c r="AO206"/>
    </row>
    <row r="207" spans="1:41" ht="45" x14ac:dyDescent="0.25">
      <c r="A207" s="206" t="s">
        <v>215</v>
      </c>
      <c r="B207" s="206" t="s">
        <v>1560</v>
      </c>
      <c r="C207" s="206" t="s">
        <v>350</v>
      </c>
      <c r="D207" s="306" t="str">
        <f>IF(Table23[[#This Row],[hideText]]=FALSE,HYPERLINK(INDEX('Verify Baseline Links'!$P$10:$P$132,MATCH(Table23[[#This Row],[DSorder]],'Verify Baseline Links'!$M$10:$M$132,0)),"DS"),"")</f>
        <v/>
      </c>
      <c r="E207" s="206" t="s">
        <v>1701</v>
      </c>
      <c r="F207" s="223"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7" s="206">
        <f>MATCH(Table23[[#This Row],[clean DS]],combinedMaturityTable[Dsm clean],0)</f>
        <v>272</v>
      </c>
      <c r="H207" s="223"/>
      <c r="I207" s="223" t="s">
        <v>1709</v>
      </c>
      <c r="J207" s="308" t="str">
        <f>HYPERLINK(Table23[[#This Row],[URL]],Table23[[#This Row],[Link to Reference]])</f>
        <v>MGT.WP.12.10.c</v>
      </c>
      <c r="K207" s="206" t="s">
        <v>1710</v>
      </c>
      <c r="X207" s="286" t="s">
        <v>1957</v>
      </c>
      <c r="Y207" s="302" t="str">
        <f>IFERROR(IF(SEARCH("WP",Table23[[#This Row],[Link to Reference]])&gt;0,"Work Program","Booklet"),"Booklet")</f>
        <v>Work Program</v>
      </c>
      <c r="Z207" s="286">
        <v>17</v>
      </c>
      <c r="AA207" s="302">
        <f>IF(Table23[[#This Row],[Type]]="Booklet",MATCH(LEFT(Table23[[#This Row],[Link to Reference]],FIND(".",Table23[[#This Row],[Link to Reference]])-1),bookletsInfo[Initial],0),MATCH(LEFT(Table23[[#This Row],[Link to Reference]],FIND(".",Table23[[#This Row],[Link to Reference]])-1),WPInfo[Initials],0))</f>
        <v>6</v>
      </c>
      <c r="AB20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https://watkinsconsulting.com/wp-content/uploads/2019/02/Management-IT-WorkProgram.pdf#Page=17</v>
      </c>
      <c r="AC207" s="286">
        <v>202</v>
      </c>
      <c r="AD207" s="286" t="str">
        <f>IF(G207=G206,IF(MOD(Table23[[#This Row],[order]],2)=1,"hideOdd","hideEven"),FALSE)</f>
        <v>hideEven</v>
      </c>
      <c r="AE207" s="286">
        <f>IF(Table23[[#This Row],[hideText]]=FALSE,AE206+1,AE206)</f>
        <v>71</v>
      </c>
      <c r="AF207" s="269"/>
      <c r="AO207"/>
    </row>
    <row r="208" spans="1:41" ht="45" x14ac:dyDescent="0.25">
      <c r="A208" s="206" t="s">
        <v>215</v>
      </c>
      <c r="B208" s="206" t="s">
        <v>1560</v>
      </c>
      <c r="C208" s="206" t="s">
        <v>350</v>
      </c>
      <c r="D208" s="306" t="str">
        <f ca="1">IF(Table23[[#This Row],[hideText]]=FALSE,HYPERLINK(INDEX('Verify Baseline Links'!$P$10:$P$132,MATCH(Table23[[#This Row],[DSorder]],'Verify Baseline Links'!$M$10:$M$132,0)),"DS"),"")</f>
        <v>DS</v>
      </c>
      <c r="E208" s="206" t="s">
        <v>1711</v>
      </c>
      <c r="F208" s="223" t="str">
        <f>CLEAN(TRIM(SUBSTITUTE(LEFT(Table23[[#This Row],[Declarative Statement]],MIN(250,LEN(Table23[[#This Row],[Declarative Statement]]))),CHAR(160)," ")))</f>
        <v>Intellectual property and production code are held in escrow. (*N/A if there is no production code to hold in escrow.)</v>
      </c>
      <c r="G208" s="206">
        <f>MATCH(Table23[[#This Row],[clean DS]],combinedMaturityTable[Dsm clean],0)</f>
        <v>273</v>
      </c>
      <c r="H208" s="223">
        <v>2</v>
      </c>
      <c r="I208" s="223" t="s">
        <v>1712</v>
      </c>
      <c r="J208" s="308" t="str">
        <f>HYPERLINK(Table23[[#This Row],[URL]],Table23[[#This Row],[Link to Reference]])</f>
        <v>D&amp;A.B.39</v>
      </c>
      <c r="K208" s="206" t="s">
        <v>1713</v>
      </c>
      <c r="L208" s="286" t="s">
        <v>1714</v>
      </c>
      <c r="M208" s="286" t="s">
        <v>1715</v>
      </c>
      <c r="N208" s="286" t="s">
        <v>1378</v>
      </c>
      <c r="O208" s="286" t="s">
        <v>1378</v>
      </c>
      <c r="P208" s="286" t="s">
        <v>1378</v>
      </c>
      <c r="Q208" s="286" t="s">
        <v>1378</v>
      </c>
      <c r="R208" s="286" t="s">
        <v>1378</v>
      </c>
      <c r="S208" s="286" t="s">
        <v>1378</v>
      </c>
      <c r="T208" s="286" t="s">
        <v>1378</v>
      </c>
      <c r="U208" s="286" t="s">
        <v>1378</v>
      </c>
      <c r="X208" s="286" t="s">
        <v>1952</v>
      </c>
      <c r="Y208" s="302" t="str">
        <f>IFERROR(IF(SEARCH("WP",Table23[[#This Row],[Link to Reference]])&gt;0,"Work Program","Booklet"),"Booklet")</f>
        <v>Booklet</v>
      </c>
      <c r="Z208" s="286">
        <v>39</v>
      </c>
      <c r="AA208" s="302">
        <f>IF(Table23[[#This Row],[Type]]="Booklet",MATCH(LEFT(Table23[[#This Row],[Link to Reference]],FIND(".",Table23[[#This Row],[Link to Reference]])-1),bookletsInfo[Initial],0),MATCH(LEFT(Table23[[#This Row],[Link to Reference]],FIND(".",Table23[[#This Row],[Link to Reference]])-1),WPInfo[Initials],0))</f>
        <v>3</v>
      </c>
      <c r="AB20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https://ithandbook.ffiec.gov/media/274741/ffiec_itbooklet_developmentandacquisition.pdf#Page=43</v>
      </c>
      <c r="AC208" s="286">
        <v>203</v>
      </c>
      <c r="AD208" s="286" t="b">
        <f>IF(G208=G207,IF(MOD(Table23[[#This Row],[order]],2)=1,"hideOdd","hideEven"),FALSE)</f>
        <v>0</v>
      </c>
      <c r="AE208" s="286">
        <f>IF(Table23[[#This Row],[hideText]]=FALSE,AE207+1,AE207)</f>
        <v>72</v>
      </c>
      <c r="AF208" s="269"/>
      <c r="AO208"/>
    </row>
    <row r="209" spans="1:41" ht="30" x14ac:dyDescent="0.25">
      <c r="A209" s="206" t="s">
        <v>215</v>
      </c>
      <c r="B209" s="206" t="s">
        <v>1560</v>
      </c>
      <c r="C209" s="206" t="s">
        <v>350</v>
      </c>
      <c r="D209" s="306" t="str">
        <f>IF(Table23[[#This Row],[hideText]]=FALSE,HYPERLINK(INDEX('Verify Baseline Links'!$P$10:$P$132,MATCH(Table23[[#This Row],[DSorder]],'Verify Baseline Links'!$M$10:$M$132,0)),"DS"),"")</f>
        <v/>
      </c>
      <c r="E209" s="206" t="s">
        <v>1711</v>
      </c>
      <c r="F209" s="223" t="str">
        <f>CLEAN(TRIM(SUBSTITUTE(LEFT(Table23[[#This Row],[Declarative Statement]],MIN(250,LEN(Table23[[#This Row],[Declarative Statement]]))),CHAR(160)," ")))</f>
        <v>Intellectual property and production code are held in escrow. (*N/A if there is no production code to hold in escrow.)</v>
      </c>
      <c r="G209" s="206">
        <f>MATCH(Table23[[#This Row],[clean DS]],combinedMaturityTable[Dsm clean],0)</f>
        <v>273</v>
      </c>
      <c r="H209" s="223"/>
      <c r="I209" s="223" t="s">
        <v>1714</v>
      </c>
      <c r="J209" s="308" t="str">
        <f>HYPERLINK(Table23[[#This Row],[URL]],Table23[[#This Row],[Link to Reference]])</f>
        <v>D&amp;A.WP.6.1</v>
      </c>
      <c r="K209" s="206" t="s">
        <v>1715</v>
      </c>
      <c r="X209" s="286" t="s">
        <v>1952</v>
      </c>
      <c r="Y209" s="302" t="str">
        <f>IFERROR(IF(SEARCH("WP",Table23[[#This Row],[Link to Reference]])&gt;0,"Work Program","Booklet"),"Booklet")</f>
        <v>Work Program</v>
      </c>
      <c r="Z209" s="286">
        <v>5</v>
      </c>
      <c r="AA209" s="302">
        <f>IF(Table23[[#This Row],[Type]]="Booklet",MATCH(LEFT(Table23[[#This Row],[Link to Reference]],FIND(".",Table23[[#This Row],[Link to Reference]])-1),bookletsInfo[Initial],0),MATCH(LEFT(Table23[[#This Row],[Link to Reference]],FIND(".",Table23[[#This Row],[Link to Reference]])-1),WPInfo[Initials],0))</f>
        <v>3</v>
      </c>
      <c r="AB20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https://watkinsconsulting.com/wp-content/uploads/2019/02/Development-and-Acquisition-IT-WorkProgram.pdf#Page=5</v>
      </c>
      <c r="AC209" s="286">
        <v>204</v>
      </c>
      <c r="AD209" s="286" t="str">
        <f>IF(G209=G208,IF(MOD(Table23[[#This Row],[order]],2)=1,"hideOdd","hideEven"),FALSE)</f>
        <v>hideEven</v>
      </c>
      <c r="AE209" s="286">
        <f>IF(Table23[[#This Row],[hideText]]=FALSE,AE208+1,AE208)</f>
        <v>72</v>
      </c>
      <c r="AF209" s="269"/>
      <c r="AO209"/>
    </row>
    <row r="210" spans="1:41" ht="60" x14ac:dyDescent="0.25">
      <c r="A210" s="206" t="s">
        <v>215</v>
      </c>
      <c r="B210" s="206" t="s">
        <v>364</v>
      </c>
      <c r="C210" s="206" t="s">
        <v>612</v>
      </c>
      <c r="D210" s="306" t="str">
        <f ca="1">IF(Table23[[#This Row],[hideText]]=FALSE,HYPERLINK(INDEX('Verify Baseline Links'!$P$10:$P$132,MATCH(Table23[[#This Row],[DSorder]],'Verify Baseline Links'!$M$10:$M$132,0)),"DS"),"")</f>
        <v>DS</v>
      </c>
      <c r="E210" s="206" t="s">
        <v>1716</v>
      </c>
      <c r="F210" s="223"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0" s="206">
        <f>MATCH(Table23[[#This Row],[clean DS]],combinedMaturityTable[Dsm clean],0)</f>
        <v>283</v>
      </c>
      <c r="H210" s="223"/>
      <c r="I210" s="223" t="s">
        <v>1722</v>
      </c>
      <c r="J210" s="308" t="str">
        <f>HYPERLINK(Table23[[#This Row],[URL]],Table23[[#This Row],[Link to Reference]])</f>
        <v>MGT.WP.12.8.f</v>
      </c>
      <c r="K210" s="206" t="s">
        <v>1723</v>
      </c>
      <c r="X210" s="286" t="s">
        <v>1957</v>
      </c>
      <c r="Y210" s="302" t="str">
        <f>IFERROR(IF(SEARCH("WP",Table23[[#This Row],[Link to Reference]])&gt;0,"Work Program","Booklet"),"Booklet")</f>
        <v>Work Program</v>
      </c>
      <c r="Z210" s="286">
        <v>16</v>
      </c>
      <c r="AA210" s="302">
        <f>IF(Table23[[#This Row],[Type]]="Booklet",MATCH(LEFT(Table23[[#This Row],[Link to Reference]],FIND(".",Table23[[#This Row],[Link to Reference]])-1),bookletsInfo[Initial],0),MATCH(LEFT(Table23[[#This Row],[Link to Reference]],FIND(".",Table23[[#This Row],[Link to Reference]])-1),WPInfo[Initials],0))</f>
        <v>6</v>
      </c>
      <c r="AB21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210" s="286">
        <v>208</v>
      </c>
      <c r="AD210" s="286" t="b">
        <f>IF(G210=G209,IF(MOD(Table23[[#This Row],[order]],2)=1,"hideOdd","hideEven"),FALSE)</f>
        <v>0</v>
      </c>
      <c r="AE210" s="286">
        <f>IF(Table23[[#This Row],[hideText]]=FALSE,AE209+1,AE209)</f>
        <v>73</v>
      </c>
      <c r="AF210" s="269"/>
      <c r="AO210"/>
    </row>
    <row r="211" spans="1:41" ht="45" x14ac:dyDescent="0.25">
      <c r="A211" s="206" t="s">
        <v>215</v>
      </c>
      <c r="B211" s="206" t="s">
        <v>364</v>
      </c>
      <c r="C211" s="206" t="s">
        <v>612</v>
      </c>
      <c r="D211" s="306" t="str">
        <f>IF(Table23[[#This Row],[hideText]]=FALSE,HYPERLINK(INDEX('Verify Baseline Links'!$P$10:$P$132,MATCH(Table23[[#This Row],[DSorder]],'Verify Baseline Links'!$M$10:$M$132,0)),"DS"),"")</f>
        <v/>
      </c>
      <c r="E211" s="206" t="s">
        <v>1716</v>
      </c>
      <c r="F211" s="223"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1" s="206">
        <f>MATCH(Table23[[#This Row],[clean DS]],combinedMaturityTable[Dsm clean],0)</f>
        <v>283</v>
      </c>
      <c r="H211" s="223">
        <v>4</v>
      </c>
      <c r="I211" s="223" t="s">
        <v>2038</v>
      </c>
      <c r="J211" s="308" t="str">
        <f>HYPERLINK(Table23[[#This Row],[URL]],Table23[[#This Row],[Link to Reference]])</f>
        <v>IS.IS.II.C.17:pg38</v>
      </c>
      <c r="K211" s="206" t="s">
        <v>2039</v>
      </c>
      <c r="L211" s="286" t="s">
        <v>1719</v>
      </c>
      <c r="M211" s="286" t="s">
        <v>1720</v>
      </c>
      <c r="N211" s="286" t="s">
        <v>1529</v>
      </c>
      <c r="O211" s="286" t="s">
        <v>1721</v>
      </c>
      <c r="P211" s="286" t="s">
        <v>1722</v>
      </c>
      <c r="Q211" s="286" t="s">
        <v>1723</v>
      </c>
      <c r="R211" s="286" t="s">
        <v>1378</v>
      </c>
      <c r="S211" s="286" t="s">
        <v>1378</v>
      </c>
      <c r="T211" s="286" t="s">
        <v>1378</v>
      </c>
      <c r="U211" s="286" t="s">
        <v>1378</v>
      </c>
      <c r="X211" s="286" t="s">
        <v>1186</v>
      </c>
      <c r="Y211" s="302" t="str">
        <f>IFERROR(IF(SEARCH("WP",Table23[[#This Row],[Link to Reference]])&gt;0,"Work Program","Booklet"),"Booklet")</f>
        <v>Booklet</v>
      </c>
      <c r="Z211" s="286" t="s">
        <v>2015</v>
      </c>
      <c r="AA211" s="302">
        <f>IF(Table23[[#This Row],[Type]]="Booklet",MATCH(LEFT(Table23[[#This Row],[Link to Reference]],FIND(".",Table23[[#This Row],[Link to Reference]])-1),bookletsInfo[Initial],0),MATCH(LEFT(Table23[[#This Row],[Link to Reference]],FIND(".",Table23[[#This Row],[Link to Reference]])-1),WPInfo[Initials],0))</f>
        <v>5</v>
      </c>
      <c r="AB21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https://ithandbook.ffiec.gov/media/274793/ffiec_itbooklet_informationsecurity.pdf#Page=41</v>
      </c>
      <c r="AC211" s="286">
        <v>205</v>
      </c>
      <c r="AD211" s="286" t="str">
        <f>IF(G211=G210,IF(MOD(Table23[[#This Row],[order]],2)=1,"hideOdd","hideEven"),FALSE)</f>
        <v>hideOdd</v>
      </c>
      <c r="AE211" s="286">
        <f>IF(Table23[[#This Row],[hideText]]=FALSE,AE210+1,AE210)</f>
        <v>73</v>
      </c>
      <c r="AF211" s="269"/>
      <c r="AO211"/>
    </row>
    <row r="212" spans="1:41" ht="45" x14ac:dyDescent="0.25">
      <c r="A212" s="206" t="s">
        <v>215</v>
      </c>
      <c r="B212" s="206" t="s">
        <v>364</v>
      </c>
      <c r="C212" s="206" t="s">
        <v>612</v>
      </c>
      <c r="D212" s="306" t="str">
        <f>IF(Table23[[#This Row],[hideText]]=FALSE,HYPERLINK(INDEX('Verify Baseline Links'!$P$10:$P$132,MATCH(Table23[[#This Row],[DSorder]],'Verify Baseline Links'!$M$10:$M$132,0)),"DS"),"")</f>
        <v/>
      </c>
      <c r="E212" s="206" t="s">
        <v>1716</v>
      </c>
      <c r="F212" s="223"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2" s="206">
        <f>MATCH(Table23[[#This Row],[clean DS]],combinedMaturityTable[Dsm clean],0)</f>
        <v>283</v>
      </c>
      <c r="H212" s="223"/>
      <c r="I212" s="223" t="s">
        <v>1719</v>
      </c>
      <c r="J212" s="308" t="str">
        <f>HYPERLINK(Table23[[#This Row],[URL]],Table23[[#This Row],[Link to Reference]])</f>
        <v>IS.WP.4.2.d</v>
      </c>
      <c r="K212" s="206" t="s">
        <v>1720</v>
      </c>
      <c r="X212" s="286" t="s">
        <v>1186</v>
      </c>
      <c r="Y212" s="302" t="str">
        <f>IFERROR(IF(SEARCH("WP",Table23[[#This Row],[Link to Reference]])&gt;0,"Work Program","Booklet"),"Booklet")</f>
        <v>Work Program</v>
      </c>
      <c r="Z212" s="286">
        <v>6</v>
      </c>
      <c r="AA212" s="302">
        <f>IF(Table23[[#This Row],[Type]]="Booklet",MATCH(LEFT(Table23[[#This Row],[Link to Reference]],FIND(".",Table23[[#This Row],[Link to Reference]])-1),bookletsInfo[Initial],0),MATCH(LEFT(Table23[[#This Row],[Link to Reference]],FIND(".",Table23[[#This Row],[Link to Reference]])-1),WPInfo[Initials],0))</f>
        <v>5</v>
      </c>
      <c r="AB21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https://watkinsconsulting.com/wp-content/uploads/2019/02/Information-Security-IT-WorkProgram.pdf#Page=6</v>
      </c>
      <c r="AC212" s="286">
        <v>206</v>
      </c>
      <c r="AD212" s="286" t="str">
        <f>IF(G212=G211,IF(MOD(Table23[[#This Row],[order]],2)=1,"hideOdd","hideEven"),FALSE)</f>
        <v>hideEven</v>
      </c>
      <c r="AE212" s="286">
        <f>IF(Table23[[#This Row],[hideText]]=FALSE,AE211+1,AE211)</f>
        <v>73</v>
      </c>
      <c r="AF212" s="269"/>
      <c r="AO212"/>
    </row>
    <row r="213" spans="1:41" ht="45" x14ac:dyDescent="0.25">
      <c r="A213" s="206" t="s">
        <v>215</v>
      </c>
      <c r="B213" s="206" t="s">
        <v>364</v>
      </c>
      <c r="C213" s="206" t="s">
        <v>612</v>
      </c>
      <c r="D213" s="306" t="str">
        <f>IF(Table23[[#This Row],[hideText]]=FALSE,HYPERLINK(INDEX('Verify Baseline Links'!$P$10:$P$132,MATCH(Table23[[#This Row],[DSorder]],'Verify Baseline Links'!$M$10:$M$132,0)),"DS"),"")</f>
        <v/>
      </c>
      <c r="E213" s="206" t="s">
        <v>1716</v>
      </c>
      <c r="F213" s="223"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3" s="206">
        <f>MATCH(Table23[[#This Row],[clean DS]],combinedMaturityTable[Dsm clean],0)</f>
        <v>283</v>
      </c>
      <c r="H213" s="223"/>
      <c r="I213" s="223" t="s">
        <v>1529</v>
      </c>
      <c r="J213" s="308" t="str">
        <f>HYPERLINK(Table23[[#This Row],[URL]],Table23[[#This Row],[Link to Reference]])</f>
        <v>MGT.III.C.3:pg29</v>
      </c>
      <c r="K213" s="206" t="s">
        <v>1721</v>
      </c>
      <c r="X213" s="286" t="s">
        <v>1957</v>
      </c>
      <c r="Y213" s="302" t="str">
        <f>IFERROR(IF(SEARCH("WP",Table23[[#This Row],[Link to Reference]])&gt;0,"Work Program","Booklet"),"Booklet")</f>
        <v>Booklet</v>
      </c>
      <c r="Z213" s="286" t="s">
        <v>2023</v>
      </c>
      <c r="AA213" s="302">
        <f>IF(Table23[[#This Row],[Type]]="Booklet",MATCH(LEFT(Table23[[#This Row],[Link to Reference]],FIND(".",Table23[[#This Row],[Link to Reference]])-1),bookletsInfo[Initial],0),MATCH(LEFT(Table23[[#This Row],[Link to Reference]],FIND(".",Table23[[#This Row],[Link to Reference]])-1),WPInfo[Initials],0))</f>
        <v>6</v>
      </c>
      <c r="AB21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213" s="286">
        <v>207</v>
      </c>
      <c r="AD213" s="286" t="str">
        <f>IF(G213=G212,IF(MOD(Table23[[#This Row],[order]],2)=1,"hideOdd","hideEven"),FALSE)</f>
        <v>hideOdd</v>
      </c>
      <c r="AE213" s="286">
        <f>IF(Table23[[#This Row],[hideText]]=FALSE,AE212+1,AE212)</f>
        <v>73</v>
      </c>
      <c r="AF213" s="269"/>
      <c r="AO213"/>
    </row>
    <row r="214" spans="1:41" ht="45" x14ac:dyDescent="0.25">
      <c r="A214" s="206" t="s">
        <v>215</v>
      </c>
      <c r="B214" s="206" t="s">
        <v>364</v>
      </c>
      <c r="C214" s="206" t="s">
        <v>612</v>
      </c>
      <c r="D214" s="306" t="str">
        <f ca="1">IF(Table23[[#This Row],[hideText]]=FALSE,HYPERLINK(INDEX('Verify Baseline Links'!$P$10:$P$132,MATCH(Table23[[#This Row],[DSorder]],'Verify Baseline Links'!$M$10:$M$132,0)),"DS"),"")</f>
        <v>DS</v>
      </c>
      <c r="E214" s="206" t="s">
        <v>2066</v>
      </c>
      <c r="F214" s="223" t="str">
        <f>CLEAN(TRIM(SUBSTITUTE(LEFT(Table23[[#This Row],[Declarative Statement]],MIN(250,LEN(Table23[[#This Row],[Declarative Statement]]))),CHAR(160)," ")))</f>
        <v>Antivirus and anti-malware tools are used to detect attacks.</v>
      </c>
      <c r="G214" s="206">
        <f>MATCH(Table23[[#This Row],[clean DS]],combinedMaturityTable[Dsm clean],0)</f>
        <v>284</v>
      </c>
      <c r="H214" s="223">
        <v>2</v>
      </c>
      <c r="I214" s="223" t="s">
        <v>1181</v>
      </c>
      <c r="J214" s="308" t="str">
        <f>HYPERLINK(Table23[[#This Row],[URL]],Table23[[#This Row],[Link to Reference]])</f>
        <v>IS.II.C.12:pg26</v>
      </c>
      <c r="K214" s="206" t="s">
        <v>1579</v>
      </c>
      <c r="L214" s="286" t="s">
        <v>1580</v>
      </c>
      <c r="M214" s="286" t="s">
        <v>1581</v>
      </c>
      <c r="N214" s="286" t="s">
        <v>1378</v>
      </c>
      <c r="O214" s="286" t="s">
        <v>1378</v>
      </c>
      <c r="P214" s="286" t="s">
        <v>1378</v>
      </c>
      <c r="Q214" s="286" t="s">
        <v>1378</v>
      </c>
      <c r="R214" s="286" t="s">
        <v>1378</v>
      </c>
      <c r="S214" s="286" t="s">
        <v>1378</v>
      </c>
      <c r="T214" s="286" t="s">
        <v>1378</v>
      </c>
      <c r="U214" s="286" t="s">
        <v>1378</v>
      </c>
      <c r="X214" s="286" t="s">
        <v>1186</v>
      </c>
      <c r="Y214" s="302" t="str">
        <f>IFERROR(IF(SEARCH("WP",Table23[[#This Row],[Link to Reference]])&gt;0,"Work Program","Booklet"),"Booklet")</f>
        <v>Booklet</v>
      </c>
      <c r="Z214" s="286" t="s">
        <v>2026</v>
      </c>
      <c r="AA214" s="302">
        <f>IF(Table23[[#This Row],[Type]]="Booklet",MATCH(LEFT(Table23[[#This Row],[Link to Reference]],FIND(".",Table23[[#This Row],[Link to Reference]])-1),bookletsInfo[Initial],0),MATCH(LEFT(Table23[[#This Row],[Link to Reference]],FIND(".",Table23[[#This Row],[Link to Reference]])-1),WPInfo[Initials],0))</f>
        <v>5</v>
      </c>
      <c r="AB21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214" s="286">
        <v>209</v>
      </c>
      <c r="AD214" s="286" t="b">
        <f>IF(G214=G213,IF(MOD(Table23[[#This Row],[order]],2)=1,"hideOdd","hideEven"),FALSE)</f>
        <v>0</v>
      </c>
      <c r="AE214" s="286">
        <f>IF(Table23[[#This Row],[hideText]]=FALSE,AE213+1,AE213)</f>
        <v>74</v>
      </c>
      <c r="AF214" s="269"/>
      <c r="AO214"/>
    </row>
    <row r="215" spans="1:41" ht="45" x14ac:dyDescent="0.25">
      <c r="A215" s="206" t="s">
        <v>215</v>
      </c>
      <c r="B215" s="206" t="s">
        <v>364</v>
      </c>
      <c r="C215" s="206" t="s">
        <v>612</v>
      </c>
      <c r="D215" s="306" t="str">
        <f>IF(Table23[[#This Row],[hideText]]=FALSE,HYPERLINK(INDEX('Verify Baseline Links'!$P$10:$P$132,MATCH(Table23[[#This Row],[DSorder]],'Verify Baseline Links'!$M$10:$M$132,0)),"DS"),"")</f>
        <v/>
      </c>
      <c r="E215" s="206" t="s">
        <v>2066</v>
      </c>
      <c r="F215" s="223" t="str">
        <f>CLEAN(TRIM(SUBSTITUTE(LEFT(Table23[[#This Row],[Declarative Statement]],MIN(250,LEN(Table23[[#This Row],[Declarative Statement]]))),CHAR(160)," ")))</f>
        <v>Antivirus and anti-malware tools are used to detect attacks.</v>
      </c>
      <c r="G215" s="206">
        <f>MATCH(Table23[[#This Row],[clean DS]],combinedMaturityTable[Dsm clean],0)</f>
        <v>284</v>
      </c>
      <c r="H215" s="223"/>
      <c r="I215" s="223" t="s">
        <v>1580</v>
      </c>
      <c r="J215" s="308" t="str">
        <f>HYPERLINK(Table23[[#This Row],[URL]],Table23[[#This Row],[Link to Reference]])</f>
        <v>IS.WP.6.17</v>
      </c>
      <c r="K215" s="206" t="s">
        <v>1581</v>
      </c>
      <c r="X215" s="286" t="s">
        <v>1186</v>
      </c>
      <c r="Y215" s="302" t="str">
        <f>IFERROR(IF(SEARCH("WP",Table23[[#This Row],[Link to Reference]])&gt;0,"Work Program","Booklet"),"Booklet")</f>
        <v>Work Program</v>
      </c>
      <c r="Z215" s="286">
        <v>11</v>
      </c>
      <c r="AA215" s="302">
        <f>IF(Table23[[#This Row],[Type]]="Booklet",MATCH(LEFT(Table23[[#This Row],[Link to Reference]],FIND(".",Table23[[#This Row],[Link to Reference]])-1),bookletsInfo[Initial],0),MATCH(LEFT(Table23[[#This Row],[Link to Reference]],FIND(".",Table23[[#This Row],[Link to Reference]])-1),WPInfo[Initials],0))</f>
        <v>5</v>
      </c>
      <c r="AB21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215" s="286">
        <v>210</v>
      </c>
      <c r="AD215" s="286" t="str">
        <f>IF(G215=G214,IF(MOD(Table23[[#This Row],[order]],2)=1,"hideOdd","hideEven"),FALSE)</f>
        <v>hideEven</v>
      </c>
      <c r="AE215" s="286">
        <f>IF(Table23[[#This Row],[hideText]]=FALSE,AE214+1,AE214)</f>
        <v>74</v>
      </c>
      <c r="AF215" s="269"/>
      <c r="AO215"/>
    </row>
    <row r="216" spans="1:41" ht="45" x14ac:dyDescent="0.25">
      <c r="A216" s="206" t="s">
        <v>215</v>
      </c>
      <c r="B216" s="206" t="s">
        <v>364</v>
      </c>
      <c r="C216" s="206" t="s">
        <v>612</v>
      </c>
      <c r="D216" s="306" t="str">
        <f ca="1">IF(Table23[[#This Row],[hideText]]=FALSE,HYPERLINK(INDEX('Verify Baseline Links'!$P$10:$P$132,MATCH(Table23[[#This Row],[DSorder]],'Verify Baseline Links'!$M$10:$M$132,0)),"DS"),"")</f>
        <v>DS</v>
      </c>
      <c r="E216" s="206" t="s">
        <v>1725</v>
      </c>
      <c r="F216" s="223" t="str">
        <f>CLEAN(TRIM(SUBSTITUTE(LEFT(Table23[[#This Row],[Declarative Statement]],MIN(250,LEN(Table23[[#This Row],[Declarative Statement]]))),CHAR(160)," ")))</f>
        <v>Firewall rules are audited or verified at least quarterly.</v>
      </c>
      <c r="G216" s="206">
        <f>MATCH(Table23[[#This Row],[clean DS]],combinedMaturityTable[Dsm clean],0)</f>
        <v>285</v>
      </c>
      <c r="H216" s="223">
        <v>2</v>
      </c>
      <c r="I216" s="223" t="s">
        <v>1242</v>
      </c>
      <c r="J216" s="308" t="str">
        <f>HYPERLINK(Table23[[#This Row],[URL]],Table23[[#This Row],[Link to Reference]])</f>
        <v>IS.III:pg46</v>
      </c>
      <c r="K216" s="206" t="s">
        <v>1726</v>
      </c>
      <c r="L216" s="286" t="s">
        <v>1564</v>
      </c>
      <c r="M216" s="286" t="s">
        <v>1565</v>
      </c>
      <c r="N216" s="286" t="s">
        <v>1378</v>
      </c>
      <c r="O216" s="286" t="s">
        <v>1378</v>
      </c>
      <c r="P216" s="286" t="s">
        <v>1378</v>
      </c>
      <c r="Q216" s="286" t="s">
        <v>1378</v>
      </c>
      <c r="R216" s="286" t="s">
        <v>1378</v>
      </c>
      <c r="S216" s="286" t="s">
        <v>1378</v>
      </c>
      <c r="T216" s="286" t="s">
        <v>1378</v>
      </c>
      <c r="U216" s="286" t="s">
        <v>1378</v>
      </c>
      <c r="X216" s="286" t="s">
        <v>1186</v>
      </c>
      <c r="Y216" s="302" t="str">
        <f>IFERROR(IF(SEARCH("WP",Table23[[#This Row],[Link to Reference]])&gt;0,"Work Program","Booklet"),"Booklet")</f>
        <v>Booklet</v>
      </c>
      <c r="Z216" s="286" t="s">
        <v>2040</v>
      </c>
      <c r="AA216" s="302">
        <f>IF(Table23[[#This Row],[Type]]="Booklet",MATCH(LEFT(Table23[[#This Row],[Link to Reference]],FIND(".",Table23[[#This Row],[Link to Reference]])-1),bookletsInfo[Initial],0),MATCH(LEFT(Table23[[#This Row],[Link to Reference]],FIND(".",Table23[[#This Row],[Link to Reference]])-1),WPInfo[Initials],0))</f>
        <v>5</v>
      </c>
      <c r="AB21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https://ithandbook.ffiec.gov/media/274793/ffiec_itbooklet_informationsecurity.pdf#Page=49</v>
      </c>
      <c r="AC216" s="286">
        <v>211</v>
      </c>
      <c r="AD216" s="286" t="b">
        <f>IF(G216=G215,IF(MOD(Table23[[#This Row],[order]],2)=1,"hideOdd","hideEven"),FALSE)</f>
        <v>0</v>
      </c>
      <c r="AE216" s="286">
        <f>IF(Table23[[#This Row],[hideText]]=FALSE,AE215+1,AE215)</f>
        <v>75</v>
      </c>
      <c r="AF216" s="269"/>
      <c r="AO216"/>
    </row>
    <row r="217" spans="1:41" ht="45" x14ac:dyDescent="0.25">
      <c r="A217" s="206" t="s">
        <v>215</v>
      </c>
      <c r="B217" s="206" t="s">
        <v>364</v>
      </c>
      <c r="C217" s="206" t="s">
        <v>612</v>
      </c>
      <c r="D217" s="306" t="str">
        <f>IF(Table23[[#This Row],[hideText]]=FALSE,HYPERLINK(INDEX('Verify Baseline Links'!$P$10:$P$132,MATCH(Table23[[#This Row],[DSorder]],'Verify Baseline Links'!$M$10:$M$132,0)),"DS"),"")</f>
        <v/>
      </c>
      <c r="E217" s="206" t="s">
        <v>1725</v>
      </c>
      <c r="F217" s="223" t="str">
        <f>CLEAN(TRIM(SUBSTITUTE(LEFT(Table23[[#This Row],[Declarative Statement]],MIN(250,LEN(Table23[[#This Row],[Declarative Statement]]))),CHAR(160)," ")))</f>
        <v>Firewall rules are audited or verified at least quarterly.</v>
      </c>
      <c r="G217" s="206">
        <f>MATCH(Table23[[#This Row],[clean DS]],combinedMaturityTable[Dsm clean],0)</f>
        <v>285</v>
      </c>
      <c r="H217" s="223"/>
      <c r="I217" s="223" t="s">
        <v>1564</v>
      </c>
      <c r="J217" s="308" t="str">
        <f>HYPERLINK(Table23[[#This Row],[URL]],Table23[[#This Row],[Link to Reference]])</f>
        <v>IS.WP.8.1.a</v>
      </c>
      <c r="K217" s="206" t="s">
        <v>1565</v>
      </c>
      <c r="X217" s="286" t="s">
        <v>1186</v>
      </c>
      <c r="Y217" s="302" t="str">
        <f>IFERROR(IF(SEARCH("WP",Table23[[#This Row],[Link to Reference]])&gt;0,"Work Program","Booklet"),"Booklet")</f>
        <v>Work Program</v>
      </c>
      <c r="Z217" s="286">
        <v>18</v>
      </c>
      <c r="AA217" s="302">
        <f>IF(Table23[[#This Row],[Type]]="Booklet",MATCH(LEFT(Table23[[#This Row],[Link to Reference]],FIND(".",Table23[[#This Row],[Link to Reference]])-1),bookletsInfo[Initial],0),MATCH(LEFT(Table23[[#This Row],[Link to Reference]],FIND(".",Table23[[#This Row],[Link to Reference]])-1),WPInfo[Initials],0))</f>
        <v>5</v>
      </c>
      <c r="AB21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217" s="286">
        <v>212</v>
      </c>
      <c r="AD217" s="286" t="str">
        <f>IF(G217=G216,IF(MOD(Table23[[#This Row],[order]],2)=1,"hideOdd","hideEven"),FALSE)</f>
        <v>hideEven</v>
      </c>
      <c r="AE217" s="286">
        <f>IF(Table23[[#This Row],[hideText]]=FALSE,AE216+1,AE216)</f>
        <v>75</v>
      </c>
      <c r="AF217" s="269"/>
      <c r="AO217"/>
    </row>
    <row r="218" spans="1:41" ht="45" x14ac:dyDescent="0.25">
      <c r="A218" s="206" t="s">
        <v>215</v>
      </c>
      <c r="B218" s="206" t="s">
        <v>364</v>
      </c>
      <c r="C218" s="206" t="s">
        <v>612</v>
      </c>
      <c r="D218" s="306" t="str">
        <f ca="1">IF(Table23[[#This Row],[hideText]]=FALSE,HYPERLINK(INDEX('Verify Baseline Links'!$P$10:$P$132,MATCH(Table23[[#This Row],[DSorder]],'Verify Baseline Links'!$M$10:$M$132,0)),"DS"),"")</f>
        <v>DS</v>
      </c>
      <c r="E218" s="206" t="s">
        <v>1727</v>
      </c>
      <c r="F218" s="223" t="str">
        <f>CLEAN(TRIM(SUBSTITUTE(LEFT(Table23[[#This Row],[Declarative Statement]],MIN(250,LEN(Table23[[#This Row],[Declarative Statement]]))),CHAR(160)," ")))</f>
        <v>E-mail protection mechanisms are used to filter for common cyber threats (e.g., attached malware or malicious links).</v>
      </c>
      <c r="G218" s="206">
        <f>MATCH(Table23[[#This Row],[clean DS]],combinedMaturityTable[Dsm clean],0)</f>
        <v>286</v>
      </c>
      <c r="H218" s="223">
        <v>2</v>
      </c>
      <c r="I218" s="223" t="s">
        <v>1181</v>
      </c>
      <c r="J218" s="308" t="str">
        <f>HYPERLINK(Table23[[#This Row],[URL]],Table23[[#This Row],[Link to Reference]])</f>
        <v>IS.II.C.12:pg26</v>
      </c>
      <c r="K218" s="206" t="s">
        <v>1579</v>
      </c>
      <c r="L218" s="286" t="s">
        <v>1580</v>
      </c>
      <c r="M218" s="286" t="s">
        <v>1581</v>
      </c>
      <c r="N218" s="286" t="s">
        <v>1378</v>
      </c>
      <c r="O218" s="286" t="s">
        <v>1378</v>
      </c>
      <c r="P218" s="286" t="s">
        <v>1378</v>
      </c>
      <c r="Q218" s="286" t="s">
        <v>1378</v>
      </c>
      <c r="R218" s="286" t="s">
        <v>1378</v>
      </c>
      <c r="S218" s="286" t="s">
        <v>1378</v>
      </c>
      <c r="T218" s="286" t="s">
        <v>1378</v>
      </c>
      <c r="U218" s="286" t="s">
        <v>1378</v>
      </c>
      <c r="X218" s="286" t="s">
        <v>1186</v>
      </c>
      <c r="Y218" s="302" t="str">
        <f>IFERROR(IF(SEARCH("WP",Table23[[#This Row],[Link to Reference]])&gt;0,"Work Program","Booklet"),"Booklet")</f>
        <v>Booklet</v>
      </c>
      <c r="Z218" s="286" t="s">
        <v>2026</v>
      </c>
      <c r="AA218" s="302">
        <f>IF(Table23[[#This Row],[Type]]="Booklet",MATCH(LEFT(Table23[[#This Row],[Link to Reference]],FIND(".",Table23[[#This Row],[Link to Reference]])-1),bookletsInfo[Initial],0),MATCH(LEFT(Table23[[#This Row],[Link to Reference]],FIND(".",Table23[[#This Row],[Link to Reference]])-1),WPInfo[Initials],0))</f>
        <v>5</v>
      </c>
      <c r="AB21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218" s="286">
        <v>213</v>
      </c>
      <c r="AD218" s="286" t="b">
        <f>IF(G218=G217,IF(MOD(Table23[[#This Row],[order]],2)=1,"hideOdd","hideEven"),FALSE)</f>
        <v>0</v>
      </c>
      <c r="AE218" s="286">
        <f>IF(Table23[[#This Row],[hideText]]=FALSE,AE217+1,AE217)</f>
        <v>76</v>
      </c>
      <c r="AF218" s="269"/>
      <c r="AO218"/>
    </row>
    <row r="219" spans="1:41" ht="45" x14ac:dyDescent="0.25">
      <c r="A219" s="206" t="s">
        <v>215</v>
      </c>
      <c r="B219" s="206" t="s">
        <v>364</v>
      </c>
      <c r="C219" s="206" t="s">
        <v>612</v>
      </c>
      <c r="D219" s="306" t="str">
        <f>IF(Table23[[#This Row],[hideText]]=FALSE,HYPERLINK(INDEX('Verify Baseline Links'!$P$10:$P$132,MATCH(Table23[[#This Row],[DSorder]],'Verify Baseline Links'!$M$10:$M$132,0)),"DS"),"")</f>
        <v/>
      </c>
      <c r="E219" s="206" t="s">
        <v>1727</v>
      </c>
      <c r="F219" s="223" t="str">
        <f>CLEAN(TRIM(SUBSTITUTE(LEFT(Table23[[#This Row],[Declarative Statement]],MIN(250,LEN(Table23[[#This Row],[Declarative Statement]]))),CHAR(160)," ")))</f>
        <v>E-mail protection mechanisms are used to filter for common cyber threats (e.g., attached malware or malicious links).</v>
      </c>
      <c r="G219" s="206">
        <f>MATCH(Table23[[#This Row],[clean DS]],combinedMaturityTable[Dsm clean],0)</f>
        <v>286</v>
      </c>
      <c r="H219" s="223"/>
      <c r="I219" s="223" t="s">
        <v>1580</v>
      </c>
      <c r="J219" s="308" t="str">
        <f>HYPERLINK(Table23[[#This Row],[URL]],Table23[[#This Row],[Link to Reference]])</f>
        <v>IS.WP.6.17</v>
      </c>
      <c r="K219" s="206" t="s">
        <v>1581</v>
      </c>
      <c r="X219" s="286" t="s">
        <v>1186</v>
      </c>
      <c r="Y219" s="302" t="str">
        <f>IFERROR(IF(SEARCH("WP",Table23[[#This Row],[Link to Reference]])&gt;0,"Work Program","Booklet"),"Booklet")</f>
        <v>Work Program</v>
      </c>
      <c r="Z219" s="286">
        <v>11</v>
      </c>
      <c r="AA219" s="302">
        <f>IF(Table23[[#This Row],[Type]]="Booklet",MATCH(LEFT(Table23[[#This Row],[Link to Reference]],FIND(".",Table23[[#This Row],[Link to Reference]])-1),bookletsInfo[Initial],0),MATCH(LEFT(Table23[[#This Row],[Link to Reference]],FIND(".",Table23[[#This Row],[Link to Reference]])-1),WPInfo[Initials],0))</f>
        <v>5</v>
      </c>
      <c r="AB21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219" s="286">
        <v>214</v>
      </c>
      <c r="AD219" s="286" t="str">
        <f>IF(G219=G218,IF(MOD(Table23[[#This Row],[order]],2)=1,"hideOdd","hideEven"),FALSE)</f>
        <v>hideEven</v>
      </c>
      <c r="AE219" s="286">
        <f>IF(Table23[[#This Row],[hideText]]=FALSE,AE218+1,AE218)</f>
        <v>76</v>
      </c>
      <c r="AF219" s="269"/>
      <c r="AO219"/>
    </row>
    <row r="220" spans="1:41" ht="60" x14ac:dyDescent="0.25">
      <c r="A220" s="206" t="s">
        <v>215</v>
      </c>
      <c r="B220" s="206" t="s">
        <v>364</v>
      </c>
      <c r="C220" s="206" t="s">
        <v>387</v>
      </c>
      <c r="D220" s="306" t="str">
        <f ca="1">IF(Table23[[#This Row],[hideText]]=FALSE,HYPERLINK(INDEX('Verify Baseline Links'!$P$10:$P$132,MATCH(Table23[[#This Row],[DSorder]],'Verify Baseline Links'!$M$10:$M$132,0)),"DS"),"")</f>
        <v>DS</v>
      </c>
      <c r="E220" s="206" t="s">
        <v>1728</v>
      </c>
      <c r="F220" s="223" t="str">
        <f>CLEAN(TRIM(SUBSTITUTE(LEFT(Table23[[#This Row],[Declarative Statement]],MIN(250,LEN(Table23[[#This Row],[Declarative Statement]]))),CHAR(160)," ")))</f>
        <v>The institution is able to detect anomalous activities through monitoring across the environment.</v>
      </c>
      <c r="G220" s="206">
        <f>MATCH(Table23[[#This Row],[clean DS]],combinedMaturityTable[Dsm clean],0)</f>
        <v>300</v>
      </c>
      <c r="H220" s="223">
        <v>2</v>
      </c>
      <c r="I220" s="223" t="s">
        <v>1181</v>
      </c>
      <c r="J220" s="308" t="str">
        <f>HYPERLINK(Table23[[#This Row],[URL]],Table23[[#This Row],[Link to Reference]])</f>
        <v>IS.II.C.12:pg26</v>
      </c>
      <c r="K220" s="206" t="s">
        <v>1729</v>
      </c>
      <c r="L220" s="286" t="s">
        <v>1580</v>
      </c>
      <c r="M220" s="286" t="s">
        <v>1581</v>
      </c>
      <c r="N220" s="286" t="s">
        <v>1378</v>
      </c>
      <c r="O220" s="286" t="s">
        <v>1378</v>
      </c>
      <c r="P220" s="286" t="s">
        <v>1378</v>
      </c>
      <c r="Q220" s="286" t="s">
        <v>1378</v>
      </c>
      <c r="R220" s="286" t="s">
        <v>1378</v>
      </c>
      <c r="S220" s="286" t="s">
        <v>1378</v>
      </c>
      <c r="T220" s="286" t="s">
        <v>1378</v>
      </c>
      <c r="U220" s="286" t="s">
        <v>1378</v>
      </c>
      <c r="X220" s="286" t="s">
        <v>1186</v>
      </c>
      <c r="Y220" s="302" t="str">
        <f>IFERROR(IF(SEARCH("WP",Table23[[#This Row],[Link to Reference]])&gt;0,"Work Program","Booklet"),"Booklet")</f>
        <v>Booklet</v>
      </c>
      <c r="Z220" s="286" t="s">
        <v>2026</v>
      </c>
      <c r="AA220" s="302">
        <f>IF(Table23[[#This Row],[Type]]="Booklet",MATCH(LEFT(Table23[[#This Row],[Link to Reference]],FIND(".",Table23[[#This Row],[Link to Reference]])-1),bookletsInfo[Initial],0),MATCH(LEFT(Table23[[#This Row],[Link to Reference]],FIND(".",Table23[[#This Row],[Link to Reference]])-1),WPInfo[Initials],0))</f>
        <v>5</v>
      </c>
      <c r="AB22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220" s="286">
        <v>215</v>
      </c>
      <c r="AD220" s="286" t="b">
        <f>IF(G220=G219,IF(MOD(Table23[[#This Row],[order]],2)=1,"hideOdd","hideEven"),FALSE)</f>
        <v>0</v>
      </c>
      <c r="AE220" s="286">
        <f>IF(Table23[[#This Row],[hideText]]=FALSE,AE219+1,AE219)</f>
        <v>77</v>
      </c>
      <c r="AF220" s="269"/>
      <c r="AO220"/>
    </row>
    <row r="221" spans="1:41" ht="45" x14ac:dyDescent="0.25">
      <c r="A221" s="206" t="s">
        <v>215</v>
      </c>
      <c r="B221" s="206" t="s">
        <v>364</v>
      </c>
      <c r="C221" s="206" t="s">
        <v>387</v>
      </c>
      <c r="D221" s="306" t="str">
        <f>IF(Table23[[#This Row],[hideText]]=FALSE,HYPERLINK(INDEX('Verify Baseline Links'!$P$10:$P$132,MATCH(Table23[[#This Row],[DSorder]],'Verify Baseline Links'!$M$10:$M$132,0)),"DS"),"")</f>
        <v/>
      </c>
      <c r="E221" s="206" t="s">
        <v>1728</v>
      </c>
      <c r="F221" s="223" t="str">
        <f>CLEAN(TRIM(SUBSTITUTE(LEFT(Table23[[#This Row],[Declarative Statement]],MIN(250,LEN(Table23[[#This Row],[Declarative Statement]]))),CHAR(160)," ")))</f>
        <v>The institution is able to detect anomalous activities through monitoring across the environment.</v>
      </c>
      <c r="G221" s="206">
        <f>MATCH(Table23[[#This Row],[clean DS]],combinedMaturityTable[Dsm clean],0)</f>
        <v>300</v>
      </c>
      <c r="H221" s="223"/>
      <c r="I221" s="223" t="s">
        <v>1580</v>
      </c>
      <c r="J221" s="308" t="str">
        <f>HYPERLINK(Table23[[#This Row],[URL]],Table23[[#This Row],[Link to Reference]])</f>
        <v>IS.WP.6.17</v>
      </c>
      <c r="K221" s="206" t="s">
        <v>1581</v>
      </c>
      <c r="X221" s="286" t="s">
        <v>1186</v>
      </c>
      <c r="Y221" s="302" t="str">
        <f>IFERROR(IF(SEARCH("WP",Table23[[#This Row],[Link to Reference]])&gt;0,"Work Program","Booklet"),"Booklet")</f>
        <v>Work Program</v>
      </c>
      <c r="Z221" s="286">
        <v>11</v>
      </c>
      <c r="AA221" s="302">
        <f>IF(Table23[[#This Row],[Type]]="Booklet",MATCH(LEFT(Table23[[#This Row],[Link to Reference]],FIND(".",Table23[[#This Row],[Link to Reference]])-1),bookletsInfo[Initial],0),MATCH(LEFT(Table23[[#This Row],[Link to Reference]],FIND(".",Table23[[#This Row],[Link to Reference]])-1),WPInfo[Initials],0))</f>
        <v>5</v>
      </c>
      <c r="AB22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221" s="286">
        <v>216</v>
      </c>
      <c r="AD221" s="286" t="str">
        <f>IF(G221=G220,IF(MOD(Table23[[#This Row],[order]],2)=1,"hideOdd","hideEven"),FALSE)</f>
        <v>hideEven</v>
      </c>
      <c r="AE221" s="286">
        <f>IF(Table23[[#This Row],[hideText]]=FALSE,AE220+1,AE220)</f>
        <v>77</v>
      </c>
      <c r="AF221" s="269"/>
      <c r="AO221"/>
    </row>
    <row r="222" spans="1:41" ht="45" x14ac:dyDescent="0.25">
      <c r="A222" s="206" t="s">
        <v>215</v>
      </c>
      <c r="B222" s="206" t="s">
        <v>364</v>
      </c>
      <c r="C222" s="206" t="s">
        <v>387</v>
      </c>
      <c r="D222" s="306" t="str">
        <f ca="1">IF(Table23[[#This Row],[hideText]]=FALSE,HYPERLINK(INDEX('Verify Baseline Links'!$P$10:$P$132,MATCH(Table23[[#This Row],[DSorder]],'Verify Baseline Links'!$M$10:$M$132,0)),"DS"),"")</f>
        <v>DS</v>
      </c>
      <c r="E222" s="206" t="s">
        <v>1730</v>
      </c>
      <c r="F222" s="223" t="str">
        <f>CLEAN(TRIM(SUBSTITUTE(LEFT(Table23[[#This Row],[Declarative Statement]],MIN(250,LEN(Table23[[#This Row],[Declarative Statement]]))),CHAR(160)," ")))</f>
        <v>Customer transactions generating anomalous activity alerts are monitored and reviewed.</v>
      </c>
      <c r="G222" s="206">
        <f>MATCH(Table23[[#This Row],[clean DS]],combinedMaturityTable[Dsm clean],0)</f>
        <v>301</v>
      </c>
      <c r="H222" s="223">
        <v>2</v>
      </c>
      <c r="I222" s="223" t="s">
        <v>1193</v>
      </c>
      <c r="J222" s="308" t="str">
        <f>HYPERLINK(Table23[[#This Row],[URL]],Table23[[#This Row],[Link to Reference]])</f>
        <v>WPS.B.12</v>
      </c>
      <c r="K222" s="206" t="s">
        <v>1731</v>
      </c>
      <c r="L222" s="286" t="s">
        <v>1732</v>
      </c>
      <c r="M222" s="286" t="s">
        <v>1733</v>
      </c>
      <c r="N222" s="286" t="s">
        <v>1378</v>
      </c>
      <c r="O222" s="286" t="s">
        <v>1378</v>
      </c>
      <c r="P222" s="286" t="s">
        <v>1378</v>
      </c>
      <c r="Q222" s="286" t="s">
        <v>1378</v>
      </c>
      <c r="R222" s="286" t="s">
        <v>1378</v>
      </c>
      <c r="S222" s="286" t="s">
        <v>1378</v>
      </c>
      <c r="T222" s="286" t="s">
        <v>1378</v>
      </c>
      <c r="U222" s="286" t="s">
        <v>1378</v>
      </c>
      <c r="X222" s="286" t="s">
        <v>1966</v>
      </c>
      <c r="Y222" s="302" t="str">
        <f>IFERROR(IF(SEARCH("WP",Table23[[#This Row],[Link to Reference]])&gt;0,"Work Program","Booklet"),"Booklet")</f>
        <v>Work Program</v>
      </c>
      <c r="Z222" s="286">
        <v>12</v>
      </c>
      <c r="AA222" s="302">
        <f>IF(Table23[[#This Row],[Type]]="Booklet",MATCH(LEFT(Table23[[#This Row],[Link to Reference]],FIND(".",Table23[[#This Row],[Link to Reference]])-1),bookletsInfo[Initial],0),MATCH(LEFT(Table23[[#This Row],[Link to Reference]],FIND(".",Table23[[#This Row],[Link to Reference]])-1),WPInfo[Initials],0))</f>
        <v>11</v>
      </c>
      <c r="AB22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https://watkinsconsulting.com/wp-content/uploads/2019/02/Wholesale-Payment-Systems.pdf#Page=12</v>
      </c>
      <c r="AC222" s="286">
        <v>217</v>
      </c>
      <c r="AD222" s="286" t="b">
        <f>IF(G222=G221,IF(MOD(Table23[[#This Row],[order]],2)=1,"hideOdd","hideEven"),FALSE)</f>
        <v>0</v>
      </c>
      <c r="AE222" s="286">
        <f>IF(Table23[[#This Row],[hideText]]=FALSE,AE221+1,AE221)</f>
        <v>78</v>
      </c>
      <c r="AF222" s="269"/>
      <c r="AO222"/>
    </row>
    <row r="223" spans="1:41" ht="45" x14ac:dyDescent="0.25">
      <c r="A223" s="206" t="s">
        <v>215</v>
      </c>
      <c r="B223" s="206" t="s">
        <v>364</v>
      </c>
      <c r="C223" s="206" t="s">
        <v>387</v>
      </c>
      <c r="D223" s="306" t="str">
        <f>IF(Table23[[#This Row],[hideText]]=FALSE,HYPERLINK(INDEX('Verify Baseline Links'!$P$10:$P$132,MATCH(Table23[[#This Row],[DSorder]],'Verify Baseline Links'!$M$10:$M$132,0)),"DS"),"")</f>
        <v/>
      </c>
      <c r="E223" s="206" t="s">
        <v>1730</v>
      </c>
      <c r="F223" s="223" t="str">
        <f>CLEAN(TRIM(SUBSTITUTE(LEFT(Table23[[#This Row],[Declarative Statement]],MIN(250,LEN(Table23[[#This Row],[Declarative Statement]]))),CHAR(160)," ")))</f>
        <v>Customer transactions generating anomalous activity alerts are monitored and reviewed.</v>
      </c>
      <c r="G223" s="206">
        <f>MATCH(Table23[[#This Row],[clean DS]],combinedMaturityTable[Dsm clean],0)</f>
        <v>301</v>
      </c>
      <c r="H223" s="223"/>
      <c r="I223" s="223" t="s">
        <v>1732</v>
      </c>
      <c r="J223" s="308" t="str">
        <f>HYPERLINK(Table23[[#This Row],[URL]],Table23[[#This Row],[Link to Reference]])</f>
        <v>WPS.WP.II.1.3</v>
      </c>
      <c r="K223" s="206" t="s">
        <v>1733</v>
      </c>
      <c r="X223" s="286" t="s">
        <v>1966</v>
      </c>
      <c r="Y223" s="302" t="str">
        <f>IFERROR(IF(SEARCH("WP",Table23[[#This Row],[Link to Reference]])&gt;0,"Work Program","Booklet"),"Booklet")</f>
        <v>Work Program</v>
      </c>
      <c r="Z223" s="286">
        <v>11</v>
      </c>
      <c r="AA223" s="302">
        <f>IF(Table23[[#This Row],[Type]]="Booklet",MATCH(LEFT(Table23[[#This Row],[Link to Reference]],FIND(".",Table23[[#This Row],[Link to Reference]])-1),bookletsInfo[Initial],0),MATCH(LEFT(Table23[[#This Row],[Link to Reference]],FIND(".",Table23[[#This Row],[Link to Reference]])-1),WPInfo[Initials],0))</f>
        <v>11</v>
      </c>
      <c r="AB22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https://watkinsconsulting.com/wp-content/uploads/2019/02/Wholesale-Payment-Systems.pdf#Page=11</v>
      </c>
      <c r="AC223" s="286">
        <v>218</v>
      </c>
      <c r="AD223" s="286" t="str">
        <f>IF(G223=G222,IF(MOD(Table23[[#This Row],[order]],2)=1,"hideOdd","hideEven"),FALSE)</f>
        <v>hideEven</v>
      </c>
      <c r="AE223" s="286">
        <f>IF(Table23[[#This Row],[hideText]]=FALSE,AE222+1,AE222)</f>
        <v>78</v>
      </c>
      <c r="AF223" s="269"/>
      <c r="AO223"/>
    </row>
    <row r="224" spans="1:41" ht="45" x14ac:dyDescent="0.25">
      <c r="A224" s="206" t="s">
        <v>215</v>
      </c>
      <c r="B224" s="206" t="s">
        <v>364</v>
      </c>
      <c r="C224" s="206" t="s">
        <v>387</v>
      </c>
      <c r="D224" s="306" t="str">
        <f ca="1">IF(Table23[[#This Row],[hideText]]=FALSE,HYPERLINK(INDEX('Verify Baseline Links'!$P$10:$P$132,MATCH(Table23[[#This Row],[DSorder]],'Verify Baseline Links'!$M$10:$M$132,0)),"DS"),"")</f>
        <v>DS</v>
      </c>
      <c r="E224" s="206" t="s">
        <v>1734</v>
      </c>
      <c r="F224" s="223" t="str">
        <f>CLEAN(TRIM(SUBSTITUTE(LEFT(Table23[[#This Row],[Declarative Statement]],MIN(250,LEN(Table23[[#This Row],[Declarative Statement]]))),CHAR(160)," ")))</f>
        <v>Logs of physical and/or logical access are reviewed following events.</v>
      </c>
      <c r="G224" s="206">
        <f>MATCH(Table23[[#This Row],[clean DS]],combinedMaturityTable[Dsm clean],0)</f>
        <v>302</v>
      </c>
      <c r="H224" s="223">
        <v>2</v>
      </c>
      <c r="I224" s="223" t="s">
        <v>2041</v>
      </c>
      <c r="J224" s="308" t="str">
        <f>HYPERLINK(Table23[[#This Row],[URL]],Table23[[#This Row],[Link to Reference]])</f>
        <v>IS.III.C.22:pg44</v>
      </c>
      <c r="K224" s="206" t="s">
        <v>2042</v>
      </c>
      <c r="L224" s="286" t="s">
        <v>1736</v>
      </c>
      <c r="M224" s="286" t="s">
        <v>1737</v>
      </c>
      <c r="N224" s="286" t="s">
        <v>1378</v>
      </c>
      <c r="O224" s="286" t="s">
        <v>1378</v>
      </c>
      <c r="P224" s="286" t="s">
        <v>1378</v>
      </c>
      <c r="Q224" s="286" t="s">
        <v>1378</v>
      </c>
      <c r="R224" s="286" t="s">
        <v>1378</v>
      </c>
      <c r="S224" s="286" t="s">
        <v>1378</v>
      </c>
      <c r="T224" s="286" t="s">
        <v>1378</v>
      </c>
      <c r="U224" s="286" t="s">
        <v>1378</v>
      </c>
      <c r="X224" s="286" t="s">
        <v>1186</v>
      </c>
      <c r="Y224" s="302" t="str">
        <f>IFERROR(IF(SEARCH("WP",Table23[[#This Row],[Link to Reference]])&gt;0,"Work Program","Booklet"),"Booklet")</f>
        <v>Booklet</v>
      </c>
      <c r="Z224" s="286" t="s">
        <v>2043</v>
      </c>
      <c r="AA224" s="302">
        <f>IF(Table23[[#This Row],[Type]]="Booklet",MATCH(LEFT(Table23[[#This Row],[Link to Reference]],FIND(".",Table23[[#This Row],[Link to Reference]])-1),bookletsInfo[Initial],0),MATCH(LEFT(Table23[[#This Row],[Link to Reference]],FIND(".",Table23[[#This Row],[Link to Reference]])-1),WPInfo[Initials],0))</f>
        <v>5</v>
      </c>
      <c r="AB22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https://ithandbook.ffiec.gov/media/274793/ffiec_itbooklet_informationsecurity.pdf#Page=47</v>
      </c>
      <c r="AC224" s="286">
        <v>219</v>
      </c>
      <c r="AD224" s="286" t="b">
        <f>IF(G224=G223,IF(MOD(Table23[[#This Row],[order]],2)=1,"hideOdd","hideEven"),FALSE)</f>
        <v>0</v>
      </c>
      <c r="AE224" s="286">
        <f>IF(Table23[[#This Row],[hideText]]=FALSE,AE223+1,AE223)</f>
        <v>79</v>
      </c>
      <c r="AF224" s="269"/>
      <c r="AO224"/>
    </row>
    <row r="225" spans="1:41" ht="45" x14ac:dyDescent="0.25">
      <c r="A225" s="206" t="s">
        <v>215</v>
      </c>
      <c r="B225" s="206" t="s">
        <v>364</v>
      </c>
      <c r="C225" s="206" t="s">
        <v>387</v>
      </c>
      <c r="D225" s="306" t="str">
        <f>IF(Table23[[#This Row],[hideText]]=FALSE,HYPERLINK(INDEX('Verify Baseline Links'!$P$10:$P$132,MATCH(Table23[[#This Row],[DSorder]],'Verify Baseline Links'!$M$10:$M$132,0)),"DS"),"")</f>
        <v/>
      </c>
      <c r="E225" s="206" t="s">
        <v>1734</v>
      </c>
      <c r="F225" s="223" t="str">
        <f>CLEAN(TRIM(SUBSTITUTE(LEFT(Table23[[#This Row],[Declarative Statement]],MIN(250,LEN(Table23[[#This Row],[Declarative Statement]]))),CHAR(160)," ")))</f>
        <v>Logs of physical and/or logical access are reviewed following events.</v>
      </c>
      <c r="G225" s="206">
        <f>MATCH(Table23[[#This Row],[clean DS]],combinedMaturityTable[Dsm clean],0)</f>
        <v>302</v>
      </c>
      <c r="H225" s="223"/>
      <c r="I225" s="223" t="s">
        <v>1736</v>
      </c>
      <c r="J225" s="308" t="str">
        <f>HYPERLINK(Table23[[#This Row],[URL]],Table23[[#This Row],[Link to Reference]])</f>
        <v>IS.WP.6.21(f)</v>
      </c>
      <c r="K225" s="206" t="s">
        <v>1737</v>
      </c>
      <c r="X225" s="286" t="s">
        <v>1186</v>
      </c>
      <c r="Y225" s="302" t="str">
        <f>IFERROR(IF(SEARCH("WP",Table23[[#This Row],[Link to Reference]])&gt;0,"Work Program","Booklet"),"Booklet")</f>
        <v>Work Program</v>
      </c>
      <c r="Z225" s="286">
        <v>12</v>
      </c>
      <c r="AA225" s="302">
        <f>IF(Table23[[#This Row],[Type]]="Booklet",MATCH(LEFT(Table23[[#This Row],[Link to Reference]],FIND(".",Table23[[#This Row],[Link to Reference]])-1),bookletsInfo[Initial],0),MATCH(LEFT(Table23[[#This Row],[Link to Reference]],FIND(".",Table23[[#This Row],[Link to Reference]])-1),WPInfo[Initials],0))</f>
        <v>5</v>
      </c>
      <c r="AB22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225" s="286">
        <v>220</v>
      </c>
      <c r="AD225" s="286" t="str">
        <f>IF(G225=G224,IF(MOD(Table23[[#This Row],[order]],2)=1,"hideOdd","hideEven"),FALSE)</f>
        <v>hideEven</v>
      </c>
      <c r="AE225" s="286">
        <f>IF(Table23[[#This Row],[hideText]]=FALSE,AE224+1,AE224)</f>
        <v>79</v>
      </c>
      <c r="AF225" s="269"/>
      <c r="AO225"/>
    </row>
    <row r="226" spans="1:41" ht="45" x14ac:dyDescent="0.25">
      <c r="A226" s="206" t="s">
        <v>215</v>
      </c>
      <c r="B226" s="206" t="s">
        <v>364</v>
      </c>
      <c r="C226" s="206" t="s">
        <v>387</v>
      </c>
      <c r="D226" s="306" t="str">
        <f ca="1">IF(Table23[[#This Row],[hideText]]=FALSE,HYPERLINK(INDEX('Verify Baseline Links'!$P$10:$P$132,MATCH(Table23[[#This Row],[DSorder]],'Verify Baseline Links'!$M$10:$M$132,0)),"DS"),"")</f>
        <v>DS</v>
      </c>
      <c r="E226" s="206" t="s">
        <v>1738</v>
      </c>
      <c r="F226" s="223" t="str">
        <f>CLEAN(TRIM(SUBSTITUTE(LEFT(Table23[[#This Row],[Declarative Statement]],MIN(250,LEN(Table23[[#This Row],[Declarative Statement]]))),CHAR(160)," ")))</f>
        <v>Access to critical systems by third parties is monitored for unauthorized or unusual activity.</v>
      </c>
      <c r="G226" s="206">
        <f>MATCH(Table23[[#This Row],[clean DS]],combinedMaturityTable[Dsm clean],0)</f>
        <v>303</v>
      </c>
      <c r="H226" s="223">
        <v>1</v>
      </c>
      <c r="I226" s="223" t="s">
        <v>1195</v>
      </c>
      <c r="J226" s="308" t="str">
        <f>HYPERLINK(Table23[[#This Row],[URL]],Table23[[#This Row],[Link to Reference]])</f>
        <v>OT.B.26</v>
      </c>
      <c r="K226" s="206" t="s">
        <v>1739</v>
      </c>
      <c r="L226" s="286" t="s">
        <v>1378</v>
      </c>
      <c r="M226" s="286" t="s">
        <v>1378</v>
      </c>
      <c r="N226" s="286" t="s">
        <v>1378</v>
      </c>
      <c r="O226" s="286" t="s">
        <v>1378</v>
      </c>
      <c r="P226" s="286" t="s">
        <v>1378</v>
      </c>
      <c r="Q226" s="286" t="s">
        <v>1378</v>
      </c>
      <c r="R226" s="286" t="s">
        <v>1378</v>
      </c>
      <c r="S226" s="286" t="s">
        <v>1378</v>
      </c>
      <c r="T226" s="286" t="s">
        <v>1378</v>
      </c>
      <c r="U226" s="286" t="s">
        <v>1378</v>
      </c>
      <c r="X226" s="286" t="s">
        <v>1931</v>
      </c>
      <c r="Y226" s="302" t="str">
        <f>IFERROR(IF(SEARCH("WP",Table23[[#This Row],[Link to Reference]])&gt;0,"Work Program","Booklet"),"Booklet")</f>
        <v>Booklet</v>
      </c>
      <c r="Z226" s="286">
        <v>26</v>
      </c>
      <c r="AA226" s="302">
        <f>IF(Table23[[#This Row],[Type]]="Booklet",MATCH(LEFT(Table23[[#This Row],[Link to Reference]],FIND(".",Table23[[#This Row],[Link to Reference]])-1),bookletsInfo[Initial],0),MATCH(LEFT(Table23[[#This Row],[Link to Reference]],FIND(".",Table23[[#This Row],[Link to Reference]])-1),WPInfo[Initials],0))</f>
        <v>8</v>
      </c>
      <c r="AB22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https://ithandbook.ffiec.gov/media/274841/ffiec_itbooklet_outsourcingtechnologyservices.pdf#Page=29</v>
      </c>
      <c r="AC226" s="286">
        <v>221</v>
      </c>
      <c r="AD226" s="286" t="b">
        <f>IF(G226=G225,IF(MOD(Table23[[#This Row],[order]],2)=1,"hideOdd","hideEven"),FALSE)</f>
        <v>0</v>
      </c>
      <c r="AE226" s="286">
        <f>IF(Table23[[#This Row],[hideText]]=FALSE,AE225+1,AE225)</f>
        <v>80</v>
      </c>
      <c r="AF226" s="269"/>
      <c r="AO226"/>
    </row>
    <row r="227" spans="1:41" ht="45" x14ac:dyDescent="0.25">
      <c r="A227" s="206" t="s">
        <v>215</v>
      </c>
      <c r="B227" s="206" t="s">
        <v>364</v>
      </c>
      <c r="C227" s="206" t="s">
        <v>387</v>
      </c>
      <c r="D227" s="306" t="str">
        <f ca="1">IF(Table23[[#This Row],[hideText]]=FALSE,HYPERLINK(INDEX('Verify Baseline Links'!$P$10:$P$132,MATCH(Table23[[#This Row],[DSorder]],'Verify Baseline Links'!$M$10:$M$132,0)),"DS"),"")</f>
        <v>DS</v>
      </c>
      <c r="E227" s="206" t="s">
        <v>2067</v>
      </c>
      <c r="F227" s="223" t="str">
        <f>CLEAN(TRIM(SUBSTITUTE(LEFT(Table23[[#This Row],[Declarative Statement]],MIN(250,LEN(Table23[[#This Row],[Declarative Statement]]))),CHAR(160)," ")))</f>
        <v>Elevated privileges are monitored.</v>
      </c>
      <c r="G227" s="206">
        <f>MATCH(Table23[[#This Row],[clean DS]],combinedMaturityTable[Dsm clean],0)</f>
        <v>304</v>
      </c>
      <c r="H227" s="223">
        <v>1</v>
      </c>
      <c r="I227" s="223" t="s">
        <v>1169</v>
      </c>
      <c r="J227" s="308" t="str">
        <f>HYPERLINK(Table23[[#This Row],[URL]],Table23[[#This Row],[Link to Reference]])</f>
        <v>IS.II.C.15:pg31</v>
      </c>
      <c r="K227" s="206" t="s">
        <v>1741</v>
      </c>
      <c r="L227" s="286" t="s">
        <v>1378</v>
      </c>
      <c r="M227" s="286" t="s">
        <v>1378</v>
      </c>
      <c r="N227" s="286" t="s">
        <v>1378</v>
      </c>
      <c r="O227" s="286" t="s">
        <v>1378</v>
      </c>
      <c r="P227" s="286" t="s">
        <v>1378</v>
      </c>
      <c r="Q227" s="286" t="s">
        <v>1378</v>
      </c>
      <c r="R227" s="286" t="s">
        <v>1378</v>
      </c>
      <c r="S227" s="286" t="s">
        <v>1378</v>
      </c>
      <c r="T227" s="286" t="s">
        <v>1378</v>
      </c>
      <c r="U227" s="286" t="s">
        <v>1378</v>
      </c>
      <c r="X227" s="286" t="s">
        <v>1186</v>
      </c>
      <c r="Y227" s="302" t="str">
        <f>IFERROR(IF(SEARCH("WP",Table23[[#This Row],[Link to Reference]])&gt;0,"Work Program","Booklet"),"Booklet")</f>
        <v>Booklet</v>
      </c>
      <c r="Z227" s="286" t="s">
        <v>2031</v>
      </c>
      <c r="AA227" s="302">
        <f>IF(Table23[[#This Row],[Type]]="Booklet",MATCH(LEFT(Table23[[#This Row],[Link to Reference]],FIND(".",Table23[[#This Row],[Link to Reference]])-1),bookletsInfo[Initial],0),MATCH(LEFT(Table23[[#This Row],[Link to Reference]],FIND(".",Table23[[#This Row],[Link to Reference]])-1),WPInfo[Initials],0))</f>
        <v>5</v>
      </c>
      <c r="AB22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227" s="286">
        <v>222</v>
      </c>
      <c r="AD227" s="286" t="b">
        <f>IF(G227=G226,IF(MOD(Table23[[#This Row],[order]],2)=1,"hideOdd","hideEven"),FALSE)</f>
        <v>0</v>
      </c>
      <c r="AE227" s="286">
        <f>IF(Table23[[#This Row],[hideText]]=FALSE,AE226+1,AE226)</f>
        <v>81</v>
      </c>
      <c r="AF227" s="269"/>
      <c r="AO227"/>
    </row>
    <row r="228" spans="1:41" ht="30" x14ac:dyDescent="0.25">
      <c r="A228" s="206" t="s">
        <v>215</v>
      </c>
      <c r="B228" s="206" t="s">
        <v>364</v>
      </c>
      <c r="C228" s="206" t="s">
        <v>410</v>
      </c>
      <c r="D228" s="306" t="str">
        <f ca="1">IF(Table23[[#This Row],[hideText]]=FALSE,HYPERLINK(INDEX('Verify Baseline Links'!$P$10:$P$132,MATCH(Table23[[#This Row],[DSorder]],'Verify Baseline Links'!$M$10:$M$132,0)),"DS"),"")</f>
        <v>DS</v>
      </c>
      <c r="E228" s="206" t="s">
        <v>1742</v>
      </c>
      <c r="F228" s="223" t="str">
        <f>CLEAN(TRIM(SUBSTITUTE(LEFT(Table23[[#This Row],[Declarative Statement]],MIN(250,LEN(Table23[[#This Row],[Declarative Statement]]))),CHAR(160)," ")))</f>
        <v>A normal network activity baseline is established.</v>
      </c>
      <c r="G228" s="206">
        <f>MATCH(Table23[[#This Row],[clean DS]],combinedMaturityTable[Dsm clean],0)</f>
        <v>322</v>
      </c>
      <c r="H228" s="223">
        <v>2</v>
      </c>
      <c r="I228" s="223" t="s">
        <v>1198</v>
      </c>
      <c r="J228" s="308" t="str">
        <f>HYPERLINK(Table23[[#This Row],[URL]],Table23[[#This Row],[Link to Reference]])</f>
        <v>IS.III.C:pg49</v>
      </c>
      <c r="K228" s="206" t="s">
        <v>1743</v>
      </c>
      <c r="L228" s="286" t="s">
        <v>1744</v>
      </c>
      <c r="M228" s="286" t="s">
        <v>1745</v>
      </c>
      <c r="N228" s="286" t="s">
        <v>1378</v>
      </c>
      <c r="O228" s="286" t="s">
        <v>1378</v>
      </c>
      <c r="P228" s="286" t="s">
        <v>1378</v>
      </c>
      <c r="Q228" s="286" t="s">
        <v>1378</v>
      </c>
      <c r="R228" s="286" t="s">
        <v>1378</v>
      </c>
      <c r="S228" s="286" t="s">
        <v>1378</v>
      </c>
      <c r="T228" s="286" t="s">
        <v>1378</v>
      </c>
      <c r="U228" s="286" t="s">
        <v>1378</v>
      </c>
      <c r="X228" s="286" t="s">
        <v>1186</v>
      </c>
      <c r="Y228" s="302" t="str">
        <f>IFERROR(IF(SEARCH("WP",Table23[[#This Row],[Link to Reference]])&gt;0,"Work Program","Booklet"),"Booklet")</f>
        <v>Booklet</v>
      </c>
      <c r="Z228" s="286" t="s">
        <v>2044</v>
      </c>
      <c r="AA228" s="302">
        <f>IF(Table23[[#This Row],[Type]]="Booklet",MATCH(LEFT(Table23[[#This Row],[Link to Reference]],FIND(".",Table23[[#This Row],[Link to Reference]])-1),bookletsInfo[Initial],0),MATCH(LEFT(Table23[[#This Row],[Link to Reference]],FIND(".",Table23[[#This Row],[Link to Reference]])-1),WPInfo[Initials],0))</f>
        <v>5</v>
      </c>
      <c r="AB22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https://ithandbook.ffiec.gov/media/274793/ffiec_itbooklet_informationsecurity.pdf#Page=52</v>
      </c>
      <c r="AC228" s="286">
        <v>223</v>
      </c>
      <c r="AD228" s="286" t="b">
        <f>IF(G228=G227,IF(MOD(Table23[[#This Row],[order]],2)=1,"hideOdd","hideEven"),FALSE)</f>
        <v>0</v>
      </c>
      <c r="AE228" s="286">
        <f>IF(Table23[[#This Row],[hideText]]=FALSE,AE227+1,AE227)</f>
        <v>82</v>
      </c>
      <c r="AF228" s="269"/>
      <c r="AO228"/>
    </row>
    <row r="229" spans="1:41" ht="30" x14ac:dyDescent="0.25">
      <c r="A229" s="206" t="s">
        <v>215</v>
      </c>
      <c r="B229" s="206" t="s">
        <v>364</v>
      </c>
      <c r="C229" s="206" t="s">
        <v>410</v>
      </c>
      <c r="D229" s="306" t="str">
        <f>IF(Table23[[#This Row],[hideText]]=FALSE,HYPERLINK(INDEX('Verify Baseline Links'!$P$10:$P$132,MATCH(Table23[[#This Row],[DSorder]],'Verify Baseline Links'!$M$10:$M$132,0)),"DS"),"")</f>
        <v/>
      </c>
      <c r="E229" s="206" t="s">
        <v>1742</v>
      </c>
      <c r="F229" s="223" t="str">
        <f>CLEAN(TRIM(SUBSTITUTE(LEFT(Table23[[#This Row],[Declarative Statement]],MIN(250,LEN(Table23[[#This Row],[Declarative Statement]]))),CHAR(160)," ")))</f>
        <v>A normal network activity baseline is established.</v>
      </c>
      <c r="G229" s="206">
        <f>MATCH(Table23[[#This Row],[clean DS]],combinedMaturityTable[Dsm clean],0)</f>
        <v>322</v>
      </c>
      <c r="H229" s="223"/>
      <c r="I229" s="223" t="s">
        <v>1744</v>
      </c>
      <c r="J229" s="308" t="str">
        <f>HYPERLINK(Table23[[#This Row],[URL]],Table23[[#This Row],[Link to Reference]])</f>
        <v>IS.WP.8.4.e</v>
      </c>
      <c r="K229" s="206" t="s">
        <v>1745</v>
      </c>
      <c r="X229" s="286" t="s">
        <v>1186</v>
      </c>
      <c r="Y229" s="302" t="str">
        <f>IFERROR(IF(SEARCH("WP",Table23[[#This Row],[Link to Reference]])&gt;0,"Work Program","Booklet"),"Booklet")</f>
        <v>Work Program</v>
      </c>
      <c r="Z229" s="286">
        <v>19</v>
      </c>
      <c r="AA229" s="302">
        <f>IF(Table23[[#This Row],[Type]]="Booklet",MATCH(LEFT(Table23[[#This Row],[Link to Reference]],FIND(".",Table23[[#This Row],[Link to Reference]])-1),bookletsInfo[Initial],0),MATCH(LEFT(Table23[[#This Row],[Link to Reference]],FIND(".",Table23[[#This Row],[Link to Reference]])-1),WPInfo[Initials],0))</f>
        <v>5</v>
      </c>
      <c r="AB22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229" s="286">
        <v>224</v>
      </c>
      <c r="AD229" s="286" t="str">
        <f>IF(G229=G228,IF(MOD(Table23[[#This Row],[order]],2)=1,"hideOdd","hideEven"),FALSE)</f>
        <v>hideEven</v>
      </c>
      <c r="AE229" s="286">
        <f>IF(Table23[[#This Row],[hideText]]=FALSE,AE228+1,AE228)</f>
        <v>82</v>
      </c>
      <c r="AF229" s="269"/>
      <c r="AO229"/>
    </row>
    <row r="230" spans="1:41" ht="60" x14ac:dyDescent="0.25">
      <c r="A230" s="206" t="s">
        <v>215</v>
      </c>
      <c r="B230" s="206" t="s">
        <v>364</v>
      </c>
      <c r="C230" s="206" t="s">
        <v>410</v>
      </c>
      <c r="D230" s="306" t="str">
        <f ca="1">IF(Table23[[#This Row],[hideText]]=FALSE,HYPERLINK(INDEX('Verify Baseline Links'!$P$10:$P$132,MATCH(Table23[[#This Row],[DSorder]],'Verify Baseline Links'!$M$10:$M$132,0)),"DS"),"")</f>
        <v>DS</v>
      </c>
      <c r="E230" s="206" t="s">
        <v>2068</v>
      </c>
      <c r="F230" s="223" t="str">
        <f>CLEAN(TRIM(SUBSTITUTE(LEFT(Table23[[#This Row],[Declarative Statement]],MIN(250,LEN(Table23[[#This Row],[Declarative Statement]]))),CHAR(160)," ")))</f>
        <v>Mechanisms (e.g., antivirus alerts, log event alerts) are in place to alert management to potential attacks.</v>
      </c>
      <c r="G230" s="206">
        <f>MATCH(Table23[[#This Row],[clean DS]],combinedMaturityTable[Dsm clean],0)</f>
        <v>323</v>
      </c>
      <c r="H230" s="223">
        <v>2</v>
      </c>
      <c r="I230" s="223" t="s">
        <v>1201</v>
      </c>
      <c r="J230" s="308" t="str">
        <f>HYPERLINK(Table23[[#This Row],[URL]],Table23[[#This Row],[Link to Reference]])</f>
        <v>IS.III.B:pg48</v>
      </c>
      <c r="K230" s="206" t="s">
        <v>1747</v>
      </c>
      <c r="L230" s="286" t="s">
        <v>1748</v>
      </c>
      <c r="M230" s="286" t="s">
        <v>1749</v>
      </c>
      <c r="N230" s="286" t="s">
        <v>1378</v>
      </c>
      <c r="O230" s="286" t="s">
        <v>1378</v>
      </c>
      <c r="P230" s="286" t="s">
        <v>1378</v>
      </c>
      <c r="Q230" s="286" t="s">
        <v>1378</v>
      </c>
      <c r="R230" s="286" t="s">
        <v>1378</v>
      </c>
      <c r="S230" s="286" t="s">
        <v>1378</v>
      </c>
      <c r="T230" s="286" t="s">
        <v>1378</v>
      </c>
      <c r="U230" s="286" t="s">
        <v>1378</v>
      </c>
      <c r="X230" s="286" t="s">
        <v>1186</v>
      </c>
      <c r="Y230" s="302" t="str">
        <f>IFERROR(IF(SEARCH("WP",Table23[[#This Row],[Link to Reference]])&gt;0,"Work Program","Booklet"),"Booklet")</f>
        <v>Booklet</v>
      </c>
      <c r="Z230" s="286" t="s">
        <v>2024</v>
      </c>
      <c r="AA230" s="302">
        <f>IF(Table23[[#This Row],[Type]]="Booklet",MATCH(LEFT(Table23[[#This Row],[Link to Reference]],FIND(".",Table23[[#This Row],[Link to Reference]])-1),bookletsInfo[Initial],0),MATCH(LEFT(Table23[[#This Row],[Link to Reference]],FIND(".",Table23[[#This Row],[Link to Reference]])-1),WPInfo[Initials],0))</f>
        <v>5</v>
      </c>
      <c r="AB23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https://ithandbook.ffiec.gov/media/274793/ffiec_itbooklet_informationsecurity.pdf#Page=51</v>
      </c>
      <c r="AC230" s="286">
        <v>225</v>
      </c>
      <c r="AD230" s="286" t="b">
        <f>IF(G230=G229,IF(MOD(Table23[[#This Row],[order]],2)=1,"hideOdd","hideEven"),FALSE)</f>
        <v>0</v>
      </c>
      <c r="AE230" s="286">
        <f>IF(Table23[[#This Row],[hideText]]=FALSE,AE229+1,AE229)</f>
        <v>83</v>
      </c>
      <c r="AF230" s="269"/>
      <c r="AO230"/>
    </row>
    <row r="231" spans="1:41" ht="30" x14ac:dyDescent="0.25">
      <c r="A231" s="206" t="s">
        <v>215</v>
      </c>
      <c r="B231" s="206" t="s">
        <v>364</v>
      </c>
      <c r="C231" s="206" t="s">
        <v>410</v>
      </c>
      <c r="D231" s="306" t="str">
        <f>IF(Table23[[#This Row],[hideText]]=FALSE,HYPERLINK(INDEX('Verify Baseline Links'!$P$10:$P$132,MATCH(Table23[[#This Row],[DSorder]],'Verify Baseline Links'!$M$10:$M$132,0)),"DS"),"")</f>
        <v/>
      </c>
      <c r="E231" s="206" t="s">
        <v>2068</v>
      </c>
      <c r="F231" s="223" t="str">
        <f>CLEAN(TRIM(SUBSTITUTE(LEFT(Table23[[#This Row],[Declarative Statement]],MIN(250,LEN(Table23[[#This Row],[Declarative Statement]]))),CHAR(160)," ")))</f>
        <v>Mechanisms (e.g., antivirus alerts, log event alerts) are in place to alert management to potential attacks.</v>
      </c>
      <c r="G231" s="206">
        <f>MATCH(Table23[[#This Row],[clean DS]],combinedMaturityTable[Dsm clean],0)</f>
        <v>323</v>
      </c>
      <c r="H231" s="223"/>
      <c r="I231" s="223" t="s">
        <v>1748</v>
      </c>
      <c r="J231" s="308" t="str">
        <f>HYPERLINK(Table23[[#This Row],[URL]],Table23[[#This Row],[Link to Reference]])</f>
        <v>IS.WP.8.5</v>
      </c>
      <c r="K231" s="206" t="s">
        <v>1749</v>
      </c>
      <c r="X231" s="286" t="s">
        <v>1186</v>
      </c>
      <c r="Y231" s="302" t="str">
        <f>IFERROR(IF(SEARCH("WP",Table23[[#This Row],[Link to Reference]])&gt;0,"Work Program","Booklet"),"Booklet")</f>
        <v>Work Program</v>
      </c>
      <c r="Z231" s="286">
        <v>19</v>
      </c>
      <c r="AA231" s="302">
        <f>IF(Table23[[#This Row],[Type]]="Booklet",MATCH(LEFT(Table23[[#This Row],[Link to Reference]],FIND(".",Table23[[#This Row],[Link to Reference]])-1),bookletsInfo[Initial],0),MATCH(LEFT(Table23[[#This Row],[Link to Reference]],FIND(".",Table23[[#This Row],[Link to Reference]])-1),WPInfo[Initials],0))</f>
        <v>5</v>
      </c>
      <c r="AB23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231" s="286">
        <v>226</v>
      </c>
      <c r="AD231" s="286" t="str">
        <f>IF(G231=G230,IF(MOD(Table23[[#This Row],[order]],2)=1,"hideOdd","hideEven"),FALSE)</f>
        <v>hideEven</v>
      </c>
      <c r="AE231" s="286">
        <f>IF(Table23[[#This Row],[hideText]]=FALSE,AE230+1,AE230)</f>
        <v>83</v>
      </c>
      <c r="AF231" s="269"/>
      <c r="AO231"/>
    </row>
    <row r="232" spans="1:41" ht="45" x14ac:dyDescent="0.25">
      <c r="A232" s="206" t="s">
        <v>215</v>
      </c>
      <c r="B232" s="206" t="s">
        <v>364</v>
      </c>
      <c r="C232" s="206" t="s">
        <v>410</v>
      </c>
      <c r="D232" s="306" t="str">
        <f ca="1">IF(Table23[[#This Row],[hideText]]=FALSE,HYPERLINK(INDEX('Verify Baseline Links'!$P$10:$P$132,MATCH(Table23[[#This Row],[DSorder]],'Verify Baseline Links'!$M$10:$M$132,0)),"DS"),"")</f>
        <v>DS</v>
      </c>
      <c r="E232" s="206" t="s">
        <v>1750</v>
      </c>
      <c r="F232" s="223" t="str">
        <f>CLEAN(TRIM(SUBSTITUTE(LEFT(Table23[[#This Row],[Declarative Statement]],MIN(250,LEN(Table23[[#This Row],[Declarative Statement]]))),CHAR(160)," ")))</f>
        <v>Processes are in place to monitor for the presence of unauthorized users, devices, connections, and software.</v>
      </c>
      <c r="G232" s="206">
        <f>MATCH(Table23[[#This Row],[clean DS]],combinedMaturityTable[Dsm clean],0)</f>
        <v>324</v>
      </c>
      <c r="H232" s="223">
        <v>1</v>
      </c>
      <c r="I232" s="223" t="s">
        <v>1204</v>
      </c>
      <c r="J232" s="308" t="str">
        <f>HYPERLINK(Table23[[#This Row],[URL]],Table23[[#This Row],[Link to Reference]])</f>
        <v>IS.Introduction:pg2</v>
      </c>
      <c r="K232" s="206" t="s">
        <v>1751</v>
      </c>
      <c r="L232" s="286" t="s">
        <v>1378</v>
      </c>
      <c r="M232" s="286" t="s">
        <v>1378</v>
      </c>
      <c r="N232" s="286" t="s">
        <v>1378</v>
      </c>
      <c r="O232" s="286" t="s">
        <v>1378</v>
      </c>
      <c r="P232" s="286" t="s">
        <v>1378</v>
      </c>
      <c r="Q232" s="286" t="s">
        <v>1378</v>
      </c>
      <c r="R232" s="286" t="s">
        <v>1378</v>
      </c>
      <c r="S232" s="286" t="s">
        <v>1378</v>
      </c>
      <c r="T232" s="286" t="s">
        <v>1378</v>
      </c>
      <c r="U232" s="286" t="s">
        <v>1378</v>
      </c>
      <c r="X232" s="286" t="s">
        <v>1186</v>
      </c>
      <c r="Y232" s="302" t="str">
        <f>IFERROR(IF(SEARCH("WP",Table23[[#This Row],[Link to Reference]])&gt;0,"Work Program","Booklet"),"Booklet")</f>
        <v>Booklet</v>
      </c>
      <c r="Z232" s="286" t="s">
        <v>2006</v>
      </c>
      <c r="AA232" s="302">
        <f>IF(Table23[[#This Row],[Type]]="Booklet",MATCH(LEFT(Table23[[#This Row],[Link to Reference]],FIND(".",Table23[[#This Row],[Link to Reference]])-1),bookletsInfo[Initial],0),MATCH(LEFT(Table23[[#This Row],[Link to Reference]],FIND(".",Table23[[#This Row],[Link to Reference]])-1),WPInfo[Initials],0))</f>
        <v>5</v>
      </c>
      <c r="AB23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v>
      </c>
      <c r="AC232" s="286">
        <v>227</v>
      </c>
      <c r="AD232" s="286" t="b">
        <f>IF(G232=G231,IF(MOD(Table23[[#This Row],[order]],2)=1,"hideOdd","hideEven"),FALSE)</f>
        <v>0</v>
      </c>
      <c r="AE232" s="286">
        <f>IF(Table23[[#This Row],[hideText]]=FALSE,AE231+1,AE231)</f>
        <v>84</v>
      </c>
      <c r="AF232" s="269"/>
      <c r="AO232"/>
    </row>
    <row r="233" spans="1:41" ht="45" x14ac:dyDescent="0.25">
      <c r="A233" s="206" t="s">
        <v>215</v>
      </c>
      <c r="B233" s="206" t="s">
        <v>364</v>
      </c>
      <c r="C233" s="206" t="s">
        <v>410</v>
      </c>
      <c r="D233" s="306" t="str">
        <f ca="1">IF(Table23[[#This Row],[hideText]]=FALSE,HYPERLINK(INDEX('Verify Baseline Links'!$P$10:$P$132,MATCH(Table23[[#This Row],[DSorder]],'Verify Baseline Links'!$M$10:$M$132,0)),"DS"),"")</f>
        <v>DS</v>
      </c>
      <c r="E233" s="206" t="s">
        <v>1752</v>
      </c>
      <c r="F233" s="223" t="str">
        <f>CLEAN(TRIM(SUBSTITUTE(LEFT(Table23[[#This Row],[Declarative Statement]],MIN(250,LEN(Table23[[#This Row],[Declarative Statement]]))),CHAR(160)," ")))</f>
        <v>Responsibilities for monitoring and reporting suspicious systems activity have been assigned.</v>
      </c>
      <c r="G233" s="206">
        <f>MATCH(Table23[[#This Row],[clean DS]],combinedMaturityTable[Dsm clean],0)</f>
        <v>325</v>
      </c>
      <c r="H233" s="223">
        <v>2</v>
      </c>
      <c r="I233" s="223" t="s">
        <v>1201</v>
      </c>
      <c r="J233" s="308" t="str">
        <f>HYPERLINK(Table23[[#This Row],[URL]],Table23[[#This Row],[Link to Reference]])</f>
        <v>IS.III.B:pg48</v>
      </c>
      <c r="K233" s="206" t="s">
        <v>1753</v>
      </c>
      <c r="L233" s="286" t="s">
        <v>1754</v>
      </c>
      <c r="M233" s="286" t="s">
        <v>1755</v>
      </c>
      <c r="N233" s="286" t="s">
        <v>1378</v>
      </c>
      <c r="O233" s="286" t="s">
        <v>1378</v>
      </c>
      <c r="P233" s="286" t="s">
        <v>1378</v>
      </c>
      <c r="Q233" s="286" t="s">
        <v>1378</v>
      </c>
      <c r="R233" s="286" t="s">
        <v>1378</v>
      </c>
      <c r="S233" s="286" t="s">
        <v>1378</v>
      </c>
      <c r="T233" s="286" t="s">
        <v>1378</v>
      </c>
      <c r="U233" s="286" t="s">
        <v>1378</v>
      </c>
      <c r="X233" s="286" t="s">
        <v>1186</v>
      </c>
      <c r="Y233" s="302" t="str">
        <f>IFERROR(IF(SEARCH("WP",Table23[[#This Row],[Link to Reference]])&gt;0,"Work Program","Booklet"),"Booklet")</f>
        <v>Booklet</v>
      </c>
      <c r="Z233" s="286" t="s">
        <v>2024</v>
      </c>
      <c r="AA233" s="302">
        <f>IF(Table23[[#This Row],[Type]]="Booklet",MATCH(LEFT(Table23[[#This Row],[Link to Reference]],FIND(".",Table23[[#This Row],[Link to Reference]])-1),bookletsInfo[Initial],0),MATCH(LEFT(Table23[[#This Row],[Link to Reference]],FIND(".",Table23[[#This Row],[Link to Reference]])-1),WPInfo[Initials],0))</f>
        <v>5</v>
      </c>
      <c r="AB23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https://ithandbook.ffiec.gov/media/274793/ffiec_itbooklet_informationsecurity.pdf#Page=51</v>
      </c>
      <c r="AC233" s="286">
        <v>228</v>
      </c>
      <c r="AD233" s="286" t="b">
        <f>IF(G233=G232,IF(MOD(Table23[[#This Row],[order]],2)=1,"hideOdd","hideEven"),FALSE)</f>
        <v>0</v>
      </c>
      <c r="AE233" s="286">
        <f>IF(Table23[[#This Row],[hideText]]=FALSE,AE232+1,AE232)</f>
        <v>85</v>
      </c>
      <c r="AF233" s="269"/>
      <c r="AO233"/>
    </row>
    <row r="234" spans="1:41" ht="30" x14ac:dyDescent="0.25">
      <c r="A234" s="206" t="s">
        <v>215</v>
      </c>
      <c r="B234" s="206" t="s">
        <v>364</v>
      </c>
      <c r="C234" s="206" t="s">
        <v>410</v>
      </c>
      <c r="D234" s="306" t="str">
        <f>IF(Table23[[#This Row],[hideText]]=FALSE,HYPERLINK(INDEX('Verify Baseline Links'!$P$10:$P$132,MATCH(Table23[[#This Row],[DSorder]],'Verify Baseline Links'!$M$10:$M$132,0)),"DS"),"")</f>
        <v/>
      </c>
      <c r="E234" s="206" t="s">
        <v>1752</v>
      </c>
      <c r="F234" s="223" t="str">
        <f>CLEAN(TRIM(SUBSTITUTE(LEFT(Table23[[#This Row],[Declarative Statement]],MIN(250,LEN(Table23[[#This Row],[Declarative Statement]]))),CHAR(160)," ")))</f>
        <v>Responsibilities for monitoring and reporting suspicious systems activity have been assigned.</v>
      </c>
      <c r="G234" s="206">
        <f>MATCH(Table23[[#This Row],[clean DS]],combinedMaturityTable[Dsm clean],0)</f>
        <v>325</v>
      </c>
      <c r="H234" s="223"/>
      <c r="I234" s="223" t="s">
        <v>1754</v>
      </c>
      <c r="J234" s="308" t="str">
        <f>HYPERLINK(Table23[[#This Row],[URL]],Table23[[#This Row],[Link to Reference]])</f>
        <v>IS.WP.8.4.b</v>
      </c>
      <c r="K234" s="206" t="s">
        <v>1755</v>
      </c>
      <c r="X234" s="286" t="s">
        <v>1186</v>
      </c>
      <c r="Y234" s="302" t="str">
        <f>IFERROR(IF(SEARCH("WP",Table23[[#This Row],[Link to Reference]])&gt;0,"Work Program","Booklet"),"Booklet")</f>
        <v>Work Program</v>
      </c>
      <c r="Z234" s="286">
        <v>19</v>
      </c>
      <c r="AA234" s="302">
        <f>IF(Table23[[#This Row],[Type]]="Booklet",MATCH(LEFT(Table23[[#This Row],[Link to Reference]],FIND(".",Table23[[#This Row],[Link to Reference]])-1),bookletsInfo[Initial],0),MATCH(LEFT(Table23[[#This Row],[Link to Reference]],FIND(".",Table23[[#This Row],[Link to Reference]])-1),WPInfo[Initials],0))</f>
        <v>5</v>
      </c>
      <c r="AB23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234" s="286">
        <v>229</v>
      </c>
      <c r="AD234" s="286" t="str">
        <f>IF(G234=G233,IF(MOD(Table23[[#This Row],[order]],2)=1,"hideOdd","hideEven"),FALSE)</f>
        <v>hideOdd</v>
      </c>
      <c r="AE234" s="286">
        <f>IF(Table23[[#This Row],[hideText]]=FALSE,AE233+1,AE233)</f>
        <v>85</v>
      </c>
      <c r="AF234" s="269"/>
      <c r="AO234"/>
    </row>
    <row r="235" spans="1:41" ht="30" x14ac:dyDescent="0.25">
      <c r="A235" s="206" t="s">
        <v>215</v>
      </c>
      <c r="B235" s="206" t="s">
        <v>364</v>
      </c>
      <c r="C235" s="206" t="s">
        <v>410</v>
      </c>
      <c r="D235" s="306" t="str">
        <f ca="1">IF(Table23[[#This Row],[hideText]]=FALSE,HYPERLINK(INDEX('Verify Baseline Links'!$P$10:$P$132,MATCH(Table23[[#This Row],[DSorder]],'Verify Baseline Links'!$M$10:$M$132,0)),"DS"),"")</f>
        <v>DS</v>
      </c>
      <c r="E235" s="206" t="s">
        <v>1756</v>
      </c>
      <c r="F235" s="223" t="str">
        <f>CLEAN(TRIM(SUBSTITUTE(LEFT(Table23[[#This Row],[Declarative Statement]],MIN(250,LEN(Table23[[#This Row],[Declarative Statement]]))),CHAR(160)," ")))</f>
        <v>The physical environment is monitored to detect potential unauthorized access.</v>
      </c>
      <c r="G235" s="206">
        <f>MATCH(Table23[[#This Row],[clean DS]],combinedMaturityTable[Dsm clean],0)</f>
        <v>326</v>
      </c>
      <c r="H235" s="223">
        <v>2</v>
      </c>
      <c r="I235" s="223" t="s">
        <v>1170</v>
      </c>
      <c r="J235" s="308" t="str">
        <f>HYPERLINK(Table23[[#This Row],[URL]],Table23[[#This Row],[Link to Reference]])</f>
        <v>IS.II.C.8:pg18</v>
      </c>
      <c r="K235" s="206" t="s">
        <v>1757</v>
      </c>
      <c r="L235" s="286" t="s">
        <v>1651</v>
      </c>
      <c r="M235" s="286" t="s">
        <v>1652</v>
      </c>
      <c r="N235" s="286" t="s">
        <v>1378</v>
      </c>
      <c r="O235" s="286" t="s">
        <v>1378</v>
      </c>
      <c r="P235" s="286" t="s">
        <v>1378</v>
      </c>
      <c r="Q235" s="286" t="s">
        <v>1378</v>
      </c>
      <c r="R235" s="286" t="s">
        <v>1378</v>
      </c>
      <c r="S235" s="286" t="s">
        <v>1378</v>
      </c>
      <c r="T235" s="286" t="s">
        <v>1378</v>
      </c>
      <c r="U235" s="286" t="s">
        <v>1378</v>
      </c>
      <c r="X235" s="286" t="s">
        <v>1186</v>
      </c>
      <c r="Y235" s="302" t="str">
        <f>IFERROR(IF(SEARCH("WP",Table23[[#This Row],[Link to Reference]])&gt;0,"Work Program","Booklet"),"Booklet")</f>
        <v>Booklet</v>
      </c>
      <c r="Z235" s="286" t="s">
        <v>2020</v>
      </c>
      <c r="AA235" s="302">
        <f>IF(Table23[[#This Row],[Type]]="Booklet",MATCH(LEFT(Table23[[#This Row],[Link to Reference]],FIND(".",Table23[[#This Row],[Link to Reference]])-1),bookletsInfo[Initial],0),MATCH(LEFT(Table23[[#This Row],[Link to Reference]],FIND(".",Table23[[#This Row],[Link to Reference]])-1),WPInfo[Initials],0))</f>
        <v>5</v>
      </c>
      <c r="AB23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https://ithandbook.ffiec.gov/media/274793/ffiec_itbooklet_informationsecurity.pdf#Page=21</v>
      </c>
      <c r="AC235" s="286">
        <v>230</v>
      </c>
      <c r="AD235" s="286" t="b">
        <f>IF(G235=G234,IF(MOD(Table23[[#This Row],[order]],2)=1,"hideOdd","hideEven"),FALSE)</f>
        <v>0</v>
      </c>
      <c r="AE235" s="286">
        <f>IF(Table23[[#This Row],[hideText]]=FALSE,AE234+1,AE234)</f>
        <v>86</v>
      </c>
      <c r="AF235" s="269"/>
      <c r="AO235"/>
    </row>
    <row r="236" spans="1:41" ht="30" x14ac:dyDescent="0.25">
      <c r="A236" s="206" t="s">
        <v>215</v>
      </c>
      <c r="B236" s="206" t="s">
        <v>364</v>
      </c>
      <c r="C236" s="206" t="s">
        <v>410</v>
      </c>
      <c r="D236" s="306" t="str">
        <f>IF(Table23[[#This Row],[hideText]]=FALSE,HYPERLINK(INDEX('Verify Baseline Links'!$P$10:$P$132,MATCH(Table23[[#This Row],[DSorder]],'Verify Baseline Links'!$M$10:$M$132,0)),"DS"),"")</f>
        <v/>
      </c>
      <c r="E236" s="206" t="s">
        <v>1756</v>
      </c>
      <c r="F236" s="223" t="str">
        <f>CLEAN(TRIM(SUBSTITUTE(LEFT(Table23[[#This Row],[Declarative Statement]],MIN(250,LEN(Table23[[#This Row],[Declarative Statement]]))),CHAR(160)," ")))</f>
        <v>The physical environment is monitored to detect potential unauthorized access.</v>
      </c>
      <c r="G236" s="206">
        <f>MATCH(Table23[[#This Row],[clean DS]],combinedMaturityTable[Dsm clean],0)</f>
        <v>326</v>
      </c>
      <c r="H236" s="223"/>
      <c r="I236" s="223" t="s">
        <v>1651</v>
      </c>
      <c r="J236" s="308" t="str">
        <f>HYPERLINK(Table23[[#This Row],[URL]],Table23[[#This Row],[Link to Reference]])</f>
        <v>IS.WP.6.9</v>
      </c>
      <c r="K236" s="206" t="s">
        <v>1652</v>
      </c>
      <c r="X236" s="286" t="s">
        <v>1186</v>
      </c>
      <c r="Y236" s="302" t="str">
        <f>IFERROR(IF(SEARCH("WP",Table23[[#This Row],[Link to Reference]])&gt;0,"Work Program","Booklet"),"Booklet")</f>
        <v>Work Program</v>
      </c>
      <c r="Z236" s="286">
        <v>9</v>
      </c>
      <c r="AA236" s="302">
        <f>IF(Table23[[#This Row],[Type]]="Booklet",MATCH(LEFT(Table23[[#This Row],[Link to Reference]],FIND(".",Table23[[#This Row],[Link to Reference]])-1),bookletsInfo[Initial],0),MATCH(LEFT(Table23[[#This Row],[Link to Reference]],FIND(".",Table23[[#This Row],[Link to Reference]])-1),WPInfo[Initials],0))</f>
        <v>5</v>
      </c>
      <c r="AB23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236" s="286">
        <v>231</v>
      </c>
      <c r="AD236" s="286" t="str">
        <f>IF(G236=G235,IF(MOD(Table23[[#This Row],[order]],2)=1,"hideOdd","hideEven"),FALSE)</f>
        <v>hideOdd</v>
      </c>
      <c r="AE236" s="286">
        <f>IF(Table23[[#This Row],[hideText]]=FALSE,AE235+1,AE235)</f>
        <v>86</v>
      </c>
      <c r="AF236" s="269"/>
      <c r="AO236"/>
    </row>
    <row r="237" spans="1:41" ht="30" x14ac:dyDescent="0.25">
      <c r="A237" s="206" t="s">
        <v>215</v>
      </c>
      <c r="B237" s="206" t="s">
        <v>421</v>
      </c>
      <c r="C237" s="206" t="s">
        <v>422</v>
      </c>
      <c r="D237" s="306" t="str">
        <f ca="1">IF(Table23[[#This Row],[hideText]]=FALSE,HYPERLINK(INDEX('Verify Baseline Links'!$P$10:$P$132,MATCH(Table23[[#This Row],[DSorder]],'Verify Baseline Links'!$M$10:$M$132,0)),"DS"),"")</f>
        <v>DS</v>
      </c>
      <c r="E237" s="206" t="s">
        <v>1758</v>
      </c>
      <c r="F237" s="223" t="str">
        <f>CLEAN(TRIM(SUBSTITUTE(LEFT(Table23[[#This Row],[Declarative Statement]],MIN(250,LEN(Table23[[#This Row],[Declarative Statement]]))),CHAR(160)," ")))</f>
        <v>A patch management program is implemented and ensures that software and firmware patches are applied in a timely manner.</v>
      </c>
      <c r="G237" s="206">
        <f>MATCH(Table23[[#This Row],[clean DS]],combinedMaturityTable[Dsm clean],0)</f>
        <v>337</v>
      </c>
      <c r="H237" s="223">
        <v>4</v>
      </c>
      <c r="I237" s="223" t="s">
        <v>1206</v>
      </c>
      <c r="J237" s="308" t="str">
        <f>HYPERLINK(Table23[[#This Row],[URL]],Table23[[#This Row],[Link to Reference]])</f>
        <v>IS.II.C.10(d):pg24</v>
      </c>
      <c r="K237" s="206" t="s">
        <v>1759</v>
      </c>
      <c r="L237" s="286" t="s">
        <v>1697</v>
      </c>
      <c r="M237" s="286" t="s">
        <v>1698</v>
      </c>
      <c r="N237" s="286" t="s">
        <v>1209</v>
      </c>
      <c r="O237" s="286" t="s">
        <v>1760</v>
      </c>
      <c r="P237" s="286" t="s">
        <v>1761</v>
      </c>
      <c r="Q237" s="286" t="s">
        <v>1762</v>
      </c>
      <c r="R237" s="286" t="s">
        <v>1378</v>
      </c>
      <c r="S237" s="286" t="s">
        <v>1378</v>
      </c>
      <c r="T237" s="286" t="s">
        <v>1378</v>
      </c>
      <c r="U237" s="286" t="s">
        <v>1378</v>
      </c>
      <c r="X237" s="286" t="s">
        <v>1186</v>
      </c>
      <c r="Y237" s="302" t="str">
        <f>IFERROR(IF(SEARCH("WP",Table23[[#This Row],[Link to Reference]])&gt;0,"Work Program","Booklet"),"Booklet")</f>
        <v>Booklet</v>
      </c>
      <c r="Z237" s="286" t="s">
        <v>2045</v>
      </c>
      <c r="AA237" s="302">
        <f>IF(Table23[[#This Row],[Type]]="Booklet",MATCH(LEFT(Table23[[#This Row],[Link to Reference]],FIND(".",Table23[[#This Row],[Link to Reference]])-1),bookletsInfo[Initial],0),MATCH(LEFT(Table23[[#This Row],[Link to Reference]],FIND(".",Table23[[#This Row],[Link to Reference]])-1),WPInfo[Initials],0))</f>
        <v>5</v>
      </c>
      <c r="AB23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https://ithandbook.ffiec.gov/media/274793/ffiec_itbooklet_informationsecurity.pdf#Page=27</v>
      </c>
      <c r="AC237" s="286">
        <v>232</v>
      </c>
      <c r="AD237" s="286" t="b">
        <f>IF(G237=G236,IF(MOD(Table23[[#This Row],[order]],2)=1,"hideOdd","hideEven"),FALSE)</f>
        <v>0</v>
      </c>
      <c r="AE237" s="286">
        <f>IF(Table23[[#This Row],[hideText]]=FALSE,AE236+1,AE236)</f>
        <v>87</v>
      </c>
      <c r="AF237" s="269"/>
      <c r="AO237"/>
    </row>
    <row r="238" spans="1:41" ht="30" x14ac:dyDescent="0.25">
      <c r="A238" s="206" t="s">
        <v>215</v>
      </c>
      <c r="B238" s="206" t="s">
        <v>421</v>
      </c>
      <c r="C238" s="206" t="s">
        <v>422</v>
      </c>
      <c r="D238" s="306" t="str">
        <f>IF(Table23[[#This Row],[hideText]]=FALSE,HYPERLINK(INDEX('Verify Baseline Links'!$P$10:$P$132,MATCH(Table23[[#This Row],[DSorder]],'Verify Baseline Links'!$M$10:$M$132,0)),"DS"),"")</f>
        <v/>
      </c>
      <c r="E238" s="206" t="s">
        <v>1758</v>
      </c>
      <c r="F238" s="223" t="str">
        <f>CLEAN(TRIM(SUBSTITUTE(LEFT(Table23[[#This Row],[Declarative Statement]],MIN(250,LEN(Table23[[#This Row],[Declarative Statement]]))),CHAR(160)," ")))</f>
        <v>A patch management program is implemented and ensures that software and firmware patches are applied in a timely manner.</v>
      </c>
      <c r="G238" s="206">
        <f>MATCH(Table23[[#This Row],[clean DS]],combinedMaturityTable[Dsm clean],0)</f>
        <v>337</v>
      </c>
      <c r="H238" s="223"/>
      <c r="I238" s="223" t="s">
        <v>1697</v>
      </c>
      <c r="J238" s="308" t="str">
        <f>HYPERLINK(Table23[[#This Row],[URL]],Table23[[#This Row],[Link to Reference]])</f>
        <v>IS.WP.6.15</v>
      </c>
      <c r="K238" s="206" t="s">
        <v>1698</v>
      </c>
      <c r="X238" s="286" t="s">
        <v>1186</v>
      </c>
      <c r="Y238" s="302" t="str">
        <f>IFERROR(IF(SEARCH("WP",Table23[[#This Row],[Link to Reference]])&gt;0,"Work Program","Booklet"),"Booklet")</f>
        <v>Work Program</v>
      </c>
      <c r="Z238" s="286">
        <v>10</v>
      </c>
      <c r="AA238" s="302">
        <f>IF(Table23[[#This Row],[Type]]="Booklet",MATCH(LEFT(Table23[[#This Row],[Link to Reference]],FIND(".",Table23[[#This Row],[Link to Reference]])-1),bookletsInfo[Initial],0),MATCH(LEFT(Table23[[#This Row],[Link to Reference]],FIND(".",Table23[[#This Row],[Link to Reference]])-1),WPInfo[Initials],0))</f>
        <v>5</v>
      </c>
      <c r="AB23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238" s="286">
        <v>233</v>
      </c>
      <c r="AD238" s="286" t="str">
        <f>IF(G238=G237,IF(MOD(Table23[[#This Row],[order]],2)=1,"hideOdd","hideEven"),FALSE)</f>
        <v>hideOdd</v>
      </c>
      <c r="AE238" s="286">
        <f>IF(Table23[[#This Row],[hideText]]=FALSE,AE237+1,AE237)</f>
        <v>87</v>
      </c>
      <c r="AF238" s="269"/>
      <c r="AO238"/>
    </row>
    <row r="239" spans="1:41" ht="30" x14ac:dyDescent="0.25">
      <c r="A239" s="206" t="s">
        <v>215</v>
      </c>
      <c r="B239" s="206" t="s">
        <v>421</v>
      </c>
      <c r="C239" s="206" t="s">
        <v>422</v>
      </c>
      <c r="D239" s="306" t="str">
        <f>IF(Table23[[#This Row],[hideText]]=FALSE,HYPERLINK(INDEX('Verify Baseline Links'!$P$10:$P$132,MATCH(Table23[[#This Row],[DSorder]],'Verify Baseline Links'!$M$10:$M$132,0)),"DS"),"")</f>
        <v/>
      </c>
      <c r="E239" s="206" t="s">
        <v>1758</v>
      </c>
      <c r="F239" s="223" t="str">
        <f>CLEAN(TRIM(SUBSTITUTE(LEFT(Table23[[#This Row],[Declarative Statement]],MIN(250,LEN(Table23[[#This Row],[Declarative Statement]]))),CHAR(160)," ")))</f>
        <v>A patch management program is implemented and ensures that software and firmware patches are applied in a timely manner.</v>
      </c>
      <c r="G239" s="206">
        <f>MATCH(Table23[[#This Row],[clean DS]],combinedMaturityTable[Dsm clean],0)</f>
        <v>337</v>
      </c>
      <c r="H239" s="223"/>
      <c r="I239" s="223" t="s">
        <v>1209</v>
      </c>
      <c r="J239" s="308" t="str">
        <f>HYPERLINK(Table23[[#This Row],[URL]],Table23[[#This Row],[Link to Reference]])</f>
        <v>OPS.B.22</v>
      </c>
      <c r="K239" s="206" t="s">
        <v>1760</v>
      </c>
      <c r="X239" s="286" t="s">
        <v>1959</v>
      </c>
      <c r="Y239" s="302" t="str">
        <f>IFERROR(IF(SEARCH("WP",Table23[[#This Row],[Link to Reference]])&gt;0,"Work Program","Booklet"),"Booklet")</f>
        <v>Booklet</v>
      </c>
      <c r="Z239" s="286">
        <v>22</v>
      </c>
      <c r="AA239" s="302">
        <f>IF(Table23[[#This Row],[Type]]="Booklet",MATCH(LEFT(Table23[[#This Row],[Link to Reference]],FIND(".",Table23[[#This Row],[Link to Reference]])-1),bookletsInfo[Initial],0),MATCH(LEFT(Table23[[#This Row],[Link to Reference]],FIND(".",Table23[[#This Row],[Link to Reference]])-1),WPInfo[Initials],0))</f>
        <v>7</v>
      </c>
      <c r="AB23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https://ithandbook.ffiec.gov/media/274825/ffiec_itbooklet_operations.pdf#Page=25</v>
      </c>
      <c r="AC239" s="286">
        <v>234</v>
      </c>
      <c r="AD239" s="286" t="str">
        <f>IF(G239=G238,IF(MOD(Table23[[#This Row],[order]],2)=1,"hideOdd","hideEven"),FALSE)</f>
        <v>hideEven</v>
      </c>
      <c r="AE239" s="286">
        <f>IF(Table23[[#This Row],[hideText]]=FALSE,AE238+1,AE238)</f>
        <v>87</v>
      </c>
      <c r="AF239" s="269"/>
      <c r="AO239"/>
    </row>
    <row r="240" spans="1:41" ht="30" x14ac:dyDescent="0.25">
      <c r="A240" s="206" t="s">
        <v>215</v>
      </c>
      <c r="B240" s="206" t="s">
        <v>421</v>
      </c>
      <c r="C240" s="206" t="s">
        <v>422</v>
      </c>
      <c r="D240" s="306" t="str">
        <f>IF(Table23[[#This Row],[hideText]]=FALSE,HYPERLINK(INDEX('Verify Baseline Links'!$P$10:$P$132,MATCH(Table23[[#This Row],[DSorder]],'Verify Baseline Links'!$M$10:$M$132,0)),"DS"),"")</f>
        <v/>
      </c>
      <c r="E240" s="206" t="s">
        <v>1758</v>
      </c>
      <c r="F240" s="223" t="str">
        <f>CLEAN(TRIM(SUBSTITUTE(LEFT(Table23[[#This Row],[Declarative Statement]],MIN(250,LEN(Table23[[#This Row],[Declarative Statement]]))),CHAR(160)," ")))</f>
        <v>A patch management program is implemented and ensures that software and firmware patches are applied in a timely manner.</v>
      </c>
      <c r="G240" s="206">
        <f>MATCH(Table23[[#This Row],[clean DS]],combinedMaturityTable[Dsm clean],0)</f>
        <v>337</v>
      </c>
      <c r="H240" s="223"/>
      <c r="I240" s="223" t="s">
        <v>1761</v>
      </c>
      <c r="J240" s="308" t="str">
        <f>HYPERLINK(Table23[[#This Row],[URL]],Table23[[#This Row],[Link to Reference]])</f>
        <v>OPS.WP.5.1</v>
      </c>
      <c r="K240" s="206" t="s">
        <v>1762</v>
      </c>
      <c r="X240" s="286" t="s">
        <v>1959</v>
      </c>
      <c r="Y240" s="302" t="str">
        <f>IFERROR(IF(SEARCH("WP",Table23[[#This Row],[Link to Reference]])&gt;0,"Work Program","Booklet"),"Booklet")</f>
        <v>Work Program</v>
      </c>
      <c r="Z240" s="286">
        <v>6</v>
      </c>
      <c r="AA240" s="302">
        <f>IF(Table23[[#This Row],[Type]]="Booklet",MATCH(LEFT(Table23[[#This Row],[Link to Reference]],FIND(".",Table23[[#This Row],[Link to Reference]])-1),bookletsInfo[Initial],0),MATCH(LEFT(Table23[[#This Row],[Link to Reference]],FIND(".",Table23[[#This Row],[Link to Reference]])-1),WPInfo[Initials],0))</f>
        <v>7</v>
      </c>
      <c r="AB24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https://watkinsconsulting.com/wp-content/uploads/2019/02/Operations-IT-WorkProgram.pdf#Page=6</v>
      </c>
      <c r="AC240" s="286">
        <v>235</v>
      </c>
      <c r="AD240" s="286" t="str">
        <f>IF(G240=G239,IF(MOD(Table23[[#This Row],[order]],2)=1,"hideOdd","hideEven"),FALSE)</f>
        <v>hideOdd</v>
      </c>
      <c r="AE240" s="286">
        <f>IF(Table23[[#This Row],[hideText]]=FALSE,AE239+1,AE239)</f>
        <v>87</v>
      </c>
      <c r="AF240" s="269"/>
      <c r="AO240"/>
    </row>
    <row r="241" spans="1:41" ht="30" x14ac:dyDescent="0.25">
      <c r="A241" s="206" t="s">
        <v>215</v>
      </c>
      <c r="B241" s="206" t="s">
        <v>421</v>
      </c>
      <c r="C241" s="206" t="s">
        <v>422</v>
      </c>
      <c r="D241" s="306" t="str">
        <f ca="1">IF(Table23[[#This Row],[hideText]]=FALSE,HYPERLINK(INDEX('Verify Baseline Links'!$P$10:$P$132,MATCH(Table23[[#This Row],[DSorder]],'Verify Baseline Links'!$M$10:$M$132,0)),"DS"),"")</f>
        <v>DS</v>
      </c>
      <c r="E241" s="206" t="s">
        <v>1763</v>
      </c>
      <c r="F241" s="223" t="str">
        <f>CLEAN(TRIM(SUBSTITUTE(LEFT(Table23[[#This Row],[Declarative Statement]],MIN(250,LEN(Table23[[#This Row],[Declarative Statement]]))),CHAR(160)," ")))</f>
        <v>Patches are tested before being applied to systems and/or software.</v>
      </c>
      <c r="G241" s="206">
        <f>MATCH(Table23[[#This Row],[clean DS]],combinedMaturityTable[Dsm clean],0)</f>
        <v>338</v>
      </c>
      <c r="H241" s="223">
        <v>2</v>
      </c>
      <c r="I241" s="223" t="s">
        <v>1209</v>
      </c>
      <c r="J241" s="308" t="str">
        <f>HYPERLINK(Table23[[#This Row],[URL]],Table23[[#This Row],[Link to Reference]])</f>
        <v>OPS.B.22</v>
      </c>
      <c r="K241" s="206" t="s">
        <v>1760</v>
      </c>
      <c r="L241" s="286" t="s">
        <v>1761</v>
      </c>
      <c r="M241" s="286" t="s">
        <v>1762</v>
      </c>
      <c r="N241" s="286" t="s">
        <v>1378</v>
      </c>
      <c r="O241" s="286" t="s">
        <v>1378</v>
      </c>
      <c r="P241" s="286" t="s">
        <v>1378</v>
      </c>
      <c r="Q241" s="286" t="s">
        <v>1378</v>
      </c>
      <c r="R241" s="286" t="s">
        <v>1378</v>
      </c>
      <c r="S241" s="286" t="s">
        <v>1378</v>
      </c>
      <c r="T241" s="286" t="s">
        <v>1378</v>
      </c>
      <c r="U241" s="286" t="s">
        <v>1378</v>
      </c>
      <c r="X241" s="286" t="s">
        <v>1959</v>
      </c>
      <c r="Y241" s="302" t="str">
        <f>IFERROR(IF(SEARCH("WP",Table23[[#This Row],[Link to Reference]])&gt;0,"Work Program","Booklet"),"Booklet")</f>
        <v>Booklet</v>
      </c>
      <c r="Z241" s="286">
        <v>22</v>
      </c>
      <c r="AA241" s="302">
        <f>IF(Table23[[#This Row],[Type]]="Booklet",MATCH(LEFT(Table23[[#This Row],[Link to Reference]],FIND(".",Table23[[#This Row],[Link to Reference]])-1),bookletsInfo[Initial],0),MATCH(LEFT(Table23[[#This Row],[Link to Reference]],FIND(".",Table23[[#This Row],[Link to Reference]])-1),WPInfo[Initials],0))</f>
        <v>7</v>
      </c>
      <c r="AB24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https://ithandbook.ffiec.gov/media/274825/ffiec_itbooklet_operations.pdf#Page=25</v>
      </c>
      <c r="AC241" s="286">
        <v>236</v>
      </c>
      <c r="AD241" s="286" t="b">
        <f>IF(G241=G240,IF(MOD(Table23[[#This Row],[order]],2)=1,"hideOdd","hideEven"),FALSE)</f>
        <v>0</v>
      </c>
      <c r="AE241" s="286">
        <f>IF(Table23[[#This Row],[hideText]]=FALSE,AE240+1,AE240)</f>
        <v>88</v>
      </c>
      <c r="AF241" s="269"/>
      <c r="AO241"/>
    </row>
    <row r="242" spans="1:41" ht="30" x14ac:dyDescent="0.25">
      <c r="A242" s="206" t="s">
        <v>215</v>
      </c>
      <c r="B242" s="206" t="s">
        <v>421</v>
      </c>
      <c r="C242" s="206" t="s">
        <v>422</v>
      </c>
      <c r="D242" s="306" t="str">
        <f>IF(Table23[[#This Row],[hideText]]=FALSE,HYPERLINK(INDEX('Verify Baseline Links'!$P$10:$P$132,MATCH(Table23[[#This Row],[DSorder]],'Verify Baseline Links'!$M$10:$M$132,0)),"DS"),"")</f>
        <v/>
      </c>
      <c r="E242" s="206" t="s">
        <v>1763</v>
      </c>
      <c r="F242" s="223" t="str">
        <f>CLEAN(TRIM(SUBSTITUTE(LEFT(Table23[[#This Row],[Declarative Statement]],MIN(250,LEN(Table23[[#This Row],[Declarative Statement]]))),CHAR(160)," ")))</f>
        <v>Patches are tested before being applied to systems and/or software.</v>
      </c>
      <c r="G242" s="206">
        <f>MATCH(Table23[[#This Row],[clean DS]],combinedMaturityTable[Dsm clean],0)</f>
        <v>338</v>
      </c>
      <c r="H242" s="223"/>
      <c r="I242" s="223" t="s">
        <v>1761</v>
      </c>
      <c r="J242" s="308" t="str">
        <f>HYPERLINK(Table23[[#This Row],[URL]],Table23[[#This Row],[Link to Reference]])</f>
        <v>OPS.WP.5.1</v>
      </c>
      <c r="K242" s="206" t="s">
        <v>1762</v>
      </c>
      <c r="X242" s="286" t="s">
        <v>1959</v>
      </c>
      <c r="Y242" s="302" t="str">
        <f>IFERROR(IF(SEARCH("WP",Table23[[#This Row],[Link to Reference]])&gt;0,"Work Program","Booklet"),"Booklet")</f>
        <v>Work Program</v>
      </c>
      <c r="Z242" s="286">
        <v>6</v>
      </c>
      <c r="AA242" s="302">
        <f>IF(Table23[[#This Row],[Type]]="Booklet",MATCH(LEFT(Table23[[#This Row],[Link to Reference]],FIND(".",Table23[[#This Row],[Link to Reference]])-1),bookletsInfo[Initial],0),MATCH(LEFT(Table23[[#This Row],[Link to Reference]],FIND(".",Table23[[#This Row],[Link to Reference]])-1),WPInfo[Initials],0))</f>
        <v>7</v>
      </c>
      <c r="AB24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https://watkinsconsulting.com/wp-content/uploads/2019/02/Operations-IT-WorkProgram.pdf#Page=6</v>
      </c>
      <c r="AC242" s="286">
        <v>237</v>
      </c>
      <c r="AD242" s="286" t="str">
        <f>IF(G242=G241,IF(MOD(Table23[[#This Row],[order]],2)=1,"hideOdd","hideEven"),FALSE)</f>
        <v>hideOdd</v>
      </c>
      <c r="AE242" s="286">
        <f>IF(Table23[[#This Row],[hideText]]=FALSE,AE241+1,AE241)</f>
        <v>88</v>
      </c>
      <c r="AF242" s="269"/>
      <c r="AO242"/>
    </row>
    <row r="243" spans="1:41" ht="45" x14ac:dyDescent="0.25">
      <c r="A243" s="206" t="s">
        <v>215</v>
      </c>
      <c r="B243" s="206" t="s">
        <v>421</v>
      </c>
      <c r="C243" s="206" t="s">
        <v>422</v>
      </c>
      <c r="D243" s="306" t="str">
        <f ca="1">IF(Table23[[#This Row],[hideText]]=FALSE,HYPERLINK(INDEX('Verify Baseline Links'!$P$10:$P$132,MATCH(Table23[[#This Row],[DSorder]],'Verify Baseline Links'!$M$10:$M$132,0)),"DS"),"")</f>
        <v>DS</v>
      </c>
      <c r="E243" s="206" t="s">
        <v>1764</v>
      </c>
      <c r="F243" s="223" t="str">
        <f>CLEAN(TRIM(SUBSTITUTE(LEFT(Table23[[#This Row],[Declarative Statement]],MIN(250,LEN(Table23[[#This Row],[Declarative Statement]]))),CHAR(160)," ")))</f>
        <v>Patch management reports are reviewed and reflect missing security patches.</v>
      </c>
      <c r="G243" s="206">
        <f>MATCH(Table23[[#This Row],[clean DS]],combinedMaturityTable[Dsm clean],0)</f>
        <v>339</v>
      </c>
      <c r="H243" s="223">
        <v>1</v>
      </c>
      <c r="I243" s="223" t="s">
        <v>1213</v>
      </c>
      <c r="J243" s="308" t="str">
        <f>HYPERLINK(Table23[[#This Row],[URL]],Table23[[#This Row],[Link to Reference]])</f>
        <v>D&amp;A.B.50</v>
      </c>
      <c r="K243" s="206" t="s">
        <v>1765</v>
      </c>
      <c r="L243" s="286" t="s">
        <v>1378</v>
      </c>
      <c r="M243" s="286" t="s">
        <v>1378</v>
      </c>
      <c r="N243" s="286" t="s">
        <v>1378</v>
      </c>
      <c r="O243" s="286" t="s">
        <v>1378</v>
      </c>
      <c r="P243" s="286" t="s">
        <v>1378</v>
      </c>
      <c r="Q243" s="286" t="s">
        <v>1378</v>
      </c>
      <c r="R243" s="286" t="s">
        <v>1378</v>
      </c>
      <c r="S243" s="286" t="s">
        <v>1378</v>
      </c>
      <c r="T243" s="286" t="s">
        <v>1378</v>
      </c>
      <c r="U243" s="286" t="s">
        <v>1378</v>
      </c>
      <c r="X243" s="286" t="s">
        <v>1952</v>
      </c>
      <c r="Y243" s="302" t="str">
        <f>IFERROR(IF(SEARCH("WP",Table23[[#This Row],[Link to Reference]])&gt;0,"Work Program","Booklet"),"Booklet")</f>
        <v>Booklet</v>
      </c>
      <c r="Z243" s="286">
        <v>50</v>
      </c>
      <c r="AA243" s="302">
        <f>IF(Table23[[#This Row],[Type]]="Booklet",MATCH(LEFT(Table23[[#This Row],[Link to Reference]],FIND(".",Table23[[#This Row],[Link to Reference]])-1),bookletsInfo[Initial],0),MATCH(LEFT(Table23[[#This Row],[Link to Reference]],FIND(".",Table23[[#This Row],[Link to Reference]])-1),WPInfo[Initials],0))</f>
        <v>3</v>
      </c>
      <c r="AB24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https://ithandbook.ffiec.gov/media/274741/ffiec_itbooklet_developmentandacquisition.pdf#Page=54</v>
      </c>
      <c r="AC243" s="286">
        <v>238</v>
      </c>
      <c r="AD243" s="286" t="b">
        <f>IF(G243=G242,IF(MOD(Table23[[#This Row],[order]],2)=1,"hideOdd","hideEven"),FALSE)</f>
        <v>0</v>
      </c>
      <c r="AE243" s="286">
        <f>IF(Table23[[#This Row],[hideText]]=FALSE,AE242+1,AE242)</f>
        <v>89</v>
      </c>
      <c r="AF243" s="269"/>
      <c r="AO243"/>
    </row>
    <row r="244" spans="1:41" ht="45" x14ac:dyDescent="0.25">
      <c r="A244" s="206" t="s">
        <v>215</v>
      </c>
      <c r="B244" s="206" t="s">
        <v>421</v>
      </c>
      <c r="C244" s="206" t="s">
        <v>436</v>
      </c>
      <c r="D244" s="306" t="str">
        <f ca="1">IF(Table23[[#This Row],[hideText]]=FALSE,HYPERLINK(INDEX('Verify Baseline Links'!$P$10:$P$132,MATCH(Table23[[#This Row],[DSorder]],'Verify Baseline Links'!$M$10:$M$132,0)),"DS"),"")</f>
        <v>DS</v>
      </c>
      <c r="E244" s="206" t="s">
        <v>1766</v>
      </c>
      <c r="F244" s="223" t="str">
        <f>CLEAN(TRIM(SUBSTITUTE(LEFT(Table23[[#This Row],[Declarative Statement]],MIN(250,LEN(Table23[[#This Row],[Declarative Statement]]))),CHAR(160)," ")))</f>
        <v>Issues identified in assessments are prioritized and resolved based on criticality and within the time frames established in the response to the assessment report.</v>
      </c>
      <c r="G244" s="206">
        <f>MATCH(Table23[[#This Row],[clean DS]],combinedMaturityTable[Dsm clean],0)</f>
        <v>350</v>
      </c>
      <c r="H244" s="223">
        <v>2</v>
      </c>
      <c r="I244" s="223" t="s">
        <v>1214</v>
      </c>
      <c r="J244" s="308" t="str">
        <f>HYPERLINK(Table23[[#This Row],[URL]],Table23[[#This Row],[Link to Reference]])</f>
        <v>IS.IV.A.4:pg56</v>
      </c>
      <c r="K244" s="206" t="s">
        <v>1767</v>
      </c>
      <c r="L244" s="286" t="s">
        <v>1768</v>
      </c>
      <c r="M244" s="286" t="s">
        <v>1769</v>
      </c>
      <c r="N244" s="286" t="s">
        <v>1378</v>
      </c>
      <c r="O244" s="286" t="s">
        <v>1378</v>
      </c>
      <c r="P244" s="286" t="s">
        <v>1378</v>
      </c>
      <c r="Q244" s="286" t="s">
        <v>1378</v>
      </c>
      <c r="R244" s="286" t="s">
        <v>1378</v>
      </c>
      <c r="S244" s="286" t="s">
        <v>1378</v>
      </c>
      <c r="T244" s="286" t="s">
        <v>1378</v>
      </c>
      <c r="U244" s="286" t="s">
        <v>1378</v>
      </c>
      <c r="X244" s="286" t="s">
        <v>1186</v>
      </c>
      <c r="Y244" s="302" t="str">
        <f>IFERROR(IF(SEARCH("WP",Table23[[#This Row],[Link to Reference]])&gt;0,"Work Program","Booklet"),"Booklet")</f>
        <v>Booklet</v>
      </c>
      <c r="Z244" s="286" t="s">
        <v>2018</v>
      </c>
      <c r="AA244" s="302">
        <f>IF(Table23[[#This Row],[Type]]="Booklet",MATCH(LEFT(Table23[[#This Row],[Link to Reference]],FIND(".",Table23[[#This Row],[Link to Reference]])-1),bookletsInfo[Initial],0),MATCH(LEFT(Table23[[#This Row],[Link to Reference]],FIND(".",Table23[[#This Row],[Link to Reference]])-1),WPInfo[Initials],0))</f>
        <v>5</v>
      </c>
      <c r="AB24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https://ithandbook.ffiec.gov/media/274793/ffiec_itbooklet_informationsecurity.pdf#Page=59</v>
      </c>
      <c r="AC244" s="286">
        <v>239</v>
      </c>
      <c r="AD244" s="286" t="b">
        <f>IF(G244=G243,IF(MOD(Table23[[#This Row],[order]],2)=1,"hideOdd","hideEven"),FALSE)</f>
        <v>0</v>
      </c>
      <c r="AE244" s="286">
        <f>IF(Table23[[#This Row],[hideText]]=FALSE,AE243+1,AE243)</f>
        <v>90</v>
      </c>
      <c r="AF244" s="269"/>
      <c r="AO244"/>
    </row>
    <row r="245" spans="1:41" ht="45" x14ac:dyDescent="0.25">
      <c r="A245" s="206" t="s">
        <v>215</v>
      </c>
      <c r="B245" s="206" t="s">
        <v>421</v>
      </c>
      <c r="C245" s="206" t="s">
        <v>436</v>
      </c>
      <c r="D245" s="306" t="str">
        <f>IF(Table23[[#This Row],[hideText]]=FALSE,HYPERLINK(INDEX('Verify Baseline Links'!$P$10:$P$132,MATCH(Table23[[#This Row],[DSorder]],'Verify Baseline Links'!$M$10:$M$132,0)),"DS"),"")</f>
        <v/>
      </c>
      <c r="E245" s="206" t="s">
        <v>1766</v>
      </c>
      <c r="F245" s="223" t="str">
        <f>CLEAN(TRIM(SUBSTITUTE(LEFT(Table23[[#This Row],[Declarative Statement]],MIN(250,LEN(Table23[[#This Row],[Declarative Statement]]))),CHAR(160)," ")))</f>
        <v>Issues identified in assessments are prioritized and resolved based on criticality and within the time frames established in the response to the assessment report.</v>
      </c>
      <c r="G245" s="206">
        <f>MATCH(Table23[[#This Row],[clean DS]],combinedMaturityTable[Dsm clean],0)</f>
        <v>350</v>
      </c>
      <c r="H245" s="223"/>
      <c r="I245" s="223" t="s">
        <v>1768</v>
      </c>
      <c r="J245" s="308" t="str">
        <f>HYPERLINK(Table23[[#This Row],[URL]],Table23[[#This Row],[Link to Reference]])</f>
        <v>IS.WP.1.2.a</v>
      </c>
      <c r="K245" s="206" t="s">
        <v>1769</v>
      </c>
      <c r="X245" s="286" t="s">
        <v>1186</v>
      </c>
      <c r="Y245" s="302" t="str">
        <f>IFERROR(IF(SEARCH("WP",Table23[[#This Row],[Link to Reference]])&gt;0,"Work Program","Booklet"),"Booklet")</f>
        <v>Work Program</v>
      </c>
      <c r="Z245" s="286">
        <v>1</v>
      </c>
      <c r="AA245" s="302">
        <f>IF(Table23[[#This Row],[Type]]="Booklet",MATCH(LEFT(Table23[[#This Row],[Link to Reference]],FIND(".",Table23[[#This Row],[Link to Reference]])-1),bookletsInfo[Initial],0),MATCH(LEFT(Table23[[#This Row],[Link to Reference]],FIND(".",Table23[[#This Row],[Link to Reference]])-1),WPInfo[Initials],0))</f>
        <v>5</v>
      </c>
      <c r="AB24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v>
      </c>
      <c r="AC245" s="286">
        <v>240</v>
      </c>
      <c r="AD245" s="286" t="str">
        <f>IF(G245=G244,IF(MOD(Table23[[#This Row],[order]],2)=1,"hideOdd","hideEven"),FALSE)</f>
        <v>hideEven</v>
      </c>
      <c r="AE245" s="286">
        <f>IF(Table23[[#This Row],[hideText]]=FALSE,AE244+1,AE244)</f>
        <v>90</v>
      </c>
      <c r="AF245" s="269"/>
      <c r="AO245"/>
    </row>
    <row r="246" spans="1:41" ht="45" x14ac:dyDescent="0.25">
      <c r="A246" s="206" t="s">
        <v>216</v>
      </c>
      <c r="B246" s="206" t="s">
        <v>448</v>
      </c>
      <c r="C246" s="206" t="s">
        <v>448</v>
      </c>
      <c r="D246" s="306" t="str">
        <f ca="1">IF(Table23[[#This Row],[hideText]]=FALSE,HYPERLINK(INDEX('Verify Baseline Links'!$P$10:$P$132,MATCH(Table23[[#This Row],[DSorder]],'Verify Baseline Links'!$M$10:$M$132,0)),"DS"),"")</f>
        <v>DS</v>
      </c>
      <c r="E246" s="206" t="s">
        <v>1770</v>
      </c>
      <c r="F246" s="223" t="str">
        <f>CLEAN(TRIM(SUBSTITUTE(LEFT(Table23[[#This Row],[Declarative Statement]],MIN(250,LEN(Table23[[#This Row],[Declarative Statement]]))),CHAR(160)," ")))</f>
        <v>The critical business processes that are dependent on external connectivity have been identified.</v>
      </c>
      <c r="G246" s="206">
        <f>MATCH(Table23[[#This Row],[clean DS]],combinedMaturityTable[Dsm clean],0)</f>
        <v>361</v>
      </c>
      <c r="H246" s="223">
        <v>2</v>
      </c>
      <c r="I246" s="223" t="s">
        <v>2046</v>
      </c>
      <c r="J246" s="308" t="str">
        <f>HYPERLINK(Table23[[#This Row],[URL]],Table23[[#This Row],[Link to Reference]])</f>
        <v>IS.II.C.6:pg14</v>
      </c>
      <c r="K246" s="206" t="s">
        <v>1771</v>
      </c>
      <c r="L246" s="286" t="s">
        <v>1772</v>
      </c>
      <c r="M246" s="286" t="s">
        <v>1773</v>
      </c>
      <c r="N246" s="286" t="s">
        <v>1378</v>
      </c>
      <c r="O246" s="286" t="s">
        <v>1378</v>
      </c>
      <c r="P246" s="286" t="s">
        <v>1378</v>
      </c>
      <c r="Q246" s="286" t="s">
        <v>1378</v>
      </c>
      <c r="R246" s="286" t="s">
        <v>1378</v>
      </c>
      <c r="S246" s="286" t="s">
        <v>1378</v>
      </c>
      <c r="T246" s="286" t="s">
        <v>1378</v>
      </c>
      <c r="U246" s="286" t="s">
        <v>1378</v>
      </c>
      <c r="X246" s="286" t="s">
        <v>1186</v>
      </c>
      <c r="Y246" s="302" t="str">
        <f>IFERROR(IF(SEARCH("WP",Table23[[#This Row],[Link to Reference]])&gt;0,"Work Program","Booklet"),"Booklet")</f>
        <v>Booklet</v>
      </c>
      <c r="Z246" s="286" t="s">
        <v>2004</v>
      </c>
      <c r="AA246" s="302">
        <f>IF(Table23[[#This Row],[Type]]="Booklet",MATCH(LEFT(Table23[[#This Row],[Link to Reference]],FIND(".",Table23[[#This Row],[Link to Reference]])-1),bookletsInfo[Initial],0),MATCH(LEFT(Table23[[#This Row],[Link to Reference]],FIND(".",Table23[[#This Row],[Link to Reference]])-1),WPInfo[Initials],0))</f>
        <v>5</v>
      </c>
      <c r="AB24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246" s="286">
        <v>241</v>
      </c>
      <c r="AD246" s="286" t="b">
        <f>IF(G246=G245,IF(MOD(Table23[[#This Row],[order]],2)=1,"hideOdd","hideEven"),FALSE)</f>
        <v>0</v>
      </c>
      <c r="AE246" s="286">
        <f>IF(Table23[[#This Row],[hideText]]=FALSE,AE245+1,AE245)</f>
        <v>91</v>
      </c>
      <c r="AF246" s="269"/>
      <c r="AO246"/>
    </row>
    <row r="247" spans="1:41" ht="45" x14ac:dyDescent="0.25">
      <c r="A247" s="206" t="s">
        <v>216</v>
      </c>
      <c r="B247" s="206" t="s">
        <v>448</v>
      </c>
      <c r="C247" s="206" t="s">
        <v>448</v>
      </c>
      <c r="D247" s="306" t="str">
        <f>IF(Table23[[#This Row],[hideText]]=FALSE,HYPERLINK(INDEX('Verify Baseline Links'!$P$10:$P$132,MATCH(Table23[[#This Row],[DSorder]],'Verify Baseline Links'!$M$10:$M$132,0)),"DS"),"")</f>
        <v/>
      </c>
      <c r="E247" s="206" t="s">
        <v>1770</v>
      </c>
      <c r="F247" s="223" t="str">
        <f>CLEAN(TRIM(SUBSTITUTE(LEFT(Table23[[#This Row],[Declarative Statement]],MIN(250,LEN(Table23[[#This Row],[Declarative Statement]]))),CHAR(160)," ")))</f>
        <v>The critical business processes that are dependent on external connectivity have been identified.</v>
      </c>
      <c r="G247" s="206">
        <f>MATCH(Table23[[#This Row],[clean DS]],combinedMaturityTable[Dsm clean],0)</f>
        <v>361</v>
      </c>
      <c r="H247" s="223"/>
      <c r="I247" s="223" t="s">
        <v>1772</v>
      </c>
      <c r="J247" s="308" t="str">
        <f>HYPERLINK(Table23[[#This Row],[URL]],Table23[[#This Row],[Link to Reference]])</f>
        <v>IS.WP.6.7</v>
      </c>
      <c r="K247" s="206" t="s">
        <v>1773</v>
      </c>
      <c r="X247" s="286" t="s">
        <v>1186</v>
      </c>
      <c r="Y247" s="302" t="str">
        <f>IFERROR(IF(SEARCH("WP",Table23[[#This Row],[Link to Reference]])&gt;0,"Work Program","Booklet"),"Booklet")</f>
        <v>Work Program</v>
      </c>
      <c r="Z247" s="286">
        <v>8</v>
      </c>
      <c r="AA247" s="302">
        <f>IF(Table23[[#This Row],[Type]]="Booklet",MATCH(LEFT(Table23[[#This Row],[Link to Reference]],FIND(".",Table23[[#This Row],[Link to Reference]])-1),bookletsInfo[Initial],0),MATCH(LEFT(Table23[[#This Row],[Link to Reference]],FIND(".",Table23[[#This Row],[Link to Reference]])-1),WPInfo[Initials],0))</f>
        <v>5</v>
      </c>
      <c r="AB24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247" s="286">
        <v>242</v>
      </c>
      <c r="AD247" s="286" t="str">
        <f>IF(G247=G246,IF(MOD(Table23[[#This Row],[order]],2)=1,"hideOdd","hideEven"),FALSE)</f>
        <v>hideEven</v>
      </c>
      <c r="AE247" s="286">
        <f>IF(Table23[[#This Row],[hideText]]=FALSE,AE246+1,AE246)</f>
        <v>91</v>
      </c>
      <c r="AF247" s="269"/>
      <c r="AO247"/>
    </row>
    <row r="248" spans="1:41" ht="45" x14ac:dyDescent="0.25">
      <c r="A248" s="206" t="s">
        <v>216</v>
      </c>
      <c r="B248" s="206" t="s">
        <v>448</v>
      </c>
      <c r="C248" s="206" t="s">
        <v>448</v>
      </c>
      <c r="D248" s="306" t="str">
        <f ca="1">IF(Table23[[#This Row],[hideText]]=FALSE,HYPERLINK(INDEX('Verify Baseline Links'!$P$10:$P$132,MATCH(Table23[[#This Row],[DSorder]],'Verify Baseline Links'!$M$10:$M$132,0)),"DS"),"")</f>
        <v>DS</v>
      </c>
      <c r="E248" s="206" t="s">
        <v>1774</v>
      </c>
      <c r="F248" s="223" t="str">
        <f>CLEAN(TRIM(SUBSTITUTE(LEFT(Table23[[#This Row],[Declarative Statement]],MIN(250,LEN(Table23[[#This Row],[Declarative Statement]]))),CHAR(160)," ")))</f>
        <v>The institution ensures that third-party connections are authorized.</v>
      </c>
      <c r="G248" s="206">
        <f>MATCH(Table23[[#This Row],[clean DS]],combinedMaturityTable[Dsm clean],0)</f>
        <v>362</v>
      </c>
      <c r="H248" s="223">
        <v>2</v>
      </c>
      <c r="I248" s="223" t="s">
        <v>2046</v>
      </c>
      <c r="J248" s="308" t="str">
        <f>HYPERLINK(Table23[[#This Row],[URL]],Table23[[#This Row],[Link to Reference]])</f>
        <v>IS.II.C.6:pg14</v>
      </c>
      <c r="K248" s="206" t="s">
        <v>1775</v>
      </c>
      <c r="L248" s="286" t="s">
        <v>1772</v>
      </c>
      <c r="M248" s="286" t="s">
        <v>1776</v>
      </c>
      <c r="N248" s="286" t="s">
        <v>1378</v>
      </c>
      <c r="O248" s="286" t="s">
        <v>1378</v>
      </c>
      <c r="P248" s="286" t="s">
        <v>1378</v>
      </c>
      <c r="Q248" s="286" t="s">
        <v>1378</v>
      </c>
      <c r="R248" s="286" t="s">
        <v>1378</v>
      </c>
      <c r="S248" s="286" t="s">
        <v>1378</v>
      </c>
      <c r="T248" s="286" t="s">
        <v>1378</v>
      </c>
      <c r="U248" s="286" t="s">
        <v>1378</v>
      </c>
      <c r="X248" s="286" t="s">
        <v>1186</v>
      </c>
      <c r="Y248" s="302" t="str">
        <f>IFERROR(IF(SEARCH("WP",Table23[[#This Row],[Link to Reference]])&gt;0,"Work Program","Booklet"),"Booklet")</f>
        <v>Booklet</v>
      </c>
      <c r="Z248" s="286" t="s">
        <v>2004</v>
      </c>
      <c r="AA248" s="302">
        <f>IF(Table23[[#This Row],[Type]]="Booklet",MATCH(LEFT(Table23[[#This Row],[Link to Reference]],FIND(".",Table23[[#This Row],[Link to Reference]])-1),bookletsInfo[Initial],0),MATCH(LEFT(Table23[[#This Row],[Link to Reference]],FIND(".",Table23[[#This Row],[Link to Reference]])-1),WPInfo[Initials],0))</f>
        <v>5</v>
      </c>
      <c r="AB24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248" s="286">
        <v>243</v>
      </c>
      <c r="AD248" s="286" t="b">
        <f>IF(G248=G247,IF(MOD(Table23[[#This Row],[order]],2)=1,"hideOdd","hideEven"),FALSE)</f>
        <v>0</v>
      </c>
      <c r="AE248" s="286">
        <f>IF(Table23[[#This Row],[hideText]]=FALSE,AE247+1,AE247)</f>
        <v>92</v>
      </c>
      <c r="AF248" s="269"/>
      <c r="AO248"/>
    </row>
    <row r="249" spans="1:41" ht="60" x14ac:dyDescent="0.25">
      <c r="A249" s="206" t="s">
        <v>216</v>
      </c>
      <c r="B249" s="206" t="s">
        <v>448</v>
      </c>
      <c r="C249" s="206" t="s">
        <v>448</v>
      </c>
      <c r="D249" s="306" t="str">
        <f>IF(Table23[[#This Row],[hideText]]=FALSE,HYPERLINK(INDEX('Verify Baseline Links'!$P$10:$P$132,MATCH(Table23[[#This Row],[DSorder]],'Verify Baseline Links'!$M$10:$M$132,0)),"DS"),"")</f>
        <v/>
      </c>
      <c r="E249" s="206" t="s">
        <v>1774</v>
      </c>
      <c r="F249" s="223" t="str">
        <f>CLEAN(TRIM(SUBSTITUTE(LEFT(Table23[[#This Row],[Declarative Statement]],MIN(250,LEN(Table23[[#This Row],[Declarative Statement]]))),CHAR(160)," ")))</f>
        <v>The institution ensures that third-party connections are authorized.</v>
      </c>
      <c r="G249" s="206">
        <f>MATCH(Table23[[#This Row],[clean DS]],combinedMaturityTable[Dsm clean],0)</f>
        <v>362</v>
      </c>
      <c r="H249" s="223"/>
      <c r="I249" s="223" t="s">
        <v>1772</v>
      </c>
      <c r="J249" s="308" t="str">
        <f>HYPERLINK(Table23[[#This Row],[URL]],Table23[[#This Row],[Link to Reference]])</f>
        <v>IS.WP.6.7</v>
      </c>
      <c r="K249" s="206" t="s">
        <v>1776</v>
      </c>
      <c r="X249" s="286" t="s">
        <v>1186</v>
      </c>
      <c r="Y249" s="302" t="str">
        <f>IFERROR(IF(SEARCH("WP",Table23[[#This Row],[Link to Reference]])&gt;0,"Work Program","Booklet"),"Booklet")</f>
        <v>Work Program</v>
      </c>
      <c r="Z249" s="286">
        <v>8</v>
      </c>
      <c r="AA249" s="302">
        <f>IF(Table23[[#This Row],[Type]]="Booklet",MATCH(LEFT(Table23[[#This Row],[Link to Reference]],FIND(".",Table23[[#This Row],[Link to Reference]])-1),bookletsInfo[Initial],0),MATCH(LEFT(Table23[[#This Row],[Link to Reference]],FIND(".",Table23[[#This Row],[Link to Reference]])-1),WPInfo[Initials],0))</f>
        <v>5</v>
      </c>
      <c r="AB24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249" s="286">
        <v>244</v>
      </c>
      <c r="AD249" s="286" t="str">
        <f>IF(G249=G248,IF(MOD(Table23[[#This Row],[order]],2)=1,"hideOdd","hideEven"),FALSE)</f>
        <v>hideEven</v>
      </c>
      <c r="AE249" s="286">
        <f>IF(Table23[[#This Row],[hideText]]=FALSE,AE248+1,AE248)</f>
        <v>92</v>
      </c>
      <c r="AF249" s="269"/>
      <c r="AO249"/>
    </row>
    <row r="250" spans="1:41" ht="60" x14ac:dyDescent="0.25">
      <c r="A250" s="206" t="s">
        <v>216</v>
      </c>
      <c r="B250" s="206" t="s">
        <v>448</v>
      </c>
      <c r="C250" s="206" t="s">
        <v>448</v>
      </c>
      <c r="D250" s="306" t="str">
        <f ca="1">IF(Table23[[#This Row],[hideText]]=FALSE,HYPERLINK(INDEX('Verify Baseline Links'!$P$10:$P$132,MATCH(Table23[[#This Row],[DSorder]],'Verify Baseline Links'!$M$10:$M$132,0)),"DS"),"")</f>
        <v>DS</v>
      </c>
      <c r="E250" s="206" t="s">
        <v>1777</v>
      </c>
      <c r="F250" s="223" t="str">
        <f>CLEAN(TRIM(SUBSTITUTE(LEFT(Table23[[#This Row],[Declarative Statement]],MIN(250,LEN(Table23[[#This Row],[Declarative Statement]]))),CHAR(160)," ")))</f>
        <v>A network diagram is in place and identifies all external connections.</v>
      </c>
      <c r="G250" s="206">
        <f>MATCH(Table23[[#This Row],[clean DS]],combinedMaturityTable[Dsm clean],0)</f>
        <v>363</v>
      </c>
      <c r="H250" s="223">
        <v>2</v>
      </c>
      <c r="I250" s="223" t="s">
        <v>1221</v>
      </c>
      <c r="J250" s="308" t="str">
        <f>HYPERLINK(Table23[[#This Row],[URL]],Table23[[#This Row],[Link to Reference]])</f>
        <v>IS.II.C.9:pg20</v>
      </c>
      <c r="K250" s="206" t="s">
        <v>1778</v>
      </c>
      <c r="L250" s="286" t="s">
        <v>1779</v>
      </c>
      <c r="M250" s="286" t="s">
        <v>1780</v>
      </c>
      <c r="N250" s="286" t="s">
        <v>1378</v>
      </c>
      <c r="O250" s="286" t="s">
        <v>1378</v>
      </c>
      <c r="P250" s="286" t="s">
        <v>1378</v>
      </c>
      <c r="Q250" s="286" t="s">
        <v>1378</v>
      </c>
      <c r="R250" s="286" t="s">
        <v>1378</v>
      </c>
      <c r="S250" s="286" t="s">
        <v>1378</v>
      </c>
      <c r="T250" s="286" t="s">
        <v>1378</v>
      </c>
      <c r="U250" s="286" t="s">
        <v>1378</v>
      </c>
      <c r="X250" s="286" t="s">
        <v>1186</v>
      </c>
      <c r="Y250" s="302" t="str">
        <f>IFERROR(IF(SEARCH("WP",Table23[[#This Row],[Link to Reference]])&gt;0,"Work Program","Booklet"),"Booklet")</f>
        <v>Booklet</v>
      </c>
      <c r="Z250" s="286" t="s">
        <v>2029</v>
      </c>
      <c r="AA250" s="302">
        <f>IF(Table23[[#This Row],[Type]]="Booklet",MATCH(LEFT(Table23[[#This Row],[Link to Reference]],FIND(".",Table23[[#This Row],[Link to Reference]])-1),bookletsInfo[Initial],0),MATCH(LEFT(Table23[[#This Row],[Link to Reference]],FIND(".",Table23[[#This Row],[Link to Reference]])-1),WPInfo[Initials],0))</f>
        <v>5</v>
      </c>
      <c r="AB25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https://ithandbook.ffiec.gov/media/274793/ffiec_itbooklet_informationsecurity.pdf#Page=23</v>
      </c>
      <c r="AC250" s="286">
        <v>245</v>
      </c>
      <c r="AD250" s="286" t="b">
        <f>IF(G250=G249,IF(MOD(Table23[[#This Row],[order]],2)=1,"hideOdd","hideEven"),FALSE)</f>
        <v>0</v>
      </c>
      <c r="AE250" s="286">
        <f>IF(Table23[[#This Row],[hideText]]=FALSE,AE249+1,AE249)</f>
        <v>93</v>
      </c>
      <c r="AF250" s="269"/>
      <c r="AO250"/>
    </row>
    <row r="251" spans="1:41" ht="45" x14ac:dyDescent="0.25">
      <c r="A251" s="206" t="s">
        <v>216</v>
      </c>
      <c r="B251" s="206" t="s">
        <v>448</v>
      </c>
      <c r="C251" s="206" t="s">
        <v>448</v>
      </c>
      <c r="D251" s="306" t="str">
        <f>IF(Table23[[#This Row],[hideText]]=FALSE,HYPERLINK(INDEX('Verify Baseline Links'!$P$10:$P$132,MATCH(Table23[[#This Row],[DSorder]],'Verify Baseline Links'!$M$10:$M$132,0)),"DS"),"")</f>
        <v/>
      </c>
      <c r="E251" s="206" t="s">
        <v>1777</v>
      </c>
      <c r="F251" s="223" t="str">
        <f>CLEAN(TRIM(SUBSTITUTE(LEFT(Table23[[#This Row],[Declarative Statement]],MIN(250,LEN(Table23[[#This Row],[Declarative Statement]]))),CHAR(160)," ")))</f>
        <v>A network diagram is in place and identifies all external connections.</v>
      </c>
      <c r="G251" s="206">
        <f>MATCH(Table23[[#This Row],[clean DS]],combinedMaturityTable[Dsm clean],0)</f>
        <v>363</v>
      </c>
      <c r="H251" s="223"/>
      <c r="I251" s="223" t="s">
        <v>1779</v>
      </c>
      <c r="J251" s="308" t="str">
        <f>HYPERLINK(Table23[[#This Row],[URL]],Table23[[#This Row],[Link to Reference]])</f>
        <v>IS.WP.6.10.b</v>
      </c>
      <c r="K251" s="206" t="s">
        <v>1780</v>
      </c>
      <c r="X251" s="286" t="s">
        <v>1186</v>
      </c>
      <c r="Y251" s="302" t="str">
        <f>IFERROR(IF(SEARCH("WP",Table23[[#This Row],[Link to Reference]])&gt;0,"Work Program","Booklet"),"Booklet")</f>
        <v>Work Program</v>
      </c>
      <c r="Z251" s="286">
        <v>9</v>
      </c>
      <c r="AA251" s="302">
        <f>IF(Table23[[#This Row],[Type]]="Booklet",MATCH(LEFT(Table23[[#This Row],[Link to Reference]],FIND(".",Table23[[#This Row],[Link to Reference]])-1),bookletsInfo[Initial],0),MATCH(LEFT(Table23[[#This Row],[Link to Reference]],FIND(".",Table23[[#This Row],[Link to Reference]])-1),WPInfo[Initials],0))</f>
        <v>5</v>
      </c>
      <c r="AB25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251" s="286">
        <v>246</v>
      </c>
      <c r="AD251" s="286" t="str">
        <f>IF(G251=G250,IF(MOD(Table23[[#This Row],[order]],2)=1,"hideOdd","hideEven"),FALSE)</f>
        <v>hideEven</v>
      </c>
      <c r="AE251" s="286">
        <f>IF(Table23[[#This Row],[hideText]]=FALSE,AE250+1,AE250)</f>
        <v>93</v>
      </c>
      <c r="AF251" s="269"/>
      <c r="AO251"/>
    </row>
    <row r="252" spans="1:41" ht="60" x14ac:dyDescent="0.25">
      <c r="A252" s="206" t="s">
        <v>216</v>
      </c>
      <c r="B252" s="206" t="s">
        <v>448</v>
      </c>
      <c r="C252" s="206" t="s">
        <v>448</v>
      </c>
      <c r="D252" s="306" t="str">
        <f ca="1">IF(Table23[[#This Row],[hideText]]=FALSE,HYPERLINK(INDEX('Verify Baseline Links'!$P$10:$P$132,MATCH(Table23[[#This Row],[DSorder]],'Verify Baseline Links'!$M$10:$M$132,0)),"DS"),"")</f>
        <v>DS</v>
      </c>
      <c r="E252" s="206" t="s">
        <v>1781</v>
      </c>
      <c r="F252" s="223" t="str">
        <f>CLEAN(TRIM(SUBSTITUTE(LEFT(Table23[[#This Row],[Declarative Statement]],MIN(250,LEN(Table23[[#This Row],[Declarative Statement]]))),CHAR(160)," ")))</f>
        <v>Data flow diagrams are in place and document information flow to external parties.</v>
      </c>
      <c r="G252" s="206">
        <f>MATCH(Table23[[#This Row],[clean DS]],combinedMaturityTable[Dsm clean],0)</f>
        <v>364</v>
      </c>
      <c r="H252" s="223">
        <v>2</v>
      </c>
      <c r="I252" s="223" t="s">
        <v>1221</v>
      </c>
      <c r="J252" s="308" t="str">
        <f>HYPERLINK(Table23[[#This Row],[URL]],Table23[[#This Row],[Link to Reference]])</f>
        <v>IS.II.C.9:pg20</v>
      </c>
      <c r="K252" s="206" t="s">
        <v>1778</v>
      </c>
      <c r="L252" s="286" t="s">
        <v>1779</v>
      </c>
      <c r="M252" s="286" t="s">
        <v>1780</v>
      </c>
      <c r="N252" s="286" t="s">
        <v>1378</v>
      </c>
      <c r="O252" s="286" t="s">
        <v>1378</v>
      </c>
      <c r="P252" s="286" t="s">
        <v>1378</v>
      </c>
      <c r="Q252" s="286" t="s">
        <v>1378</v>
      </c>
      <c r="R252" s="286" t="s">
        <v>1378</v>
      </c>
      <c r="S252" s="286" t="s">
        <v>1378</v>
      </c>
      <c r="T252" s="286" t="s">
        <v>1378</v>
      </c>
      <c r="U252" s="286" t="s">
        <v>1378</v>
      </c>
      <c r="X252" s="286" t="s">
        <v>1186</v>
      </c>
      <c r="Y252" s="302" t="str">
        <f>IFERROR(IF(SEARCH("WP",Table23[[#This Row],[Link to Reference]])&gt;0,"Work Program","Booklet"),"Booklet")</f>
        <v>Booklet</v>
      </c>
      <c r="Z252" s="286" t="s">
        <v>2029</v>
      </c>
      <c r="AA252" s="302">
        <f>IF(Table23[[#This Row],[Type]]="Booklet",MATCH(LEFT(Table23[[#This Row],[Link to Reference]],FIND(".",Table23[[#This Row],[Link to Reference]])-1),bookletsInfo[Initial],0),MATCH(LEFT(Table23[[#This Row],[Link to Reference]],FIND(".",Table23[[#This Row],[Link to Reference]])-1),WPInfo[Initials],0))</f>
        <v>5</v>
      </c>
      <c r="AB25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https://ithandbook.ffiec.gov/media/274793/ffiec_itbooklet_informationsecurity.pdf#Page=23</v>
      </c>
      <c r="AC252" s="286">
        <v>247</v>
      </c>
      <c r="AD252" s="286" t="b">
        <f>IF(G252=G251,IF(MOD(Table23[[#This Row],[order]],2)=1,"hideOdd","hideEven"),FALSE)</f>
        <v>0</v>
      </c>
      <c r="AE252" s="286">
        <f>IF(Table23[[#This Row],[hideText]]=FALSE,AE251+1,AE251)</f>
        <v>94</v>
      </c>
      <c r="AF252" s="269"/>
      <c r="AO252"/>
    </row>
    <row r="253" spans="1:41" ht="45" x14ac:dyDescent="0.25">
      <c r="A253" s="206" t="s">
        <v>216</v>
      </c>
      <c r="B253" s="206" t="s">
        <v>448</v>
      </c>
      <c r="C253" s="206" t="s">
        <v>448</v>
      </c>
      <c r="D253" s="306" t="str">
        <f>IF(Table23[[#This Row],[hideText]]=FALSE,HYPERLINK(INDEX('Verify Baseline Links'!$P$10:$P$132,MATCH(Table23[[#This Row],[DSorder]],'Verify Baseline Links'!$M$10:$M$132,0)),"DS"),"")</f>
        <v/>
      </c>
      <c r="E253" s="206" t="s">
        <v>1781</v>
      </c>
      <c r="F253" s="223" t="str">
        <f>CLEAN(TRIM(SUBSTITUTE(LEFT(Table23[[#This Row],[Declarative Statement]],MIN(250,LEN(Table23[[#This Row],[Declarative Statement]]))),CHAR(160)," ")))</f>
        <v>Data flow diagrams are in place and document information flow to external parties.</v>
      </c>
      <c r="G253" s="206">
        <f>MATCH(Table23[[#This Row],[clean DS]],combinedMaturityTable[Dsm clean],0)</f>
        <v>364</v>
      </c>
      <c r="H253" s="223"/>
      <c r="I253" s="223" t="s">
        <v>1779</v>
      </c>
      <c r="J253" s="308" t="str">
        <f>HYPERLINK(Table23[[#This Row],[URL]],Table23[[#This Row],[Link to Reference]])</f>
        <v>IS.WP.6.10.b</v>
      </c>
      <c r="K253" s="206" t="s">
        <v>1780</v>
      </c>
      <c r="X253" s="286" t="s">
        <v>1186</v>
      </c>
      <c r="Y253" s="302" t="str">
        <f>IFERROR(IF(SEARCH("WP",Table23[[#This Row],[Link to Reference]])&gt;0,"Work Program","Booklet"),"Booklet")</f>
        <v>Work Program</v>
      </c>
      <c r="Z253" s="286">
        <v>9</v>
      </c>
      <c r="AA253" s="302">
        <f>IF(Table23[[#This Row],[Type]]="Booklet",MATCH(LEFT(Table23[[#This Row],[Link to Reference]],FIND(".",Table23[[#This Row],[Link to Reference]])-1),bookletsInfo[Initial],0),MATCH(LEFT(Table23[[#This Row],[Link to Reference]],FIND(".",Table23[[#This Row],[Link to Reference]])-1),WPInfo[Initials],0))</f>
        <v>5</v>
      </c>
      <c r="AB25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253" s="286">
        <v>248</v>
      </c>
      <c r="AD253" s="286" t="str">
        <f>IF(G253=G252,IF(MOD(Table23[[#This Row],[order]],2)=1,"hideOdd","hideEven"),FALSE)</f>
        <v>hideEven</v>
      </c>
      <c r="AE253" s="286">
        <f>IF(Table23[[#This Row],[hideText]]=FALSE,AE252+1,AE252)</f>
        <v>94</v>
      </c>
      <c r="AF253" s="269"/>
      <c r="AO253"/>
    </row>
    <row r="254" spans="1:41" ht="45" x14ac:dyDescent="0.25">
      <c r="A254" s="206" t="s">
        <v>216</v>
      </c>
      <c r="B254" s="206" t="s">
        <v>465</v>
      </c>
      <c r="C254" s="206" t="s">
        <v>466</v>
      </c>
      <c r="D254" s="306" t="str">
        <f ca="1">IF(Table23[[#This Row],[hideText]]=FALSE,HYPERLINK(INDEX('Verify Baseline Links'!$P$10:$P$132,MATCH(Table23[[#This Row],[DSorder]],'Verify Baseline Links'!$M$10:$M$132,0)),"DS"),"")</f>
        <v>DS</v>
      </c>
      <c r="E254" s="206" t="s">
        <v>1782</v>
      </c>
      <c r="F254" s="223"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4" s="206">
        <f>MATCH(Table23[[#This Row],[clean DS]],combinedMaturityTable[Dsm clean],0)</f>
        <v>377</v>
      </c>
      <c r="H254" s="223">
        <v>4</v>
      </c>
      <c r="I254" s="223" t="s">
        <v>1229</v>
      </c>
      <c r="J254" s="308" t="str">
        <f>HYPERLINK(Table23[[#This Row],[URL]],Table23[[#This Row],[Link to Reference]])</f>
        <v>IS.II.C.20:pg42</v>
      </c>
      <c r="K254" s="206" t="s">
        <v>1783</v>
      </c>
      <c r="L254" s="286" t="s">
        <v>1784</v>
      </c>
      <c r="M254" s="286" t="s">
        <v>1785</v>
      </c>
      <c r="N254" s="286" t="s">
        <v>1786</v>
      </c>
      <c r="O254" s="286" t="s">
        <v>1787</v>
      </c>
      <c r="P254" s="286" t="s">
        <v>1788</v>
      </c>
      <c r="Q254" s="286" t="s">
        <v>1789</v>
      </c>
      <c r="R254" s="286" t="s">
        <v>1378</v>
      </c>
      <c r="S254" s="286" t="s">
        <v>1378</v>
      </c>
      <c r="T254" s="286" t="s">
        <v>1378</v>
      </c>
      <c r="U254" s="286" t="s">
        <v>1378</v>
      </c>
      <c r="X254" s="286" t="s">
        <v>1186</v>
      </c>
      <c r="Y254" s="302" t="str">
        <f>IFERROR(IF(SEARCH("WP",Table23[[#This Row],[Link to Reference]])&gt;0,"Work Program","Booklet"),"Booklet")</f>
        <v>Booklet</v>
      </c>
      <c r="Z254" s="286" t="s">
        <v>2047</v>
      </c>
      <c r="AA254" s="302">
        <f>IF(Table23[[#This Row],[Type]]="Booklet",MATCH(LEFT(Table23[[#This Row],[Link to Reference]],FIND(".",Table23[[#This Row],[Link to Reference]])-1),bookletsInfo[Initial],0),MATCH(LEFT(Table23[[#This Row],[Link to Reference]],FIND(".",Table23[[#This Row],[Link to Reference]])-1),WPInfo[Initials],0))</f>
        <v>5</v>
      </c>
      <c r="AB25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54" s="286">
        <v>249</v>
      </c>
      <c r="AD254" s="286" t="b">
        <f>IF(G254=G253,IF(MOD(Table23[[#This Row],[order]],2)=1,"hideOdd","hideEven"),FALSE)</f>
        <v>0</v>
      </c>
      <c r="AE254" s="286">
        <f>IF(Table23[[#This Row],[hideText]]=FALSE,AE253+1,AE253)</f>
        <v>95</v>
      </c>
      <c r="AF254" s="269"/>
      <c r="AO254"/>
    </row>
    <row r="255" spans="1:41" ht="60" x14ac:dyDescent="0.25">
      <c r="A255" s="206" t="s">
        <v>216</v>
      </c>
      <c r="B255" s="206" t="s">
        <v>465</v>
      </c>
      <c r="C255" s="206" t="s">
        <v>466</v>
      </c>
      <c r="D255" s="306" t="str">
        <f>IF(Table23[[#This Row],[hideText]]=FALSE,HYPERLINK(INDEX('Verify Baseline Links'!$P$10:$P$132,MATCH(Table23[[#This Row],[DSorder]],'Verify Baseline Links'!$M$10:$M$132,0)),"DS"),"")</f>
        <v/>
      </c>
      <c r="E255" s="206" t="s">
        <v>1782</v>
      </c>
      <c r="F255" s="223"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5" s="206">
        <f>MATCH(Table23[[#This Row],[clean DS]],combinedMaturityTable[Dsm clean],0)</f>
        <v>377</v>
      </c>
      <c r="H255" s="223"/>
      <c r="I255" s="223" t="s">
        <v>1784</v>
      </c>
      <c r="J255" s="308" t="str">
        <f>HYPERLINK(Table23[[#This Row],[URL]],Table23[[#This Row],[Link to Reference]])</f>
        <v>IS.WP.6.31</v>
      </c>
      <c r="K255" s="206" t="s">
        <v>1785</v>
      </c>
      <c r="X255" s="286" t="s">
        <v>1186</v>
      </c>
      <c r="Y255" s="302" t="str">
        <f>IFERROR(IF(SEARCH("WP",Table23[[#This Row],[Link to Reference]])&gt;0,"Work Program","Booklet"),"Booklet")</f>
        <v>Work Program</v>
      </c>
      <c r="Z255" s="286">
        <v>15</v>
      </c>
      <c r="AA255" s="302">
        <f>IF(Table23[[#This Row],[Type]]="Booklet",MATCH(LEFT(Table23[[#This Row],[Link to Reference]],FIND(".",Table23[[#This Row],[Link to Reference]])-1),bookletsInfo[Initial],0),MATCH(LEFT(Table23[[#This Row],[Link to Reference]],FIND(".",Table23[[#This Row],[Link to Reference]])-1),WPInfo[Initials],0))</f>
        <v>5</v>
      </c>
      <c r="AB25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255" s="286">
        <v>250</v>
      </c>
      <c r="AD255" s="286" t="str">
        <f>IF(G255=G254,IF(MOD(Table23[[#This Row],[order]],2)=1,"hideOdd","hideEven"),FALSE)</f>
        <v>hideEven</v>
      </c>
      <c r="AE255" s="286">
        <f>IF(Table23[[#This Row],[hideText]]=FALSE,AE254+1,AE254)</f>
        <v>95</v>
      </c>
      <c r="AF255" s="269"/>
      <c r="AO255"/>
    </row>
    <row r="256" spans="1:41" ht="75" x14ac:dyDescent="0.25">
      <c r="A256" s="206" t="s">
        <v>216</v>
      </c>
      <c r="B256" s="206" t="s">
        <v>465</v>
      </c>
      <c r="C256" s="206" t="s">
        <v>466</v>
      </c>
      <c r="D256" s="306" t="str">
        <f>IF(Table23[[#This Row],[hideText]]=FALSE,HYPERLINK(INDEX('Verify Baseline Links'!$P$10:$P$132,MATCH(Table23[[#This Row],[DSorder]],'Verify Baseline Links'!$M$10:$M$132,0)),"DS"),"")</f>
        <v/>
      </c>
      <c r="E256" s="206" t="s">
        <v>1782</v>
      </c>
      <c r="F256" s="223"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6" s="206">
        <f>MATCH(Table23[[#This Row],[clean DS]],combinedMaturityTable[Dsm clean],0)</f>
        <v>377</v>
      </c>
      <c r="H256" s="223"/>
      <c r="I256" s="223" t="s">
        <v>1786</v>
      </c>
      <c r="J256" s="308" t="str">
        <f>HYPERLINK(Table23[[#This Row],[URL]],Table23[[#This Row],[Link to Reference]])</f>
        <v>MGT.III.C.8:pg34</v>
      </c>
      <c r="K256" s="206" t="s">
        <v>1787</v>
      </c>
      <c r="X256" s="286" t="s">
        <v>1957</v>
      </c>
      <c r="Y256" s="302" t="str">
        <f>IFERROR(IF(SEARCH("WP",Table23[[#This Row],[Link to Reference]])&gt;0,"Work Program","Booklet"),"Booklet")</f>
        <v>Booklet</v>
      </c>
      <c r="Z256" s="286" t="s">
        <v>2048</v>
      </c>
      <c r="AA256" s="302">
        <f>IF(Table23[[#This Row],[Type]]="Booklet",MATCH(LEFT(Table23[[#This Row],[Link to Reference]],FIND(".",Table23[[#This Row],[Link to Reference]])-1),bookletsInfo[Initial],0),MATCH(LEFT(Table23[[#This Row],[Link to Reference]],FIND(".",Table23[[#This Row],[Link to Reference]])-1),WPInfo[Initials],0))</f>
        <v>6</v>
      </c>
      <c r="AB25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https://ithandbook.ffiec.gov/media/274809/ffiec_itbooklet_management.pdf#Page=35</v>
      </c>
      <c r="AC256" s="286">
        <v>251</v>
      </c>
      <c r="AD256" s="286" t="str">
        <f>IF(G256=G255,IF(MOD(Table23[[#This Row],[order]],2)=1,"hideOdd","hideEven"),FALSE)</f>
        <v>hideOdd</v>
      </c>
      <c r="AE256" s="286">
        <f>IF(Table23[[#This Row],[hideText]]=FALSE,AE255+1,AE255)</f>
        <v>95</v>
      </c>
      <c r="AF256" s="269"/>
      <c r="AO256"/>
    </row>
    <row r="257" spans="1:41" ht="45" x14ac:dyDescent="0.25">
      <c r="A257" s="206" t="s">
        <v>216</v>
      </c>
      <c r="B257" s="206" t="s">
        <v>465</v>
      </c>
      <c r="C257" s="206" t="s">
        <v>466</v>
      </c>
      <c r="D257" s="306" t="str">
        <f>IF(Table23[[#This Row],[hideText]]=FALSE,HYPERLINK(INDEX('Verify Baseline Links'!$P$10:$P$132,MATCH(Table23[[#This Row],[DSorder]],'Verify Baseline Links'!$M$10:$M$132,0)),"DS"),"")</f>
        <v/>
      </c>
      <c r="E257" s="206" t="s">
        <v>1782</v>
      </c>
      <c r="F257" s="223"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7" s="206">
        <f>MATCH(Table23[[#This Row],[clean DS]],combinedMaturityTable[Dsm clean],0)</f>
        <v>377</v>
      </c>
      <c r="H257" s="223"/>
      <c r="I257" s="223" t="s">
        <v>1788</v>
      </c>
      <c r="J257" s="308" t="str">
        <f>HYPERLINK(Table23[[#This Row],[URL]],Table23[[#This Row],[Link to Reference]])</f>
        <v>MGT.WP.12.14.d</v>
      </c>
      <c r="K257" s="206" t="s">
        <v>1789</v>
      </c>
      <c r="X257" s="286" t="s">
        <v>1957</v>
      </c>
      <c r="Y257" s="302" t="str">
        <f>IFERROR(IF(SEARCH("WP",Table23[[#This Row],[Link to Reference]])&gt;0,"Work Program","Booklet"),"Booklet")</f>
        <v>Work Program</v>
      </c>
      <c r="Z257" s="286">
        <v>18</v>
      </c>
      <c r="AA257" s="302">
        <f>IF(Table23[[#This Row],[Type]]="Booklet",MATCH(LEFT(Table23[[#This Row],[Link to Reference]],FIND(".",Table23[[#This Row],[Link to Reference]])-1),bookletsInfo[Initial],0),MATCH(LEFT(Table23[[#This Row],[Link to Reference]],FIND(".",Table23[[#This Row],[Link to Reference]])-1),WPInfo[Initials],0))</f>
        <v>6</v>
      </c>
      <c r="AB25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https://watkinsconsulting.com/wp-content/uploads/2019/02/Management-IT-WorkProgram.pdf#Page=18</v>
      </c>
      <c r="AC257" s="286">
        <v>252</v>
      </c>
      <c r="AD257" s="286" t="str">
        <f>IF(G257=G256,IF(MOD(Table23[[#This Row],[order]],2)=1,"hideOdd","hideEven"),FALSE)</f>
        <v>hideEven</v>
      </c>
      <c r="AE257" s="286">
        <f>IF(Table23[[#This Row],[hideText]]=FALSE,AE256+1,AE256)</f>
        <v>95</v>
      </c>
      <c r="AF257" s="269"/>
      <c r="AO257"/>
    </row>
    <row r="258" spans="1:41" ht="45" x14ac:dyDescent="0.25">
      <c r="A258" s="206" t="s">
        <v>216</v>
      </c>
      <c r="B258" s="206" t="s">
        <v>465</v>
      </c>
      <c r="C258" s="206" t="s">
        <v>466</v>
      </c>
      <c r="D258" s="306" t="str">
        <f ca="1">IF(Table23[[#This Row],[hideText]]=FALSE,HYPERLINK(INDEX('Verify Baseline Links'!$P$10:$P$132,MATCH(Table23[[#This Row],[DSorder]],'Verify Baseline Links'!$M$10:$M$132,0)),"DS"),"")</f>
        <v>DS</v>
      </c>
      <c r="E258" s="206" t="s">
        <v>1790</v>
      </c>
      <c r="F258" s="223" t="str">
        <f>CLEAN(TRIM(SUBSTITUTE(LEFT(Table23[[#This Row],[Declarative Statement]],MIN(250,LEN(Table23[[#This Row],[Declarative Statement]]))),CHAR(160)," ")))</f>
        <v>A list of third-party service providers is maintained.</v>
      </c>
      <c r="G258" s="206">
        <f>MATCH(Table23[[#This Row],[clean DS]],combinedMaturityTable[Dsm clean],0)</f>
        <v>378</v>
      </c>
      <c r="H258" s="223">
        <v>2</v>
      </c>
      <c r="I258" s="223" t="s">
        <v>1238</v>
      </c>
      <c r="J258" s="308" t="str">
        <f>HYPERLINK(Table23[[#This Row],[URL]],Table23[[#This Row],[Link to Reference]])</f>
        <v>OT.B.19</v>
      </c>
      <c r="K258" s="206" t="s">
        <v>1791</v>
      </c>
      <c r="L258" s="286" t="s">
        <v>1792</v>
      </c>
      <c r="M258" s="286" t="s">
        <v>1793</v>
      </c>
      <c r="N258" s="286" t="s">
        <v>1378</v>
      </c>
      <c r="O258" s="286" t="s">
        <v>1378</v>
      </c>
      <c r="P258" s="286" t="s">
        <v>1378</v>
      </c>
      <c r="Q258" s="286" t="s">
        <v>1378</v>
      </c>
      <c r="R258" s="286" t="s">
        <v>1378</v>
      </c>
      <c r="S258" s="286" t="s">
        <v>1378</v>
      </c>
      <c r="T258" s="286" t="s">
        <v>1378</v>
      </c>
      <c r="U258" s="286" t="s">
        <v>1378</v>
      </c>
      <c r="X258" s="286" t="s">
        <v>1931</v>
      </c>
      <c r="Y258" s="302" t="str">
        <f>IFERROR(IF(SEARCH("WP",Table23[[#This Row],[Link to Reference]])&gt;0,"Work Program","Booklet"),"Booklet")</f>
        <v>Booklet</v>
      </c>
      <c r="Z258" s="286">
        <v>19</v>
      </c>
      <c r="AA258" s="302">
        <f>IF(Table23[[#This Row],[Type]]="Booklet",MATCH(LEFT(Table23[[#This Row],[Link to Reference]],FIND(".",Table23[[#This Row],[Link to Reference]])-1),bookletsInfo[Initial],0),MATCH(LEFT(Table23[[#This Row],[Link to Reference]],FIND(".",Table23[[#This Row],[Link to Reference]])-1),WPInfo[Initials],0))</f>
        <v>8</v>
      </c>
      <c r="AB25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https://ithandbook.ffiec.gov/media/274841/ffiec_itbooklet_outsourcingtechnologyservices.pdf#Page=22</v>
      </c>
      <c r="AC258" s="286">
        <v>253</v>
      </c>
      <c r="AD258" s="286" t="b">
        <f>IF(G258=G257,IF(MOD(Table23[[#This Row],[order]],2)=1,"hideOdd","hideEven"),FALSE)</f>
        <v>0</v>
      </c>
      <c r="AE258" s="286">
        <f>IF(Table23[[#This Row],[hideText]]=FALSE,AE257+1,AE257)</f>
        <v>96</v>
      </c>
      <c r="AF258" s="269"/>
      <c r="AO258"/>
    </row>
    <row r="259" spans="1:41" ht="75" x14ac:dyDescent="0.25">
      <c r="A259" s="206" t="s">
        <v>216</v>
      </c>
      <c r="B259" s="206" t="s">
        <v>465</v>
      </c>
      <c r="C259" s="206" t="s">
        <v>466</v>
      </c>
      <c r="D259" s="306" t="str">
        <f>IF(Table23[[#This Row],[hideText]]=FALSE,HYPERLINK(INDEX('Verify Baseline Links'!$P$10:$P$132,MATCH(Table23[[#This Row],[DSorder]],'Verify Baseline Links'!$M$10:$M$132,0)),"DS"),"")</f>
        <v/>
      </c>
      <c r="E259" s="206" t="s">
        <v>1790</v>
      </c>
      <c r="F259" s="223" t="str">
        <f>CLEAN(TRIM(SUBSTITUTE(LEFT(Table23[[#This Row],[Declarative Statement]],MIN(250,LEN(Table23[[#This Row],[Declarative Statement]]))),CHAR(160)," ")))</f>
        <v>A list of third-party service providers is maintained.</v>
      </c>
      <c r="G259" s="206">
        <f>MATCH(Table23[[#This Row],[clean DS]],combinedMaturityTable[Dsm clean],0)</f>
        <v>378</v>
      </c>
      <c r="H259" s="223"/>
      <c r="I259" s="223" t="s">
        <v>1792</v>
      </c>
      <c r="J259" s="308" t="str">
        <f>HYPERLINK(Table23[[#This Row],[URL]],Table23[[#This Row],[Link to Reference]])</f>
        <v>OT.WP.I.1.3</v>
      </c>
      <c r="K259" s="206" t="s">
        <v>1793</v>
      </c>
      <c r="X259" s="286" t="s">
        <v>1931</v>
      </c>
      <c r="Y259" s="302" t="str">
        <f>IFERROR(IF(SEARCH("WP",Table23[[#This Row],[Link to Reference]])&gt;0,"Work Program","Booklet"),"Booklet")</f>
        <v>Work Program</v>
      </c>
      <c r="Z259" s="286">
        <v>2</v>
      </c>
      <c r="AA259" s="302">
        <f>IF(Table23[[#This Row],[Type]]="Booklet",MATCH(LEFT(Table23[[#This Row],[Link to Reference]],FIND(".",Table23[[#This Row],[Link to Reference]])-1),bookletsInfo[Initial],0),MATCH(LEFT(Table23[[#This Row],[Link to Reference]],FIND(".",Table23[[#This Row],[Link to Reference]])-1),WPInfo[Initials],0))</f>
        <v>8</v>
      </c>
      <c r="AB25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https://watkinsconsulting.com/wp-content/uploads/2019/02/Outsourcing-Technology-Services-IT-WorkProgram.pdf#Page=2</v>
      </c>
      <c r="AC259" s="286">
        <v>254</v>
      </c>
      <c r="AD259" s="286" t="str">
        <f>IF(G259=G258,IF(MOD(Table23[[#This Row],[order]],2)=1,"hideOdd","hideEven"),FALSE)</f>
        <v>hideEven</v>
      </c>
      <c r="AE259" s="286">
        <f>IF(Table23[[#This Row],[hideText]]=FALSE,AE258+1,AE258)</f>
        <v>96</v>
      </c>
      <c r="AF259" s="269"/>
      <c r="AO259"/>
    </row>
    <row r="260" spans="1:41" ht="45" x14ac:dyDescent="0.25">
      <c r="A260" s="206" t="s">
        <v>216</v>
      </c>
      <c r="B260" s="206" t="s">
        <v>465</v>
      </c>
      <c r="C260" s="206" t="s">
        <v>466</v>
      </c>
      <c r="D260" s="306" t="str">
        <f ca="1">IF(Table23[[#This Row],[hideText]]=FALSE,HYPERLINK(INDEX('Verify Baseline Links'!$P$10:$P$132,MATCH(Table23[[#This Row],[DSorder]],'Verify Baseline Links'!$M$10:$M$132,0)),"DS"),"")</f>
        <v>DS</v>
      </c>
      <c r="E260" s="206" t="s">
        <v>1794</v>
      </c>
      <c r="F260" s="223" t="str">
        <f>CLEAN(TRIM(SUBSTITUTE(LEFT(Table23[[#This Row],[Declarative Statement]],MIN(250,LEN(Table23[[#This Row],[Declarative Statement]]))),CHAR(160)," ")))</f>
        <v>A risk assessment is conducted to identify criticality of service providers.</v>
      </c>
      <c r="G260" s="206">
        <f>MATCH(Table23[[#This Row],[clean DS]],combinedMaturityTable[Dsm clean],0)</f>
        <v>379</v>
      </c>
      <c r="H260" s="223"/>
      <c r="I260" s="223" t="s">
        <v>1786</v>
      </c>
      <c r="J260" s="308" t="str">
        <f>HYPERLINK(Table23[[#This Row],[URL]],Table23[[#This Row],[Link to Reference]])</f>
        <v>MGT.III.C.8:pg34</v>
      </c>
      <c r="K260" s="206" t="s">
        <v>1799</v>
      </c>
      <c r="X260" s="286" t="s">
        <v>1957</v>
      </c>
      <c r="Y260" s="302" t="str">
        <f>IFERROR(IF(SEARCH("WP",Table23[[#This Row],[Link to Reference]])&gt;0,"Work Program","Booklet"),"Booklet")</f>
        <v>Booklet</v>
      </c>
      <c r="Z260" s="286" t="s">
        <v>2048</v>
      </c>
      <c r="AA260" s="302">
        <f>IF(Table23[[#This Row],[Type]]="Booklet",MATCH(LEFT(Table23[[#This Row],[Link to Reference]],FIND(".",Table23[[#This Row],[Link to Reference]])-1),bookletsInfo[Initial],0),MATCH(LEFT(Table23[[#This Row],[Link to Reference]],FIND(".",Table23[[#This Row],[Link to Reference]])-1),WPInfo[Initials],0))</f>
        <v>6</v>
      </c>
      <c r="AB26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https://ithandbook.ffiec.gov/media/274809/ffiec_itbooklet_management.pdf#Page=35</v>
      </c>
      <c r="AC260" s="286">
        <v>257</v>
      </c>
      <c r="AD260" s="286" t="b">
        <f>IF(G260=G259,IF(MOD(Table23[[#This Row],[order]],2)=1,"hideOdd","hideEven"),FALSE)</f>
        <v>0</v>
      </c>
      <c r="AE260" s="286">
        <f>IF(Table23[[#This Row],[hideText]]=FALSE,AE259+1,AE259)</f>
        <v>97</v>
      </c>
      <c r="AF260" s="269"/>
      <c r="AO260"/>
    </row>
    <row r="261" spans="1:41" ht="45" x14ac:dyDescent="0.25">
      <c r="A261" s="206" t="s">
        <v>216</v>
      </c>
      <c r="B261" s="206" t="s">
        <v>465</v>
      </c>
      <c r="C261" s="206" t="s">
        <v>466</v>
      </c>
      <c r="D261" s="306" t="str">
        <f>IF(Table23[[#This Row],[hideText]]=FALSE,HYPERLINK(INDEX('Verify Baseline Links'!$P$10:$P$132,MATCH(Table23[[#This Row],[DSorder]],'Verify Baseline Links'!$M$10:$M$132,0)),"DS"),"")</f>
        <v/>
      </c>
      <c r="E261" s="206" t="s">
        <v>1794</v>
      </c>
      <c r="F261" s="223" t="str">
        <f>CLEAN(TRIM(SUBSTITUTE(LEFT(Table23[[#This Row],[Declarative Statement]],MIN(250,LEN(Table23[[#This Row],[Declarative Statement]]))),CHAR(160)," ")))</f>
        <v>A risk assessment is conducted to identify criticality of service providers.</v>
      </c>
      <c r="G261" s="206">
        <f>MATCH(Table23[[#This Row],[clean DS]],combinedMaturityTable[Dsm clean],0)</f>
        <v>379</v>
      </c>
      <c r="H261" s="223"/>
      <c r="I261" s="223" t="s">
        <v>1800</v>
      </c>
      <c r="J261" s="308" t="str">
        <f>HYPERLINK(Table23[[#This Row],[URL]],Table23[[#This Row],[Link to Reference]])</f>
        <v>MGT.III.C.8:pg35</v>
      </c>
      <c r="K261" s="206" t="s">
        <v>1801</v>
      </c>
      <c r="X261" s="286" t="s">
        <v>1957</v>
      </c>
      <c r="Y261" s="302" t="str">
        <f>IFERROR(IF(SEARCH("WP",Table23[[#This Row],[Link to Reference]])&gt;0,"Work Program","Booklet"),"Booklet")</f>
        <v>Booklet</v>
      </c>
      <c r="Z261" s="286" t="s">
        <v>2049</v>
      </c>
      <c r="AA261" s="302">
        <f>IF(Table23[[#This Row],[Type]]="Booklet",MATCH(LEFT(Table23[[#This Row],[Link to Reference]],FIND(".",Table23[[#This Row],[Link to Reference]])-1),bookletsInfo[Initial],0),MATCH(LEFT(Table23[[#This Row],[Link to Reference]],FIND(".",Table23[[#This Row],[Link to Reference]])-1),WPInfo[Initials],0))</f>
        <v>6</v>
      </c>
      <c r="AB26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https://ithandbook.ffiec.gov/media/274809/ffiec_itbooklet_management.pdf#Page=36</v>
      </c>
      <c r="AC261" s="286">
        <v>258</v>
      </c>
      <c r="AD261" s="286" t="str">
        <f>IF(G261=G260,IF(MOD(Table23[[#This Row],[order]],2)=1,"hideOdd","hideEven"),FALSE)</f>
        <v>hideEven</v>
      </c>
      <c r="AE261" s="286">
        <f>IF(Table23[[#This Row],[hideText]]=FALSE,AE260+1,AE260)</f>
        <v>97</v>
      </c>
      <c r="AF261" s="269"/>
      <c r="AO261"/>
    </row>
    <row r="262" spans="1:41" ht="45" x14ac:dyDescent="0.25">
      <c r="A262" s="206" t="s">
        <v>216</v>
      </c>
      <c r="B262" s="206" t="s">
        <v>465</v>
      </c>
      <c r="C262" s="206" t="s">
        <v>466</v>
      </c>
      <c r="D262" s="306" t="str">
        <f>IF(Table23[[#This Row],[hideText]]=FALSE,HYPERLINK(INDEX('Verify Baseline Links'!$P$10:$P$132,MATCH(Table23[[#This Row],[DSorder]],'Verify Baseline Links'!$M$10:$M$132,0)),"DS"),"")</f>
        <v/>
      </c>
      <c r="E262" s="206" t="s">
        <v>1794</v>
      </c>
      <c r="F262" s="223" t="str">
        <f>CLEAN(TRIM(SUBSTITUTE(LEFT(Table23[[#This Row],[Declarative Statement]],MIN(250,LEN(Table23[[#This Row],[Declarative Statement]]))),CHAR(160)," ")))</f>
        <v>A risk assessment is conducted to identify criticality of service providers.</v>
      </c>
      <c r="G262" s="206">
        <f>MATCH(Table23[[#This Row],[clean DS]],combinedMaturityTable[Dsm clean],0)</f>
        <v>379</v>
      </c>
      <c r="H262" s="223"/>
      <c r="I262" s="223" t="s">
        <v>1802</v>
      </c>
      <c r="J262" s="308" t="str">
        <f>HYPERLINK(Table23[[#This Row],[URL]],Table23[[#This Row],[Link to Reference]])</f>
        <v>MGT.WP.12.14</v>
      </c>
      <c r="K262" s="206" t="s">
        <v>1803</v>
      </c>
      <c r="X262" s="286" t="s">
        <v>1957</v>
      </c>
      <c r="Y262" s="302" t="str">
        <f>IFERROR(IF(SEARCH("WP",Table23[[#This Row],[Link to Reference]])&gt;0,"Work Program","Booklet"),"Booklet")</f>
        <v>Work Program</v>
      </c>
      <c r="Z262" s="286">
        <v>18</v>
      </c>
      <c r="AA262" s="302">
        <f>IF(Table23[[#This Row],[Type]]="Booklet",MATCH(LEFT(Table23[[#This Row],[Link to Reference]],FIND(".",Table23[[#This Row],[Link to Reference]])-1),bookletsInfo[Initial],0),MATCH(LEFT(Table23[[#This Row],[Link to Reference]],FIND(".",Table23[[#This Row],[Link to Reference]])-1),WPInfo[Initials],0))</f>
        <v>6</v>
      </c>
      <c r="AB26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https://watkinsconsulting.com/wp-content/uploads/2019/02/Management-IT-WorkProgram.pdf#Page=18</v>
      </c>
      <c r="AC262" s="286">
        <v>259</v>
      </c>
      <c r="AD262" s="286" t="str">
        <f>IF(G262=G261,IF(MOD(Table23[[#This Row],[order]],2)=1,"hideOdd","hideEven"),FALSE)</f>
        <v>hideOdd</v>
      </c>
      <c r="AE262" s="286">
        <f>IF(Table23[[#This Row],[hideText]]=FALSE,AE261+1,AE261)</f>
        <v>97</v>
      </c>
      <c r="AF262" s="269"/>
      <c r="AO262"/>
    </row>
    <row r="263" spans="1:41" ht="45" x14ac:dyDescent="0.25">
      <c r="A263" s="206" t="s">
        <v>216</v>
      </c>
      <c r="B263" s="206" t="s">
        <v>465</v>
      </c>
      <c r="C263" s="206" t="s">
        <v>466</v>
      </c>
      <c r="D263" s="306" t="str">
        <f>IF(Table23[[#This Row],[hideText]]=FALSE,HYPERLINK(INDEX('Verify Baseline Links'!$P$10:$P$132,MATCH(Table23[[#This Row],[DSorder]],'Verify Baseline Links'!$M$10:$M$132,0)),"DS"),"")</f>
        <v/>
      </c>
      <c r="E263" s="206" t="s">
        <v>1794</v>
      </c>
      <c r="F263" s="223" t="str">
        <f>CLEAN(TRIM(SUBSTITUTE(LEFT(Table23[[#This Row],[Declarative Statement]],MIN(250,LEN(Table23[[#This Row],[Declarative Statement]]))),CHAR(160)," ")))</f>
        <v>A risk assessment is conducted to identify criticality of service providers.</v>
      </c>
      <c r="G263" s="206">
        <f>MATCH(Table23[[#This Row],[clean DS]],combinedMaturityTable[Dsm clean],0)</f>
        <v>379</v>
      </c>
      <c r="H263" s="223"/>
      <c r="I263" s="223" t="s">
        <v>1797</v>
      </c>
      <c r="J263" s="308" t="str">
        <f>HYPERLINK(Table23[[#This Row],[URL]],Table23[[#This Row],[Link to Reference]])</f>
        <v>OT.B.23</v>
      </c>
      <c r="K263" s="206" t="s">
        <v>1798</v>
      </c>
      <c r="X263" s="286" t="s">
        <v>1931</v>
      </c>
      <c r="Y263" s="302" t="str">
        <f>IFERROR(IF(SEARCH("WP",Table23[[#This Row],[Link to Reference]])&gt;0,"Work Program","Booklet"),"Booklet")</f>
        <v>Booklet</v>
      </c>
      <c r="Z263" s="286">
        <v>23</v>
      </c>
      <c r="AA263" s="302">
        <f>IF(Table23[[#This Row],[Type]]="Booklet",MATCH(LEFT(Table23[[#This Row],[Link to Reference]],FIND(".",Table23[[#This Row],[Link to Reference]])-1),bookletsInfo[Initial],0),MATCH(LEFT(Table23[[#This Row],[Link to Reference]],FIND(".",Table23[[#This Row],[Link to Reference]])-1),WPInfo[Initials],0))</f>
        <v>8</v>
      </c>
      <c r="AB26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https://ithandbook.ffiec.gov/media/274841/ffiec_itbooklet_outsourcingtechnologyservices.pdf#Page=26</v>
      </c>
      <c r="AC263" s="286">
        <v>256</v>
      </c>
      <c r="AD263" s="286" t="str">
        <f>IF(G263=G262,IF(MOD(Table23[[#This Row],[order]],2)=1,"hideOdd","hideEven"),FALSE)</f>
        <v>hideEven</v>
      </c>
      <c r="AE263" s="286">
        <f>IF(Table23[[#This Row],[hideText]]=FALSE,AE262+1,AE262)</f>
        <v>97</v>
      </c>
      <c r="AF263" s="269"/>
      <c r="AO263"/>
    </row>
    <row r="264" spans="1:41" ht="45" x14ac:dyDescent="0.25">
      <c r="A264" s="206" t="s">
        <v>216</v>
      </c>
      <c r="B264" s="206" t="s">
        <v>465</v>
      </c>
      <c r="C264" s="206" t="s">
        <v>466</v>
      </c>
      <c r="D264" s="306" t="str">
        <f>IF(Table23[[#This Row],[hideText]]=FALSE,HYPERLINK(INDEX('Verify Baseline Links'!$P$10:$P$132,MATCH(Table23[[#This Row],[DSorder]],'Verify Baseline Links'!$M$10:$M$132,0)),"DS"),"")</f>
        <v/>
      </c>
      <c r="E264" s="206" t="s">
        <v>1794</v>
      </c>
      <c r="F264" s="223" t="str">
        <f>CLEAN(TRIM(SUBSTITUTE(LEFT(Table23[[#This Row],[Declarative Statement]],MIN(250,LEN(Table23[[#This Row],[Declarative Statement]]))),CHAR(160)," ")))</f>
        <v>A risk assessment is conducted to identify criticality of service providers.</v>
      </c>
      <c r="G264" s="206">
        <f>MATCH(Table23[[#This Row],[clean DS]],combinedMaturityTable[Dsm clean],0)</f>
        <v>379</v>
      </c>
      <c r="H264" s="223">
        <v>5</v>
      </c>
      <c r="I264" s="223" t="s">
        <v>1795</v>
      </c>
      <c r="J264" s="308" t="str">
        <f>HYPERLINK(Table23[[#This Row],[URL]],Table23[[#This Row],[Link to Reference]])</f>
        <v>OT.B.6</v>
      </c>
      <c r="K264" s="206" t="s">
        <v>1796</v>
      </c>
      <c r="L264" s="286" t="s">
        <v>1797</v>
      </c>
      <c r="M264" s="286" t="s">
        <v>1798</v>
      </c>
      <c r="N264" s="286" t="s">
        <v>1786</v>
      </c>
      <c r="O264" s="286" t="s">
        <v>1799</v>
      </c>
      <c r="P264" s="286" t="s">
        <v>1800</v>
      </c>
      <c r="Q264" s="286" t="s">
        <v>1801</v>
      </c>
      <c r="R264" s="286" t="s">
        <v>1802</v>
      </c>
      <c r="S264" s="286" t="s">
        <v>1803</v>
      </c>
      <c r="T264" s="286" t="s">
        <v>1378</v>
      </c>
      <c r="U264" s="286" t="s">
        <v>1378</v>
      </c>
      <c r="X264" s="286" t="s">
        <v>1931</v>
      </c>
      <c r="Y264" s="302" t="str">
        <f>IFERROR(IF(SEARCH("WP",Table23[[#This Row],[Link to Reference]])&gt;0,"Work Program","Booklet"),"Booklet")</f>
        <v>Booklet</v>
      </c>
      <c r="Z264" s="286">
        <v>6</v>
      </c>
      <c r="AA264" s="302">
        <f>IF(Table23[[#This Row],[Type]]="Booklet",MATCH(LEFT(Table23[[#This Row],[Link to Reference]],FIND(".",Table23[[#This Row],[Link to Reference]])-1),bookletsInfo[Initial],0),MATCH(LEFT(Table23[[#This Row],[Link to Reference]],FIND(".",Table23[[#This Row],[Link to Reference]])-1),WPInfo[Initials],0))</f>
        <v>8</v>
      </c>
      <c r="AB26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https://ithandbook.ffiec.gov/media/274841/ffiec_itbooklet_outsourcingtechnologyservices.pdf#Page=9</v>
      </c>
      <c r="AC264" s="286">
        <v>255</v>
      </c>
      <c r="AD264" s="286" t="str">
        <f>IF(G264=G263,IF(MOD(Table23[[#This Row],[order]],2)=1,"hideOdd","hideEven"),FALSE)</f>
        <v>hideOdd</v>
      </c>
      <c r="AE264" s="286">
        <f>IF(Table23[[#This Row],[hideText]]=FALSE,AE263+1,AE263)</f>
        <v>97</v>
      </c>
      <c r="AF264" s="269"/>
      <c r="AO264"/>
    </row>
    <row r="265" spans="1:41" ht="45" x14ac:dyDescent="0.25">
      <c r="A265" s="206" t="s">
        <v>216</v>
      </c>
      <c r="B265" s="206" t="s">
        <v>465</v>
      </c>
      <c r="C265" s="206" t="s">
        <v>478</v>
      </c>
      <c r="D265" s="306" t="str">
        <f ca="1">IF(Table23[[#This Row],[hideText]]=FALSE,HYPERLINK(INDEX('Verify Baseline Links'!$P$10:$P$132,MATCH(Table23[[#This Row],[DSorder]],'Verify Baseline Links'!$M$10:$M$132,0)),"DS"),"")</f>
        <v>DS</v>
      </c>
      <c r="E265" s="206" t="s">
        <v>1804</v>
      </c>
      <c r="F265" s="223"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5" s="206">
        <f>MATCH(Table23[[#This Row],[clean DS]],combinedMaturityTable[Dsm clean],0)</f>
        <v>388</v>
      </c>
      <c r="H265" s="223">
        <v>4</v>
      </c>
      <c r="I265" s="223" t="s">
        <v>1229</v>
      </c>
      <c r="J265" s="308" t="str">
        <f>HYPERLINK(Table23[[#This Row],[URL]],Table23[[#This Row],[Link to Reference]])</f>
        <v>IS.II.C.20:pg42</v>
      </c>
      <c r="K265" s="206" t="s">
        <v>1805</v>
      </c>
      <c r="L265" s="286" t="s">
        <v>1806</v>
      </c>
      <c r="M265" s="286" t="s">
        <v>1807</v>
      </c>
      <c r="N265" s="286" t="s">
        <v>1800</v>
      </c>
      <c r="O265" s="286" t="s">
        <v>1808</v>
      </c>
      <c r="P265" s="286" t="s">
        <v>1800</v>
      </c>
      <c r="Q265" s="286" t="s">
        <v>1809</v>
      </c>
      <c r="R265" s="286" t="s">
        <v>1378</v>
      </c>
      <c r="S265" s="286" t="s">
        <v>1378</v>
      </c>
      <c r="T265" s="286" t="s">
        <v>1378</v>
      </c>
      <c r="U265" s="286" t="s">
        <v>1378</v>
      </c>
      <c r="X265" s="286" t="s">
        <v>1186</v>
      </c>
      <c r="Y265" s="302" t="str">
        <f>IFERROR(IF(SEARCH("WP",Table23[[#This Row],[Link to Reference]])&gt;0,"Work Program","Booklet"),"Booklet")</f>
        <v>Booklet</v>
      </c>
      <c r="Z265" s="286" t="s">
        <v>2047</v>
      </c>
      <c r="AA265" s="302">
        <f>IF(Table23[[#This Row],[Type]]="Booklet",MATCH(LEFT(Table23[[#This Row],[Link to Reference]],FIND(".",Table23[[#This Row],[Link to Reference]])-1),bookletsInfo[Initial],0),MATCH(LEFT(Table23[[#This Row],[Link to Reference]],FIND(".",Table23[[#This Row],[Link to Reference]])-1),WPInfo[Initials],0))</f>
        <v>5</v>
      </c>
      <c r="AB26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65" s="286">
        <v>260</v>
      </c>
      <c r="AD265" s="286" t="b">
        <f>IF(G265=G264,IF(MOD(Table23[[#This Row],[order]],2)=1,"hideOdd","hideEven"),FALSE)</f>
        <v>0</v>
      </c>
      <c r="AE265" s="286">
        <f>IF(Table23[[#This Row],[hideText]]=FALSE,AE264+1,AE264)</f>
        <v>98</v>
      </c>
      <c r="AF265" s="269"/>
      <c r="AO265"/>
    </row>
    <row r="266" spans="1:41" ht="75" x14ac:dyDescent="0.25">
      <c r="A266" s="206" t="s">
        <v>216</v>
      </c>
      <c r="B266" s="206" t="s">
        <v>465</v>
      </c>
      <c r="C266" s="206" t="s">
        <v>478</v>
      </c>
      <c r="D266" s="306" t="str">
        <f>IF(Table23[[#This Row],[hideText]]=FALSE,HYPERLINK(INDEX('Verify Baseline Links'!$P$10:$P$132,MATCH(Table23[[#This Row],[DSorder]],'Verify Baseline Links'!$M$10:$M$132,0)),"DS"),"")</f>
        <v/>
      </c>
      <c r="E266" s="206" t="s">
        <v>1804</v>
      </c>
      <c r="F266" s="223"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6" s="206">
        <f>MATCH(Table23[[#This Row],[clean DS]],combinedMaturityTable[Dsm clean],0)</f>
        <v>388</v>
      </c>
      <c r="H266" s="223"/>
      <c r="I266" s="223" t="s">
        <v>1806</v>
      </c>
      <c r="J266" s="308" t="str">
        <f>HYPERLINK(Table23[[#This Row],[URL]],Table23[[#This Row],[Link to Reference]])</f>
        <v>IS.WP.6.31(c)</v>
      </c>
      <c r="K266" s="206" t="s">
        <v>1807</v>
      </c>
      <c r="X266" s="286" t="s">
        <v>1186</v>
      </c>
      <c r="Y266" s="302" t="str">
        <f>IFERROR(IF(SEARCH("WP",Table23[[#This Row],[Link to Reference]])&gt;0,"Work Program","Booklet"),"Booklet")</f>
        <v>Work Program</v>
      </c>
      <c r="Z266" s="286">
        <v>16</v>
      </c>
      <c r="AA266" s="302">
        <f>IF(Table23[[#This Row],[Type]]="Booklet",MATCH(LEFT(Table23[[#This Row],[Link to Reference]],FIND(".",Table23[[#This Row],[Link to Reference]])-1),bookletsInfo[Initial],0),MATCH(LEFT(Table23[[#This Row],[Link to Reference]],FIND(".",Table23[[#This Row],[Link to Reference]])-1),WPInfo[Initials],0))</f>
        <v>5</v>
      </c>
      <c r="AB26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66" s="286">
        <v>261</v>
      </c>
      <c r="AD266" s="286" t="str">
        <f>IF(G266=G265,IF(MOD(Table23[[#This Row],[order]],2)=1,"hideOdd","hideEven"),FALSE)</f>
        <v>hideOdd</v>
      </c>
      <c r="AE266" s="286">
        <f>IF(Table23[[#This Row],[hideText]]=FALSE,AE265+1,AE265)</f>
        <v>98</v>
      </c>
      <c r="AF266" s="269"/>
      <c r="AO266"/>
    </row>
    <row r="267" spans="1:41" ht="45" x14ac:dyDescent="0.25">
      <c r="A267" s="206" t="s">
        <v>216</v>
      </c>
      <c r="B267" s="206" t="s">
        <v>465</v>
      </c>
      <c r="C267" s="206" t="s">
        <v>478</v>
      </c>
      <c r="D267" s="306" t="str">
        <f>IF(Table23[[#This Row],[hideText]]=FALSE,HYPERLINK(INDEX('Verify Baseline Links'!$P$10:$P$132,MATCH(Table23[[#This Row],[DSorder]],'Verify Baseline Links'!$M$10:$M$132,0)),"DS"),"")</f>
        <v/>
      </c>
      <c r="E267" s="206" t="s">
        <v>1804</v>
      </c>
      <c r="F267" s="223"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7" s="206">
        <f>MATCH(Table23[[#This Row],[clean DS]],combinedMaturityTable[Dsm clean],0)</f>
        <v>388</v>
      </c>
      <c r="H267" s="223"/>
      <c r="I267" s="223" t="s">
        <v>1800</v>
      </c>
      <c r="J267" s="308" t="str">
        <f>HYPERLINK(Table23[[#This Row],[URL]],Table23[[#This Row],[Link to Reference]])</f>
        <v>MGT.III.C.8:pg35</v>
      </c>
      <c r="K267" s="206" t="s">
        <v>1808</v>
      </c>
      <c r="X267" s="286" t="s">
        <v>1957</v>
      </c>
      <c r="Y267" s="302" t="str">
        <f>IFERROR(IF(SEARCH("WP",Table23[[#This Row],[Link to Reference]])&gt;0,"Work Program","Booklet"),"Booklet")</f>
        <v>Booklet</v>
      </c>
      <c r="Z267" s="286" t="s">
        <v>2049</v>
      </c>
      <c r="AA267" s="302">
        <f>IF(Table23[[#This Row],[Type]]="Booklet",MATCH(LEFT(Table23[[#This Row],[Link to Reference]],FIND(".",Table23[[#This Row],[Link to Reference]])-1),bookletsInfo[Initial],0),MATCH(LEFT(Table23[[#This Row],[Link to Reference]],FIND(".",Table23[[#This Row],[Link to Reference]])-1),WPInfo[Initials],0))</f>
        <v>6</v>
      </c>
      <c r="AB26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https://ithandbook.ffiec.gov/media/274809/ffiec_itbooklet_management.pdf#Page=36</v>
      </c>
      <c r="AC267" s="286">
        <v>262</v>
      </c>
      <c r="AD267" s="286" t="str">
        <f>IF(G267=G266,IF(MOD(Table23[[#This Row],[order]],2)=1,"hideOdd","hideEven"),FALSE)</f>
        <v>hideEven</v>
      </c>
      <c r="AE267" s="286">
        <f>IF(Table23[[#This Row],[hideText]]=FALSE,AE266+1,AE266)</f>
        <v>98</v>
      </c>
      <c r="AF267" s="269"/>
      <c r="AO267"/>
    </row>
    <row r="268" spans="1:41" ht="45" x14ac:dyDescent="0.25">
      <c r="A268" s="206" t="s">
        <v>216</v>
      </c>
      <c r="B268" s="206" t="s">
        <v>465</v>
      </c>
      <c r="C268" s="206" t="s">
        <v>478</v>
      </c>
      <c r="D268" s="306" t="str">
        <f>IF(Table23[[#This Row],[hideText]]=FALSE,HYPERLINK(INDEX('Verify Baseline Links'!$P$10:$P$132,MATCH(Table23[[#This Row],[DSorder]],'Verify Baseline Links'!$M$10:$M$132,0)),"DS"),"")</f>
        <v/>
      </c>
      <c r="E268" s="206" t="s">
        <v>1804</v>
      </c>
      <c r="F268" s="223"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8" s="206">
        <f>MATCH(Table23[[#This Row],[clean DS]],combinedMaturityTable[Dsm clean],0)</f>
        <v>388</v>
      </c>
      <c r="H268" s="223"/>
      <c r="I268" s="223" t="s">
        <v>1800</v>
      </c>
      <c r="J268" s="308" t="str">
        <f>HYPERLINK(Table23[[#This Row],[URL]],Table23[[#This Row],[Link to Reference]])</f>
        <v>MGT.III.C.8:pg35</v>
      </c>
      <c r="K268" s="206" t="s">
        <v>1809</v>
      </c>
      <c r="X268" s="286" t="s">
        <v>1957</v>
      </c>
      <c r="Y268" s="302" t="str">
        <f>IFERROR(IF(SEARCH("WP",Table23[[#This Row],[Link to Reference]])&gt;0,"Work Program","Booklet"),"Booklet")</f>
        <v>Booklet</v>
      </c>
      <c r="Z268" s="286" t="s">
        <v>2049</v>
      </c>
      <c r="AA268" s="302">
        <f>IF(Table23[[#This Row],[Type]]="Booklet",MATCH(LEFT(Table23[[#This Row],[Link to Reference]],FIND(".",Table23[[#This Row],[Link to Reference]])-1),bookletsInfo[Initial],0),MATCH(LEFT(Table23[[#This Row],[Link to Reference]],FIND(".",Table23[[#This Row],[Link to Reference]])-1),WPInfo[Initials],0))</f>
        <v>6</v>
      </c>
      <c r="AB26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https://ithandbook.ffiec.gov/media/274809/ffiec_itbooklet_management.pdf#Page=36</v>
      </c>
      <c r="AC268" s="286">
        <v>263</v>
      </c>
      <c r="AD268" s="286" t="str">
        <f>IF(G268=G267,IF(MOD(Table23[[#This Row],[order]],2)=1,"hideOdd","hideEven"),FALSE)</f>
        <v>hideOdd</v>
      </c>
      <c r="AE268" s="286">
        <f>IF(Table23[[#This Row],[hideText]]=FALSE,AE267+1,AE267)</f>
        <v>98</v>
      </c>
      <c r="AF268" s="269"/>
      <c r="AO268"/>
    </row>
    <row r="269" spans="1:41" ht="45" x14ac:dyDescent="0.25">
      <c r="A269" s="206" t="s">
        <v>216</v>
      </c>
      <c r="B269" s="206" t="s">
        <v>465</v>
      </c>
      <c r="C269" s="206" t="s">
        <v>478</v>
      </c>
      <c r="D269" s="306" t="str">
        <f ca="1">IF(Table23[[#This Row],[hideText]]=FALSE,HYPERLINK(INDEX('Verify Baseline Links'!$P$10:$P$132,MATCH(Table23[[#This Row],[DSorder]],'Verify Baseline Links'!$M$10:$M$132,0)),"DS"),"")</f>
        <v>DS</v>
      </c>
      <c r="E269" s="206" t="s">
        <v>1810</v>
      </c>
      <c r="F269" s="223" t="str">
        <f>CLEAN(TRIM(SUBSTITUTE(LEFT(Table23[[#This Row],[Declarative Statement]],MIN(250,LEN(Table23[[#This Row],[Declarative Statement]]))),CHAR(160)," ")))</f>
        <v>Contracts acknowledge that the third party is responsible for the security of the institution’s confidential data that it possesses, stores, processes, or transmits.</v>
      </c>
      <c r="G269" s="206">
        <f>MATCH(Table23[[#This Row],[clean DS]],combinedMaturityTable[Dsm clean],0)</f>
        <v>389</v>
      </c>
      <c r="H269" s="223">
        <v>2</v>
      </c>
      <c r="I269" s="223" t="s">
        <v>1229</v>
      </c>
      <c r="J269" s="308" t="str">
        <f>HYPERLINK(Table23[[#This Row],[URL]],Table23[[#This Row],[Link to Reference]])</f>
        <v>IS.II.C.20:pg42</v>
      </c>
      <c r="K269" s="206" t="s">
        <v>1811</v>
      </c>
      <c r="L269" s="286" t="s">
        <v>1806</v>
      </c>
      <c r="M269" s="286" t="s">
        <v>1812</v>
      </c>
      <c r="N269" s="286" t="s">
        <v>1378</v>
      </c>
      <c r="O269" s="286" t="s">
        <v>1378</v>
      </c>
      <c r="P269" s="286" t="s">
        <v>1378</v>
      </c>
      <c r="Q269" s="286" t="s">
        <v>1378</v>
      </c>
      <c r="R269" s="286" t="s">
        <v>1378</v>
      </c>
      <c r="S269" s="286" t="s">
        <v>1378</v>
      </c>
      <c r="T269" s="286" t="s">
        <v>1378</v>
      </c>
      <c r="U269" s="286" t="s">
        <v>1378</v>
      </c>
      <c r="X269" s="286" t="s">
        <v>1186</v>
      </c>
      <c r="Y269" s="302" t="str">
        <f>IFERROR(IF(SEARCH("WP",Table23[[#This Row],[Link to Reference]])&gt;0,"Work Program","Booklet"),"Booklet")</f>
        <v>Booklet</v>
      </c>
      <c r="Z269" s="286" t="s">
        <v>2047</v>
      </c>
      <c r="AA269" s="302">
        <f>IF(Table23[[#This Row],[Type]]="Booklet",MATCH(LEFT(Table23[[#This Row],[Link to Reference]],FIND(".",Table23[[#This Row],[Link to Reference]])-1),bookletsInfo[Initial],0),MATCH(LEFT(Table23[[#This Row],[Link to Reference]],FIND(".",Table23[[#This Row],[Link to Reference]])-1),WPInfo[Initials],0))</f>
        <v>5</v>
      </c>
      <c r="AB26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69" s="286">
        <v>264</v>
      </c>
      <c r="AD269" s="286" t="b">
        <f>IF(G269=G268,IF(MOD(Table23[[#This Row],[order]],2)=1,"hideOdd","hideEven"),FALSE)</f>
        <v>0</v>
      </c>
      <c r="AE269" s="286">
        <f>IF(Table23[[#This Row],[hideText]]=FALSE,AE268+1,AE268)</f>
        <v>99</v>
      </c>
      <c r="AF269" s="269"/>
      <c r="AO269"/>
    </row>
    <row r="270" spans="1:41" ht="60" x14ac:dyDescent="0.25">
      <c r="A270" s="206" t="s">
        <v>216</v>
      </c>
      <c r="B270" s="206" t="s">
        <v>465</v>
      </c>
      <c r="C270" s="206" t="s">
        <v>478</v>
      </c>
      <c r="D270" s="306" t="str">
        <f>IF(Table23[[#This Row],[hideText]]=FALSE,HYPERLINK(INDEX('Verify Baseline Links'!$P$10:$P$132,MATCH(Table23[[#This Row],[DSorder]],'Verify Baseline Links'!$M$10:$M$132,0)),"DS"),"")</f>
        <v/>
      </c>
      <c r="E270" s="206" t="s">
        <v>1810</v>
      </c>
      <c r="F270" s="223" t="str">
        <f>CLEAN(TRIM(SUBSTITUTE(LEFT(Table23[[#This Row],[Declarative Statement]],MIN(250,LEN(Table23[[#This Row],[Declarative Statement]]))),CHAR(160)," ")))</f>
        <v>Contracts acknowledge that the third party is responsible for the security of the institution’s confidential data that it possesses, stores, processes, or transmits.</v>
      </c>
      <c r="G270" s="206">
        <f>MATCH(Table23[[#This Row],[clean DS]],combinedMaturityTable[Dsm clean],0)</f>
        <v>389</v>
      </c>
      <c r="H270" s="223"/>
      <c r="I270" s="223" t="s">
        <v>1806</v>
      </c>
      <c r="J270" s="308" t="str">
        <f>HYPERLINK(Table23[[#This Row],[URL]],Table23[[#This Row],[Link to Reference]])</f>
        <v>IS.WP.6.31(c)</v>
      </c>
      <c r="K270" s="206" t="s">
        <v>1812</v>
      </c>
      <c r="X270" s="286" t="s">
        <v>1186</v>
      </c>
      <c r="Y270" s="302" t="str">
        <f>IFERROR(IF(SEARCH("WP",Table23[[#This Row],[Link to Reference]])&gt;0,"Work Program","Booklet"),"Booklet")</f>
        <v>Work Program</v>
      </c>
      <c r="Z270" s="286">
        <v>16</v>
      </c>
      <c r="AA270" s="302">
        <f>IF(Table23[[#This Row],[Type]]="Booklet",MATCH(LEFT(Table23[[#This Row],[Link to Reference]],FIND(".",Table23[[#This Row],[Link to Reference]])-1),bookletsInfo[Initial],0),MATCH(LEFT(Table23[[#This Row],[Link to Reference]],FIND(".",Table23[[#This Row],[Link to Reference]])-1),WPInfo[Initials],0))</f>
        <v>5</v>
      </c>
      <c r="AB27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70" s="286">
        <v>265</v>
      </c>
      <c r="AD270" s="286" t="str">
        <f>IF(G270=G269,IF(MOD(Table23[[#This Row],[order]],2)=1,"hideOdd","hideEven"),FALSE)</f>
        <v>hideOdd</v>
      </c>
      <c r="AE270" s="286">
        <f>IF(Table23[[#This Row],[hideText]]=FALSE,AE269+1,AE269)</f>
        <v>99</v>
      </c>
      <c r="AF270" s="269"/>
      <c r="AO270"/>
    </row>
    <row r="271" spans="1:41" ht="60" x14ac:dyDescent="0.25">
      <c r="A271" s="206" t="s">
        <v>216</v>
      </c>
      <c r="B271" s="206" t="s">
        <v>465</v>
      </c>
      <c r="C271" s="206" t="s">
        <v>478</v>
      </c>
      <c r="D271" s="306" t="str">
        <f ca="1">IF(Table23[[#This Row],[hideText]]=FALSE,HYPERLINK(INDEX('Verify Baseline Links'!$P$10:$P$132,MATCH(Table23[[#This Row],[DSorder]],'Verify Baseline Links'!$M$10:$M$132,0)),"DS"),"")</f>
        <v>DS</v>
      </c>
      <c r="E271" s="206" t="s">
        <v>1813</v>
      </c>
      <c r="F271" s="223" t="str">
        <f>CLEAN(TRIM(SUBSTITUTE(LEFT(Table23[[#This Row],[Declarative Statement]],MIN(250,LEN(Table23[[#This Row],[Declarative Statement]]))),CHAR(160)," ")))</f>
        <v>Contracts stipulate that the third-party security controls are regularly reviewed and validated by an independent party.</v>
      </c>
      <c r="G271" s="206">
        <f>MATCH(Table23[[#This Row],[clean DS]],combinedMaturityTable[Dsm clean],0)</f>
        <v>390</v>
      </c>
      <c r="H271" s="223">
        <v>2</v>
      </c>
      <c r="I271" s="223" t="s">
        <v>1229</v>
      </c>
      <c r="J271" s="308" t="str">
        <f>HYPERLINK(Table23[[#This Row],[URL]],Table23[[#This Row],[Link to Reference]])</f>
        <v>IS.II.C.20:pg42</v>
      </c>
      <c r="K271" s="206" t="s">
        <v>1814</v>
      </c>
      <c r="L271" s="286" t="s">
        <v>1815</v>
      </c>
      <c r="M271" s="286" t="s">
        <v>1816</v>
      </c>
      <c r="N271" s="286" t="s">
        <v>1378</v>
      </c>
      <c r="O271" s="286" t="s">
        <v>1378</v>
      </c>
      <c r="P271" s="286" t="s">
        <v>1378</v>
      </c>
      <c r="Q271" s="286" t="s">
        <v>1378</v>
      </c>
      <c r="R271" s="286" t="s">
        <v>1378</v>
      </c>
      <c r="S271" s="286" t="s">
        <v>1378</v>
      </c>
      <c r="T271" s="286" t="s">
        <v>1378</v>
      </c>
      <c r="U271" s="286" t="s">
        <v>1378</v>
      </c>
      <c r="X271" s="286" t="s">
        <v>1186</v>
      </c>
      <c r="Y271" s="302" t="str">
        <f>IFERROR(IF(SEARCH("WP",Table23[[#This Row],[Link to Reference]])&gt;0,"Work Program","Booklet"),"Booklet")</f>
        <v>Booklet</v>
      </c>
      <c r="Z271" s="286" t="s">
        <v>2047</v>
      </c>
      <c r="AA271" s="302">
        <f>IF(Table23[[#This Row],[Type]]="Booklet",MATCH(LEFT(Table23[[#This Row],[Link to Reference]],FIND(".",Table23[[#This Row],[Link to Reference]])-1),bookletsInfo[Initial],0),MATCH(LEFT(Table23[[#This Row],[Link to Reference]],FIND(".",Table23[[#This Row],[Link to Reference]])-1),WPInfo[Initials],0))</f>
        <v>5</v>
      </c>
      <c r="AB27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71" s="286">
        <v>266</v>
      </c>
      <c r="AD271" s="286" t="b">
        <f>IF(G271=G270,IF(MOD(Table23[[#This Row],[order]],2)=1,"hideOdd","hideEven"),FALSE)</f>
        <v>0</v>
      </c>
      <c r="AE271" s="286">
        <f>IF(Table23[[#This Row],[hideText]]=FALSE,AE270+1,AE270)</f>
        <v>100</v>
      </c>
      <c r="AF271" s="269"/>
      <c r="AO271"/>
    </row>
    <row r="272" spans="1:41" ht="60" x14ac:dyDescent="0.25">
      <c r="A272" s="206" t="s">
        <v>216</v>
      </c>
      <c r="B272" s="206" t="s">
        <v>465</v>
      </c>
      <c r="C272" s="206" t="s">
        <v>478</v>
      </c>
      <c r="D272" s="306" t="str">
        <f>IF(Table23[[#This Row],[hideText]]=FALSE,HYPERLINK(INDEX('Verify Baseline Links'!$P$10:$P$132,MATCH(Table23[[#This Row],[DSorder]],'Verify Baseline Links'!$M$10:$M$132,0)),"DS"),"")</f>
        <v/>
      </c>
      <c r="E272" s="206" t="s">
        <v>1813</v>
      </c>
      <c r="F272" s="223" t="str">
        <f>CLEAN(TRIM(SUBSTITUTE(LEFT(Table23[[#This Row],[Declarative Statement]],MIN(250,LEN(Table23[[#This Row],[Declarative Statement]]))),CHAR(160)," ")))</f>
        <v>Contracts stipulate that the third-party security controls are regularly reviewed and validated by an independent party.</v>
      </c>
      <c r="G272" s="206">
        <f>MATCH(Table23[[#This Row],[clean DS]],combinedMaturityTable[Dsm clean],0)</f>
        <v>390</v>
      </c>
      <c r="H272" s="223"/>
      <c r="I272" s="223" t="s">
        <v>1815</v>
      </c>
      <c r="J272" s="308" t="str">
        <f>HYPERLINK(Table23[[#This Row],[URL]],Table23[[#This Row],[Link to Reference]])</f>
        <v>IS.WP.6.31.e</v>
      </c>
      <c r="K272" s="206" t="s">
        <v>1816</v>
      </c>
      <c r="X272" s="286" t="s">
        <v>1186</v>
      </c>
      <c r="Y272" s="302" t="str">
        <f>IFERROR(IF(SEARCH("WP",Table23[[#This Row],[Link to Reference]])&gt;0,"Work Program","Booklet"),"Booklet")</f>
        <v>Work Program</v>
      </c>
      <c r="Z272" s="286">
        <v>16</v>
      </c>
      <c r="AA272" s="302">
        <f>IF(Table23[[#This Row],[Type]]="Booklet",MATCH(LEFT(Table23[[#This Row],[Link to Reference]],FIND(".",Table23[[#This Row],[Link to Reference]])-1),bookletsInfo[Initial],0),MATCH(LEFT(Table23[[#This Row],[Link to Reference]],FIND(".",Table23[[#This Row],[Link to Reference]])-1),WPInfo[Initials],0))</f>
        <v>5</v>
      </c>
      <c r="AB27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72" s="286">
        <v>267</v>
      </c>
      <c r="AD272" s="286" t="str">
        <f>IF(G272=G271,IF(MOD(Table23[[#This Row],[order]],2)=1,"hideOdd","hideEven"),FALSE)</f>
        <v>hideOdd</v>
      </c>
      <c r="AE272" s="286">
        <f>IF(Table23[[#This Row],[hideText]]=FALSE,AE271+1,AE271)</f>
        <v>100</v>
      </c>
      <c r="AF272" s="269"/>
      <c r="AO272"/>
    </row>
    <row r="273" spans="1:41" ht="45" x14ac:dyDescent="0.25">
      <c r="A273" s="206" t="s">
        <v>216</v>
      </c>
      <c r="B273" s="206" t="s">
        <v>465</v>
      </c>
      <c r="C273" s="206" t="s">
        <v>478</v>
      </c>
      <c r="D273" s="306" t="str">
        <f ca="1">IF(Table23[[#This Row],[hideText]]=FALSE,HYPERLINK(INDEX('Verify Baseline Links'!$P$10:$P$132,MATCH(Table23[[#This Row],[DSorder]],'Verify Baseline Links'!$M$10:$M$132,0)),"DS"),"")</f>
        <v>DS</v>
      </c>
      <c r="E273" s="206" t="s">
        <v>1817</v>
      </c>
      <c r="F273" s="223" t="str">
        <f>CLEAN(TRIM(SUBSTITUTE(LEFT(Table23[[#This Row],[Declarative Statement]],MIN(250,LEN(Table23[[#This Row],[Declarative Statement]]))),CHAR(160)," ")))</f>
        <v>Contracts identify the recourse available to the institution should the third party fail to meet defined security requirements.</v>
      </c>
      <c r="G273" s="206">
        <f>MATCH(Table23[[#This Row],[clean DS]],combinedMaturityTable[Dsm clean],0)</f>
        <v>391</v>
      </c>
      <c r="H273" s="223">
        <v>2</v>
      </c>
      <c r="I273" s="223" t="s">
        <v>1232</v>
      </c>
      <c r="J273" s="308" t="str">
        <f>HYPERLINK(Table23[[#This Row],[URL]],Table23[[#This Row],[Link to Reference]])</f>
        <v>OT.B.12</v>
      </c>
      <c r="K273" s="206" t="s">
        <v>1818</v>
      </c>
      <c r="L273" s="286" t="s">
        <v>1819</v>
      </c>
      <c r="M273" s="286" t="s">
        <v>1820</v>
      </c>
      <c r="N273" s="286" t="s">
        <v>1378</v>
      </c>
      <c r="O273" s="286" t="s">
        <v>1378</v>
      </c>
      <c r="P273" s="286" t="s">
        <v>1378</v>
      </c>
      <c r="Q273" s="286" t="s">
        <v>1378</v>
      </c>
      <c r="R273" s="286" t="s">
        <v>1378</v>
      </c>
      <c r="S273" s="286" t="s">
        <v>1378</v>
      </c>
      <c r="T273" s="286" t="s">
        <v>1378</v>
      </c>
      <c r="U273" s="286" t="s">
        <v>1378</v>
      </c>
      <c r="X273" s="286" t="s">
        <v>1931</v>
      </c>
      <c r="Y273" s="302" t="str">
        <f>IFERROR(IF(SEARCH("WP",Table23[[#This Row],[Link to Reference]])&gt;0,"Work Program","Booklet"),"Booklet")</f>
        <v>Booklet</v>
      </c>
      <c r="Z273" s="286">
        <v>12</v>
      </c>
      <c r="AA273" s="302">
        <f>IF(Table23[[#This Row],[Type]]="Booklet",MATCH(LEFT(Table23[[#This Row],[Link to Reference]],FIND(".",Table23[[#This Row],[Link to Reference]])-1),bookletsInfo[Initial],0),MATCH(LEFT(Table23[[#This Row],[Link to Reference]],FIND(".",Table23[[#This Row],[Link to Reference]])-1),WPInfo[Initials],0))</f>
        <v>8</v>
      </c>
      <c r="AB27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https://ithandbook.ffiec.gov/media/274841/ffiec_itbooklet_outsourcingtechnologyservices.pdf#Page=15</v>
      </c>
      <c r="AC273" s="286">
        <v>268</v>
      </c>
      <c r="AD273" s="286" t="b">
        <f>IF(G273=G272,IF(MOD(Table23[[#This Row],[order]],2)=1,"hideOdd","hideEven"),FALSE)</f>
        <v>0</v>
      </c>
      <c r="AE273" s="286">
        <f>IF(Table23[[#This Row],[hideText]]=FALSE,AE272+1,AE272)</f>
        <v>101</v>
      </c>
      <c r="AF273" s="269"/>
      <c r="AO273"/>
    </row>
    <row r="274" spans="1:41" ht="45" x14ac:dyDescent="0.25">
      <c r="A274" s="206" t="s">
        <v>216</v>
      </c>
      <c r="B274" s="206" t="s">
        <v>465</v>
      </c>
      <c r="C274" s="206" t="s">
        <v>478</v>
      </c>
      <c r="D274" s="306" t="str">
        <f>IF(Table23[[#This Row],[hideText]]=FALSE,HYPERLINK(INDEX('Verify Baseline Links'!$P$10:$P$132,MATCH(Table23[[#This Row],[DSorder]],'Verify Baseline Links'!$M$10:$M$132,0)),"DS"),"")</f>
        <v/>
      </c>
      <c r="E274" s="206" t="s">
        <v>1817</v>
      </c>
      <c r="F274" s="223" t="str">
        <f>CLEAN(TRIM(SUBSTITUTE(LEFT(Table23[[#This Row],[Declarative Statement]],MIN(250,LEN(Table23[[#This Row],[Declarative Statement]]))),CHAR(160)," ")))</f>
        <v>Contracts identify the recourse available to the institution should the third party fail to meet defined security requirements.</v>
      </c>
      <c r="G274" s="206">
        <f>MATCH(Table23[[#This Row],[clean DS]],combinedMaturityTable[Dsm clean],0)</f>
        <v>391</v>
      </c>
      <c r="H274" s="223"/>
      <c r="I274" s="223" t="s">
        <v>1819</v>
      </c>
      <c r="J274" s="308" t="str">
        <f>HYPERLINK(Table23[[#This Row],[URL]],Table23[[#This Row],[Link to Reference]])</f>
        <v>OT.WP.I.3.4</v>
      </c>
      <c r="K274" s="206" t="s">
        <v>1820</v>
      </c>
      <c r="X274" s="286" t="s">
        <v>1931</v>
      </c>
      <c r="Y274" s="302" t="str">
        <f>IFERROR(IF(SEARCH("WP",Table23[[#This Row],[Link to Reference]])&gt;0,"Work Program","Booklet"),"Booklet")</f>
        <v>Work Program</v>
      </c>
      <c r="Z274" s="286">
        <v>6</v>
      </c>
      <c r="AA274" s="302">
        <f>IF(Table23[[#This Row],[Type]]="Booklet",MATCH(LEFT(Table23[[#This Row],[Link to Reference]],FIND(".",Table23[[#This Row],[Link to Reference]])-1),bookletsInfo[Initial],0),MATCH(LEFT(Table23[[#This Row],[Link to Reference]],FIND(".",Table23[[#This Row],[Link to Reference]])-1),WPInfo[Initials],0))</f>
        <v>8</v>
      </c>
      <c r="AB27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https://watkinsconsulting.com/wp-content/uploads/2019/02/Outsourcing-Technology-Services-IT-WorkProgram.pdf#Page=6</v>
      </c>
      <c r="AC274" s="286">
        <v>269</v>
      </c>
      <c r="AD274" s="286" t="str">
        <f>IF(G274=G273,IF(MOD(Table23[[#This Row],[order]],2)=1,"hideOdd","hideEven"),FALSE)</f>
        <v>hideOdd</v>
      </c>
      <c r="AE274" s="286">
        <f>IF(Table23[[#This Row],[hideText]]=FALSE,AE273+1,AE273)</f>
        <v>101</v>
      </c>
      <c r="AF274" s="269"/>
      <c r="AO274"/>
    </row>
    <row r="275" spans="1:41" ht="60" x14ac:dyDescent="0.25">
      <c r="A275" s="206" t="s">
        <v>216</v>
      </c>
      <c r="B275" s="206" t="s">
        <v>465</v>
      </c>
      <c r="C275" s="206" t="s">
        <v>478</v>
      </c>
      <c r="D275" s="306" t="str">
        <f ca="1">IF(Table23[[#This Row],[hideText]]=FALSE,HYPERLINK(INDEX('Verify Baseline Links'!$P$10:$P$132,MATCH(Table23[[#This Row],[DSorder]],'Verify Baseline Links'!$M$10:$M$132,0)),"DS"),"")</f>
        <v>DS</v>
      </c>
      <c r="E275" s="206" t="s">
        <v>1821</v>
      </c>
      <c r="F275" s="223" t="str">
        <f>CLEAN(TRIM(SUBSTITUTE(LEFT(Table23[[#This Row],[Declarative Statement]],MIN(250,LEN(Table23[[#This Row],[Declarative Statement]]))),CHAR(160)," ")))</f>
        <v>Contracts establish responsibilities for responding to security incidents.</v>
      </c>
      <c r="G275" s="206">
        <f>MATCH(Table23[[#This Row],[clean DS]],combinedMaturityTable[Dsm clean],0)</f>
        <v>392</v>
      </c>
      <c r="H275" s="223">
        <v>2</v>
      </c>
      <c r="I275" s="223" t="s">
        <v>1229</v>
      </c>
      <c r="J275" s="308" t="str">
        <f>HYPERLINK(Table23[[#This Row],[URL]],Table23[[#This Row],[Link to Reference]])</f>
        <v>IS.II.C.20:pg42</v>
      </c>
      <c r="K275" s="206" t="s">
        <v>1822</v>
      </c>
      <c r="L275" s="286" t="s">
        <v>1823</v>
      </c>
      <c r="M275" s="286" t="s">
        <v>1824</v>
      </c>
      <c r="N275" s="286" t="s">
        <v>1378</v>
      </c>
      <c r="O275" s="286" t="s">
        <v>1378</v>
      </c>
      <c r="P275" s="286" t="s">
        <v>1378</v>
      </c>
      <c r="Q275" s="286" t="s">
        <v>1378</v>
      </c>
      <c r="R275" s="286" t="s">
        <v>1378</v>
      </c>
      <c r="S275" s="286" t="s">
        <v>1378</v>
      </c>
      <c r="T275" s="286" t="s">
        <v>1378</v>
      </c>
      <c r="U275" s="286" t="s">
        <v>1378</v>
      </c>
      <c r="X275" s="286" t="s">
        <v>1186</v>
      </c>
      <c r="Y275" s="302" t="str">
        <f>IFERROR(IF(SEARCH("WP",Table23[[#This Row],[Link to Reference]])&gt;0,"Work Program","Booklet"),"Booklet")</f>
        <v>Booklet</v>
      </c>
      <c r="Z275" s="286" t="s">
        <v>2047</v>
      </c>
      <c r="AA275" s="302">
        <f>IF(Table23[[#This Row],[Type]]="Booklet",MATCH(LEFT(Table23[[#This Row],[Link to Reference]],FIND(".",Table23[[#This Row],[Link to Reference]])-1),bookletsInfo[Initial],0),MATCH(LEFT(Table23[[#This Row],[Link to Reference]],FIND(".",Table23[[#This Row],[Link to Reference]])-1),WPInfo[Initials],0))</f>
        <v>5</v>
      </c>
      <c r="AB27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75" s="286">
        <v>270</v>
      </c>
      <c r="AD275" s="286" t="b">
        <f>IF(G275=G274,IF(MOD(Table23[[#This Row],[order]],2)=1,"hideOdd","hideEven"),FALSE)</f>
        <v>0</v>
      </c>
      <c r="AE275" s="286">
        <f>IF(Table23[[#This Row],[hideText]]=FALSE,AE274+1,AE274)</f>
        <v>102</v>
      </c>
      <c r="AF275" s="269"/>
      <c r="AO275"/>
    </row>
    <row r="276" spans="1:41" ht="45" x14ac:dyDescent="0.25">
      <c r="A276" s="206" t="s">
        <v>216</v>
      </c>
      <c r="B276" s="206" t="s">
        <v>465</v>
      </c>
      <c r="C276" s="206" t="s">
        <v>478</v>
      </c>
      <c r="D276" s="306" t="str">
        <f>IF(Table23[[#This Row],[hideText]]=FALSE,HYPERLINK(INDEX('Verify Baseline Links'!$P$10:$P$132,MATCH(Table23[[#This Row],[DSorder]],'Verify Baseline Links'!$M$10:$M$132,0)),"DS"),"")</f>
        <v/>
      </c>
      <c r="E276" s="206" t="s">
        <v>1821</v>
      </c>
      <c r="F276" s="223" t="str">
        <f>CLEAN(TRIM(SUBSTITUTE(LEFT(Table23[[#This Row],[Declarative Statement]],MIN(250,LEN(Table23[[#This Row],[Declarative Statement]]))),CHAR(160)," ")))</f>
        <v>Contracts establish responsibilities for responding to security incidents.</v>
      </c>
      <c r="G276" s="206">
        <f>MATCH(Table23[[#This Row],[clean DS]],combinedMaturityTable[Dsm clean],0)</f>
        <v>392</v>
      </c>
      <c r="H276" s="223"/>
      <c r="I276" s="223" t="s">
        <v>1823</v>
      </c>
      <c r="J276" s="308" t="str">
        <f>HYPERLINK(Table23[[#This Row],[URL]],Table23[[#This Row],[Link to Reference]])</f>
        <v>IS.WP.6.31(f) &amp; (g)</v>
      </c>
      <c r="K276" s="206" t="s">
        <v>1824</v>
      </c>
      <c r="X276" s="286" t="s">
        <v>1186</v>
      </c>
      <c r="Y276" s="302" t="str">
        <f>IFERROR(IF(SEARCH("WP",Table23[[#This Row],[Link to Reference]])&gt;0,"Work Program","Booklet"),"Booklet")</f>
        <v>Work Program</v>
      </c>
      <c r="Z276" s="286">
        <v>16</v>
      </c>
      <c r="AA276" s="302">
        <f>IF(Table23[[#This Row],[Type]]="Booklet",MATCH(LEFT(Table23[[#This Row],[Link to Reference]],FIND(".",Table23[[#This Row],[Link to Reference]])-1),bookletsInfo[Initial],0),MATCH(LEFT(Table23[[#This Row],[Link to Reference]],FIND(".",Table23[[#This Row],[Link to Reference]])-1),WPInfo[Initials],0))</f>
        <v>5</v>
      </c>
      <c r="AB27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76" s="286">
        <v>271</v>
      </c>
      <c r="AD276" s="286" t="str">
        <f>IF(G276=G275,IF(MOD(Table23[[#This Row],[order]],2)=1,"hideOdd","hideEven"),FALSE)</f>
        <v>hideOdd</v>
      </c>
      <c r="AE276" s="286">
        <f>IF(Table23[[#This Row],[hideText]]=FALSE,AE275+1,AE275)</f>
        <v>102</v>
      </c>
      <c r="AF276" s="269"/>
      <c r="AO276"/>
    </row>
    <row r="277" spans="1:41" ht="45" x14ac:dyDescent="0.25">
      <c r="A277" s="206" t="s">
        <v>216</v>
      </c>
      <c r="B277" s="206" t="s">
        <v>465</v>
      </c>
      <c r="C277" s="206" t="s">
        <v>478</v>
      </c>
      <c r="D277" s="306" t="str">
        <f ca="1">IF(Table23[[#This Row],[hideText]]=FALSE,HYPERLINK(INDEX('Verify Baseline Links'!$P$10:$P$132,MATCH(Table23[[#This Row],[DSorder]],'Verify Baseline Links'!$M$10:$M$132,0)),"DS"),"")</f>
        <v>DS</v>
      </c>
      <c r="E277" s="206" t="s">
        <v>1825</v>
      </c>
      <c r="F277" s="223" t="str">
        <f>CLEAN(TRIM(SUBSTITUTE(LEFT(Table23[[#This Row],[Declarative Statement]],MIN(250,LEN(Table23[[#This Row],[Declarative Statement]]))),CHAR(160)," ")))</f>
        <v>Contracts specify the security requirements for the return or destruction of data upon contract termination.</v>
      </c>
      <c r="G277" s="206">
        <f>MATCH(Table23[[#This Row],[clean DS]],combinedMaturityTable[Dsm clean],0)</f>
        <v>393</v>
      </c>
      <c r="H277" s="223">
        <v>1</v>
      </c>
      <c r="I277" s="223" t="s">
        <v>1233</v>
      </c>
      <c r="J277" s="308" t="str">
        <f>HYPERLINK(Table23[[#This Row],[URL]],Table23[[#This Row],[Link to Reference]])</f>
        <v>OT.B.15</v>
      </c>
      <c r="K277" s="206" t="s">
        <v>1826</v>
      </c>
      <c r="L277" s="286" t="s">
        <v>1378</v>
      </c>
      <c r="M277" s="286" t="s">
        <v>1378</v>
      </c>
      <c r="N277" s="286" t="s">
        <v>1378</v>
      </c>
      <c r="O277" s="286" t="s">
        <v>1378</v>
      </c>
      <c r="P277" s="286" t="s">
        <v>1378</v>
      </c>
      <c r="Q277" s="286" t="s">
        <v>1378</v>
      </c>
      <c r="R277" s="286" t="s">
        <v>1378</v>
      </c>
      <c r="S277" s="286" t="s">
        <v>1378</v>
      </c>
      <c r="T277" s="286" t="s">
        <v>1378</v>
      </c>
      <c r="U277" s="286" t="s">
        <v>1378</v>
      </c>
      <c r="X277" s="286" t="s">
        <v>1931</v>
      </c>
      <c r="Y277" s="302" t="str">
        <f>IFERROR(IF(SEARCH("WP",Table23[[#This Row],[Link to Reference]])&gt;0,"Work Program","Booklet"),"Booklet")</f>
        <v>Booklet</v>
      </c>
      <c r="Z277" s="286">
        <v>15</v>
      </c>
      <c r="AA277" s="302">
        <f>IF(Table23[[#This Row],[Type]]="Booklet",MATCH(LEFT(Table23[[#This Row],[Link to Reference]],FIND(".",Table23[[#This Row],[Link to Reference]])-1),bookletsInfo[Initial],0),MATCH(LEFT(Table23[[#This Row],[Link to Reference]],FIND(".",Table23[[#This Row],[Link to Reference]])-1),WPInfo[Initials],0))</f>
        <v>8</v>
      </c>
      <c r="AB27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https://ithandbook.ffiec.gov/media/274841/ffiec_itbooklet_outsourcingtechnologyservices.pdf#Page=18</v>
      </c>
      <c r="AC277" s="286">
        <v>272</v>
      </c>
      <c r="AD277" s="286" t="b">
        <f>IF(G277=G276,IF(MOD(Table23[[#This Row],[order]],2)=1,"hideOdd","hideEven"),FALSE)</f>
        <v>0</v>
      </c>
      <c r="AE277" s="286">
        <f>IF(Table23[[#This Row],[hideText]]=FALSE,AE276+1,AE276)</f>
        <v>103</v>
      </c>
      <c r="AF277" s="269"/>
      <c r="AO277"/>
    </row>
    <row r="278" spans="1:41" ht="45" x14ac:dyDescent="0.25">
      <c r="A278" s="206" t="s">
        <v>216</v>
      </c>
      <c r="B278" s="206" t="s">
        <v>465</v>
      </c>
      <c r="C278" s="206" t="s">
        <v>492</v>
      </c>
      <c r="D278" s="306" t="str">
        <f ca="1">IF(Table23[[#This Row],[hideText]]=FALSE,HYPERLINK(INDEX('Verify Baseline Links'!$P$10:$P$132,MATCH(Table23[[#This Row],[DSorder]],'Verify Baseline Links'!$M$10:$M$132,0)),"DS"),"")</f>
        <v>DS</v>
      </c>
      <c r="E278" s="206" t="s">
        <v>1827</v>
      </c>
      <c r="F278" s="223" t="str">
        <f>CLEAN(TRIM(SUBSTITUTE(LEFT(Table23[[#This Row],[Declarative Statement]],MIN(250,LEN(Table23[[#This Row],[Declarative Statement]]))),CHAR(160)," ")))</f>
        <v>The third-party risk assessment is updated regularly.</v>
      </c>
      <c r="G278" s="206">
        <f>MATCH(Table23[[#This Row],[clean DS]],combinedMaturityTable[Dsm clean],0)</f>
        <v>401</v>
      </c>
      <c r="H278" s="223">
        <v>1</v>
      </c>
      <c r="I278" s="223" t="s">
        <v>1236</v>
      </c>
      <c r="J278" s="308" t="str">
        <f>HYPERLINK(Table23[[#This Row],[URL]],Table23[[#This Row],[Link to Reference]])</f>
        <v>OT.B.3</v>
      </c>
      <c r="K278" s="206" t="s">
        <v>1828</v>
      </c>
      <c r="L278" s="286" t="s">
        <v>1378</v>
      </c>
      <c r="M278" s="286" t="s">
        <v>1378</v>
      </c>
      <c r="N278" s="286" t="s">
        <v>1378</v>
      </c>
      <c r="O278" s="286" t="s">
        <v>1378</v>
      </c>
      <c r="P278" s="286" t="s">
        <v>1378</v>
      </c>
      <c r="Q278" s="286" t="s">
        <v>1378</v>
      </c>
      <c r="R278" s="286" t="s">
        <v>1378</v>
      </c>
      <c r="S278" s="286" t="s">
        <v>1378</v>
      </c>
      <c r="T278" s="286" t="s">
        <v>1378</v>
      </c>
      <c r="U278" s="286" t="s">
        <v>1378</v>
      </c>
      <c r="X278" s="286" t="s">
        <v>1931</v>
      </c>
      <c r="Y278" s="302" t="str">
        <f>IFERROR(IF(SEARCH("WP",Table23[[#This Row],[Link to Reference]])&gt;0,"Work Program","Booklet"),"Booklet")</f>
        <v>Booklet</v>
      </c>
      <c r="Z278" s="286">
        <v>3</v>
      </c>
      <c r="AA278" s="302">
        <f>IF(Table23[[#This Row],[Type]]="Booklet",MATCH(LEFT(Table23[[#This Row],[Link to Reference]],FIND(".",Table23[[#This Row],[Link to Reference]])-1),bookletsInfo[Initial],0),MATCH(LEFT(Table23[[#This Row],[Link to Reference]],FIND(".",Table23[[#This Row],[Link to Reference]])-1),WPInfo[Initials],0))</f>
        <v>8</v>
      </c>
      <c r="AB27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https://ithandbook.ffiec.gov/media/274841/ffiec_itbooklet_outsourcingtechnologyservices.pdf#Page=6</v>
      </c>
      <c r="AC278" s="286">
        <v>273</v>
      </c>
      <c r="AD278" s="286" t="b">
        <f>IF(G278=G277,IF(MOD(Table23[[#This Row],[order]],2)=1,"hideOdd","hideEven"),FALSE)</f>
        <v>0</v>
      </c>
      <c r="AE278" s="286">
        <f>IF(Table23[[#This Row],[hideText]]=FALSE,AE277+1,AE277)</f>
        <v>104</v>
      </c>
      <c r="AF278" s="269"/>
      <c r="AO278"/>
    </row>
    <row r="279" spans="1:41" ht="45" x14ac:dyDescent="0.25">
      <c r="A279" s="206" t="s">
        <v>216</v>
      </c>
      <c r="B279" s="206" t="s">
        <v>465</v>
      </c>
      <c r="C279" s="206" t="s">
        <v>492</v>
      </c>
      <c r="D279" s="306" t="str">
        <f ca="1">IF(Table23[[#This Row],[hideText]]=FALSE,HYPERLINK(INDEX('Verify Baseline Links'!$P$10:$P$132,MATCH(Table23[[#This Row],[DSorder]],'Verify Baseline Links'!$M$10:$M$132,0)),"DS"),"")</f>
        <v>DS</v>
      </c>
      <c r="E279" s="206" t="s">
        <v>1829</v>
      </c>
      <c r="F279" s="223" t="str">
        <f>CLEAN(TRIM(SUBSTITUTE(LEFT(Table23[[#This Row],[Declarative Statement]],MIN(250,LEN(Table23[[#This Row],[Declarative Statement]]))),CHAR(160)," ")))</f>
        <v>Audits, assessments, and operational performance reports are obtained and reviewed regularly validating security controls for critical third parties.</v>
      </c>
      <c r="G279" s="206">
        <f>MATCH(Table23[[#This Row],[clean DS]],combinedMaturityTable[Dsm clean],0)</f>
        <v>402</v>
      </c>
      <c r="H279" s="223">
        <v>4</v>
      </c>
      <c r="I279" s="223" t="s">
        <v>1229</v>
      </c>
      <c r="J279" s="308" t="str">
        <f>HYPERLINK(Table23[[#This Row],[URL]],Table23[[#This Row],[Link to Reference]])</f>
        <v>IS.II.C.20:pg42</v>
      </c>
      <c r="K279" s="206" t="s">
        <v>1830</v>
      </c>
      <c r="L279" s="286" t="s">
        <v>1815</v>
      </c>
      <c r="M279" s="286" t="s">
        <v>1831</v>
      </c>
      <c r="N279" s="286" t="s">
        <v>1832</v>
      </c>
      <c r="O279" s="286" t="s">
        <v>1833</v>
      </c>
      <c r="P279" s="286" t="s">
        <v>1834</v>
      </c>
      <c r="Q279" s="286" t="s">
        <v>1835</v>
      </c>
      <c r="R279" s="286" t="s">
        <v>1378</v>
      </c>
      <c r="S279" s="286" t="s">
        <v>1378</v>
      </c>
      <c r="T279" s="286" t="s">
        <v>1378</v>
      </c>
      <c r="U279" s="286" t="s">
        <v>1378</v>
      </c>
      <c r="X279" s="286" t="s">
        <v>1186</v>
      </c>
      <c r="Y279" s="302" t="str">
        <f>IFERROR(IF(SEARCH("WP",Table23[[#This Row],[Link to Reference]])&gt;0,"Work Program","Booklet"),"Booklet")</f>
        <v>Booklet</v>
      </c>
      <c r="Z279" s="286" t="s">
        <v>2047</v>
      </c>
      <c r="AA279" s="302">
        <f>IF(Table23[[#This Row],[Type]]="Booklet",MATCH(LEFT(Table23[[#This Row],[Link to Reference]],FIND(".",Table23[[#This Row],[Link to Reference]])-1),bookletsInfo[Initial],0),MATCH(LEFT(Table23[[#This Row],[Link to Reference]],FIND(".",Table23[[#This Row],[Link to Reference]])-1),WPInfo[Initials],0))</f>
        <v>5</v>
      </c>
      <c r="AB27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79" s="286">
        <v>274</v>
      </c>
      <c r="AD279" s="286" t="b">
        <f>IF(G279=G278,IF(MOD(Table23[[#This Row],[order]],2)=1,"hideOdd","hideEven"),FALSE)</f>
        <v>0</v>
      </c>
      <c r="AE279" s="286">
        <f>IF(Table23[[#This Row],[hideText]]=FALSE,AE278+1,AE278)</f>
        <v>105</v>
      </c>
      <c r="AF279" s="269"/>
      <c r="AO279"/>
    </row>
    <row r="280" spans="1:41" ht="60" x14ac:dyDescent="0.25">
      <c r="A280" s="206" t="s">
        <v>216</v>
      </c>
      <c r="B280" s="206" t="s">
        <v>465</v>
      </c>
      <c r="C280" s="206" t="s">
        <v>492</v>
      </c>
      <c r="D280" s="306" t="str">
        <f>IF(Table23[[#This Row],[hideText]]=FALSE,HYPERLINK(INDEX('Verify Baseline Links'!$P$10:$P$132,MATCH(Table23[[#This Row],[DSorder]],'Verify Baseline Links'!$M$10:$M$132,0)),"DS"),"")</f>
        <v/>
      </c>
      <c r="E280" s="206" t="s">
        <v>1829</v>
      </c>
      <c r="F280" s="223" t="str">
        <f>CLEAN(TRIM(SUBSTITUTE(LEFT(Table23[[#This Row],[Declarative Statement]],MIN(250,LEN(Table23[[#This Row],[Declarative Statement]]))),CHAR(160)," ")))</f>
        <v>Audits, assessments, and operational performance reports are obtained and reviewed regularly validating security controls for critical third parties.</v>
      </c>
      <c r="G280" s="206">
        <f>MATCH(Table23[[#This Row],[clean DS]],combinedMaturityTable[Dsm clean],0)</f>
        <v>402</v>
      </c>
      <c r="H280" s="223"/>
      <c r="I280" s="223" t="s">
        <v>1815</v>
      </c>
      <c r="J280" s="308" t="str">
        <f>HYPERLINK(Table23[[#This Row],[URL]],Table23[[#This Row],[Link to Reference]])</f>
        <v>IS.WP.6.31.e</v>
      </c>
      <c r="K280" s="206" t="s">
        <v>1831</v>
      </c>
      <c r="X280" s="286" t="s">
        <v>1186</v>
      </c>
      <c r="Y280" s="302" t="str">
        <f>IFERROR(IF(SEARCH("WP",Table23[[#This Row],[Link to Reference]])&gt;0,"Work Program","Booklet"),"Booklet")</f>
        <v>Work Program</v>
      </c>
      <c r="Z280" s="286">
        <v>16</v>
      </c>
      <c r="AA280" s="302">
        <f>IF(Table23[[#This Row],[Type]]="Booklet",MATCH(LEFT(Table23[[#This Row],[Link to Reference]],FIND(".",Table23[[#This Row],[Link to Reference]])-1),bookletsInfo[Initial],0),MATCH(LEFT(Table23[[#This Row],[Link to Reference]],FIND(".",Table23[[#This Row],[Link to Reference]])-1),WPInfo[Initials],0))</f>
        <v>5</v>
      </c>
      <c r="AB28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80" s="286">
        <v>275</v>
      </c>
      <c r="AD280" s="286" t="str">
        <f>IF(G280=G279,IF(MOD(Table23[[#This Row],[order]],2)=1,"hideOdd","hideEven"),FALSE)</f>
        <v>hideOdd</v>
      </c>
      <c r="AE280" s="286">
        <f>IF(Table23[[#This Row],[hideText]]=FALSE,AE279+1,AE279)</f>
        <v>105</v>
      </c>
      <c r="AF280" s="269"/>
      <c r="AO280"/>
    </row>
    <row r="281" spans="1:41" ht="45" x14ac:dyDescent="0.25">
      <c r="A281" s="206" t="s">
        <v>216</v>
      </c>
      <c r="B281" s="206" t="s">
        <v>465</v>
      </c>
      <c r="C281" s="206" t="s">
        <v>492</v>
      </c>
      <c r="D281" s="306" t="str">
        <f>IF(Table23[[#This Row],[hideText]]=FALSE,HYPERLINK(INDEX('Verify Baseline Links'!$P$10:$P$132,MATCH(Table23[[#This Row],[DSorder]],'Verify Baseline Links'!$M$10:$M$132,0)),"DS"),"")</f>
        <v/>
      </c>
      <c r="E281" s="206" t="s">
        <v>1829</v>
      </c>
      <c r="F281" s="223" t="str">
        <f>CLEAN(TRIM(SUBSTITUTE(LEFT(Table23[[#This Row],[Declarative Statement]],MIN(250,LEN(Table23[[#This Row],[Declarative Statement]]))),CHAR(160)," ")))</f>
        <v>Audits, assessments, and operational performance reports are obtained and reviewed regularly validating security controls for critical third parties.</v>
      </c>
      <c r="G281" s="206">
        <f>MATCH(Table23[[#This Row],[clean DS]],combinedMaturityTable[Dsm clean],0)</f>
        <v>402</v>
      </c>
      <c r="H281" s="223"/>
      <c r="I281" s="223" t="s">
        <v>1786</v>
      </c>
      <c r="J281" s="308" t="str">
        <f>HYPERLINK(Table23[[#This Row],[URL]],Table23[[#This Row],[Link to Reference]])</f>
        <v>MGT.III.C.8:pg34</v>
      </c>
      <c r="K281" s="206" t="s">
        <v>1833</v>
      </c>
      <c r="X281" s="286" t="s">
        <v>1957</v>
      </c>
      <c r="Y281" s="302" t="str">
        <f>IFERROR(IF(SEARCH("WP",Table23[[#This Row],[Link to Reference]])&gt;0,"Work Program","Booklet"),"Booklet")</f>
        <v>Booklet</v>
      </c>
      <c r="Z281" s="286" t="s">
        <v>2048</v>
      </c>
      <c r="AA281" s="302">
        <f>IF(Table23[[#This Row],[Type]]="Booklet",MATCH(LEFT(Table23[[#This Row],[Link to Reference]],FIND(".",Table23[[#This Row],[Link to Reference]])-1),bookletsInfo[Initial],0),MATCH(LEFT(Table23[[#This Row],[Link to Reference]],FIND(".",Table23[[#This Row],[Link to Reference]])-1),WPInfo[Initials],0))</f>
        <v>6</v>
      </c>
      <c r="AB28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https://ithandbook.ffiec.gov/media/274809/ffiec_itbooklet_management.pdf#Page=35</v>
      </c>
      <c r="AC281" s="286">
        <v>276</v>
      </c>
      <c r="AD281" s="286" t="str">
        <f>IF(G281=G280,IF(MOD(Table23[[#This Row],[order]],2)=1,"hideOdd","hideEven"),FALSE)</f>
        <v>hideEven</v>
      </c>
      <c r="AE281" s="286">
        <f>IF(Table23[[#This Row],[hideText]]=FALSE,AE280+1,AE280)</f>
        <v>105</v>
      </c>
      <c r="AF281" s="269"/>
      <c r="AO281"/>
    </row>
    <row r="282" spans="1:41" ht="45" x14ac:dyDescent="0.25">
      <c r="A282" s="206" t="s">
        <v>216</v>
      </c>
      <c r="B282" s="206" t="s">
        <v>465</v>
      </c>
      <c r="C282" s="206" t="s">
        <v>492</v>
      </c>
      <c r="D282" s="306" t="str">
        <f>IF(Table23[[#This Row],[hideText]]=FALSE,HYPERLINK(INDEX('Verify Baseline Links'!$P$10:$P$132,MATCH(Table23[[#This Row],[DSorder]],'Verify Baseline Links'!$M$10:$M$132,0)),"DS"),"")</f>
        <v/>
      </c>
      <c r="E282" s="206" t="s">
        <v>1829</v>
      </c>
      <c r="F282" s="223" t="str">
        <f>CLEAN(TRIM(SUBSTITUTE(LEFT(Table23[[#This Row],[Declarative Statement]],MIN(250,LEN(Table23[[#This Row],[Declarative Statement]]))),CHAR(160)," ")))</f>
        <v>Audits, assessments, and operational performance reports are obtained and reviewed regularly validating security controls for critical third parties.</v>
      </c>
      <c r="G282" s="206">
        <f>MATCH(Table23[[#This Row],[clean DS]],combinedMaturityTable[Dsm clean],0)</f>
        <v>402</v>
      </c>
      <c r="H282" s="223"/>
      <c r="I282" s="223" t="s">
        <v>1834</v>
      </c>
      <c r="J282" s="308" t="str">
        <f>HYPERLINK(Table23[[#This Row],[URL]],Table23[[#This Row],[Link to Reference]])</f>
        <v>MGT.WP.12.18</v>
      </c>
      <c r="K282" s="206" t="s">
        <v>1835</v>
      </c>
      <c r="X282" s="286" t="s">
        <v>1957</v>
      </c>
      <c r="Y282" s="302" t="str">
        <f>IFERROR(IF(SEARCH("WP",Table23[[#This Row],[Link to Reference]])&gt;0,"Work Program","Booklet"),"Booklet")</f>
        <v>Work Program</v>
      </c>
      <c r="Z282" s="286">
        <v>18</v>
      </c>
      <c r="AA282" s="302">
        <f>IF(Table23[[#This Row],[Type]]="Booklet",MATCH(LEFT(Table23[[#This Row],[Link to Reference]],FIND(".",Table23[[#This Row],[Link to Reference]])-1),bookletsInfo[Initial],0),MATCH(LEFT(Table23[[#This Row],[Link to Reference]],FIND(".",Table23[[#This Row],[Link to Reference]])-1),WPInfo[Initials],0))</f>
        <v>6</v>
      </c>
      <c r="AB28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https://watkinsconsulting.com/wp-content/uploads/2019/02/Management-IT-WorkProgram.pdf#Page=18</v>
      </c>
      <c r="AC282" s="286">
        <v>277</v>
      </c>
      <c r="AD282" s="286" t="str">
        <f>IF(G282=G281,IF(MOD(Table23[[#This Row],[order]],2)=1,"hideOdd","hideEven"),FALSE)</f>
        <v>hideOdd</v>
      </c>
      <c r="AE282" s="286">
        <f>IF(Table23[[#This Row],[hideText]]=FALSE,AE281+1,AE281)</f>
        <v>105</v>
      </c>
      <c r="AF282" s="269"/>
      <c r="AO282"/>
    </row>
    <row r="283" spans="1:41" ht="45" x14ac:dyDescent="0.25">
      <c r="A283" s="206" t="s">
        <v>216</v>
      </c>
      <c r="B283" s="206" t="s">
        <v>465</v>
      </c>
      <c r="C283" s="206" t="s">
        <v>492</v>
      </c>
      <c r="D283" s="306" t="str">
        <f ca="1">IF(Table23[[#This Row],[hideText]]=FALSE,HYPERLINK(INDEX('Verify Baseline Links'!$P$10:$P$132,MATCH(Table23[[#This Row],[DSorder]],'Verify Baseline Links'!$M$10:$M$132,0)),"DS"),"")</f>
        <v>DS</v>
      </c>
      <c r="E283" s="206" t="s">
        <v>1836</v>
      </c>
      <c r="F283" s="223" t="str">
        <f>CLEAN(TRIM(SUBSTITUTE(LEFT(Table23[[#This Row],[Declarative Statement]],MIN(250,LEN(Table23[[#This Row],[Declarative Statement]]))),CHAR(160)," ")))</f>
        <v>Ongoing monitoring practices include reviewing critical third-parties’ resilience plans.</v>
      </c>
      <c r="G283" s="206">
        <f>MATCH(Table23[[#This Row],[clean DS]],combinedMaturityTable[Dsm clean],0)</f>
        <v>403</v>
      </c>
      <c r="H283" s="223"/>
      <c r="I283" s="223" t="s">
        <v>1840</v>
      </c>
      <c r="J283" s="308" t="str">
        <f>HYPERLINK(Table23[[#This Row],[URL]],Table23[[#This Row],[Link to Reference]])</f>
        <v>MGT.WP.4.7.c</v>
      </c>
      <c r="K283" s="206" t="s">
        <v>1841</v>
      </c>
      <c r="X283" s="286" t="s">
        <v>1957</v>
      </c>
      <c r="Y283" s="302" t="str">
        <f>IFERROR(IF(SEARCH("WP",Table23[[#This Row],[Link to Reference]])&gt;0,"Work Program","Booklet"),"Booklet")</f>
        <v>Work Program</v>
      </c>
      <c r="Z283" s="286">
        <v>8</v>
      </c>
      <c r="AA283" s="302">
        <f>IF(Table23[[#This Row],[Type]]="Booklet",MATCH(LEFT(Table23[[#This Row],[Link to Reference]],FIND(".",Table23[[#This Row],[Link to Reference]])-1),bookletsInfo[Initial],0),MATCH(LEFT(Table23[[#This Row],[Link to Reference]],FIND(".",Table23[[#This Row],[Link to Reference]])-1),WPInfo[Initials],0))</f>
        <v>6</v>
      </c>
      <c r="AB28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https://watkinsconsulting.com/wp-content/uploads/2019/02/Management-IT-WorkProgram.pdf#Page=8</v>
      </c>
      <c r="AC283" s="286">
        <v>280</v>
      </c>
      <c r="AD283" s="286" t="b">
        <f>IF(G283=G282,IF(MOD(Table23[[#This Row],[order]],2)=1,"hideOdd","hideEven"),FALSE)</f>
        <v>0</v>
      </c>
      <c r="AE283" s="286">
        <f>IF(Table23[[#This Row],[hideText]]=FALSE,AE282+1,AE282)</f>
        <v>106</v>
      </c>
      <c r="AF283" s="269"/>
      <c r="AO283"/>
    </row>
    <row r="284" spans="1:41" ht="45" x14ac:dyDescent="0.25">
      <c r="A284" s="206" t="s">
        <v>216</v>
      </c>
      <c r="B284" s="206" t="s">
        <v>465</v>
      </c>
      <c r="C284" s="206" t="s">
        <v>492</v>
      </c>
      <c r="D284" s="306" t="str">
        <f>IF(Table23[[#This Row],[hideText]]=FALSE,HYPERLINK(INDEX('Verify Baseline Links'!$P$10:$P$132,MATCH(Table23[[#This Row],[DSorder]],'Verify Baseline Links'!$M$10:$M$132,0)),"DS"),"")</f>
        <v/>
      </c>
      <c r="E284" s="206" t="s">
        <v>1836</v>
      </c>
      <c r="F284" s="223" t="str">
        <f>CLEAN(TRIM(SUBSTITUTE(LEFT(Table23[[#This Row],[Declarative Statement]],MIN(250,LEN(Table23[[#This Row],[Declarative Statement]]))),CHAR(160)," ")))</f>
        <v>Ongoing monitoring practices include reviewing critical third-parties’ resilience plans.</v>
      </c>
      <c r="G284" s="206">
        <f>MATCH(Table23[[#This Row],[clean DS]],combinedMaturityTable[Dsm clean],0)</f>
        <v>403</v>
      </c>
      <c r="H284" s="223">
        <v>3</v>
      </c>
      <c r="I284" s="223" t="s">
        <v>1238</v>
      </c>
      <c r="J284" s="308" t="str">
        <f>HYPERLINK(Table23[[#This Row],[URL]],Table23[[#This Row],[Link to Reference]])</f>
        <v>OT.B.19</v>
      </c>
      <c r="K284" s="206" t="s">
        <v>1837</v>
      </c>
      <c r="L284" s="286" t="s">
        <v>1838</v>
      </c>
      <c r="M284" s="286" t="s">
        <v>1839</v>
      </c>
      <c r="N284" s="286" t="s">
        <v>1840</v>
      </c>
      <c r="O284" s="286" t="s">
        <v>1841</v>
      </c>
      <c r="P284" s="286" t="s">
        <v>1378</v>
      </c>
      <c r="Q284" s="286" t="s">
        <v>1378</v>
      </c>
      <c r="R284" s="286" t="s">
        <v>1378</v>
      </c>
      <c r="S284" s="286" t="s">
        <v>1378</v>
      </c>
      <c r="T284" s="286" t="s">
        <v>1378</v>
      </c>
      <c r="U284" s="286" t="s">
        <v>1378</v>
      </c>
      <c r="X284" s="286" t="s">
        <v>1931</v>
      </c>
      <c r="Y284" s="302" t="str">
        <f>IFERROR(IF(SEARCH("WP",Table23[[#This Row],[Link to Reference]])&gt;0,"Work Program","Booklet"),"Booklet")</f>
        <v>Booklet</v>
      </c>
      <c r="Z284" s="286">
        <v>19</v>
      </c>
      <c r="AA284" s="302">
        <f>IF(Table23[[#This Row],[Type]]="Booklet",MATCH(LEFT(Table23[[#This Row],[Link to Reference]],FIND(".",Table23[[#This Row],[Link to Reference]])-1),bookletsInfo[Initial],0),MATCH(LEFT(Table23[[#This Row],[Link to Reference]],FIND(".",Table23[[#This Row],[Link to Reference]])-1),WPInfo[Initials],0))</f>
        <v>8</v>
      </c>
      <c r="AB28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https://ithandbook.ffiec.gov/media/274841/ffiec_itbooklet_outsourcingtechnologyservices.pdf#Page=22</v>
      </c>
      <c r="AC284" s="286">
        <v>278</v>
      </c>
      <c r="AD284" s="286" t="str">
        <f>IF(G284=G283,IF(MOD(Table23[[#This Row],[order]],2)=1,"hideOdd","hideEven"),FALSE)</f>
        <v>hideEven</v>
      </c>
      <c r="AE284" s="286">
        <f>IF(Table23[[#This Row],[hideText]]=FALSE,AE283+1,AE283)</f>
        <v>106</v>
      </c>
      <c r="AF284" s="269"/>
      <c r="AO284"/>
    </row>
    <row r="285" spans="1:41" ht="45" x14ac:dyDescent="0.25">
      <c r="A285" s="206" t="s">
        <v>216</v>
      </c>
      <c r="B285" s="206" t="s">
        <v>465</v>
      </c>
      <c r="C285" s="206" t="s">
        <v>492</v>
      </c>
      <c r="D285" s="306" t="str">
        <f>IF(Table23[[#This Row],[hideText]]=FALSE,HYPERLINK(INDEX('Verify Baseline Links'!$P$10:$P$132,MATCH(Table23[[#This Row],[DSorder]],'Verify Baseline Links'!$M$10:$M$132,0)),"DS"),"")</f>
        <v/>
      </c>
      <c r="E285" s="206" t="s">
        <v>1836</v>
      </c>
      <c r="F285" s="223" t="str">
        <f>CLEAN(TRIM(SUBSTITUTE(LEFT(Table23[[#This Row],[Declarative Statement]],MIN(250,LEN(Table23[[#This Row],[Declarative Statement]]))),CHAR(160)," ")))</f>
        <v>Ongoing monitoring practices include reviewing critical third-parties’ resilience plans.</v>
      </c>
      <c r="G285" s="206">
        <f>MATCH(Table23[[#This Row],[clean DS]],combinedMaturityTable[Dsm clean],0)</f>
        <v>403</v>
      </c>
      <c r="H285" s="223"/>
      <c r="I285" s="223" t="s">
        <v>1838</v>
      </c>
      <c r="J285" s="308" t="str">
        <f>HYPERLINK(Table23[[#This Row],[URL]],Table23[[#This Row],[Link to Reference]])</f>
        <v>OT.WP.I.3.6</v>
      </c>
      <c r="K285" s="206" t="s">
        <v>1839</v>
      </c>
      <c r="X285" s="286" t="s">
        <v>1931</v>
      </c>
      <c r="Y285" s="302" t="str">
        <f>IFERROR(IF(SEARCH("WP",Table23[[#This Row],[Link to Reference]])&gt;0,"Work Program","Booklet"),"Booklet")</f>
        <v>Work Program</v>
      </c>
      <c r="Z285" s="286">
        <v>8</v>
      </c>
      <c r="AA285" s="302">
        <f>IF(Table23[[#This Row],[Type]]="Booklet",MATCH(LEFT(Table23[[#This Row],[Link to Reference]],FIND(".",Table23[[#This Row],[Link to Reference]])-1),bookletsInfo[Initial],0),MATCH(LEFT(Table23[[#This Row],[Link to Reference]],FIND(".",Table23[[#This Row],[Link to Reference]])-1),WPInfo[Initials],0))</f>
        <v>8</v>
      </c>
      <c r="AB28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https://watkinsconsulting.com/wp-content/uploads/2019/02/Outsourcing-Technology-Services-IT-WorkProgram.pdf#Page=8</v>
      </c>
      <c r="AC285" s="286">
        <v>279</v>
      </c>
      <c r="AD285" s="286" t="str">
        <f>IF(G285=G284,IF(MOD(Table23[[#This Row],[order]],2)=1,"hideOdd","hideEven"),FALSE)</f>
        <v>hideOdd</v>
      </c>
      <c r="AE285" s="286">
        <f>IF(Table23[[#This Row],[hideText]]=FALSE,AE284+1,AE284)</f>
        <v>106</v>
      </c>
      <c r="AF285" s="269"/>
      <c r="AO285"/>
    </row>
    <row r="286" spans="1:41" ht="60" x14ac:dyDescent="0.25">
      <c r="A286" s="206" t="s">
        <v>608</v>
      </c>
      <c r="B286" s="206" t="s">
        <v>510</v>
      </c>
      <c r="C286" s="206" t="s">
        <v>511</v>
      </c>
      <c r="D286" s="306" t="str">
        <f ca="1">IF(Table23[[#This Row],[hideText]]=FALSE,HYPERLINK(INDEX('Verify Baseline Links'!$P$10:$P$132,MATCH(Table23[[#This Row],[DSorder]],'Verify Baseline Links'!$M$10:$M$132,0)),"DS"),"")</f>
        <v>DS</v>
      </c>
      <c r="E286" s="206" t="s">
        <v>1842</v>
      </c>
      <c r="F286" s="223" t="str">
        <f>CLEAN(TRIM(SUBSTITUTE(LEFT(Table23[[#This Row],[Declarative Statement]],MIN(250,LEN(Table23[[#This Row],[Declarative Statement]]))),CHAR(160)," ")))</f>
        <v>The institution has documented how it will react and respond to cyber incidents.</v>
      </c>
      <c r="G286" s="206">
        <f>MATCH(Table23[[#This Row],[clean DS]],combinedMaturityTable[Dsm clean],0)</f>
        <v>412</v>
      </c>
      <c r="H286" s="223">
        <v>6</v>
      </c>
      <c r="I286" s="223" t="s">
        <v>1239</v>
      </c>
      <c r="J286" s="308" t="str">
        <f>HYPERLINK(Table23[[#This Row],[URL]],Table23[[#This Row],[Link to Reference]])</f>
        <v>BCP.B.4</v>
      </c>
      <c r="K286" s="206" t="s">
        <v>1843</v>
      </c>
      <c r="L286" s="286" t="s">
        <v>1844</v>
      </c>
      <c r="M286" s="286" t="s">
        <v>1845</v>
      </c>
      <c r="N286" s="286" t="s">
        <v>1353</v>
      </c>
      <c r="O286" s="286" t="s">
        <v>1354</v>
      </c>
      <c r="P286" s="286" t="s">
        <v>1529</v>
      </c>
      <c r="Q286" s="286" t="s">
        <v>1846</v>
      </c>
      <c r="R286" s="286" t="s">
        <v>1847</v>
      </c>
      <c r="S286" s="286" t="s">
        <v>1848</v>
      </c>
      <c r="T286" s="286" t="s">
        <v>1849</v>
      </c>
      <c r="U286" s="286" t="s">
        <v>1850</v>
      </c>
      <c r="X286" s="286" t="s">
        <v>1950</v>
      </c>
      <c r="Y286" s="302" t="str">
        <f>IFERROR(IF(SEARCH("WP",Table23[[#This Row],[Link to Reference]])&gt;0,"Work Program","Booklet"),"Booklet")</f>
        <v>Booklet</v>
      </c>
      <c r="Z286" s="286">
        <v>4</v>
      </c>
      <c r="AA286" s="302">
        <f>IF(Table23[[#This Row],[Type]]="Booklet",MATCH(LEFT(Table23[[#This Row],[Link to Reference]],FIND(".",Table23[[#This Row],[Link to Reference]])-1),bookletsInfo[Initial],0),MATCH(LEFT(Table23[[#This Row],[Link to Reference]],FIND(".",Table23[[#This Row],[Link to Reference]])-1),WPInfo[Initials],0))</f>
        <v>2</v>
      </c>
      <c r="AB28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https://ithandbook.ffiec.gov/media/274725/ffiec_itbooklet_businesscontinuityplanning.pdf#Page=7</v>
      </c>
      <c r="AC286" s="286">
        <v>281</v>
      </c>
      <c r="AD286" s="286" t="b">
        <f>IF(G286=G285,IF(MOD(Table23[[#This Row],[order]],2)=1,"hideOdd","hideEven"),FALSE)</f>
        <v>0</v>
      </c>
      <c r="AE286" s="286">
        <f>IF(Table23[[#This Row],[hideText]]=FALSE,AE285+1,AE285)</f>
        <v>107</v>
      </c>
      <c r="AF286" s="269"/>
      <c r="AO286"/>
    </row>
    <row r="287" spans="1:41" ht="60" x14ac:dyDescent="0.25">
      <c r="A287" s="206" t="s">
        <v>608</v>
      </c>
      <c r="B287" s="206" t="s">
        <v>510</v>
      </c>
      <c r="C287" s="206" t="s">
        <v>511</v>
      </c>
      <c r="D287" s="306" t="str">
        <f>IF(Table23[[#This Row],[hideText]]=FALSE,HYPERLINK(INDEX('Verify Baseline Links'!$P$10:$P$132,MATCH(Table23[[#This Row],[DSorder]],'Verify Baseline Links'!$M$10:$M$132,0)),"DS"),"")</f>
        <v/>
      </c>
      <c r="E287" s="206" t="s">
        <v>1842</v>
      </c>
      <c r="F287" s="223" t="str">
        <f>CLEAN(TRIM(SUBSTITUTE(LEFT(Table23[[#This Row],[Declarative Statement]],MIN(250,LEN(Table23[[#This Row],[Declarative Statement]]))),CHAR(160)," ")))</f>
        <v>The institution has documented how it will react and respond to cyber incidents.</v>
      </c>
      <c r="G287" s="206">
        <f>MATCH(Table23[[#This Row],[clean DS]],combinedMaturityTable[Dsm clean],0)</f>
        <v>412</v>
      </c>
      <c r="H287" s="223"/>
      <c r="I287" s="223" t="s">
        <v>1353</v>
      </c>
      <c r="J287" s="308" t="str">
        <f>HYPERLINK(Table23[[#This Row],[URL]],Table23[[#This Row],[Link to Reference]])</f>
        <v>BCP.WP.10</v>
      </c>
      <c r="K287" s="206" t="s">
        <v>1354</v>
      </c>
      <c r="X287" s="286" t="s">
        <v>1950</v>
      </c>
      <c r="Y287" s="302" t="str">
        <f>IFERROR(IF(SEARCH("WP",Table23[[#This Row],[Link to Reference]])&gt;0,"Work Program","Booklet"),"Booklet")</f>
        <v>Work Program</v>
      </c>
      <c r="Z287" s="286">
        <v>19</v>
      </c>
      <c r="AA287" s="302">
        <f>IF(Table23[[#This Row],[Type]]="Booklet",MATCH(LEFT(Table23[[#This Row],[Link to Reference]],FIND(".",Table23[[#This Row],[Link to Reference]])-1),bookletsInfo[Initial],0),MATCH(LEFT(Table23[[#This Row],[Link to Reference]],FIND(".",Table23[[#This Row],[Link to Reference]])-1),WPInfo[Initials],0))</f>
        <v>2</v>
      </c>
      <c r="AB28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https://watkinsconsulting.com/wp-content/uploads/2019/02/Business-Continuity-Planning-IT-WorkProgram.pdf#Page=19</v>
      </c>
      <c r="AC287" s="286">
        <v>283</v>
      </c>
      <c r="AD287" s="286" t="str">
        <f>IF(G287=G286,IF(MOD(Table23[[#This Row],[order]],2)=1,"hideOdd","hideEven"),FALSE)</f>
        <v>hideOdd</v>
      </c>
      <c r="AE287" s="286">
        <f>IF(Table23[[#This Row],[hideText]]=FALSE,AE286+1,AE286)</f>
        <v>107</v>
      </c>
      <c r="AF287" s="269"/>
      <c r="AO287"/>
    </row>
    <row r="288" spans="1:41" ht="60" x14ac:dyDescent="0.25">
      <c r="A288" s="206" t="s">
        <v>608</v>
      </c>
      <c r="B288" s="206" t="s">
        <v>510</v>
      </c>
      <c r="C288" s="206" t="s">
        <v>511</v>
      </c>
      <c r="D288" s="306" t="str">
        <f>IF(Table23[[#This Row],[hideText]]=FALSE,HYPERLINK(INDEX('Verify Baseline Links'!$P$10:$P$132,MATCH(Table23[[#This Row],[DSorder]],'Verify Baseline Links'!$M$10:$M$132,0)),"DS"),"")</f>
        <v/>
      </c>
      <c r="E288" s="206" t="s">
        <v>1842</v>
      </c>
      <c r="F288" s="223" t="str">
        <f>CLEAN(TRIM(SUBSTITUTE(LEFT(Table23[[#This Row],[Declarative Statement]],MIN(250,LEN(Table23[[#This Row],[Declarative Statement]]))),CHAR(160)," ")))</f>
        <v>The institution has documented how it will react and respond to cyber incidents.</v>
      </c>
      <c r="G288" s="206">
        <f>MATCH(Table23[[#This Row],[clean DS]],combinedMaturityTable[Dsm clean],0)</f>
        <v>412</v>
      </c>
      <c r="H288" s="223"/>
      <c r="I288" s="223" t="s">
        <v>1844</v>
      </c>
      <c r="J288" s="308" t="str">
        <f>HYPERLINK(Table23[[#This Row],[URL]],Table23[[#This Row],[Link to Reference]])</f>
        <v>BCP.WP.7.5</v>
      </c>
      <c r="K288" s="206" t="s">
        <v>1845</v>
      </c>
      <c r="X288" s="286" t="s">
        <v>1950</v>
      </c>
      <c r="Y288" s="302" t="str">
        <f>IFERROR(IF(SEARCH("WP",Table23[[#This Row],[Link to Reference]])&gt;0,"Work Program","Booklet"),"Booklet")</f>
        <v>Work Program</v>
      </c>
      <c r="Z288" s="286">
        <v>13</v>
      </c>
      <c r="AA288" s="302">
        <f>IF(Table23[[#This Row],[Type]]="Booklet",MATCH(LEFT(Table23[[#This Row],[Link to Reference]],FIND(".",Table23[[#This Row],[Link to Reference]])-1),bookletsInfo[Initial],0),MATCH(LEFT(Table23[[#This Row],[Link to Reference]],FIND(".",Table23[[#This Row],[Link to Reference]])-1),WPInfo[Initials],0))</f>
        <v>2</v>
      </c>
      <c r="AB28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https://watkinsconsulting.com/wp-content/uploads/2019/02/Business-Continuity-Planning-IT-WorkProgram.pdf#Page=13</v>
      </c>
      <c r="AC288" s="286">
        <v>282</v>
      </c>
      <c r="AD288" s="286" t="str">
        <f>IF(G288=G287,IF(MOD(Table23[[#This Row],[order]],2)=1,"hideOdd","hideEven"),FALSE)</f>
        <v>hideEven</v>
      </c>
      <c r="AE288" s="286">
        <f>IF(Table23[[#This Row],[hideText]]=FALSE,AE287+1,AE287)</f>
        <v>107</v>
      </c>
      <c r="AF288" s="269"/>
      <c r="AO288"/>
    </row>
    <row r="289" spans="1:41" ht="60" x14ac:dyDescent="0.25">
      <c r="A289" s="206" t="s">
        <v>608</v>
      </c>
      <c r="B289" s="206" t="s">
        <v>510</v>
      </c>
      <c r="C289" s="206" t="s">
        <v>511</v>
      </c>
      <c r="D289" s="306" t="str">
        <f>IF(Table23[[#This Row],[hideText]]=FALSE,HYPERLINK(INDEX('Verify Baseline Links'!$P$10:$P$132,MATCH(Table23[[#This Row],[DSorder]],'Verify Baseline Links'!$M$10:$M$132,0)),"DS"),"")</f>
        <v/>
      </c>
      <c r="E289" s="206" t="s">
        <v>1842</v>
      </c>
      <c r="F289" s="223" t="str">
        <f>CLEAN(TRIM(SUBSTITUTE(LEFT(Table23[[#This Row],[Declarative Statement]],MIN(250,LEN(Table23[[#This Row],[Declarative Statement]]))),CHAR(160)," ")))</f>
        <v>The institution has documented how it will react and respond to cyber incidents.</v>
      </c>
      <c r="G289" s="206">
        <f>MATCH(Table23[[#This Row],[clean DS]],combinedMaturityTable[Dsm clean],0)</f>
        <v>412</v>
      </c>
      <c r="H289" s="223"/>
      <c r="I289" s="223" t="s">
        <v>1849</v>
      </c>
      <c r="J289" s="308" t="str">
        <f>HYPERLINK(Table23[[#This Row],[URL]],Table23[[#This Row],[Link to Reference]])</f>
        <v>MGT.WP.12.8.a</v>
      </c>
      <c r="K289" s="206" t="s">
        <v>1850</v>
      </c>
      <c r="X289" s="286" t="s">
        <v>1957</v>
      </c>
      <c r="Y289" s="302" t="str">
        <f>IFERROR(IF(SEARCH("WP",Table23[[#This Row],[Link to Reference]])&gt;0,"Work Program","Booklet"),"Booklet")</f>
        <v>Work Program</v>
      </c>
      <c r="Z289" s="286">
        <v>16</v>
      </c>
      <c r="AA289" s="302">
        <f>IF(Table23[[#This Row],[Type]]="Booklet",MATCH(LEFT(Table23[[#This Row],[Link to Reference]],FIND(".",Table23[[#This Row],[Link to Reference]])-1),bookletsInfo[Initial],0),MATCH(LEFT(Table23[[#This Row],[Link to Reference]],FIND(".",Table23[[#This Row],[Link to Reference]])-1),WPInfo[Initials],0))</f>
        <v>6</v>
      </c>
      <c r="AB28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289" s="286">
        <v>286</v>
      </c>
      <c r="AD289" s="286" t="str">
        <f>IF(G289=G288,IF(MOD(Table23[[#This Row],[order]],2)=1,"hideOdd","hideEven"),FALSE)</f>
        <v>hideEven</v>
      </c>
      <c r="AE289" s="286">
        <f>IF(Table23[[#This Row],[hideText]]=FALSE,AE288+1,AE288)</f>
        <v>107</v>
      </c>
      <c r="AF289" s="269"/>
      <c r="AO289"/>
    </row>
    <row r="290" spans="1:41" ht="60" x14ac:dyDescent="0.25">
      <c r="A290" s="206" t="s">
        <v>608</v>
      </c>
      <c r="B290" s="206" t="s">
        <v>510</v>
      </c>
      <c r="C290" s="206" t="s">
        <v>511</v>
      </c>
      <c r="D290" s="306" t="str">
        <f>IF(Table23[[#This Row],[hideText]]=FALSE,HYPERLINK(INDEX('Verify Baseline Links'!$P$10:$P$132,MATCH(Table23[[#This Row],[DSorder]],'Verify Baseline Links'!$M$10:$M$132,0)),"DS"),"")</f>
        <v/>
      </c>
      <c r="E290" s="206" t="s">
        <v>1842</v>
      </c>
      <c r="F290" s="223" t="str">
        <f>CLEAN(TRIM(SUBSTITUTE(LEFT(Table23[[#This Row],[Declarative Statement]],MIN(250,LEN(Table23[[#This Row],[Declarative Statement]]))),CHAR(160)," ")))</f>
        <v>The institution has documented how it will react and respond to cyber incidents.</v>
      </c>
      <c r="G290" s="206">
        <f>MATCH(Table23[[#This Row],[clean DS]],combinedMaturityTable[Dsm clean],0)</f>
        <v>412</v>
      </c>
      <c r="H290" s="223"/>
      <c r="I290" s="223" t="s">
        <v>1529</v>
      </c>
      <c r="J290" s="308" t="str">
        <f>HYPERLINK(Table23[[#This Row],[URL]],Table23[[#This Row],[Link to Reference]])</f>
        <v>MGT.III.C.3:pg29</v>
      </c>
      <c r="K290" s="206" t="s">
        <v>1846</v>
      </c>
      <c r="X290" s="286" t="s">
        <v>1957</v>
      </c>
      <c r="Y290" s="302" t="str">
        <f>IFERROR(IF(SEARCH("WP",Table23[[#This Row],[Link to Reference]])&gt;0,"Work Program","Booklet"),"Booklet")</f>
        <v>Booklet</v>
      </c>
      <c r="Z290" s="286" t="s">
        <v>2023</v>
      </c>
      <c r="AA290" s="302">
        <f>IF(Table23[[#This Row],[Type]]="Booklet",MATCH(LEFT(Table23[[#This Row],[Link to Reference]],FIND(".",Table23[[#This Row],[Link to Reference]])-1),bookletsInfo[Initial],0),MATCH(LEFT(Table23[[#This Row],[Link to Reference]],FIND(".",Table23[[#This Row],[Link to Reference]])-1),WPInfo[Initials],0))</f>
        <v>6</v>
      </c>
      <c r="AB29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290" s="286">
        <v>284</v>
      </c>
      <c r="AD290" s="286" t="str">
        <f>IF(G290=G289,IF(MOD(Table23[[#This Row],[order]],2)=1,"hideOdd","hideEven"),FALSE)</f>
        <v>hideEven</v>
      </c>
      <c r="AE290" s="286">
        <f>IF(Table23[[#This Row],[hideText]]=FALSE,AE289+1,AE289)</f>
        <v>107</v>
      </c>
      <c r="AF290" s="269"/>
      <c r="AO290"/>
    </row>
    <row r="291" spans="1:41" ht="60" x14ac:dyDescent="0.25">
      <c r="A291" s="206" t="s">
        <v>608</v>
      </c>
      <c r="B291" s="206" t="s">
        <v>510</v>
      </c>
      <c r="C291" s="206" t="s">
        <v>511</v>
      </c>
      <c r="D291" s="306" t="str">
        <f>IF(Table23[[#This Row],[hideText]]=FALSE,HYPERLINK(INDEX('Verify Baseline Links'!$P$10:$P$132,MATCH(Table23[[#This Row],[DSorder]],'Verify Baseline Links'!$M$10:$M$132,0)),"DS"),"")</f>
        <v/>
      </c>
      <c r="E291" s="206" t="s">
        <v>1842</v>
      </c>
      <c r="F291" s="223" t="str">
        <f>CLEAN(TRIM(SUBSTITUTE(LEFT(Table23[[#This Row],[Declarative Statement]],MIN(250,LEN(Table23[[#This Row],[Declarative Statement]]))),CHAR(160)," ")))</f>
        <v>The institution has documented how it will react and respond to cyber incidents.</v>
      </c>
      <c r="G291" s="206">
        <f>MATCH(Table23[[#This Row],[clean DS]],combinedMaturityTable[Dsm clean],0)</f>
        <v>412</v>
      </c>
      <c r="H291" s="223"/>
      <c r="I291" s="223" t="s">
        <v>1847</v>
      </c>
      <c r="J291" s="308" t="str">
        <f>HYPERLINK(Table23[[#This Row],[URL]],Table23[[#This Row],[Link to Reference]])</f>
        <v>MGT.III.C.3(b):pg30</v>
      </c>
      <c r="K291" s="206" t="s">
        <v>1848</v>
      </c>
      <c r="X291" s="286" t="s">
        <v>1957</v>
      </c>
      <c r="Y291" s="302" t="str">
        <f>IFERROR(IF(SEARCH("WP",Table23[[#This Row],[Link to Reference]])&gt;0,"Work Program","Booklet"),"Booklet")</f>
        <v>Booklet</v>
      </c>
      <c r="Z291" s="286" t="s">
        <v>2002</v>
      </c>
      <c r="AA291" s="302">
        <f>IF(Table23[[#This Row],[Type]]="Booklet",MATCH(LEFT(Table23[[#This Row],[Link to Reference]],FIND(".",Table23[[#This Row],[Link to Reference]])-1),bookletsInfo[Initial],0),MATCH(LEFT(Table23[[#This Row],[Link to Reference]],FIND(".",Table23[[#This Row],[Link to Reference]])-1),WPInfo[Initials],0))</f>
        <v>6</v>
      </c>
      <c r="AB29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https://ithandbook.ffiec.gov/media/274809/ffiec_itbooklet_management.pdf#Page=31</v>
      </c>
      <c r="AC291" s="286">
        <v>285</v>
      </c>
      <c r="AD291" s="286" t="str">
        <f>IF(G291=G290,IF(MOD(Table23[[#This Row],[order]],2)=1,"hideOdd","hideEven"),FALSE)</f>
        <v>hideOdd</v>
      </c>
      <c r="AE291" s="286">
        <f>IF(Table23[[#This Row],[hideText]]=FALSE,AE290+1,AE290)</f>
        <v>107</v>
      </c>
      <c r="AF291" s="269"/>
      <c r="AO291"/>
    </row>
    <row r="292" spans="1:41" ht="60" x14ac:dyDescent="0.25">
      <c r="A292" s="206" t="s">
        <v>608</v>
      </c>
      <c r="B292" s="206" t="s">
        <v>510</v>
      </c>
      <c r="C292" s="206" t="s">
        <v>511</v>
      </c>
      <c r="D292" s="306" t="str">
        <f ca="1">IF(Table23[[#This Row],[hideText]]=FALSE,HYPERLINK(INDEX('Verify Baseline Links'!$P$10:$P$132,MATCH(Table23[[#This Row],[DSorder]],'Verify Baseline Links'!$M$10:$M$132,0)),"DS"),"")</f>
        <v>DS</v>
      </c>
      <c r="E292" s="206" t="s">
        <v>1851</v>
      </c>
      <c r="F292" s="223" t="str">
        <f>CLEAN(TRIM(SUBSTITUTE(LEFT(Table23[[#This Row],[Declarative Statement]],MIN(250,LEN(Table23[[#This Row],[Declarative Statement]]))),CHAR(160)," ")))</f>
        <v>Communication channels exist to provide employees a means for reporting information security events in a timely manner.</v>
      </c>
      <c r="G292" s="206">
        <f>MATCH(Table23[[#This Row],[clean DS]],combinedMaturityTable[Dsm clean],0)</f>
        <v>413</v>
      </c>
      <c r="H292" s="223">
        <v>2</v>
      </c>
      <c r="I292" s="223" t="s">
        <v>1242</v>
      </c>
      <c r="J292" s="308" t="str">
        <f>HYPERLINK(Table23[[#This Row],[URL]],Table23[[#This Row],[Link to Reference]])</f>
        <v>IS.III:pg46</v>
      </c>
      <c r="K292" s="206" t="s">
        <v>1852</v>
      </c>
      <c r="L292" s="286" t="s">
        <v>1853</v>
      </c>
      <c r="M292" s="286" t="s">
        <v>1854</v>
      </c>
      <c r="N292" s="286" t="s">
        <v>1378</v>
      </c>
      <c r="O292" s="286" t="s">
        <v>1378</v>
      </c>
      <c r="P292" s="286" t="s">
        <v>1378</v>
      </c>
      <c r="Q292" s="286" t="s">
        <v>1378</v>
      </c>
      <c r="R292" s="286" t="s">
        <v>1378</v>
      </c>
      <c r="S292" s="286" t="s">
        <v>1378</v>
      </c>
      <c r="T292" s="286" t="s">
        <v>1378</v>
      </c>
      <c r="U292" s="286" t="s">
        <v>1378</v>
      </c>
      <c r="X292" s="286" t="s">
        <v>1186</v>
      </c>
      <c r="Y292" s="302" t="str">
        <f>IFERROR(IF(SEARCH("WP",Table23[[#This Row],[Link to Reference]])&gt;0,"Work Program","Booklet"),"Booklet")</f>
        <v>Booklet</v>
      </c>
      <c r="Z292" s="286" t="s">
        <v>2040</v>
      </c>
      <c r="AA292" s="302">
        <f>IF(Table23[[#This Row],[Type]]="Booklet",MATCH(LEFT(Table23[[#This Row],[Link to Reference]],FIND(".",Table23[[#This Row],[Link to Reference]])-1),bookletsInfo[Initial],0),MATCH(LEFT(Table23[[#This Row],[Link to Reference]],FIND(".",Table23[[#This Row],[Link to Reference]])-1),WPInfo[Initials],0))</f>
        <v>5</v>
      </c>
      <c r="AB29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https://ithandbook.ffiec.gov/media/274793/ffiec_itbooklet_informationsecurity.pdf#Page=49</v>
      </c>
      <c r="AC292" s="286">
        <v>287</v>
      </c>
      <c r="AD292" s="286" t="b">
        <f>IF(G292=G291,IF(MOD(Table23[[#This Row],[order]],2)=1,"hideOdd","hideEven"),FALSE)</f>
        <v>0</v>
      </c>
      <c r="AE292" s="286">
        <f>IF(Table23[[#This Row],[hideText]]=FALSE,AE291+1,AE291)</f>
        <v>108</v>
      </c>
      <c r="AF292" s="269"/>
      <c r="AO292"/>
    </row>
    <row r="293" spans="1:41" ht="60" x14ac:dyDescent="0.25">
      <c r="A293" s="206" t="s">
        <v>608</v>
      </c>
      <c r="B293" s="206" t="s">
        <v>510</v>
      </c>
      <c r="C293" s="206" t="s">
        <v>511</v>
      </c>
      <c r="D293" s="306" t="str">
        <f>IF(Table23[[#This Row],[hideText]]=FALSE,HYPERLINK(INDEX('Verify Baseline Links'!$P$10:$P$132,MATCH(Table23[[#This Row],[DSorder]],'Verify Baseline Links'!$M$10:$M$132,0)),"DS"),"")</f>
        <v/>
      </c>
      <c r="E293" s="206" t="s">
        <v>1851</v>
      </c>
      <c r="F293" s="223" t="str">
        <f>CLEAN(TRIM(SUBSTITUTE(LEFT(Table23[[#This Row],[Declarative Statement]],MIN(250,LEN(Table23[[#This Row],[Declarative Statement]]))),CHAR(160)," ")))</f>
        <v>Communication channels exist to provide employees a means for reporting information security events in a timely manner.</v>
      </c>
      <c r="G293" s="206">
        <f>MATCH(Table23[[#This Row],[clean DS]],combinedMaturityTable[Dsm clean],0)</f>
        <v>413</v>
      </c>
      <c r="H293" s="223"/>
      <c r="I293" s="223" t="s">
        <v>1853</v>
      </c>
      <c r="J293" s="308" t="str">
        <f>HYPERLINK(Table23[[#This Row],[URL]],Table23[[#This Row],[Link to Reference]])</f>
        <v>IS.WP.2.7</v>
      </c>
      <c r="K293" s="206" t="s">
        <v>1854</v>
      </c>
      <c r="X293" s="286" t="s">
        <v>1186</v>
      </c>
      <c r="Y293" s="302" t="str">
        <f>IFERROR(IF(SEARCH("WP",Table23[[#This Row],[Link to Reference]])&gt;0,"Work Program","Booklet"),"Booklet")</f>
        <v>Work Program</v>
      </c>
      <c r="Z293" s="286">
        <v>4</v>
      </c>
      <c r="AA293" s="302">
        <f>IF(Table23[[#This Row],[Type]]="Booklet",MATCH(LEFT(Table23[[#This Row],[Link to Reference]],FIND(".",Table23[[#This Row],[Link to Reference]])-1),bookletsInfo[Initial],0),MATCH(LEFT(Table23[[#This Row],[Link to Reference]],FIND(".",Table23[[#This Row],[Link to Reference]])-1),WPInfo[Initials],0))</f>
        <v>5</v>
      </c>
      <c r="AB29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293" s="286">
        <v>288</v>
      </c>
      <c r="AD293" s="286" t="str">
        <f>IF(G293=G292,IF(MOD(Table23[[#This Row],[order]],2)=1,"hideOdd","hideEven"),FALSE)</f>
        <v>hideEven</v>
      </c>
      <c r="AE293" s="286">
        <f>IF(Table23[[#This Row],[hideText]]=FALSE,AE292+1,AE292)</f>
        <v>108</v>
      </c>
      <c r="AF293" s="269"/>
      <c r="AO293"/>
    </row>
    <row r="294" spans="1:41" ht="60" x14ac:dyDescent="0.25">
      <c r="A294" s="206" t="s">
        <v>608</v>
      </c>
      <c r="B294" s="206" t="s">
        <v>510</v>
      </c>
      <c r="C294" s="206" t="s">
        <v>511</v>
      </c>
      <c r="D294" s="306" t="str">
        <f ca="1">IF(Table23[[#This Row],[hideText]]=FALSE,HYPERLINK(INDEX('Verify Baseline Links'!$P$10:$P$132,MATCH(Table23[[#This Row],[DSorder]],'Verify Baseline Links'!$M$10:$M$132,0)),"DS"),"")</f>
        <v>DS</v>
      </c>
      <c r="E294" s="206" t="s">
        <v>1855</v>
      </c>
      <c r="F294" s="223" t="str">
        <f>CLEAN(TRIM(SUBSTITUTE(LEFT(Table23[[#This Row],[Declarative Statement]],MIN(250,LEN(Table23[[#This Row],[Declarative Statement]]))),CHAR(160)," ")))</f>
        <v>Roles and responsibilities for incident response team members are defined.</v>
      </c>
      <c r="G294" s="206">
        <f>MATCH(Table23[[#This Row],[clean DS]],combinedMaturityTable[Dsm clean],0)</f>
        <v>414</v>
      </c>
      <c r="H294" s="223">
        <v>2</v>
      </c>
      <c r="I294" s="223" t="s">
        <v>1243</v>
      </c>
      <c r="J294" s="308" t="str">
        <f>HYPERLINK(Table23[[#This Row],[URL]],Table23[[#This Row],[Link to Reference]])</f>
        <v>IS.III.D:pg51</v>
      </c>
      <c r="K294" s="206" t="s">
        <v>1856</v>
      </c>
      <c r="L294" s="286" t="s">
        <v>1857</v>
      </c>
      <c r="M294" s="286" t="s">
        <v>1858</v>
      </c>
      <c r="N294" s="286" t="s">
        <v>1378</v>
      </c>
      <c r="O294" s="286" t="s">
        <v>1378</v>
      </c>
      <c r="P294" s="286" t="s">
        <v>1378</v>
      </c>
      <c r="Q294" s="286" t="s">
        <v>1378</v>
      </c>
      <c r="R294" s="286" t="s">
        <v>1378</v>
      </c>
      <c r="S294" s="286" t="s">
        <v>1378</v>
      </c>
      <c r="T294" s="286" t="s">
        <v>1378</v>
      </c>
      <c r="U294" s="286" t="s">
        <v>1378</v>
      </c>
      <c r="X294" s="286" t="s">
        <v>1186</v>
      </c>
      <c r="Y294" s="302" t="str">
        <f>IFERROR(IF(SEARCH("WP",Table23[[#This Row],[Link to Reference]])&gt;0,"Work Program","Booklet"),"Booklet")</f>
        <v>Booklet</v>
      </c>
      <c r="Z294" s="286" t="s">
        <v>2050</v>
      </c>
      <c r="AA294" s="302">
        <f>IF(Table23[[#This Row],[Type]]="Booklet",MATCH(LEFT(Table23[[#This Row],[Link to Reference]],FIND(".",Table23[[#This Row],[Link to Reference]])-1),bookletsInfo[Initial],0),MATCH(LEFT(Table23[[#This Row],[Link to Reference]],FIND(".",Table23[[#This Row],[Link to Reference]])-1),WPInfo[Initials],0))</f>
        <v>5</v>
      </c>
      <c r="AB29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https://ithandbook.ffiec.gov/media/274793/ffiec_itbooklet_informationsecurity.pdf#Page=54</v>
      </c>
      <c r="AC294" s="286">
        <v>289</v>
      </c>
      <c r="AD294" s="286" t="b">
        <f>IF(G294=G293,IF(MOD(Table23[[#This Row],[order]],2)=1,"hideOdd","hideEven"),FALSE)</f>
        <v>0</v>
      </c>
      <c r="AE294" s="286">
        <f>IF(Table23[[#This Row],[hideText]]=FALSE,AE293+1,AE293)</f>
        <v>109</v>
      </c>
      <c r="AF294" s="269"/>
      <c r="AO294"/>
    </row>
    <row r="295" spans="1:41" ht="60" x14ac:dyDescent="0.25">
      <c r="A295" s="206" t="s">
        <v>608</v>
      </c>
      <c r="B295" s="206" t="s">
        <v>510</v>
      </c>
      <c r="C295" s="206" t="s">
        <v>511</v>
      </c>
      <c r="D295" s="306" t="str">
        <f>IF(Table23[[#This Row],[hideText]]=FALSE,HYPERLINK(INDEX('Verify Baseline Links'!$P$10:$P$132,MATCH(Table23[[#This Row],[DSorder]],'Verify Baseline Links'!$M$10:$M$132,0)),"DS"),"")</f>
        <v/>
      </c>
      <c r="E295" s="206" t="s">
        <v>1855</v>
      </c>
      <c r="F295" s="223" t="str">
        <f>CLEAN(TRIM(SUBSTITUTE(LEFT(Table23[[#This Row],[Declarative Statement]],MIN(250,LEN(Table23[[#This Row],[Declarative Statement]]))),CHAR(160)," ")))</f>
        <v>Roles and responsibilities for incident response team members are defined.</v>
      </c>
      <c r="G295" s="206">
        <f>MATCH(Table23[[#This Row],[clean DS]],combinedMaturityTable[Dsm clean],0)</f>
        <v>414</v>
      </c>
      <c r="H295" s="223"/>
      <c r="I295" s="223" t="s">
        <v>1857</v>
      </c>
      <c r="J295" s="308" t="str">
        <f>HYPERLINK(Table23[[#This Row],[URL]],Table23[[#This Row],[Link to Reference]])</f>
        <v>IS.WP.8.6.e</v>
      </c>
      <c r="K295" s="206" t="s">
        <v>1858</v>
      </c>
      <c r="X295" s="286" t="s">
        <v>1186</v>
      </c>
      <c r="Y295" s="302" t="str">
        <f>IFERROR(IF(SEARCH("WP",Table23[[#This Row],[Link to Reference]])&gt;0,"Work Program","Booklet"),"Booklet")</f>
        <v>Work Program</v>
      </c>
      <c r="Z295" s="286">
        <v>21</v>
      </c>
      <c r="AA295" s="302">
        <f>IF(Table23[[#This Row],[Type]]="Booklet",MATCH(LEFT(Table23[[#This Row],[Link to Reference]],FIND(".",Table23[[#This Row],[Link to Reference]])-1),bookletsInfo[Initial],0),MATCH(LEFT(Table23[[#This Row],[Link to Reference]],FIND(".",Table23[[#This Row],[Link to Reference]])-1),WPInfo[Initials],0))</f>
        <v>5</v>
      </c>
      <c r="AB29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295" s="286">
        <v>290</v>
      </c>
      <c r="AD295" s="286" t="str">
        <f>IF(G295=G294,IF(MOD(Table23[[#This Row],[order]],2)=1,"hideOdd","hideEven"),FALSE)</f>
        <v>hideEven</v>
      </c>
      <c r="AE295" s="286">
        <f>IF(Table23[[#This Row],[hideText]]=FALSE,AE294+1,AE294)</f>
        <v>109</v>
      </c>
      <c r="AF295" s="269"/>
      <c r="AO295"/>
    </row>
    <row r="296" spans="1:41" ht="60" x14ac:dyDescent="0.25">
      <c r="A296" s="206" t="s">
        <v>608</v>
      </c>
      <c r="B296" s="206" t="s">
        <v>510</v>
      </c>
      <c r="C296" s="206" t="s">
        <v>511</v>
      </c>
      <c r="D296" s="306" t="str">
        <f ca="1">IF(Table23[[#This Row],[hideText]]=FALSE,HYPERLINK(INDEX('Verify Baseline Links'!$P$10:$P$132,MATCH(Table23[[#This Row],[DSorder]],'Verify Baseline Links'!$M$10:$M$132,0)),"DS"),"")</f>
        <v>DS</v>
      </c>
      <c r="E296" s="206" t="s">
        <v>2069</v>
      </c>
      <c r="F296" s="223" t="str">
        <f>CLEAN(TRIM(SUBSTITUTE(LEFT(Table23[[#This Row],[Declarative Statement]],MIN(250,LEN(Table23[[#This Row],[Declarative Statement]]))),CHAR(160)," ")))</f>
        <v>The response team includes individuals with a wide range of backgrounds and expertise, from many different areas within the institution (e.g., management, legal, public relations, as well as information technology).</v>
      </c>
      <c r="G296" s="206">
        <f>MATCH(Table23[[#This Row],[clean DS]],combinedMaturityTable[Dsm clean],0)</f>
        <v>415</v>
      </c>
      <c r="H296" s="223">
        <v>2</v>
      </c>
      <c r="I296" s="223" t="s">
        <v>1244</v>
      </c>
      <c r="J296" s="308" t="str">
        <f>HYPERLINK(Table23[[#This Row],[URL]],Table23[[#This Row],[Link to Reference]])</f>
        <v>IS.III.D:pg52</v>
      </c>
      <c r="K296" s="206" t="s">
        <v>1860</v>
      </c>
      <c r="L296" s="286" t="s">
        <v>1861</v>
      </c>
      <c r="M296" s="286" t="s">
        <v>1862</v>
      </c>
      <c r="N296" s="286" t="s">
        <v>1378</v>
      </c>
      <c r="O296" s="286" t="s">
        <v>1378</v>
      </c>
      <c r="P296" s="286" t="s">
        <v>1378</v>
      </c>
      <c r="Q296" s="286" t="s">
        <v>1378</v>
      </c>
      <c r="R296" s="286" t="s">
        <v>1378</v>
      </c>
      <c r="S296" s="286" t="s">
        <v>1378</v>
      </c>
      <c r="T296" s="286" t="s">
        <v>1378</v>
      </c>
      <c r="U296" s="286" t="s">
        <v>1378</v>
      </c>
      <c r="X296" s="286" t="s">
        <v>1186</v>
      </c>
      <c r="Y296" s="302" t="str">
        <f>IFERROR(IF(SEARCH("WP",Table23[[#This Row],[Link to Reference]])&gt;0,"Work Program","Booklet"),"Booklet")</f>
        <v>Booklet</v>
      </c>
      <c r="Z296" s="286" t="s">
        <v>2051</v>
      </c>
      <c r="AA296" s="302">
        <f>IF(Table23[[#This Row],[Type]]="Booklet",MATCH(LEFT(Table23[[#This Row],[Link to Reference]],FIND(".",Table23[[#This Row],[Link to Reference]])-1),bookletsInfo[Initial],0),MATCH(LEFT(Table23[[#This Row],[Link to Reference]],FIND(".",Table23[[#This Row],[Link to Reference]])-1),WPInfo[Initials],0))</f>
        <v>5</v>
      </c>
      <c r="AB29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https://ithandbook.ffiec.gov/media/274793/ffiec_itbooklet_informationsecurity.pdf#Page=55</v>
      </c>
      <c r="AC296" s="286">
        <v>291</v>
      </c>
      <c r="AD296" s="286" t="b">
        <f>IF(G296=G295,IF(MOD(Table23[[#This Row],[order]],2)=1,"hideOdd","hideEven"),FALSE)</f>
        <v>0</v>
      </c>
      <c r="AE296" s="286">
        <f>IF(Table23[[#This Row],[hideText]]=FALSE,AE295+1,AE295)</f>
        <v>110</v>
      </c>
      <c r="AF296" s="269"/>
      <c r="AO296"/>
    </row>
    <row r="297" spans="1:41" ht="60" x14ac:dyDescent="0.25">
      <c r="A297" s="206" t="s">
        <v>608</v>
      </c>
      <c r="B297" s="206" t="s">
        <v>510</v>
      </c>
      <c r="C297" s="206" t="s">
        <v>511</v>
      </c>
      <c r="D297" s="306" t="str">
        <f>IF(Table23[[#This Row],[hideText]]=FALSE,HYPERLINK(INDEX('Verify Baseline Links'!$P$10:$P$132,MATCH(Table23[[#This Row],[DSorder]],'Verify Baseline Links'!$M$10:$M$132,0)),"DS"),"")</f>
        <v/>
      </c>
      <c r="E297" s="206" t="s">
        <v>2069</v>
      </c>
      <c r="F297" s="223" t="str">
        <f>CLEAN(TRIM(SUBSTITUTE(LEFT(Table23[[#This Row],[Declarative Statement]],MIN(250,LEN(Table23[[#This Row],[Declarative Statement]]))),CHAR(160)," ")))</f>
        <v>The response team includes individuals with a wide range of backgrounds and expertise, from many different areas within the institution (e.g., management, legal, public relations, as well as information technology).</v>
      </c>
      <c r="G297" s="206">
        <f>MATCH(Table23[[#This Row],[clean DS]],combinedMaturityTable[Dsm clean],0)</f>
        <v>415</v>
      </c>
      <c r="H297" s="223"/>
      <c r="I297" s="223" t="s">
        <v>1861</v>
      </c>
      <c r="J297" s="308" t="str">
        <f>HYPERLINK(Table23[[#This Row],[URL]],Table23[[#This Row],[Link to Reference]])</f>
        <v>IS.WP.8.6.c</v>
      </c>
      <c r="K297" s="206" t="s">
        <v>1862</v>
      </c>
      <c r="X297" s="286" t="s">
        <v>1186</v>
      </c>
      <c r="Y297" s="302" t="str">
        <f>IFERROR(IF(SEARCH("WP",Table23[[#This Row],[Link to Reference]])&gt;0,"Work Program","Booklet"),"Booklet")</f>
        <v>Work Program</v>
      </c>
      <c r="Z297" s="286">
        <v>21</v>
      </c>
      <c r="AA297" s="302">
        <f>IF(Table23[[#This Row],[Type]]="Booklet",MATCH(LEFT(Table23[[#This Row],[Link to Reference]],FIND(".",Table23[[#This Row],[Link to Reference]])-1),bookletsInfo[Initial],0),MATCH(LEFT(Table23[[#This Row],[Link to Reference]],FIND(".",Table23[[#This Row],[Link to Reference]])-1),WPInfo[Initials],0))</f>
        <v>5</v>
      </c>
      <c r="AB29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297" s="286">
        <v>292</v>
      </c>
      <c r="AD297" s="286" t="str">
        <f>IF(G297=G296,IF(MOD(Table23[[#This Row],[order]],2)=1,"hideOdd","hideEven"),FALSE)</f>
        <v>hideEven</v>
      </c>
      <c r="AE297" s="286">
        <f>IF(Table23[[#This Row],[hideText]]=FALSE,AE296+1,AE296)</f>
        <v>110</v>
      </c>
      <c r="AF297" s="269"/>
      <c r="AO297"/>
    </row>
    <row r="298" spans="1:41" ht="60" x14ac:dyDescent="0.25">
      <c r="A298" s="206" t="s">
        <v>608</v>
      </c>
      <c r="B298" s="206" t="s">
        <v>510</v>
      </c>
      <c r="C298" s="206" t="s">
        <v>511</v>
      </c>
      <c r="D298" s="306" t="str">
        <f ca="1">IF(Table23[[#This Row],[hideText]]=FALSE,HYPERLINK(INDEX('Verify Baseline Links'!$P$10:$P$132,MATCH(Table23[[#This Row],[DSorder]],'Verify Baseline Links'!$M$10:$M$132,0)),"DS"),"")</f>
        <v>DS</v>
      </c>
      <c r="E298" s="206" t="s">
        <v>1863</v>
      </c>
      <c r="F298" s="223" t="str">
        <f>CLEAN(TRIM(SUBSTITUTE(LEFT(Table23[[#This Row],[Declarative Statement]],MIN(250,LEN(Table23[[#This Row],[Declarative Statement]]))),CHAR(160)," ")))</f>
        <v>A formal backup and recovery plan exists for all critical business lines.</v>
      </c>
      <c r="G298" s="206">
        <f>MATCH(Table23[[#This Row],[clean DS]],combinedMaturityTable[Dsm clean],0)</f>
        <v>416</v>
      </c>
      <c r="H298" s="223">
        <v>2</v>
      </c>
      <c r="I298" s="223" t="s">
        <v>1239</v>
      </c>
      <c r="J298" s="308" t="str">
        <f>HYPERLINK(Table23[[#This Row],[URL]],Table23[[#This Row],[Link to Reference]])</f>
        <v>BCP.B.4</v>
      </c>
      <c r="K298" s="206" t="s">
        <v>1864</v>
      </c>
      <c r="L298" s="286" t="s">
        <v>1865</v>
      </c>
      <c r="M298" s="286" t="s">
        <v>1866</v>
      </c>
      <c r="N298" s="286" t="s">
        <v>1378</v>
      </c>
      <c r="O298" s="286" t="s">
        <v>1378</v>
      </c>
      <c r="P298" s="286" t="s">
        <v>1378</v>
      </c>
      <c r="Q298" s="286" t="s">
        <v>1378</v>
      </c>
      <c r="R298" s="286" t="s">
        <v>1378</v>
      </c>
      <c r="S298" s="286" t="s">
        <v>1378</v>
      </c>
      <c r="T298" s="286" t="s">
        <v>1378</v>
      </c>
      <c r="U298" s="286" t="s">
        <v>1378</v>
      </c>
      <c r="X298" s="286" t="s">
        <v>1950</v>
      </c>
      <c r="Y298" s="302" t="str">
        <f>IFERROR(IF(SEARCH("WP",Table23[[#This Row],[Link to Reference]])&gt;0,"Work Program","Booklet"),"Booklet")</f>
        <v>Booklet</v>
      </c>
      <c r="Z298" s="286">
        <v>4</v>
      </c>
      <c r="AA298" s="302">
        <f>IF(Table23[[#This Row],[Type]]="Booklet",MATCH(LEFT(Table23[[#This Row],[Link to Reference]],FIND(".",Table23[[#This Row],[Link to Reference]])-1),bookletsInfo[Initial],0),MATCH(LEFT(Table23[[#This Row],[Link to Reference]],FIND(".",Table23[[#This Row],[Link to Reference]])-1),WPInfo[Initials],0))</f>
        <v>2</v>
      </c>
      <c r="AB29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https://ithandbook.ffiec.gov/media/274725/ffiec_itbooklet_businesscontinuityplanning.pdf#Page=7</v>
      </c>
      <c r="AC298" s="286">
        <v>293</v>
      </c>
      <c r="AD298" s="286" t="b">
        <f>IF(G298=G297,IF(MOD(Table23[[#This Row],[order]],2)=1,"hideOdd","hideEven"),FALSE)</f>
        <v>0</v>
      </c>
      <c r="AE298" s="286">
        <f>IF(Table23[[#This Row],[hideText]]=FALSE,AE297+1,AE297)</f>
        <v>111</v>
      </c>
      <c r="AF298" s="269"/>
      <c r="AO298"/>
    </row>
    <row r="299" spans="1:41" ht="60" x14ac:dyDescent="0.25">
      <c r="A299" s="206" t="s">
        <v>608</v>
      </c>
      <c r="B299" s="206" t="s">
        <v>510</v>
      </c>
      <c r="C299" s="206" t="s">
        <v>511</v>
      </c>
      <c r="D299" s="306" t="str">
        <f>IF(Table23[[#This Row],[hideText]]=FALSE,HYPERLINK(INDEX('Verify Baseline Links'!$P$10:$P$132,MATCH(Table23[[#This Row],[DSorder]],'Verify Baseline Links'!$M$10:$M$132,0)),"DS"),"")</f>
        <v/>
      </c>
      <c r="E299" s="206" t="s">
        <v>1863</v>
      </c>
      <c r="F299" s="223" t="str">
        <f>CLEAN(TRIM(SUBSTITUTE(LEFT(Table23[[#This Row],[Declarative Statement]],MIN(250,LEN(Table23[[#This Row],[Declarative Statement]]))),CHAR(160)," ")))</f>
        <v>A formal backup and recovery plan exists for all critical business lines.</v>
      </c>
      <c r="G299" s="206">
        <f>MATCH(Table23[[#This Row],[clean DS]],combinedMaturityTable[Dsm clean],0)</f>
        <v>416</v>
      </c>
      <c r="H299" s="223"/>
      <c r="I299" s="223" t="s">
        <v>1865</v>
      </c>
      <c r="J299" s="308" t="str">
        <f>HYPERLINK(Table23[[#This Row],[URL]],Table23[[#This Row],[Link to Reference]])</f>
        <v>BCP.WP.3.1</v>
      </c>
      <c r="K299" s="206" t="s">
        <v>1866</v>
      </c>
      <c r="X299" s="286" t="s">
        <v>1950</v>
      </c>
      <c r="Y299" s="302" t="str">
        <f>IFERROR(IF(SEARCH("WP",Table23[[#This Row],[Link to Reference]])&gt;0,"Work Program","Booklet"),"Booklet")</f>
        <v>Work Program</v>
      </c>
      <c r="Z299" s="286">
        <v>5</v>
      </c>
      <c r="AA299" s="302">
        <f>IF(Table23[[#This Row],[Type]]="Booklet",MATCH(LEFT(Table23[[#This Row],[Link to Reference]],FIND(".",Table23[[#This Row],[Link to Reference]])-1),bookletsInfo[Initial],0),MATCH(LEFT(Table23[[#This Row],[Link to Reference]],FIND(".",Table23[[#This Row],[Link to Reference]])-1),WPInfo[Initials],0))</f>
        <v>2</v>
      </c>
      <c r="AB29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https://watkinsconsulting.com/wp-content/uploads/2019/02/Business-Continuity-Planning-IT-WorkProgram.pdf#Page=5</v>
      </c>
      <c r="AC299" s="286">
        <v>294</v>
      </c>
      <c r="AD299" s="286" t="str">
        <f>IF(G299=G298,IF(MOD(Table23[[#This Row],[order]],2)=1,"hideOdd","hideEven"),FALSE)</f>
        <v>hideEven</v>
      </c>
      <c r="AE299" s="286">
        <f>IF(Table23[[#This Row],[hideText]]=FALSE,AE298+1,AE298)</f>
        <v>111</v>
      </c>
      <c r="AF299" s="269"/>
      <c r="AO299"/>
    </row>
    <row r="300" spans="1:41" ht="60" x14ac:dyDescent="0.25">
      <c r="A300" s="206" t="s">
        <v>608</v>
      </c>
      <c r="B300" s="206" t="s">
        <v>510</v>
      </c>
      <c r="C300" s="206" t="s">
        <v>511</v>
      </c>
      <c r="D300" s="306" t="str">
        <f ca="1">IF(Table23[[#This Row],[hideText]]=FALSE,HYPERLINK(INDEX('Verify Baseline Links'!$P$10:$P$132,MATCH(Table23[[#This Row],[DSorder]],'Verify Baseline Links'!$M$10:$M$132,0)),"DS"),"")</f>
        <v>DS</v>
      </c>
      <c r="E300" s="206" t="s">
        <v>2070</v>
      </c>
      <c r="F300" s="223" t="str">
        <f>CLEAN(TRIM(SUBSTITUTE(LEFT(Table23[[#This Row],[Declarative Statement]],MIN(250,LEN(Table23[[#This Row],[Declarative Statement]]))),CHAR(160)," ")))</f>
        <v>The institution plans to use business continuity, disaster recovery, and data backup programs to recover operations following an incident.</v>
      </c>
      <c r="G300" s="206">
        <f>MATCH(Table23[[#This Row],[clean DS]],combinedMaturityTable[Dsm clean],0)</f>
        <v>417</v>
      </c>
      <c r="H300" s="223"/>
      <c r="I300" s="223" t="s">
        <v>1869</v>
      </c>
      <c r="J300" s="308" t="str">
        <f>HYPERLINK(Table23[[#This Row],[URL]],Table23[[#This Row],[Link to Reference]])</f>
        <v>BCP.B.8</v>
      </c>
      <c r="K300" s="206" t="s">
        <v>1870</v>
      </c>
      <c r="X300" s="286" t="s">
        <v>1950</v>
      </c>
      <c r="Y300" s="302" t="str">
        <f>IFERROR(IF(SEARCH("WP",Table23[[#This Row],[Link to Reference]])&gt;0,"Work Program","Booklet"),"Booklet")</f>
        <v>Booklet</v>
      </c>
      <c r="Z300" s="286">
        <v>8</v>
      </c>
      <c r="AA300" s="302">
        <f>IF(Table23[[#This Row],[Type]]="Booklet",MATCH(LEFT(Table23[[#This Row],[Link to Reference]],FIND(".",Table23[[#This Row],[Link to Reference]])-1),bookletsInfo[Initial],0),MATCH(LEFT(Table23[[#This Row],[Link to Reference]],FIND(".",Table23[[#This Row],[Link to Reference]])-1),WPInfo[Initials],0))</f>
        <v>2</v>
      </c>
      <c r="AB30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https://ithandbook.ffiec.gov/media/274725/ffiec_itbooklet_businesscontinuityplanning.pdf#Page=11</v>
      </c>
      <c r="AC300" s="286">
        <v>297</v>
      </c>
      <c r="AD300" s="286" t="b">
        <f>IF(G300=G299,IF(MOD(Table23[[#This Row],[order]],2)=1,"hideOdd","hideEven"),FALSE)</f>
        <v>0</v>
      </c>
      <c r="AE300" s="286">
        <f>IF(Table23[[#This Row],[hideText]]=FALSE,AE299+1,AE299)</f>
        <v>112</v>
      </c>
      <c r="AF300" s="269"/>
      <c r="AO300"/>
    </row>
    <row r="301" spans="1:41" ht="60" x14ac:dyDescent="0.25">
      <c r="A301" s="206" t="s">
        <v>608</v>
      </c>
      <c r="B301" s="206" t="s">
        <v>510</v>
      </c>
      <c r="C301" s="206" t="s">
        <v>511</v>
      </c>
      <c r="D301" s="306" t="str">
        <f>IF(Table23[[#This Row],[hideText]]=FALSE,HYPERLINK(INDEX('Verify Baseline Links'!$P$10:$P$132,MATCH(Table23[[#This Row],[DSorder]],'Verify Baseline Links'!$M$10:$M$132,0)),"DS"),"")</f>
        <v/>
      </c>
      <c r="E301" s="206" t="s">
        <v>2070</v>
      </c>
      <c r="F301" s="223" t="str">
        <f>CLEAN(TRIM(SUBSTITUTE(LEFT(Table23[[#This Row],[Declarative Statement]],MIN(250,LEN(Table23[[#This Row],[Declarative Statement]]))),CHAR(160)," ")))</f>
        <v>The institution plans to use business continuity, disaster recovery, and data backup programs to recover operations following an incident.</v>
      </c>
      <c r="G301" s="206">
        <f>MATCH(Table23[[#This Row],[clean DS]],combinedMaturityTable[Dsm clean],0)</f>
        <v>417</v>
      </c>
      <c r="H301" s="223"/>
      <c r="I301" s="223" t="s">
        <v>1871</v>
      </c>
      <c r="J301" s="308" t="str">
        <f>HYPERLINK(Table23[[#This Row],[URL]],Table23[[#This Row],[Link to Reference]])</f>
        <v>BCP.WP.I.4</v>
      </c>
      <c r="K301" s="206" t="s">
        <v>1872</v>
      </c>
      <c r="X301" s="286" t="s">
        <v>1950</v>
      </c>
      <c r="Y301" s="302" t="str">
        <f>IFERROR(IF(SEARCH("WP",Table23[[#This Row],[Link to Reference]])&gt;0,"Work Program","Booklet"),"Booklet")</f>
        <v>Work Program</v>
      </c>
      <c r="Z301" s="286">
        <v>6</v>
      </c>
      <c r="AA301" s="302">
        <f>IF(Table23[[#This Row],[Type]]="Booklet",MATCH(LEFT(Table23[[#This Row],[Link to Reference]],FIND(".",Table23[[#This Row],[Link to Reference]])-1),bookletsInfo[Initial],0),MATCH(LEFT(Table23[[#This Row],[Link to Reference]],FIND(".",Table23[[#This Row],[Link to Reference]])-1),WPInfo[Initials],0))</f>
        <v>2</v>
      </c>
      <c r="AB30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https://watkinsconsulting.com/wp-content/uploads/2019/02/Business-Continuity-Planning-IT-WorkProgram.pdf#Page=6</v>
      </c>
      <c r="AC301" s="286">
        <v>298</v>
      </c>
      <c r="AD301" s="286" t="str">
        <f>IF(G301=G300,IF(MOD(Table23[[#This Row],[order]],2)=1,"hideOdd","hideEven"),FALSE)</f>
        <v>hideEven</v>
      </c>
      <c r="AE301" s="286">
        <f>IF(Table23[[#This Row],[hideText]]=FALSE,AE300+1,AE300)</f>
        <v>112</v>
      </c>
      <c r="AF301" s="269"/>
      <c r="AO301"/>
    </row>
    <row r="302" spans="1:41" ht="75" x14ac:dyDescent="0.25">
      <c r="A302" s="206" t="s">
        <v>608</v>
      </c>
      <c r="B302" s="206" t="s">
        <v>510</v>
      </c>
      <c r="C302" s="206" t="s">
        <v>511</v>
      </c>
      <c r="D302" s="306" t="str">
        <f>IF(Table23[[#This Row],[hideText]]=FALSE,HYPERLINK(INDEX('Verify Baseline Links'!$P$10:$P$132,MATCH(Table23[[#This Row],[DSorder]],'Verify Baseline Links'!$M$10:$M$132,0)),"DS"),"")</f>
        <v/>
      </c>
      <c r="E302" s="206" t="s">
        <v>2070</v>
      </c>
      <c r="F302" s="223" t="str">
        <f>CLEAN(TRIM(SUBSTITUTE(LEFT(Table23[[#This Row],[Declarative Statement]],MIN(250,LEN(Table23[[#This Row],[Declarative Statement]]))),CHAR(160)," ")))</f>
        <v>The institution plans to use business continuity, disaster recovery, and data backup programs to recover operations following an incident.</v>
      </c>
      <c r="G302" s="206">
        <f>MATCH(Table23[[#This Row],[clean DS]],combinedMaturityTable[Dsm clean],0)</f>
        <v>417</v>
      </c>
      <c r="H302" s="223">
        <v>4</v>
      </c>
      <c r="I302" s="223" t="s">
        <v>1245</v>
      </c>
      <c r="J302" s="308" t="str">
        <f>HYPERLINK(Table23[[#This Row],[URL]],Table23[[#This Row],[Link to Reference]])</f>
        <v>IS.II.C.21:pg43</v>
      </c>
      <c r="K302" s="206" t="s">
        <v>1868</v>
      </c>
      <c r="L302" s="286" t="s">
        <v>1415</v>
      </c>
      <c r="M302" s="286" t="s">
        <v>1416</v>
      </c>
      <c r="N302" s="286" t="s">
        <v>1869</v>
      </c>
      <c r="O302" s="286" t="s">
        <v>1870</v>
      </c>
      <c r="P302" s="286" t="s">
        <v>1871</v>
      </c>
      <c r="Q302" s="286" t="s">
        <v>1872</v>
      </c>
      <c r="R302" s="286" t="s">
        <v>1378</v>
      </c>
      <c r="S302" s="286" t="s">
        <v>1378</v>
      </c>
      <c r="T302" s="286" t="s">
        <v>1378</v>
      </c>
      <c r="U302" s="286" t="s">
        <v>1378</v>
      </c>
      <c r="X302" s="286" t="s">
        <v>1186</v>
      </c>
      <c r="Y302" s="302" t="str">
        <f>IFERROR(IF(SEARCH("WP",Table23[[#This Row],[Link to Reference]])&gt;0,"Work Program","Booklet"),"Booklet")</f>
        <v>Booklet</v>
      </c>
      <c r="Z302" s="286" t="s">
        <v>2011</v>
      </c>
      <c r="AA302" s="302">
        <f>IF(Table23[[#This Row],[Type]]="Booklet",MATCH(LEFT(Table23[[#This Row],[Link to Reference]],FIND(".",Table23[[#This Row],[Link to Reference]])-1),bookletsInfo[Initial],0),MATCH(LEFT(Table23[[#This Row],[Link to Reference]],FIND(".",Table23[[#This Row],[Link to Reference]])-1),WPInfo[Initials],0))</f>
        <v>5</v>
      </c>
      <c r="AB30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302" s="286">
        <v>295</v>
      </c>
      <c r="AD302" s="286" t="str">
        <f>IF(G302=G301,IF(MOD(Table23[[#This Row],[order]],2)=1,"hideOdd","hideEven"),FALSE)</f>
        <v>hideOdd</v>
      </c>
      <c r="AE302" s="286">
        <f>IF(Table23[[#This Row],[hideText]]=FALSE,AE301+1,AE301)</f>
        <v>112</v>
      </c>
      <c r="AF302" s="269"/>
      <c r="AO302"/>
    </row>
    <row r="303" spans="1:41" ht="60" x14ac:dyDescent="0.25">
      <c r="A303" s="206" t="s">
        <v>608</v>
      </c>
      <c r="B303" s="206" t="s">
        <v>510</v>
      </c>
      <c r="C303" s="206" t="s">
        <v>511</v>
      </c>
      <c r="D303" s="306" t="str">
        <f>IF(Table23[[#This Row],[hideText]]=FALSE,HYPERLINK(INDEX('Verify Baseline Links'!$P$10:$P$132,MATCH(Table23[[#This Row],[DSorder]],'Verify Baseline Links'!$M$10:$M$132,0)),"DS"),"")</f>
        <v/>
      </c>
      <c r="E303" s="206" t="s">
        <v>2070</v>
      </c>
      <c r="F303" s="223" t="str">
        <f>CLEAN(TRIM(SUBSTITUTE(LEFT(Table23[[#This Row],[Declarative Statement]],MIN(250,LEN(Table23[[#This Row],[Declarative Statement]]))),CHAR(160)," ")))</f>
        <v>The institution plans to use business continuity, disaster recovery, and data backup programs to recover operations following an incident.</v>
      </c>
      <c r="G303" s="206">
        <f>MATCH(Table23[[#This Row],[clean DS]],combinedMaturityTable[Dsm clean],0)</f>
        <v>417</v>
      </c>
      <c r="H303" s="223"/>
      <c r="I303" s="223" t="s">
        <v>1415</v>
      </c>
      <c r="J303" s="308" t="str">
        <f>HYPERLINK(Table23[[#This Row],[URL]],Table23[[#This Row],[Link to Reference]])</f>
        <v>IS.WP.6.34</v>
      </c>
      <c r="K303" s="206" t="s">
        <v>1416</v>
      </c>
      <c r="X303" s="286" t="s">
        <v>1186</v>
      </c>
      <c r="Y303" s="302" t="str">
        <f>IFERROR(IF(SEARCH("WP",Table23[[#This Row],[Link to Reference]])&gt;0,"Work Program","Booklet"),"Booklet")</f>
        <v>Work Program</v>
      </c>
      <c r="Z303" s="286">
        <v>16</v>
      </c>
      <c r="AA303" s="302">
        <f>IF(Table23[[#This Row],[Type]]="Booklet",MATCH(LEFT(Table23[[#This Row],[Link to Reference]],FIND(".",Table23[[#This Row],[Link to Reference]])-1),bookletsInfo[Initial],0),MATCH(LEFT(Table23[[#This Row],[Link to Reference]],FIND(".",Table23[[#This Row],[Link to Reference]])-1),WPInfo[Initials],0))</f>
        <v>5</v>
      </c>
      <c r="AB30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303" s="286">
        <v>296</v>
      </c>
      <c r="AD303" s="286" t="str">
        <f>IF(G303=G302,IF(MOD(Table23[[#This Row],[order]],2)=1,"hideOdd","hideEven"),FALSE)</f>
        <v>hideEven</v>
      </c>
      <c r="AE303" s="286">
        <f>IF(Table23[[#This Row],[hideText]]=FALSE,AE302+1,AE302)</f>
        <v>112</v>
      </c>
      <c r="AF303" s="269"/>
      <c r="AO303"/>
    </row>
    <row r="304" spans="1:41" ht="60" x14ac:dyDescent="0.25">
      <c r="A304" s="206" t="s">
        <v>608</v>
      </c>
      <c r="B304" s="206" t="s">
        <v>510</v>
      </c>
      <c r="C304" s="206" t="s">
        <v>529</v>
      </c>
      <c r="D304" s="306" t="str">
        <f ca="1">IF(Table23[[#This Row],[hideText]]=FALSE,HYPERLINK(INDEX('Verify Baseline Links'!$P$10:$P$132,MATCH(Table23[[#This Row],[DSorder]],'Verify Baseline Links'!$M$10:$M$132,0)),"DS"),"")</f>
        <v>DS</v>
      </c>
      <c r="E304" s="206" t="s">
        <v>1873</v>
      </c>
      <c r="F304" s="223" t="str">
        <f>CLEAN(TRIM(SUBSTITUTE(LEFT(Table23[[#This Row],[Declarative Statement]],MIN(250,LEN(Table23[[#This Row],[Declarative Statement]]))),CHAR(160)," ")))</f>
        <v>Scenarios are used to improve incident detection and response.</v>
      </c>
      <c r="G304" s="206">
        <f>MATCH(Table23[[#This Row],[clean DS]],combinedMaturityTable[Dsm clean],0)</f>
        <v>432</v>
      </c>
      <c r="H304" s="223"/>
      <c r="I304" s="223" t="s">
        <v>1875</v>
      </c>
      <c r="J304" s="308" t="str">
        <f>HYPERLINK(Table23[[#This Row],[URL]],Table23[[#This Row],[Link to Reference]])</f>
        <v>BCP.B.J-13</v>
      </c>
      <c r="K304" s="206" t="s">
        <v>1876</v>
      </c>
      <c r="X304" s="286" t="s">
        <v>1950</v>
      </c>
      <c r="Y304" s="302" t="str">
        <f>IFERROR(IF(SEARCH("WP",Table23[[#This Row],[Link to Reference]])&gt;0,"Work Program","Booklet"),"Booklet")</f>
        <v>Booklet</v>
      </c>
      <c r="Z304" s="286">
        <v>130</v>
      </c>
      <c r="AA304" s="302">
        <f>IF(Table23[[#This Row],[Type]]="Booklet",MATCH(LEFT(Table23[[#This Row],[Link to Reference]],FIND(".",Table23[[#This Row],[Link to Reference]])-1),bookletsInfo[Initial],0),MATCH(LEFT(Table23[[#This Row],[Link to Reference]],FIND(".",Table23[[#This Row],[Link to Reference]])-1),WPInfo[Initials],0))</f>
        <v>2</v>
      </c>
      <c r="AB30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https://ithandbook.ffiec.gov/media/274725/ffiec_itbooklet_businesscontinuityplanning.pdf#Page=133</v>
      </c>
      <c r="AC304" s="286">
        <v>300</v>
      </c>
      <c r="AD304" s="286" t="b">
        <f>IF(G304=G303,IF(MOD(Table23[[#This Row],[order]],2)=1,"hideOdd","hideEven"),FALSE)</f>
        <v>0</v>
      </c>
      <c r="AE304" s="286">
        <f>IF(Table23[[#This Row],[hideText]]=FALSE,AE303+1,AE303)</f>
        <v>113</v>
      </c>
      <c r="AF304" s="269"/>
      <c r="AO304"/>
    </row>
    <row r="305" spans="1:41" ht="60" x14ac:dyDescent="0.25">
      <c r="A305" s="206" t="s">
        <v>608</v>
      </c>
      <c r="B305" s="206" t="s">
        <v>510</v>
      </c>
      <c r="C305" s="206" t="s">
        <v>529</v>
      </c>
      <c r="D305" s="306" t="str">
        <f>IF(Table23[[#This Row],[hideText]]=FALSE,HYPERLINK(INDEX('Verify Baseline Links'!$P$10:$P$132,MATCH(Table23[[#This Row],[DSorder]],'Verify Baseline Links'!$M$10:$M$132,0)),"DS"),"")</f>
        <v/>
      </c>
      <c r="E305" s="206" t="s">
        <v>1873</v>
      </c>
      <c r="F305" s="223" t="str">
        <f>CLEAN(TRIM(SUBSTITUTE(LEFT(Table23[[#This Row],[Declarative Statement]],MIN(250,LEN(Table23[[#This Row],[Declarative Statement]]))),CHAR(160)," ")))</f>
        <v>Scenarios are used to improve incident detection and response.</v>
      </c>
      <c r="G305" s="206">
        <f>MATCH(Table23[[#This Row],[clean DS]],combinedMaturityTable[Dsm clean],0)</f>
        <v>432</v>
      </c>
      <c r="H305" s="223"/>
      <c r="I305" s="223" t="s">
        <v>1877</v>
      </c>
      <c r="J305" s="308" t="str">
        <f>HYPERLINK(Table23[[#This Row],[URL]],Table23[[#This Row],[Link to Reference]])</f>
        <v>BCP.WP.II.1.1</v>
      </c>
      <c r="K305" s="206" t="s">
        <v>1878</v>
      </c>
      <c r="X305" s="286" t="s">
        <v>1950</v>
      </c>
      <c r="Y305" s="302" t="str">
        <f>IFERROR(IF(SEARCH("WP",Table23[[#This Row],[Link to Reference]])&gt;0,"Work Program","Booklet"),"Booklet")</f>
        <v>Work Program</v>
      </c>
      <c r="Z305" s="286">
        <v>31</v>
      </c>
      <c r="AA305" s="302">
        <f>IF(Table23[[#This Row],[Type]]="Booklet",MATCH(LEFT(Table23[[#This Row],[Link to Reference]],FIND(".",Table23[[#This Row],[Link to Reference]])-1),bookletsInfo[Initial],0),MATCH(LEFT(Table23[[#This Row],[Link to Reference]],FIND(".",Table23[[#This Row],[Link to Reference]])-1),WPInfo[Initials],0))</f>
        <v>2</v>
      </c>
      <c r="AB30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https://watkinsconsulting.com/wp-content/uploads/2019/02/Business-Continuity-Planning-IT-WorkProgram.pdf#Page=31</v>
      </c>
      <c r="AC305" s="286">
        <v>301</v>
      </c>
      <c r="AD305" s="286" t="str">
        <f>IF(G305=G304,IF(MOD(Table23[[#This Row],[order]],2)=1,"hideOdd","hideEven"),FALSE)</f>
        <v>hideOdd</v>
      </c>
      <c r="AE305" s="286">
        <f>IF(Table23[[#This Row],[hideText]]=FALSE,AE304+1,AE304)</f>
        <v>113</v>
      </c>
      <c r="AF305" s="269"/>
      <c r="AO305"/>
    </row>
    <row r="306" spans="1:41" ht="60" x14ac:dyDescent="0.25">
      <c r="A306" s="206" t="s">
        <v>608</v>
      </c>
      <c r="B306" s="206" t="s">
        <v>510</v>
      </c>
      <c r="C306" s="206" t="s">
        <v>529</v>
      </c>
      <c r="D306" s="306" t="str">
        <f>IF(Table23[[#This Row],[hideText]]=FALSE,HYPERLINK(INDEX('Verify Baseline Links'!$P$10:$P$132,MATCH(Table23[[#This Row],[DSorder]],'Verify Baseline Links'!$M$10:$M$132,0)),"DS"),"")</f>
        <v/>
      </c>
      <c r="E306" s="206" t="s">
        <v>1873</v>
      </c>
      <c r="F306" s="223" t="str">
        <f>CLEAN(TRIM(SUBSTITUTE(LEFT(Table23[[#This Row],[Declarative Statement]],MIN(250,LEN(Table23[[#This Row],[Declarative Statement]]))),CHAR(160)," ")))</f>
        <v>Scenarios are used to improve incident detection and response.</v>
      </c>
      <c r="G306" s="206">
        <f>MATCH(Table23[[#This Row],[clean DS]],combinedMaturityTable[Dsm clean],0)</f>
        <v>432</v>
      </c>
      <c r="H306" s="223">
        <v>3</v>
      </c>
      <c r="I306" s="223" t="s">
        <v>1245</v>
      </c>
      <c r="J306" s="308" t="str">
        <f>HYPERLINK(Table23[[#This Row],[URL]],Table23[[#This Row],[Link to Reference]])</f>
        <v>IS.II.C.21:pg43</v>
      </c>
      <c r="K306" s="206" t="s">
        <v>1874</v>
      </c>
      <c r="L306" s="286" t="s">
        <v>1875</v>
      </c>
      <c r="M306" s="286" t="s">
        <v>1876</v>
      </c>
      <c r="N306" s="286" t="s">
        <v>1877</v>
      </c>
      <c r="O306" s="286" t="s">
        <v>1878</v>
      </c>
      <c r="P306" s="286" t="s">
        <v>1378</v>
      </c>
      <c r="Q306" s="286" t="s">
        <v>1378</v>
      </c>
      <c r="R306" s="286" t="s">
        <v>1378</v>
      </c>
      <c r="S306" s="286" t="s">
        <v>1378</v>
      </c>
      <c r="T306" s="286" t="s">
        <v>1378</v>
      </c>
      <c r="U306" s="286" t="s">
        <v>1378</v>
      </c>
      <c r="X306" s="286" t="s">
        <v>1186</v>
      </c>
      <c r="Y306" s="302" t="str">
        <f>IFERROR(IF(SEARCH("WP",Table23[[#This Row],[Link to Reference]])&gt;0,"Work Program","Booklet"),"Booklet")</f>
        <v>Booklet</v>
      </c>
      <c r="Z306" s="286" t="s">
        <v>2011</v>
      </c>
      <c r="AA306" s="302">
        <f>IF(Table23[[#This Row],[Type]]="Booklet",MATCH(LEFT(Table23[[#This Row],[Link to Reference]],FIND(".",Table23[[#This Row],[Link to Reference]])-1),bookletsInfo[Initial],0),MATCH(LEFT(Table23[[#This Row],[Link to Reference]],FIND(".",Table23[[#This Row],[Link to Reference]])-1),WPInfo[Initials],0))</f>
        <v>5</v>
      </c>
      <c r="AB30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306" s="286">
        <v>299</v>
      </c>
      <c r="AD306" s="286" t="str">
        <f>IF(G306=G305,IF(MOD(Table23[[#This Row],[order]],2)=1,"hideOdd","hideEven"),FALSE)</f>
        <v>hideOdd</v>
      </c>
      <c r="AE306" s="286">
        <f>IF(Table23[[#This Row],[hideText]]=FALSE,AE305+1,AE305)</f>
        <v>113</v>
      </c>
      <c r="AF306" s="269"/>
      <c r="AO306"/>
    </row>
    <row r="307" spans="1:41" ht="60" x14ac:dyDescent="0.25">
      <c r="A307" s="206" t="s">
        <v>608</v>
      </c>
      <c r="B307" s="206" t="s">
        <v>510</v>
      </c>
      <c r="C307" s="206" t="s">
        <v>529</v>
      </c>
      <c r="D307" s="306" t="str">
        <f ca="1">IF(Table23[[#This Row],[hideText]]=FALSE,HYPERLINK(INDEX('Verify Baseline Links'!$P$10:$P$132,MATCH(Table23[[#This Row],[DSorder]],'Verify Baseline Links'!$M$10:$M$132,0)),"DS"),"")</f>
        <v>DS</v>
      </c>
      <c r="E307" s="206" t="s">
        <v>1879</v>
      </c>
      <c r="F307" s="223" t="str">
        <f>CLEAN(TRIM(SUBSTITUTE(LEFT(Table23[[#This Row],[Declarative Statement]],MIN(250,LEN(Table23[[#This Row],[Declarative Statement]]))),CHAR(160)," ")))</f>
        <v>Business continuity testing involves collaboration with critical third parties.</v>
      </c>
      <c r="G307" s="206">
        <f>MATCH(Table23[[#This Row],[clean DS]],combinedMaturityTable[Dsm clean],0)</f>
        <v>433</v>
      </c>
      <c r="H307" s="223">
        <v>2</v>
      </c>
      <c r="I307" s="223" t="s">
        <v>1246</v>
      </c>
      <c r="J307" s="308" t="str">
        <f>HYPERLINK(Table23[[#This Row],[URL]],Table23[[#This Row],[Link to Reference]])</f>
        <v>BCP.B.J-6</v>
      </c>
      <c r="K307" s="206" t="s">
        <v>1880</v>
      </c>
      <c r="L307" s="286" t="s">
        <v>1881</v>
      </c>
      <c r="M307" s="286" t="s">
        <v>1882</v>
      </c>
      <c r="N307" s="286" t="s">
        <v>1378</v>
      </c>
      <c r="O307" s="286" t="s">
        <v>1378</v>
      </c>
      <c r="P307" s="286" t="s">
        <v>1378</v>
      </c>
      <c r="Q307" s="286" t="s">
        <v>1378</v>
      </c>
      <c r="R307" s="286" t="s">
        <v>1378</v>
      </c>
      <c r="S307" s="286" t="s">
        <v>1378</v>
      </c>
      <c r="T307" s="286" t="s">
        <v>1378</v>
      </c>
      <c r="U307" s="286" t="s">
        <v>1378</v>
      </c>
      <c r="X307" s="286" t="s">
        <v>1950</v>
      </c>
      <c r="Y307" s="302" t="str">
        <f>IFERROR(IF(SEARCH("WP",Table23[[#This Row],[Link to Reference]])&gt;0,"Work Program","Booklet"),"Booklet")</f>
        <v>Booklet</v>
      </c>
      <c r="Z307" s="286">
        <v>123</v>
      </c>
      <c r="AA307" s="302">
        <f>IF(Table23[[#This Row],[Type]]="Booklet",MATCH(LEFT(Table23[[#This Row],[Link to Reference]],FIND(".",Table23[[#This Row],[Link to Reference]])-1),bookletsInfo[Initial],0),MATCH(LEFT(Table23[[#This Row],[Link to Reference]],FIND(".",Table23[[#This Row],[Link to Reference]])-1),WPInfo[Initials],0))</f>
        <v>2</v>
      </c>
      <c r="AB30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https://ithandbook.ffiec.gov/media/274725/ffiec_itbooklet_businesscontinuityplanning.pdf#Page=126</v>
      </c>
      <c r="AC307" s="286">
        <v>302</v>
      </c>
      <c r="AD307" s="286" t="b">
        <f>IF(G307=G306,IF(MOD(Table23[[#This Row],[order]],2)=1,"hideOdd","hideEven"),FALSE)</f>
        <v>0</v>
      </c>
      <c r="AE307" s="286">
        <f>IF(Table23[[#This Row],[hideText]]=FALSE,AE306+1,AE306)</f>
        <v>114</v>
      </c>
      <c r="AF307" s="269"/>
      <c r="AO307"/>
    </row>
    <row r="308" spans="1:41" ht="60" x14ac:dyDescent="0.25">
      <c r="A308" s="206" t="s">
        <v>608</v>
      </c>
      <c r="B308" s="206" t="s">
        <v>510</v>
      </c>
      <c r="C308" s="206" t="s">
        <v>529</v>
      </c>
      <c r="D308" s="306" t="str">
        <f>IF(Table23[[#This Row],[hideText]]=FALSE,HYPERLINK(INDEX('Verify Baseline Links'!$P$10:$P$132,MATCH(Table23[[#This Row],[DSorder]],'Verify Baseline Links'!$M$10:$M$132,0)),"DS"),"")</f>
        <v/>
      </c>
      <c r="E308" s="206" t="s">
        <v>1879</v>
      </c>
      <c r="F308" s="223" t="str">
        <f>CLEAN(TRIM(SUBSTITUTE(LEFT(Table23[[#This Row],[Declarative Statement]],MIN(250,LEN(Table23[[#This Row],[Declarative Statement]]))),CHAR(160)," ")))</f>
        <v>Business continuity testing involves collaboration with critical third parties.</v>
      </c>
      <c r="G308" s="206">
        <f>MATCH(Table23[[#This Row],[clean DS]],combinedMaturityTable[Dsm clean],0)</f>
        <v>433</v>
      </c>
      <c r="H308" s="223"/>
      <c r="I308" s="223" t="s">
        <v>1881</v>
      </c>
      <c r="J308" s="308" t="str">
        <f>HYPERLINK(Table23[[#This Row],[URL]],Table23[[#This Row],[Link to Reference]])</f>
        <v>BCP.WP.I.9.3</v>
      </c>
      <c r="K308" s="206" t="s">
        <v>1882</v>
      </c>
      <c r="X308" s="286" t="s">
        <v>1950</v>
      </c>
      <c r="Y308" s="302" t="str">
        <f>IFERROR(IF(SEARCH("WP",Table23[[#This Row],[Link to Reference]])&gt;0,"Work Program","Booklet"),"Booklet")</f>
        <v>Work Program</v>
      </c>
      <c r="Z308" s="286">
        <v>17</v>
      </c>
      <c r="AA308" s="302">
        <f>IF(Table23[[#This Row],[Type]]="Booklet",MATCH(LEFT(Table23[[#This Row],[Link to Reference]],FIND(".",Table23[[#This Row],[Link to Reference]])-1),bookletsInfo[Initial],0),MATCH(LEFT(Table23[[#This Row],[Link to Reference]],FIND(".",Table23[[#This Row],[Link to Reference]])-1),WPInfo[Initials],0))</f>
        <v>2</v>
      </c>
      <c r="AB30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https://watkinsconsulting.com/wp-content/uploads/2019/02/Business-Continuity-Planning-IT-WorkProgram.pdf#Page=17</v>
      </c>
      <c r="AC308" s="286">
        <v>303</v>
      </c>
      <c r="AD308" s="286" t="str">
        <f>IF(G308=G307,IF(MOD(Table23[[#This Row],[order]],2)=1,"hideOdd","hideEven"),FALSE)</f>
        <v>hideOdd</v>
      </c>
      <c r="AE308" s="286">
        <f>IF(Table23[[#This Row],[hideText]]=FALSE,AE307+1,AE307)</f>
        <v>114</v>
      </c>
      <c r="AF308" s="269"/>
      <c r="AO308"/>
    </row>
    <row r="309" spans="1:41" ht="60" x14ac:dyDescent="0.25">
      <c r="A309" s="206" t="s">
        <v>608</v>
      </c>
      <c r="B309" s="206" t="s">
        <v>510</v>
      </c>
      <c r="C309" s="206" t="s">
        <v>529</v>
      </c>
      <c r="D309" s="306" t="str">
        <f ca="1">IF(Table23[[#This Row],[hideText]]=FALSE,HYPERLINK(INDEX('Verify Baseline Links'!$P$10:$P$132,MATCH(Table23[[#This Row],[DSorder]],'Verify Baseline Links'!$M$10:$M$132,0)),"DS"),"")</f>
        <v>DS</v>
      </c>
      <c r="E309" s="206" t="s">
        <v>1883</v>
      </c>
      <c r="F309" s="223" t="str">
        <f>CLEAN(TRIM(SUBSTITUTE(LEFT(Table23[[#This Row],[Declarative Statement]],MIN(250,LEN(Table23[[#This Row],[Declarative Statement]]))),CHAR(160)," ")))</f>
        <v>Systems, applications, and data recovery is tested at least annually.</v>
      </c>
      <c r="G309" s="206">
        <f>MATCH(Table23[[#This Row],[clean DS]],combinedMaturityTable[Dsm clean],0)</f>
        <v>434</v>
      </c>
      <c r="H309" s="223">
        <v>2</v>
      </c>
      <c r="I309" s="223" t="s">
        <v>1247</v>
      </c>
      <c r="J309" s="308" t="str">
        <f>HYPERLINK(Table23[[#This Row],[URL]],Table23[[#This Row],[Link to Reference]])</f>
        <v>BCP.B.J-7</v>
      </c>
      <c r="K309" s="206" t="s">
        <v>1884</v>
      </c>
      <c r="L309" s="286" t="s">
        <v>1885</v>
      </c>
      <c r="M309" s="286" t="s">
        <v>1886</v>
      </c>
      <c r="N309" s="286" t="s">
        <v>1378</v>
      </c>
      <c r="O309" s="286" t="s">
        <v>1378</v>
      </c>
      <c r="P309" s="286" t="s">
        <v>1378</v>
      </c>
      <c r="Q309" s="286" t="s">
        <v>1378</v>
      </c>
      <c r="R309" s="286" t="s">
        <v>1378</v>
      </c>
      <c r="S309" s="286" t="s">
        <v>1378</v>
      </c>
      <c r="T309" s="286" t="s">
        <v>1378</v>
      </c>
      <c r="U309" s="286" t="s">
        <v>1378</v>
      </c>
      <c r="X309" s="286" t="s">
        <v>1950</v>
      </c>
      <c r="Y309" s="302" t="str">
        <f>IFERROR(IF(SEARCH("WP",Table23[[#This Row],[Link to Reference]])&gt;0,"Work Program","Booklet"),"Booklet")</f>
        <v>Booklet</v>
      </c>
      <c r="Z309" s="286">
        <v>124</v>
      </c>
      <c r="AA309" s="302">
        <f>IF(Table23[[#This Row],[Type]]="Booklet",MATCH(LEFT(Table23[[#This Row],[Link to Reference]],FIND(".",Table23[[#This Row],[Link to Reference]])-1),bookletsInfo[Initial],0),MATCH(LEFT(Table23[[#This Row],[Link to Reference]],FIND(".",Table23[[#This Row],[Link to Reference]])-1),WPInfo[Initials],0))</f>
        <v>2</v>
      </c>
      <c r="AB30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https://ithandbook.ffiec.gov/media/274725/ffiec_itbooklet_businesscontinuityplanning.pdf#Page=127</v>
      </c>
      <c r="AC309" s="286">
        <v>304</v>
      </c>
      <c r="AD309" s="286" t="b">
        <f>IF(G309=G308,IF(MOD(Table23[[#This Row],[order]],2)=1,"hideOdd","hideEven"),FALSE)</f>
        <v>0</v>
      </c>
      <c r="AE309" s="286">
        <f>IF(Table23[[#This Row],[hideText]]=FALSE,AE308+1,AE308)</f>
        <v>115</v>
      </c>
      <c r="AF309" s="269"/>
      <c r="AO309"/>
    </row>
    <row r="310" spans="1:41" ht="60" x14ac:dyDescent="0.25">
      <c r="A310" s="206" t="s">
        <v>608</v>
      </c>
      <c r="B310" s="206" t="s">
        <v>510</v>
      </c>
      <c r="C310" s="206" t="s">
        <v>529</v>
      </c>
      <c r="D310" s="306" t="str">
        <f>IF(Table23[[#This Row],[hideText]]=FALSE,HYPERLINK(INDEX('Verify Baseline Links'!$P$10:$P$132,MATCH(Table23[[#This Row],[DSorder]],'Verify Baseline Links'!$M$10:$M$132,0)),"DS"),"")</f>
        <v/>
      </c>
      <c r="E310" s="206" t="s">
        <v>1883</v>
      </c>
      <c r="F310" s="223" t="str">
        <f>CLEAN(TRIM(SUBSTITUTE(LEFT(Table23[[#This Row],[Declarative Statement]],MIN(250,LEN(Table23[[#This Row],[Declarative Statement]]))),CHAR(160)," ")))</f>
        <v>Systems, applications, and data recovery is tested at least annually.</v>
      </c>
      <c r="G310" s="206">
        <f>MATCH(Table23[[#This Row],[clean DS]],combinedMaturityTable[Dsm clean],0)</f>
        <v>434</v>
      </c>
      <c r="H310" s="223"/>
      <c r="I310" s="223" t="s">
        <v>1885</v>
      </c>
      <c r="J310" s="308" t="str">
        <f>HYPERLINK(Table23[[#This Row],[URL]],Table23[[#This Row],[Link to Reference]])</f>
        <v>BCP.WP.I.11.4</v>
      </c>
      <c r="K310" s="206" t="s">
        <v>1886</v>
      </c>
      <c r="X310" s="286" t="s">
        <v>1950</v>
      </c>
      <c r="Y310" s="302" t="str">
        <f>IFERROR(IF(SEARCH("WP",Table23[[#This Row],[Link to Reference]])&gt;0,"Work Program","Booklet"),"Booklet")</f>
        <v>Work Program</v>
      </c>
      <c r="Z310" s="286">
        <v>23</v>
      </c>
      <c r="AA310" s="302">
        <f>IF(Table23[[#This Row],[Type]]="Booklet",MATCH(LEFT(Table23[[#This Row],[Link to Reference]],FIND(".",Table23[[#This Row],[Link to Reference]])-1),bookletsInfo[Initial],0),MATCH(LEFT(Table23[[#This Row],[Link to Reference]],FIND(".",Table23[[#This Row],[Link to Reference]])-1),WPInfo[Initials],0))</f>
        <v>2</v>
      </c>
      <c r="AB31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https://watkinsconsulting.com/wp-content/uploads/2019/02/Business-Continuity-Planning-IT-WorkProgram.pdf#Page=23</v>
      </c>
      <c r="AC310" s="286">
        <v>305</v>
      </c>
      <c r="AD310" s="286" t="str">
        <f>IF(G310=G309,IF(MOD(Table23[[#This Row],[order]],2)=1,"hideOdd","hideEven"),FALSE)</f>
        <v>hideOdd</v>
      </c>
      <c r="AE310" s="286">
        <f>IF(Table23[[#This Row],[hideText]]=FALSE,AE309+1,AE309)</f>
        <v>115</v>
      </c>
      <c r="AF310" s="269"/>
      <c r="AO310"/>
    </row>
    <row r="311" spans="1:41" ht="45" x14ac:dyDescent="0.25">
      <c r="A311" s="206" t="s">
        <v>608</v>
      </c>
      <c r="B311" s="206" t="s">
        <v>1887</v>
      </c>
      <c r="C311" s="206" t="s">
        <v>548</v>
      </c>
      <c r="D311" s="306" t="str">
        <f ca="1">IF(Table23[[#This Row],[hideText]]=FALSE,HYPERLINK(INDEX('Verify Baseline Links'!$P$10:$P$132,MATCH(Table23[[#This Row],[DSorder]],'Verify Baseline Links'!$M$10:$M$132,0)),"DS"),"")</f>
        <v>DS</v>
      </c>
      <c r="E311" s="206" t="s">
        <v>1888</v>
      </c>
      <c r="F311" s="223" t="str">
        <f>CLEAN(TRIM(SUBSTITUTE(LEFT(Table23[[#This Row],[Declarative Statement]],MIN(250,LEN(Table23[[#This Row],[Declarative Statement]]))),CHAR(160)," ")))</f>
        <v>Alert parameters are set for detecting information security incidents that prompt mitigating actions.</v>
      </c>
      <c r="G311" s="206">
        <f>MATCH(Table23[[#This Row],[clean DS]],combinedMaturityTable[Dsm clean],0)</f>
        <v>452</v>
      </c>
      <c r="H311" s="223">
        <v>3</v>
      </c>
      <c r="I311" s="223" t="s">
        <v>1249</v>
      </c>
      <c r="J311" s="308" t="str">
        <f>HYPERLINK(Table23[[#This Row],[URL]],Table23[[#This Row],[Link to Reference]])</f>
        <v>IS.II.C.15(a):pg32</v>
      </c>
      <c r="K311" s="206" t="s">
        <v>1889</v>
      </c>
      <c r="L311" s="286" t="s">
        <v>1890</v>
      </c>
      <c r="M311" s="286" t="s">
        <v>1891</v>
      </c>
      <c r="N311" s="286" t="s">
        <v>1892</v>
      </c>
      <c r="O311" s="286" t="s">
        <v>1893</v>
      </c>
      <c r="P311" s="286" t="s">
        <v>1378</v>
      </c>
      <c r="Q311" s="286" t="s">
        <v>1378</v>
      </c>
      <c r="R311" s="286" t="s">
        <v>1378</v>
      </c>
      <c r="S311" s="286" t="s">
        <v>1378</v>
      </c>
      <c r="T311" s="286" t="s">
        <v>1378</v>
      </c>
      <c r="U311" s="286" t="s">
        <v>1378</v>
      </c>
      <c r="X311" s="286" t="s">
        <v>1186</v>
      </c>
      <c r="Y311" s="302" t="str">
        <f>IFERROR(IF(SEARCH("WP",Table23[[#This Row],[Link to Reference]])&gt;0,"Work Program","Booklet"),"Booklet")</f>
        <v>Booklet</v>
      </c>
      <c r="Z311" s="286" t="s">
        <v>2028</v>
      </c>
      <c r="AA311" s="302">
        <f>IF(Table23[[#This Row],[Type]]="Booklet",MATCH(LEFT(Table23[[#This Row],[Link to Reference]],FIND(".",Table23[[#This Row],[Link to Reference]])-1),bookletsInfo[Initial],0),MATCH(LEFT(Table23[[#This Row],[Link to Reference]],FIND(".",Table23[[#This Row],[Link to Reference]])-1),WPInfo[Initials],0))</f>
        <v>5</v>
      </c>
      <c r="AB31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https://ithandbook.ffiec.gov/media/274793/ffiec_itbooklet_informationsecurity.pdf#Page=35</v>
      </c>
      <c r="AC311" s="286">
        <v>306</v>
      </c>
      <c r="AD311" s="286" t="b">
        <f>IF(G311=G310,IF(MOD(Table23[[#This Row],[order]],2)=1,"hideOdd","hideEven"),FALSE)</f>
        <v>0</v>
      </c>
      <c r="AE311" s="286">
        <f>IF(Table23[[#This Row],[hideText]]=FALSE,AE310+1,AE310)</f>
        <v>116</v>
      </c>
      <c r="AF311" s="269"/>
      <c r="AO311"/>
    </row>
    <row r="312" spans="1:41" ht="75" x14ac:dyDescent="0.25">
      <c r="A312" s="206" t="s">
        <v>608</v>
      </c>
      <c r="B312" s="206" t="s">
        <v>1887</v>
      </c>
      <c r="C312" s="206" t="s">
        <v>548</v>
      </c>
      <c r="D312" s="306" t="str">
        <f>IF(Table23[[#This Row],[hideText]]=FALSE,HYPERLINK(INDEX('Verify Baseline Links'!$P$10:$P$132,MATCH(Table23[[#This Row],[DSorder]],'Verify Baseline Links'!$M$10:$M$132,0)),"DS"),"")</f>
        <v/>
      </c>
      <c r="E312" s="206" t="s">
        <v>1888</v>
      </c>
      <c r="F312" s="223" t="str">
        <f>CLEAN(TRIM(SUBSTITUTE(LEFT(Table23[[#This Row],[Declarative Statement]],MIN(250,LEN(Table23[[#This Row],[Declarative Statement]]))),CHAR(160)," ")))</f>
        <v>Alert parameters are set for detecting information security incidents that prompt mitigating actions.</v>
      </c>
      <c r="G312" s="206">
        <f>MATCH(Table23[[#This Row],[clean DS]],combinedMaturityTable[Dsm clean],0)</f>
        <v>452</v>
      </c>
      <c r="H312" s="223"/>
      <c r="I312" s="223" t="s">
        <v>1890</v>
      </c>
      <c r="J312" s="308" t="str">
        <f>HYPERLINK(Table23[[#This Row],[URL]],Table23[[#This Row],[Link to Reference]])</f>
        <v>IS.II.C.15(b):pg33</v>
      </c>
      <c r="K312" s="206" t="s">
        <v>1891</v>
      </c>
      <c r="X312" s="286" t="s">
        <v>1186</v>
      </c>
      <c r="Y312" s="302" t="str">
        <f>IFERROR(IF(SEARCH("WP",Table23[[#This Row],[Link to Reference]])&gt;0,"Work Program","Booklet"),"Booklet")</f>
        <v>Booklet</v>
      </c>
      <c r="Z312" s="286" t="s">
        <v>2035</v>
      </c>
      <c r="AA312" s="302">
        <f>IF(Table23[[#This Row],[Type]]="Booklet",MATCH(LEFT(Table23[[#This Row],[Link to Reference]],FIND(".",Table23[[#This Row],[Link to Reference]])-1),bookletsInfo[Initial],0),MATCH(LEFT(Table23[[#This Row],[Link to Reference]],FIND(".",Table23[[#This Row],[Link to Reference]])-1),WPInfo[Initials],0))</f>
        <v>5</v>
      </c>
      <c r="AB31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https://ithandbook.ffiec.gov/media/274793/ffiec_itbooklet_informationsecurity.pdf#Page=36</v>
      </c>
      <c r="AC312" s="286">
        <v>307</v>
      </c>
      <c r="AD312" s="286" t="str">
        <f>IF(G312=G311,IF(MOD(Table23[[#This Row],[order]],2)=1,"hideOdd","hideEven"),FALSE)</f>
        <v>hideOdd</v>
      </c>
      <c r="AE312" s="286">
        <f>IF(Table23[[#This Row],[hideText]]=FALSE,AE311+1,AE311)</f>
        <v>116</v>
      </c>
      <c r="AF312" s="269"/>
      <c r="AO312"/>
    </row>
    <row r="313" spans="1:41" ht="45" x14ac:dyDescent="0.25">
      <c r="A313" s="206" t="s">
        <v>608</v>
      </c>
      <c r="B313" s="206" t="s">
        <v>1887</v>
      </c>
      <c r="C313" s="206" t="s">
        <v>548</v>
      </c>
      <c r="D313" s="306" t="str">
        <f>IF(Table23[[#This Row],[hideText]]=FALSE,HYPERLINK(INDEX('Verify Baseline Links'!$P$10:$P$132,MATCH(Table23[[#This Row],[DSorder]],'Verify Baseline Links'!$M$10:$M$132,0)),"DS"),"")</f>
        <v/>
      </c>
      <c r="E313" s="206" t="s">
        <v>1888</v>
      </c>
      <c r="F313" s="223" t="str">
        <f>CLEAN(TRIM(SUBSTITUTE(LEFT(Table23[[#This Row],[Declarative Statement]],MIN(250,LEN(Table23[[#This Row],[Declarative Statement]]))),CHAR(160)," ")))</f>
        <v>Alert parameters are set for detecting information security incidents that prompt mitigating actions.</v>
      </c>
      <c r="G313" s="206">
        <f>MATCH(Table23[[#This Row],[clean DS]],combinedMaturityTable[Dsm clean],0)</f>
        <v>452</v>
      </c>
      <c r="H313" s="223"/>
      <c r="I313" s="223" t="s">
        <v>1892</v>
      </c>
      <c r="J313" s="308" t="str">
        <f>HYPERLINK(Table23[[#This Row],[URL]],Table23[[#This Row],[Link to Reference]])</f>
        <v>IS.WP.6.22.f</v>
      </c>
      <c r="K313" s="206" t="s">
        <v>1893</v>
      </c>
      <c r="X313" s="286" t="s">
        <v>1186</v>
      </c>
      <c r="Y313" s="302" t="str">
        <f>IFERROR(IF(SEARCH("WP",Table23[[#This Row],[Link to Reference]])&gt;0,"Work Program","Booklet"),"Booklet")</f>
        <v>Work Program</v>
      </c>
      <c r="Z313" s="286">
        <v>13</v>
      </c>
      <c r="AA313" s="302">
        <f>IF(Table23[[#This Row],[Type]]="Booklet",MATCH(LEFT(Table23[[#This Row],[Link to Reference]],FIND(".",Table23[[#This Row],[Link to Reference]])-1),bookletsInfo[Initial],0),MATCH(LEFT(Table23[[#This Row],[Link to Reference]],FIND(".",Table23[[#This Row],[Link to Reference]])-1),WPInfo[Initials],0))</f>
        <v>5</v>
      </c>
      <c r="AB31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https://watkinsconsulting.com/wp-content/uploads/2019/02/Information-Security-IT-WorkProgram.pdf#Page=13</v>
      </c>
      <c r="AC313" s="286">
        <v>308</v>
      </c>
      <c r="AD313" s="286" t="str">
        <f>IF(G313=G312,IF(MOD(Table23[[#This Row],[order]],2)=1,"hideOdd","hideEven"),FALSE)</f>
        <v>hideEven</v>
      </c>
      <c r="AE313" s="286">
        <f>IF(Table23[[#This Row],[hideText]]=FALSE,AE312+1,AE312)</f>
        <v>116</v>
      </c>
      <c r="AF313" s="269"/>
      <c r="AO313"/>
    </row>
    <row r="314" spans="1:41" ht="45" x14ac:dyDescent="0.25">
      <c r="A314" s="206" t="s">
        <v>608</v>
      </c>
      <c r="B314" s="206" t="s">
        <v>1887</v>
      </c>
      <c r="C314" s="206" t="s">
        <v>548</v>
      </c>
      <c r="D314" s="306" t="str">
        <f ca="1">IF(Table23[[#This Row],[hideText]]=FALSE,HYPERLINK(INDEX('Verify Baseline Links'!$P$10:$P$132,MATCH(Table23[[#This Row],[DSorder]],'Verify Baseline Links'!$M$10:$M$132,0)),"DS"),"")</f>
        <v>DS</v>
      </c>
      <c r="E314" s="206" t="s">
        <v>1894</v>
      </c>
      <c r="F314" s="223" t="str">
        <f>CLEAN(TRIM(SUBSTITUTE(LEFT(Table23[[#This Row],[Declarative Statement]],MIN(250,LEN(Table23[[#This Row],[Declarative Statement]]))),CHAR(160)," ")))</f>
        <v>System performance reports contain information that can be used as a risk indicator to detect information security incidents.</v>
      </c>
      <c r="G314" s="206">
        <f>MATCH(Table23[[#This Row],[clean DS]],combinedMaturityTable[Dsm clean],0)</f>
        <v>453</v>
      </c>
      <c r="H314" s="223">
        <v>2</v>
      </c>
      <c r="I314" s="223" t="s">
        <v>1250</v>
      </c>
      <c r="J314" s="308" t="str">
        <f>HYPERLINK(Table23[[#This Row],[URL]],Table23[[#This Row],[Link to Reference]])</f>
        <v>IS.II.D:pg45</v>
      </c>
      <c r="K314" s="206" t="s">
        <v>1895</v>
      </c>
      <c r="L314" s="286" t="s">
        <v>1548</v>
      </c>
      <c r="M314" s="286" t="s">
        <v>1896</v>
      </c>
      <c r="N314" s="286" t="s">
        <v>1378</v>
      </c>
      <c r="O314" s="286" t="s">
        <v>1378</v>
      </c>
      <c r="P314" s="286" t="s">
        <v>1378</v>
      </c>
      <c r="Q314" s="286" t="s">
        <v>1378</v>
      </c>
      <c r="R314" s="286" t="s">
        <v>1378</v>
      </c>
      <c r="S314" s="286" t="s">
        <v>1378</v>
      </c>
      <c r="T314" s="286" t="s">
        <v>1378</v>
      </c>
      <c r="U314" s="286" t="s">
        <v>1378</v>
      </c>
      <c r="X314" s="286" t="s">
        <v>1186</v>
      </c>
      <c r="Y314" s="302" t="str">
        <f>IFERROR(IF(SEARCH("WP",Table23[[#This Row],[Link to Reference]])&gt;0,"Work Program","Booklet"),"Booklet")</f>
        <v>Booklet</v>
      </c>
      <c r="Z314" s="286" t="s">
        <v>2052</v>
      </c>
      <c r="AA314" s="302">
        <f>IF(Table23[[#This Row],[Type]]="Booklet",MATCH(LEFT(Table23[[#This Row],[Link to Reference]],FIND(".",Table23[[#This Row],[Link to Reference]])-1),bookletsInfo[Initial],0),MATCH(LEFT(Table23[[#This Row],[Link to Reference]],FIND(".",Table23[[#This Row],[Link to Reference]])-1),WPInfo[Initials],0))</f>
        <v>5</v>
      </c>
      <c r="AB31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https://ithandbook.ffiec.gov/media/274793/ffiec_itbooklet_informationsecurity.pdf#Page=48</v>
      </c>
      <c r="AC314" s="286">
        <v>309</v>
      </c>
      <c r="AD314" s="286" t="b">
        <f>IF(G314=G313,IF(MOD(Table23[[#This Row],[order]],2)=1,"hideOdd","hideEven"),FALSE)</f>
        <v>0</v>
      </c>
      <c r="AE314" s="286">
        <f>IF(Table23[[#This Row],[hideText]]=FALSE,AE313+1,AE313)</f>
        <v>117</v>
      </c>
      <c r="AF314" s="269"/>
      <c r="AO314"/>
    </row>
    <row r="315" spans="1:41" ht="60" x14ac:dyDescent="0.25">
      <c r="A315" s="206" t="s">
        <v>608</v>
      </c>
      <c r="B315" s="206" t="s">
        <v>1887</v>
      </c>
      <c r="C315" s="206" t="s">
        <v>548</v>
      </c>
      <c r="D315" s="306" t="str">
        <f>IF(Table23[[#This Row],[hideText]]=FALSE,HYPERLINK(INDEX('Verify Baseline Links'!$P$10:$P$132,MATCH(Table23[[#This Row],[DSorder]],'Verify Baseline Links'!$M$10:$M$132,0)),"DS"),"")</f>
        <v/>
      </c>
      <c r="E315" s="206" t="s">
        <v>1894</v>
      </c>
      <c r="F315" s="223" t="str">
        <f>CLEAN(TRIM(SUBSTITUTE(LEFT(Table23[[#This Row],[Declarative Statement]],MIN(250,LEN(Table23[[#This Row],[Declarative Statement]]))),CHAR(160)," ")))</f>
        <v>System performance reports contain information that can be used as a risk indicator to detect information security incidents.</v>
      </c>
      <c r="G315" s="206">
        <f>MATCH(Table23[[#This Row],[clean DS]],combinedMaturityTable[Dsm clean],0)</f>
        <v>453</v>
      </c>
      <c r="H315" s="223"/>
      <c r="I315" s="223" t="s">
        <v>1548</v>
      </c>
      <c r="J315" s="308" t="str">
        <f>HYPERLINK(Table23[[#This Row],[URL]],Table23[[#This Row],[Link to Reference]])</f>
        <v>IS.WP.7.1</v>
      </c>
      <c r="K315" s="206" t="s">
        <v>1896</v>
      </c>
      <c r="X315" s="286" t="s">
        <v>1186</v>
      </c>
      <c r="Y315" s="302" t="str">
        <f>IFERROR(IF(SEARCH("WP",Table23[[#This Row],[Link to Reference]])&gt;0,"Work Program","Booklet"),"Booklet")</f>
        <v>Work Program</v>
      </c>
      <c r="Z315" s="286">
        <v>17</v>
      </c>
      <c r="AA315" s="302">
        <f>IF(Table23[[#This Row],[Type]]="Booklet",MATCH(LEFT(Table23[[#This Row],[Link to Reference]],FIND(".",Table23[[#This Row],[Link to Reference]])-1),bookletsInfo[Initial],0),MATCH(LEFT(Table23[[#This Row],[Link to Reference]],FIND(".",Table23[[#This Row],[Link to Reference]])-1),WPInfo[Initials],0))</f>
        <v>5</v>
      </c>
      <c r="AB31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https://watkinsconsulting.com/wp-content/uploads/2019/02/Information-Security-IT-WorkProgram.pdf#Page=17</v>
      </c>
      <c r="AC315" s="286">
        <v>310</v>
      </c>
      <c r="AD315" s="286" t="str">
        <f>IF(G315=G314,IF(MOD(Table23[[#This Row],[order]],2)=1,"hideOdd","hideEven"),FALSE)</f>
        <v>hideEven</v>
      </c>
      <c r="AE315" s="286">
        <f>IF(Table23[[#This Row],[hideText]]=FALSE,AE314+1,AE314)</f>
        <v>117</v>
      </c>
      <c r="AF315" s="269"/>
      <c r="AO315"/>
    </row>
    <row r="316" spans="1:41" ht="45" x14ac:dyDescent="0.25">
      <c r="A316" s="206" t="s">
        <v>608</v>
      </c>
      <c r="B316" s="206" t="s">
        <v>1887</v>
      </c>
      <c r="C316" s="206" t="s">
        <v>548</v>
      </c>
      <c r="D316" s="306" t="str">
        <f ca="1">IF(Table23[[#This Row],[hideText]]=FALSE,HYPERLINK(INDEX('Verify Baseline Links'!$P$10:$P$132,MATCH(Table23[[#This Row],[DSorder]],'Verify Baseline Links'!$M$10:$M$132,0)),"DS"),"")</f>
        <v>DS</v>
      </c>
      <c r="E316" s="206" t="s">
        <v>1897</v>
      </c>
      <c r="F316" s="223" t="str">
        <f>CLEAN(TRIM(SUBSTITUTE(LEFT(Table23[[#This Row],[Declarative Statement]],MIN(250,LEN(Table23[[#This Row],[Declarative Statement]]))),CHAR(160)," ")))</f>
        <v>Tools and processes are in place to detect, alert, and trigger the incident response program.</v>
      </c>
      <c r="G316" s="206">
        <f>MATCH(Table23[[#This Row],[clean DS]],combinedMaturityTable[Dsm clean],0)</f>
        <v>454</v>
      </c>
      <c r="H316" s="223">
        <v>2</v>
      </c>
      <c r="I316" s="223" t="s">
        <v>1251</v>
      </c>
      <c r="J316" s="308" t="str">
        <f>HYPERLINK(Table23[[#This Row],[URL]],Table23[[#This Row],[Link to Reference]])</f>
        <v>IS.III.D:pg50</v>
      </c>
      <c r="K316" s="206" t="s">
        <v>1898</v>
      </c>
      <c r="L316" s="286" t="s">
        <v>1899</v>
      </c>
      <c r="M316" s="286" t="s">
        <v>1900</v>
      </c>
      <c r="N316" s="286" t="s">
        <v>1378</v>
      </c>
      <c r="O316" s="286" t="s">
        <v>1378</v>
      </c>
      <c r="P316" s="286" t="s">
        <v>1378</v>
      </c>
      <c r="Q316" s="286" t="s">
        <v>1378</v>
      </c>
      <c r="R316" s="286" t="s">
        <v>1378</v>
      </c>
      <c r="S316" s="286" t="s">
        <v>1378</v>
      </c>
      <c r="T316" s="286" t="s">
        <v>1378</v>
      </c>
      <c r="U316" s="286" t="s">
        <v>1378</v>
      </c>
      <c r="X316" s="286" t="s">
        <v>1186</v>
      </c>
      <c r="Y316" s="302" t="str">
        <f>IFERROR(IF(SEARCH("WP",Table23[[#This Row],[Link to Reference]])&gt;0,"Work Program","Booklet"),"Booklet")</f>
        <v>Booklet</v>
      </c>
      <c r="Z316" s="286" t="s">
        <v>2009</v>
      </c>
      <c r="AA316" s="302">
        <f>IF(Table23[[#This Row],[Type]]="Booklet",MATCH(LEFT(Table23[[#This Row],[Link to Reference]],FIND(".",Table23[[#This Row],[Link to Reference]])-1),bookletsInfo[Initial],0),MATCH(LEFT(Table23[[#This Row],[Link to Reference]],FIND(".",Table23[[#This Row],[Link to Reference]])-1),WPInfo[Initials],0))</f>
        <v>5</v>
      </c>
      <c r="AB31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https://ithandbook.ffiec.gov/media/274793/ffiec_itbooklet_informationsecurity.pdf#Page=53</v>
      </c>
      <c r="AC316" s="286">
        <v>311</v>
      </c>
      <c r="AD316" s="286" t="b">
        <f>IF(G316=G315,IF(MOD(Table23[[#This Row],[order]],2)=1,"hideOdd","hideEven"),FALSE)</f>
        <v>0</v>
      </c>
      <c r="AE316" s="286">
        <f>IF(Table23[[#This Row],[hideText]]=FALSE,AE315+1,AE315)</f>
        <v>118</v>
      </c>
      <c r="AF316" s="269"/>
      <c r="AO316"/>
    </row>
    <row r="317" spans="1:41" ht="45" x14ac:dyDescent="0.25">
      <c r="A317" s="206" t="s">
        <v>608</v>
      </c>
      <c r="B317" s="206" t="s">
        <v>1887</v>
      </c>
      <c r="C317" s="206" t="s">
        <v>548</v>
      </c>
      <c r="D317" s="306" t="str">
        <f>IF(Table23[[#This Row],[hideText]]=FALSE,HYPERLINK(INDEX('Verify Baseline Links'!$P$10:$P$132,MATCH(Table23[[#This Row],[DSorder]],'Verify Baseline Links'!$M$10:$M$132,0)),"DS"),"")</f>
        <v/>
      </c>
      <c r="E317" s="206" t="s">
        <v>1897</v>
      </c>
      <c r="F317" s="223" t="str">
        <f>CLEAN(TRIM(SUBSTITUTE(LEFT(Table23[[#This Row],[Declarative Statement]],MIN(250,LEN(Table23[[#This Row],[Declarative Statement]]))),CHAR(160)," ")))</f>
        <v>Tools and processes are in place to detect, alert, and trigger the incident response program.</v>
      </c>
      <c r="G317" s="206">
        <f>MATCH(Table23[[#This Row],[clean DS]],combinedMaturityTable[Dsm clean],0)</f>
        <v>454</v>
      </c>
      <c r="H317" s="223"/>
      <c r="I317" s="223" t="s">
        <v>1899</v>
      </c>
      <c r="J317" s="308" t="str">
        <f>HYPERLINK(Table23[[#This Row],[URL]],Table23[[#This Row],[Link to Reference]])</f>
        <v>IS.WP.8.6.a</v>
      </c>
      <c r="K317" s="206" t="s">
        <v>1900</v>
      </c>
      <c r="X317" s="286" t="s">
        <v>1186</v>
      </c>
      <c r="Y317" s="302" t="str">
        <f>IFERROR(IF(SEARCH("WP",Table23[[#This Row],[Link to Reference]])&gt;0,"Work Program","Booklet"),"Booklet")</f>
        <v>Work Program</v>
      </c>
      <c r="Z317" s="286">
        <v>20</v>
      </c>
      <c r="AA317" s="302">
        <f>IF(Table23[[#This Row],[Type]]="Booklet",MATCH(LEFT(Table23[[#This Row],[Link to Reference]],FIND(".",Table23[[#This Row],[Link to Reference]])-1),bookletsInfo[Initial],0),MATCH(LEFT(Table23[[#This Row],[Link to Reference]],FIND(".",Table23[[#This Row],[Link to Reference]])-1),WPInfo[Initials],0))</f>
        <v>5</v>
      </c>
      <c r="AB31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https://watkinsconsulting.com/wp-content/uploads/2019/02/Information-Security-IT-WorkProgram.pdf#Page=20</v>
      </c>
      <c r="AC317" s="286">
        <v>312</v>
      </c>
      <c r="AD317" s="286" t="str">
        <f>IF(G317=G316,IF(MOD(Table23[[#This Row],[order]],2)=1,"hideOdd","hideEven"),FALSE)</f>
        <v>hideEven</v>
      </c>
      <c r="AE317" s="286">
        <f>IF(Table23[[#This Row],[hideText]]=FALSE,AE316+1,AE316)</f>
        <v>118</v>
      </c>
      <c r="AF317" s="269"/>
      <c r="AO317"/>
    </row>
    <row r="318" spans="1:41" ht="60" x14ac:dyDescent="0.25">
      <c r="A318" s="206" t="s">
        <v>608</v>
      </c>
      <c r="B318" s="206" t="s">
        <v>1887</v>
      </c>
      <c r="C318" s="206" t="s">
        <v>562</v>
      </c>
      <c r="D318" s="306" t="str">
        <f ca="1">IF(Table23[[#This Row],[hideText]]=FALSE,HYPERLINK(INDEX('Verify Baseline Links'!$P$10:$P$132,MATCH(Table23[[#This Row],[DSorder]],'Verify Baseline Links'!$M$10:$M$132,0)),"DS"),"")</f>
        <v>DS</v>
      </c>
      <c r="E318" s="206" t="s">
        <v>1901</v>
      </c>
      <c r="F318" s="223" t="str">
        <f>CLEAN(TRIM(SUBSTITUTE(LEFT(Table23[[#This Row],[Declarative Statement]],MIN(250,LEN(Table23[[#This Row],[Declarative Statement]]))),CHAR(160)," ")))</f>
        <v>Appropriate steps are taken to contain and control an incident to prevent further unauthorized access to or use of customer information.</v>
      </c>
      <c r="G318" s="206">
        <f>MATCH(Table23[[#This Row],[clean DS]],combinedMaturityTable[Dsm clean],0)</f>
        <v>464</v>
      </c>
      <c r="H318" s="223">
        <v>2</v>
      </c>
      <c r="I318" s="223" t="s">
        <v>1244</v>
      </c>
      <c r="J318" s="308" t="str">
        <f>HYPERLINK(Table23[[#This Row],[URL]],Table23[[#This Row],[Link to Reference]])</f>
        <v>IS.III.D:pg52</v>
      </c>
      <c r="K318" s="206" t="s">
        <v>1902</v>
      </c>
      <c r="L318" s="286" t="s">
        <v>1903</v>
      </c>
      <c r="M318" s="286" t="s">
        <v>1904</v>
      </c>
      <c r="N318" s="286" t="s">
        <v>1378</v>
      </c>
      <c r="O318" s="286" t="s">
        <v>1378</v>
      </c>
      <c r="P318" s="286" t="s">
        <v>1378</v>
      </c>
      <c r="Q318" s="286" t="s">
        <v>1378</v>
      </c>
      <c r="R318" s="286" t="s">
        <v>1378</v>
      </c>
      <c r="S318" s="286" t="s">
        <v>1378</v>
      </c>
      <c r="T318" s="286" t="s">
        <v>1378</v>
      </c>
      <c r="U318" s="286" t="s">
        <v>1378</v>
      </c>
      <c r="X318" s="286" t="s">
        <v>1186</v>
      </c>
      <c r="Y318" s="302" t="str">
        <f>IFERROR(IF(SEARCH("WP",Table23[[#This Row],[Link to Reference]])&gt;0,"Work Program","Booklet"),"Booklet")</f>
        <v>Booklet</v>
      </c>
      <c r="Z318" s="286" t="s">
        <v>2051</v>
      </c>
      <c r="AA318" s="302">
        <f>IF(Table23[[#This Row],[Type]]="Booklet",MATCH(LEFT(Table23[[#This Row],[Link to Reference]],FIND(".",Table23[[#This Row],[Link to Reference]])-1),bookletsInfo[Initial],0),MATCH(LEFT(Table23[[#This Row],[Link to Reference]],FIND(".",Table23[[#This Row],[Link to Reference]])-1),WPInfo[Initials],0))</f>
        <v>5</v>
      </c>
      <c r="AB31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https://ithandbook.ffiec.gov/media/274793/ffiec_itbooklet_informationsecurity.pdf#Page=55</v>
      </c>
      <c r="AC318" s="286">
        <v>313</v>
      </c>
      <c r="AD318" s="286" t="b">
        <f>IF(G318=G317,IF(MOD(Table23[[#This Row],[order]],2)=1,"hideOdd","hideEven"),FALSE)</f>
        <v>0</v>
      </c>
      <c r="AE318" s="286">
        <f>IF(Table23[[#This Row],[hideText]]=FALSE,AE317+1,AE317)</f>
        <v>119</v>
      </c>
      <c r="AF318" s="269"/>
      <c r="AO318"/>
    </row>
    <row r="319" spans="1:41" ht="45" x14ac:dyDescent="0.25">
      <c r="A319" s="206" t="s">
        <v>608</v>
      </c>
      <c r="B319" s="206" t="s">
        <v>1887</v>
      </c>
      <c r="C319" s="206" t="s">
        <v>562</v>
      </c>
      <c r="D319" s="306" t="str">
        <f>IF(Table23[[#This Row],[hideText]]=FALSE,HYPERLINK(INDEX('Verify Baseline Links'!$P$10:$P$132,MATCH(Table23[[#This Row],[DSorder]],'Verify Baseline Links'!$M$10:$M$132,0)),"DS"),"")</f>
        <v/>
      </c>
      <c r="E319" s="206" t="s">
        <v>1901</v>
      </c>
      <c r="F319" s="223" t="str">
        <f>CLEAN(TRIM(SUBSTITUTE(LEFT(Table23[[#This Row],[Declarative Statement]],MIN(250,LEN(Table23[[#This Row],[Declarative Statement]]))),CHAR(160)," ")))</f>
        <v>Appropriate steps are taken to contain and control an incident to prevent further unauthorized access to or use of customer information.</v>
      </c>
      <c r="G319" s="206">
        <f>MATCH(Table23[[#This Row],[clean DS]],combinedMaturityTable[Dsm clean],0)</f>
        <v>464</v>
      </c>
      <c r="H319" s="223"/>
      <c r="I319" s="223" t="s">
        <v>1903</v>
      </c>
      <c r="J319" s="308" t="str">
        <f>HYPERLINK(Table23[[#This Row],[URL]],Table23[[#This Row],[Link to Reference]])</f>
        <v>IS.WP.8.6.b</v>
      </c>
      <c r="K319" s="206" t="s">
        <v>1904</v>
      </c>
      <c r="X319" s="286" t="s">
        <v>1186</v>
      </c>
      <c r="Y319" s="302" t="str">
        <f>IFERROR(IF(SEARCH("WP",Table23[[#This Row],[Link to Reference]])&gt;0,"Work Program","Booklet"),"Booklet")</f>
        <v>Work Program</v>
      </c>
      <c r="Z319" s="286">
        <v>21</v>
      </c>
      <c r="AA319" s="302">
        <f>IF(Table23[[#This Row],[Type]]="Booklet",MATCH(LEFT(Table23[[#This Row],[Link to Reference]],FIND(".",Table23[[#This Row],[Link to Reference]])-1),bookletsInfo[Initial],0),MATCH(LEFT(Table23[[#This Row],[Link to Reference]],FIND(".",Table23[[#This Row],[Link to Reference]])-1),WPInfo[Initials],0))</f>
        <v>5</v>
      </c>
      <c r="AB31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319" s="286">
        <v>314</v>
      </c>
      <c r="AD319" s="286" t="str">
        <f>IF(G319=G318,IF(MOD(Table23[[#This Row],[order]],2)=1,"hideOdd","hideEven"),FALSE)</f>
        <v>hideEven</v>
      </c>
      <c r="AE319" s="286">
        <f>IF(Table23[[#This Row],[hideText]]=FALSE,AE318+1,AE318)</f>
        <v>119</v>
      </c>
      <c r="AF319" s="269"/>
      <c r="AO319"/>
    </row>
    <row r="320" spans="1:41" ht="45" x14ac:dyDescent="0.25">
      <c r="A320" s="206" t="s">
        <v>608</v>
      </c>
      <c r="B320" s="206" t="s">
        <v>580</v>
      </c>
      <c r="C320" s="206" t="s">
        <v>580</v>
      </c>
      <c r="D320" s="306" t="str">
        <f ca="1">IF(Table23[[#This Row],[hideText]]=FALSE,HYPERLINK(INDEX('Verify Baseline Links'!$P$10:$P$132,MATCH(Table23[[#This Row],[DSorder]],'Verify Baseline Links'!$M$10:$M$132,0)),"DS"),"")</f>
        <v>DS</v>
      </c>
      <c r="E320" s="206" t="s">
        <v>1905</v>
      </c>
      <c r="F320" s="223" t="str">
        <f>CLEAN(TRIM(SUBSTITUTE(LEFT(Table23[[#This Row],[Declarative Statement]],MIN(250,LEN(Table23[[#This Row],[Declarative Statement]]))),CHAR(160)," ")))</f>
        <v>A process exists to contact personnel who are responsible for analyzing and responding to an incident.</v>
      </c>
      <c r="G320" s="206">
        <f>MATCH(Table23[[#This Row],[clean DS]],combinedMaturityTable[Dsm clean],0)</f>
        <v>482</v>
      </c>
      <c r="H320" s="223"/>
      <c r="I320" s="223" t="s">
        <v>1527</v>
      </c>
      <c r="J320" s="308" t="str">
        <f>HYPERLINK(Table23[[#This Row],[URL]],Table23[[#This Row],[Link to Reference]])</f>
        <v>MGT.WP.2.8.f</v>
      </c>
      <c r="K320" s="206" t="s">
        <v>1909</v>
      </c>
      <c r="X320" s="286" t="s">
        <v>1957</v>
      </c>
      <c r="Y320" s="302" t="str">
        <f>IFERROR(IF(SEARCH("WP",Table23[[#This Row],[Link to Reference]])&gt;0,"Work Program","Booklet"),"Booklet")</f>
        <v>Work Program</v>
      </c>
      <c r="Z320" s="286">
        <v>4</v>
      </c>
      <c r="AA320" s="302">
        <f>IF(Table23[[#This Row],[Type]]="Booklet",MATCH(LEFT(Table23[[#This Row],[Link to Reference]],FIND(".",Table23[[#This Row],[Link to Reference]])-1),bookletsInfo[Initial],0),MATCH(LEFT(Table23[[#This Row],[Link to Reference]],FIND(".",Table23[[#This Row],[Link to Reference]])-1),WPInfo[Initials],0))</f>
        <v>6</v>
      </c>
      <c r="AB32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https://watkinsconsulting.com/wp-content/uploads/2019/02/Management-IT-WorkProgram.pdf#Page=4</v>
      </c>
      <c r="AC320" s="286">
        <v>317</v>
      </c>
      <c r="AD320" s="286" t="b">
        <f>IF(G320=G319,IF(MOD(Table23[[#This Row],[order]],2)=1,"hideOdd","hideEven"),FALSE)</f>
        <v>0</v>
      </c>
      <c r="AE320" s="286">
        <f>IF(Table23[[#This Row],[hideText]]=FALSE,AE319+1,AE319)</f>
        <v>120</v>
      </c>
      <c r="AF320" s="269"/>
      <c r="AO320"/>
    </row>
    <row r="321" spans="1:41" ht="45" x14ac:dyDescent="0.25">
      <c r="A321" s="206" t="s">
        <v>608</v>
      </c>
      <c r="B321" s="206" t="s">
        <v>580</v>
      </c>
      <c r="C321" s="206" t="s">
        <v>580</v>
      </c>
      <c r="D321" s="306" t="str">
        <f>IF(Table23[[#This Row],[hideText]]=FALSE,HYPERLINK(INDEX('Verify Baseline Links'!$P$10:$P$132,MATCH(Table23[[#This Row],[DSorder]],'Verify Baseline Links'!$M$10:$M$132,0)),"DS"),"")</f>
        <v/>
      </c>
      <c r="E321" s="206" t="s">
        <v>1905</v>
      </c>
      <c r="F321" s="223" t="str">
        <f>CLEAN(TRIM(SUBSTITUTE(LEFT(Table23[[#This Row],[Declarative Statement]],MIN(250,LEN(Table23[[#This Row],[Declarative Statement]]))),CHAR(160)," ")))</f>
        <v>A process exists to contact personnel who are responsible for analyzing and responding to an incident.</v>
      </c>
      <c r="G321" s="206">
        <f>MATCH(Table23[[#This Row],[clean DS]],combinedMaturityTable[Dsm clean],0)</f>
        <v>482</v>
      </c>
      <c r="H321" s="223">
        <v>3</v>
      </c>
      <c r="I321" s="223" t="s">
        <v>1252</v>
      </c>
      <c r="J321" s="308" t="str">
        <f>HYPERLINK(Table23[[#This Row],[URL]],Table23[[#This Row],[Link to Reference]])</f>
        <v>IS.III.C:pg50</v>
      </c>
      <c r="K321" s="206" t="s">
        <v>1906</v>
      </c>
      <c r="L321" s="286" t="s">
        <v>1907</v>
      </c>
      <c r="M321" s="286" t="s">
        <v>1908</v>
      </c>
      <c r="N321" s="286" t="s">
        <v>1527</v>
      </c>
      <c r="O321" s="286" t="s">
        <v>1909</v>
      </c>
      <c r="P321" s="286" t="s">
        <v>1378</v>
      </c>
      <c r="Q321" s="286" t="s">
        <v>1378</v>
      </c>
      <c r="R321" s="286" t="s">
        <v>1378</v>
      </c>
      <c r="S321" s="286" t="s">
        <v>1378</v>
      </c>
      <c r="T321" s="286" t="s">
        <v>1378</v>
      </c>
      <c r="U321" s="286" t="s">
        <v>1378</v>
      </c>
      <c r="X321" s="286" t="s">
        <v>1186</v>
      </c>
      <c r="Y321" s="302" t="str">
        <f>IFERROR(IF(SEARCH("WP",Table23[[#This Row],[Link to Reference]])&gt;0,"Work Program","Booklet"),"Booklet")</f>
        <v>Booklet</v>
      </c>
      <c r="Z321" s="286" t="s">
        <v>2009</v>
      </c>
      <c r="AA321" s="302">
        <f>IF(Table23[[#This Row],[Type]]="Booklet",MATCH(LEFT(Table23[[#This Row],[Link to Reference]],FIND(".",Table23[[#This Row],[Link to Reference]])-1),bookletsInfo[Initial],0),MATCH(LEFT(Table23[[#This Row],[Link to Reference]],FIND(".",Table23[[#This Row],[Link to Reference]])-1),WPInfo[Initials],0))</f>
        <v>5</v>
      </c>
      <c r="AB32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https://ithandbook.ffiec.gov/media/274793/ffiec_itbooklet_informationsecurity.pdf#Page=53</v>
      </c>
      <c r="AC321" s="286">
        <v>315</v>
      </c>
      <c r="AD321" s="286" t="str">
        <f>IF(G321=G320,IF(MOD(Table23[[#This Row],[order]],2)=1,"hideOdd","hideEven"),FALSE)</f>
        <v>hideOdd</v>
      </c>
      <c r="AE321" s="286">
        <f>IF(Table23[[#This Row],[hideText]]=FALSE,AE320+1,AE320)</f>
        <v>120</v>
      </c>
      <c r="AF321" s="269"/>
      <c r="AO321"/>
    </row>
    <row r="322" spans="1:41" ht="45" x14ac:dyDescent="0.25">
      <c r="A322" s="206" t="s">
        <v>608</v>
      </c>
      <c r="B322" s="206" t="s">
        <v>580</v>
      </c>
      <c r="C322" s="206" t="s">
        <v>580</v>
      </c>
      <c r="D322" s="306" t="str">
        <f>IF(Table23[[#This Row],[hideText]]=FALSE,HYPERLINK(INDEX('Verify Baseline Links'!$P$10:$P$132,MATCH(Table23[[#This Row],[DSorder]],'Verify Baseline Links'!$M$10:$M$132,0)),"DS"),"")</f>
        <v/>
      </c>
      <c r="E322" s="206" t="s">
        <v>1905</v>
      </c>
      <c r="F322" s="223" t="str">
        <f>CLEAN(TRIM(SUBSTITUTE(LEFT(Table23[[#This Row],[Declarative Statement]],MIN(250,LEN(Table23[[#This Row],[Declarative Statement]]))),CHAR(160)," ")))</f>
        <v>A process exists to contact personnel who are responsible for analyzing and responding to an incident.</v>
      </c>
      <c r="G322" s="206">
        <f>MATCH(Table23[[#This Row],[clean DS]],combinedMaturityTable[Dsm clean],0)</f>
        <v>482</v>
      </c>
      <c r="H322" s="223"/>
      <c r="I322" s="223" t="s">
        <v>1907</v>
      </c>
      <c r="J322" s="308" t="str">
        <f>HYPERLINK(Table23[[#This Row],[URL]],Table23[[#This Row],[Link to Reference]])</f>
        <v>IS.WP.8.5.h</v>
      </c>
      <c r="K322" s="206" t="s">
        <v>1908</v>
      </c>
      <c r="X322" s="286" t="s">
        <v>1186</v>
      </c>
      <c r="Y322" s="302" t="str">
        <f>IFERROR(IF(SEARCH("WP",Table23[[#This Row],[Link to Reference]])&gt;0,"Work Program","Booklet"),"Booklet")</f>
        <v>Work Program</v>
      </c>
      <c r="Z322" s="286">
        <v>19</v>
      </c>
      <c r="AA322" s="302">
        <f>IF(Table23[[#This Row],[Type]]="Booklet",MATCH(LEFT(Table23[[#This Row],[Link to Reference]],FIND(".",Table23[[#This Row],[Link to Reference]])-1),bookletsInfo[Initial],0),MATCH(LEFT(Table23[[#This Row],[Link to Reference]],FIND(".",Table23[[#This Row],[Link to Reference]])-1),WPInfo[Initials],0))</f>
        <v>5</v>
      </c>
      <c r="AB322"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322" s="286">
        <v>316</v>
      </c>
      <c r="AD322" s="286" t="str">
        <f>IF(G322=G321,IF(MOD(Table23[[#This Row],[order]],2)=1,"hideOdd","hideEven"),FALSE)</f>
        <v>hideEven</v>
      </c>
      <c r="AE322" s="286">
        <f>IF(Table23[[#This Row],[hideText]]=FALSE,AE321+1,AE321)</f>
        <v>120</v>
      </c>
      <c r="AF322" s="269"/>
      <c r="AO322"/>
    </row>
    <row r="323" spans="1:41" ht="45" x14ac:dyDescent="0.25">
      <c r="A323" s="206" t="s">
        <v>608</v>
      </c>
      <c r="B323" s="206" t="s">
        <v>580</v>
      </c>
      <c r="C323" s="206" t="s">
        <v>580</v>
      </c>
      <c r="D323" s="306" t="str">
        <f ca="1">IF(Table23[[#This Row],[hideText]]=FALSE,HYPERLINK(INDEX('Verify Baseline Links'!$P$10:$P$132,MATCH(Table23[[#This Row],[DSorder]],'Verify Baseline Links'!$M$10:$M$132,0)),"DS"),"")</f>
        <v>DS</v>
      </c>
      <c r="E323" s="206" t="s">
        <v>1910</v>
      </c>
      <c r="F323" s="223"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3" s="206">
        <f>MATCH(Table23[[#This Row],[clean DS]],combinedMaturityTable[Dsm clean],0)</f>
        <v>483</v>
      </c>
      <c r="H323" s="223"/>
      <c r="I323" s="223" t="s">
        <v>1915</v>
      </c>
      <c r="J323" s="308" t="str">
        <f>HYPERLINK(Table23[[#This Row],[URL]],Table23[[#This Row],[Link to Reference]])</f>
        <v>MGT.WP.2.2.f</v>
      </c>
      <c r="K323" s="206" t="s">
        <v>1916</v>
      </c>
      <c r="X323" s="286" t="s">
        <v>1957</v>
      </c>
      <c r="Y323" s="302" t="str">
        <f>IFERROR(IF(SEARCH("WP",Table23[[#This Row],[Link to Reference]])&gt;0,"Work Program","Booklet"),"Booklet")</f>
        <v>Work Program</v>
      </c>
      <c r="Z323" s="286">
        <v>3</v>
      </c>
      <c r="AA323" s="302">
        <f>IF(Table23[[#This Row],[Type]]="Booklet",MATCH(LEFT(Table23[[#This Row],[Link to Reference]],FIND(".",Table23[[#This Row],[Link to Reference]])-1),bookletsInfo[Initial],0),MATCH(LEFT(Table23[[#This Row],[Link to Reference]],FIND(".",Table23[[#This Row],[Link to Reference]])-1),WPInfo[Initials],0))</f>
        <v>6</v>
      </c>
      <c r="AB323"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https://watkinsconsulting.com/wp-content/uploads/2019/02/Management-IT-WorkProgram.pdf#Page=3</v>
      </c>
      <c r="AC323" s="286">
        <v>322</v>
      </c>
      <c r="AD323" s="286" t="b">
        <f>IF(G323=G322,IF(MOD(Table23[[#This Row],[order]],2)=1,"hideOdd","hideEven"),FALSE)</f>
        <v>0</v>
      </c>
      <c r="AE323" s="286">
        <f>IF(Table23[[#This Row],[hideText]]=FALSE,AE322+1,AE322)</f>
        <v>121</v>
      </c>
      <c r="AF323" s="269"/>
      <c r="AO323"/>
    </row>
    <row r="324" spans="1:41" ht="45" x14ac:dyDescent="0.25">
      <c r="A324" s="206" t="s">
        <v>608</v>
      </c>
      <c r="B324" s="206" t="s">
        <v>580</v>
      </c>
      <c r="C324" s="206" t="s">
        <v>580</v>
      </c>
      <c r="D324" s="306" t="str">
        <f>IF(Table23[[#This Row],[hideText]]=FALSE,HYPERLINK(INDEX('Verify Baseline Links'!$P$10:$P$132,MATCH(Table23[[#This Row],[DSorder]],'Verify Baseline Links'!$M$10:$M$132,0)),"DS"),"")</f>
        <v/>
      </c>
      <c r="E324" s="206" t="s">
        <v>1910</v>
      </c>
      <c r="F324" s="223"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4" s="206">
        <f>MATCH(Table23[[#This Row],[clean DS]],combinedMaturityTable[Dsm clean],0)</f>
        <v>483</v>
      </c>
      <c r="H324" s="223">
        <v>5</v>
      </c>
      <c r="I324" s="223" t="s">
        <v>1243</v>
      </c>
      <c r="J324" s="308" t="str">
        <f>HYPERLINK(Table23[[#This Row],[URL]],Table23[[#This Row],[Link to Reference]])</f>
        <v>IS.III.D:pg51</v>
      </c>
      <c r="K324" s="206" t="s">
        <v>1911</v>
      </c>
      <c r="L324" s="286" t="s">
        <v>1243</v>
      </c>
      <c r="M324" s="286" t="s">
        <v>1912</v>
      </c>
      <c r="N324" s="286" t="s">
        <v>1913</v>
      </c>
      <c r="O324" s="286" t="s">
        <v>1914</v>
      </c>
      <c r="P324" s="286" t="s">
        <v>1529</v>
      </c>
      <c r="Q324" s="286" t="s">
        <v>1555</v>
      </c>
      <c r="R324" s="286" t="s">
        <v>1915</v>
      </c>
      <c r="S324" s="286" t="s">
        <v>1916</v>
      </c>
      <c r="T324" s="286" t="s">
        <v>1378</v>
      </c>
      <c r="U324" s="286" t="s">
        <v>1378</v>
      </c>
      <c r="X324" s="286" t="s">
        <v>1186</v>
      </c>
      <c r="Y324" s="302" t="str">
        <f>IFERROR(IF(SEARCH("WP",Table23[[#This Row],[Link to Reference]])&gt;0,"Work Program","Booklet"),"Booklet")</f>
        <v>Booklet</v>
      </c>
      <c r="Z324" s="286" t="s">
        <v>2050</v>
      </c>
      <c r="AA324" s="302">
        <f>IF(Table23[[#This Row],[Type]]="Booklet",MATCH(LEFT(Table23[[#This Row],[Link to Reference]],FIND(".",Table23[[#This Row],[Link to Reference]])-1),bookletsInfo[Initial],0),MATCH(LEFT(Table23[[#This Row],[Link to Reference]],FIND(".",Table23[[#This Row],[Link to Reference]])-1),WPInfo[Initials],0))</f>
        <v>5</v>
      </c>
      <c r="AB324"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https://ithandbook.ffiec.gov/media/274793/ffiec_itbooklet_informationsecurity.pdf#Page=54</v>
      </c>
      <c r="AC324" s="286">
        <v>318</v>
      </c>
      <c r="AD324" s="286" t="str">
        <f>IF(G324=G323,IF(MOD(Table23[[#This Row],[order]],2)=1,"hideOdd","hideEven"),FALSE)</f>
        <v>hideEven</v>
      </c>
      <c r="AE324" s="286">
        <f>IF(Table23[[#This Row],[hideText]]=FALSE,AE323+1,AE323)</f>
        <v>121</v>
      </c>
      <c r="AF324" s="269"/>
      <c r="AO324"/>
    </row>
    <row r="325" spans="1:41" ht="45" x14ac:dyDescent="0.25">
      <c r="A325" s="206" t="s">
        <v>608</v>
      </c>
      <c r="B325" s="206" t="s">
        <v>580</v>
      </c>
      <c r="C325" s="206" t="s">
        <v>580</v>
      </c>
      <c r="D325" s="306" t="str">
        <f>IF(Table23[[#This Row],[hideText]]=FALSE,HYPERLINK(INDEX('Verify Baseline Links'!$P$10:$P$132,MATCH(Table23[[#This Row],[DSorder]],'Verify Baseline Links'!$M$10:$M$132,0)),"DS"),"")</f>
        <v/>
      </c>
      <c r="E325" s="206" t="s">
        <v>1910</v>
      </c>
      <c r="F325" s="223"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5" s="206">
        <f>MATCH(Table23[[#This Row],[clean DS]],combinedMaturityTable[Dsm clean],0)</f>
        <v>483</v>
      </c>
      <c r="H325" s="223"/>
      <c r="I325" s="223" t="s">
        <v>1243</v>
      </c>
      <c r="J325" s="308" t="str">
        <f>HYPERLINK(Table23[[#This Row],[URL]],Table23[[#This Row],[Link to Reference]])</f>
        <v>IS.III.D:pg51</v>
      </c>
      <c r="K325" s="206" t="s">
        <v>1912</v>
      </c>
      <c r="X325" s="286" t="s">
        <v>1186</v>
      </c>
      <c r="Y325" s="302" t="str">
        <f>IFERROR(IF(SEARCH("WP",Table23[[#This Row],[Link to Reference]])&gt;0,"Work Program","Booklet"),"Booklet")</f>
        <v>Booklet</v>
      </c>
      <c r="Z325" s="286" t="s">
        <v>2050</v>
      </c>
      <c r="AA325" s="302">
        <f>IF(Table23[[#This Row],[Type]]="Booklet",MATCH(LEFT(Table23[[#This Row],[Link to Reference]],FIND(".",Table23[[#This Row],[Link to Reference]])-1),bookletsInfo[Initial],0),MATCH(LEFT(Table23[[#This Row],[Link to Reference]],FIND(".",Table23[[#This Row],[Link to Reference]])-1),WPInfo[Initials],0))</f>
        <v>5</v>
      </c>
      <c r="AB325"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https://ithandbook.ffiec.gov/media/274793/ffiec_itbooklet_informationsecurity.pdf#Page=54</v>
      </c>
      <c r="AC325" s="286">
        <v>319</v>
      </c>
      <c r="AD325" s="286" t="str">
        <f>IF(G325=G324,IF(MOD(Table23[[#This Row],[order]],2)=1,"hideOdd","hideEven"),FALSE)</f>
        <v>hideOdd</v>
      </c>
      <c r="AE325" s="286">
        <f>IF(Table23[[#This Row],[hideText]]=FALSE,AE324+1,AE324)</f>
        <v>121</v>
      </c>
      <c r="AF325" s="269"/>
      <c r="AO325"/>
    </row>
    <row r="326" spans="1:41" ht="45" x14ac:dyDescent="0.25">
      <c r="A326" s="206" t="s">
        <v>608</v>
      </c>
      <c r="B326" s="206" t="s">
        <v>580</v>
      </c>
      <c r="C326" s="206" t="s">
        <v>580</v>
      </c>
      <c r="D326" s="306" t="str">
        <f>IF(Table23[[#This Row],[hideText]]=FALSE,HYPERLINK(INDEX('Verify Baseline Links'!$P$10:$P$132,MATCH(Table23[[#This Row],[DSorder]],'Verify Baseline Links'!$M$10:$M$132,0)),"DS"),"")</f>
        <v/>
      </c>
      <c r="E326" s="206" t="s">
        <v>1910</v>
      </c>
      <c r="F326" s="223"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6" s="206">
        <f>MATCH(Table23[[#This Row],[clean DS]],combinedMaturityTable[Dsm clean],0)</f>
        <v>483</v>
      </c>
      <c r="H326" s="223"/>
      <c r="I326" s="223" t="s">
        <v>1913</v>
      </c>
      <c r="J326" s="308" t="str">
        <f>HYPERLINK(Table23[[#This Row],[URL]],Table23[[#This Row],[Link to Reference]])</f>
        <v>IS.WP.8.6.f</v>
      </c>
      <c r="K326" s="206" t="s">
        <v>1914</v>
      </c>
      <c r="X326" s="286" t="s">
        <v>1186</v>
      </c>
      <c r="Y326" s="302" t="str">
        <f>IFERROR(IF(SEARCH("WP",Table23[[#This Row],[Link to Reference]])&gt;0,"Work Program","Booklet"),"Booklet")</f>
        <v>Work Program</v>
      </c>
      <c r="Z326" s="286">
        <v>21</v>
      </c>
      <c r="AA326" s="302">
        <f>IF(Table23[[#This Row],[Type]]="Booklet",MATCH(LEFT(Table23[[#This Row],[Link to Reference]],FIND(".",Table23[[#This Row],[Link to Reference]])-1),bookletsInfo[Initial],0),MATCH(LEFT(Table23[[#This Row],[Link to Reference]],FIND(".",Table23[[#This Row],[Link to Reference]])-1),WPInfo[Initials],0))</f>
        <v>5</v>
      </c>
      <c r="AB326"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326" s="286">
        <v>320</v>
      </c>
      <c r="AD326" s="286" t="str">
        <f>IF(G326=G325,IF(MOD(Table23[[#This Row],[order]],2)=1,"hideOdd","hideEven"),FALSE)</f>
        <v>hideEven</v>
      </c>
      <c r="AE326" s="286">
        <f>IF(Table23[[#This Row],[hideText]]=FALSE,AE325+1,AE325)</f>
        <v>121</v>
      </c>
      <c r="AF326" s="269"/>
      <c r="AO326"/>
    </row>
    <row r="327" spans="1:41" ht="60" x14ac:dyDescent="0.25">
      <c r="A327" s="206" t="s">
        <v>608</v>
      </c>
      <c r="B327" s="206" t="s">
        <v>580</v>
      </c>
      <c r="C327" s="206" t="s">
        <v>580</v>
      </c>
      <c r="D327" s="306" t="str">
        <f>IF(Table23[[#This Row],[hideText]]=FALSE,HYPERLINK(INDEX('Verify Baseline Links'!$P$10:$P$132,MATCH(Table23[[#This Row],[DSorder]],'Verify Baseline Links'!$M$10:$M$132,0)),"DS"),"")</f>
        <v/>
      </c>
      <c r="E327" s="206" t="s">
        <v>1910</v>
      </c>
      <c r="F327" s="223"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7" s="206">
        <f>MATCH(Table23[[#This Row],[clean DS]],combinedMaturityTable[Dsm clean],0)</f>
        <v>483</v>
      </c>
      <c r="H327" s="223"/>
      <c r="I327" s="223" t="s">
        <v>1529</v>
      </c>
      <c r="J327" s="308" t="str">
        <f>HYPERLINK(Table23[[#This Row],[URL]],Table23[[#This Row],[Link to Reference]])</f>
        <v>MGT.III.C.3:pg29</v>
      </c>
      <c r="K327" s="206" t="s">
        <v>1555</v>
      </c>
      <c r="X327" s="286" t="s">
        <v>1957</v>
      </c>
      <c r="Y327" s="302" t="str">
        <f>IFERROR(IF(SEARCH("WP",Table23[[#This Row],[Link to Reference]])&gt;0,"Work Program","Booklet"),"Booklet")</f>
        <v>Booklet</v>
      </c>
      <c r="Z327" s="286" t="s">
        <v>2023</v>
      </c>
      <c r="AA327" s="302">
        <f>IF(Table23[[#This Row],[Type]]="Booklet",MATCH(LEFT(Table23[[#This Row],[Link to Reference]],FIND(".",Table23[[#This Row],[Link to Reference]])-1),bookletsInfo[Initial],0),MATCH(LEFT(Table23[[#This Row],[Link to Reference]],FIND(".",Table23[[#This Row],[Link to Reference]])-1),WPInfo[Initials],0))</f>
        <v>6</v>
      </c>
      <c r="AB327"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327" s="286">
        <v>321</v>
      </c>
      <c r="AD327" s="286" t="str">
        <f>IF(G327=G326,IF(MOD(Table23[[#This Row],[order]],2)=1,"hideOdd","hideEven"),FALSE)</f>
        <v>hideOdd</v>
      </c>
      <c r="AE327" s="286">
        <f>IF(Table23[[#This Row],[hideText]]=FALSE,AE326+1,AE326)</f>
        <v>121</v>
      </c>
      <c r="AF327" s="269"/>
      <c r="AO327"/>
    </row>
    <row r="328" spans="1:41" ht="45" x14ac:dyDescent="0.25">
      <c r="A328" s="206" t="s">
        <v>608</v>
      </c>
      <c r="B328" s="206" t="s">
        <v>580</v>
      </c>
      <c r="C328" s="206" t="s">
        <v>580</v>
      </c>
      <c r="D328" s="306" t="str">
        <f ca="1">IF(Table23[[#This Row],[hideText]]=FALSE,HYPERLINK(INDEX('Verify Baseline Links'!$P$10:$P$132,MATCH(Table23[[#This Row],[DSorder]],'Verify Baseline Links'!$M$10:$M$132,0)),"DS"),"")</f>
        <v>DS</v>
      </c>
      <c r="E328" s="206" t="s">
        <v>1917</v>
      </c>
      <c r="F328" s="223" t="str">
        <f>CLEAN(TRIM(SUBSTITUTE(LEFT(Table23[[#This Row],[Declarative Statement]],MIN(250,LEN(Table23[[#This Row],[Declarative Statement]]))),CHAR(160)," ")))</f>
        <v>The institution prepares an annual report of security incidents or violations for the board or an appropriate board committee.</v>
      </c>
      <c r="G328" s="206">
        <f>MATCH(Table23[[#This Row],[clean DS]],combinedMaturityTable[Dsm clean],0)</f>
        <v>484</v>
      </c>
      <c r="H328" s="223">
        <v>2</v>
      </c>
      <c r="I328" s="223" t="s">
        <v>1253</v>
      </c>
      <c r="J328" s="308" t="str">
        <f>HYPERLINK(Table23[[#This Row],[URL]],Table23[[#This Row],[Link to Reference]])</f>
        <v>IS.I.B:pg4</v>
      </c>
      <c r="K328" s="206" t="s">
        <v>1918</v>
      </c>
      <c r="L328" s="286" t="s">
        <v>1919</v>
      </c>
      <c r="M328" s="286" t="s">
        <v>1919</v>
      </c>
      <c r="N328" s="286" t="s">
        <v>1378</v>
      </c>
      <c r="O328" s="286" t="s">
        <v>1378</v>
      </c>
      <c r="P328" s="286" t="s">
        <v>1378</v>
      </c>
      <c r="Q328" s="286" t="s">
        <v>1378</v>
      </c>
      <c r="R328" s="286" t="s">
        <v>1378</v>
      </c>
      <c r="S328" s="286" t="s">
        <v>1378</v>
      </c>
      <c r="T328" s="286" t="s">
        <v>1378</v>
      </c>
      <c r="U328" s="286" t="s">
        <v>1378</v>
      </c>
      <c r="X328" s="286" t="s">
        <v>1186</v>
      </c>
      <c r="Y328" s="302" t="str">
        <f>IFERROR(IF(SEARCH("WP",Table23[[#This Row],[Link to Reference]])&gt;0,"Work Program","Booklet"),"Booklet")</f>
        <v>Booklet</v>
      </c>
      <c r="Z328" s="286" t="s">
        <v>1999</v>
      </c>
      <c r="AA328" s="302">
        <f>IF(Table23[[#This Row],[Type]]="Booklet",MATCH(LEFT(Table23[[#This Row],[Link to Reference]],FIND(".",Table23[[#This Row],[Link to Reference]])-1),bookletsInfo[Initial],0),MATCH(LEFT(Table23[[#This Row],[Link to Reference]],FIND(".",Table23[[#This Row],[Link to Reference]])-1),WPInfo[Initials],0))</f>
        <v>5</v>
      </c>
      <c r="AB328"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328" s="286">
        <v>323</v>
      </c>
      <c r="AD328" s="286" t="b">
        <f>IF(G328=G327,IF(MOD(Table23[[#This Row],[order]],2)=1,"hideOdd","hideEven"),FALSE)</f>
        <v>0</v>
      </c>
      <c r="AE328" s="286">
        <f>IF(Table23[[#This Row],[hideText]]=FALSE,AE327+1,AE327)</f>
        <v>122</v>
      </c>
      <c r="AF328" s="269"/>
    </row>
    <row r="329" spans="1:41" ht="45" x14ac:dyDescent="0.25">
      <c r="A329" s="206" t="s">
        <v>608</v>
      </c>
      <c r="B329" s="206" t="s">
        <v>580</v>
      </c>
      <c r="C329" s="206" t="s">
        <v>580</v>
      </c>
      <c r="D329" s="306" t="str">
        <f>IF(Table23[[#This Row],[hideText]]=FALSE,HYPERLINK(INDEX('Verify Baseline Links'!$P$10:$P$132,MATCH(Table23[[#This Row],[DSorder]],'Verify Baseline Links'!$M$10:$M$132,0)),"DS"),"")</f>
        <v/>
      </c>
      <c r="E329" s="206" t="s">
        <v>1917</v>
      </c>
      <c r="F329" s="223" t="str">
        <f>CLEAN(TRIM(SUBSTITUTE(LEFT(Table23[[#This Row],[Declarative Statement]],MIN(250,LEN(Table23[[#This Row],[Declarative Statement]]))),CHAR(160)," ")))</f>
        <v>The institution prepares an annual report of security incidents or violations for the board or an appropriate board committee.</v>
      </c>
      <c r="G329" s="206">
        <f>MATCH(Table23[[#This Row],[clean DS]],combinedMaturityTable[Dsm clean],0)</f>
        <v>484</v>
      </c>
      <c r="H329" s="223"/>
      <c r="I329" s="223" t="s">
        <v>2053</v>
      </c>
      <c r="J329" s="308" t="str">
        <f>HYPERLINK(Table23[[#This Row],[URL]],Table23[[#This Row],[Link to Reference]])</f>
        <v>IS.WP.2.4.e</v>
      </c>
      <c r="K329" s="206" t="s">
        <v>1919</v>
      </c>
      <c r="X329" s="286" t="s">
        <v>1186</v>
      </c>
      <c r="Y329" s="302" t="str">
        <f>IFERROR(IF(SEARCH("WP",Table23[[#This Row],[Link to Reference]])&gt;0,"Work Program","Booklet"),"Booklet")</f>
        <v>Work Program</v>
      </c>
      <c r="Z329" s="286">
        <v>3</v>
      </c>
      <c r="AA329" s="302">
        <f>IF(Table23[[#This Row],[Type]]="Booklet",MATCH(LEFT(Table23[[#This Row],[Link to Reference]],FIND(".",Table23[[#This Row],[Link to Reference]])-1),bookletsInfo[Initial],0),MATCH(LEFT(Table23[[#This Row],[Link to Reference]],FIND(".",Table23[[#This Row],[Link to Reference]])-1),WPInfo[Initials],0))</f>
        <v>5</v>
      </c>
      <c r="AB329"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329" s="286">
        <v>324</v>
      </c>
      <c r="AD329" s="286" t="str">
        <f>IF(G329=G328,IF(MOD(Table23[[#This Row],[order]],2)=1,"hideOdd","hideEven"),FALSE)</f>
        <v>hideEven</v>
      </c>
      <c r="AE329" s="286">
        <f>IF(Table23[[#This Row],[hideText]]=FALSE,AE328+1,AE328)</f>
        <v>122</v>
      </c>
      <c r="AF329" s="269"/>
    </row>
    <row r="330" spans="1:41" ht="60" x14ac:dyDescent="0.25">
      <c r="A330" s="206" t="s">
        <v>608</v>
      </c>
      <c r="B330" s="206" t="s">
        <v>580</v>
      </c>
      <c r="C330" s="206" t="s">
        <v>580</v>
      </c>
      <c r="D330" s="306" t="str">
        <f ca="1">IF(Table23[[#This Row],[hideText]]=FALSE,HYPERLINK(INDEX('Verify Baseline Links'!$P$10:$P$132,MATCH(Table23[[#This Row],[DSorder]],'Verify Baseline Links'!$M$10:$M$132,0)),"DS"),"")</f>
        <v>DS</v>
      </c>
      <c r="E330" s="206" t="s">
        <v>1920</v>
      </c>
      <c r="F330" s="223" t="str">
        <f>CLEAN(TRIM(SUBSTITUTE(LEFT(Table23[[#This Row],[Declarative Statement]],MIN(250,LEN(Table23[[#This Row],[Declarative Statement]]))),CHAR(160)," ")))</f>
        <v>Incidents are classified, logged, and tracked.</v>
      </c>
      <c r="G330" s="206">
        <f>MATCH(Table23[[#This Row],[clean DS]],combinedMaturityTable[Dsm clean],0)</f>
        <v>485</v>
      </c>
      <c r="H330" s="223">
        <v>2</v>
      </c>
      <c r="I330" s="223" t="s">
        <v>1254</v>
      </c>
      <c r="J330" s="308" t="str">
        <f>HYPERLINK(Table23[[#This Row],[URL]],Table23[[#This Row],[Link to Reference]])</f>
        <v>OPS.B.28</v>
      </c>
      <c r="K330" s="206" t="s">
        <v>1921</v>
      </c>
      <c r="L330" s="286" t="s">
        <v>1922</v>
      </c>
      <c r="M330" s="286" t="s">
        <v>1923</v>
      </c>
      <c r="N330" s="286" t="s">
        <v>1378</v>
      </c>
      <c r="O330" s="286" t="s">
        <v>1378</v>
      </c>
      <c r="P330" s="286" t="s">
        <v>1378</v>
      </c>
      <c r="Q330" s="286" t="s">
        <v>1378</v>
      </c>
      <c r="R330" s="286" t="s">
        <v>1378</v>
      </c>
      <c r="S330" s="286" t="s">
        <v>1378</v>
      </c>
      <c r="T330" s="286" t="s">
        <v>1378</v>
      </c>
      <c r="U330" s="286" t="s">
        <v>1378</v>
      </c>
      <c r="X330" s="286" t="s">
        <v>1959</v>
      </c>
      <c r="Y330" s="302" t="str">
        <f>IFERROR(IF(SEARCH("WP",Table23[[#This Row],[Link to Reference]])&gt;0,"Work Program","Booklet"),"Booklet")</f>
        <v>Booklet</v>
      </c>
      <c r="Z330" s="286">
        <v>28</v>
      </c>
      <c r="AA330" s="302">
        <f>IF(Table23[[#This Row],[Type]]="Booklet",MATCH(LEFT(Table23[[#This Row],[Link to Reference]],FIND(".",Table23[[#This Row],[Link to Reference]])-1),bookletsInfo[Initial],0),MATCH(LEFT(Table23[[#This Row],[Link to Reference]],FIND(".",Table23[[#This Row],[Link to Reference]])-1),WPInfo[Initials],0))</f>
        <v>7</v>
      </c>
      <c r="AB330"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https://ithandbook.ffiec.gov/media/274825/ffiec_itbooklet_operations.pdf#Page=31</v>
      </c>
      <c r="AC330" s="286">
        <v>325</v>
      </c>
      <c r="AD330" s="286" t="b">
        <f>IF(G330=G329,IF(MOD(Table23[[#This Row],[order]],2)=1,"hideOdd","hideEven"),FALSE)</f>
        <v>0</v>
      </c>
      <c r="AE330" s="286">
        <f>IF(Table23[[#This Row],[hideText]]=FALSE,AE329+1,AE329)</f>
        <v>123</v>
      </c>
      <c r="AF330" s="269"/>
    </row>
    <row r="331" spans="1:41" ht="45" x14ac:dyDescent="0.25">
      <c r="A331" s="206" t="s">
        <v>608</v>
      </c>
      <c r="B331" s="206" t="s">
        <v>580</v>
      </c>
      <c r="C331" s="206" t="s">
        <v>580</v>
      </c>
      <c r="D331" s="306" t="str">
        <f>IF(Table23[[#This Row],[hideText]]=FALSE,HYPERLINK(INDEX('Verify Baseline Links'!$P$10:$P$132,MATCH(Table23[[#This Row],[DSorder]],'Verify Baseline Links'!$M$10:$M$132,0)),"DS"),"")</f>
        <v/>
      </c>
      <c r="E331" s="206" t="s">
        <v>1920</v>
      </c>
      <c r="F331" s="223" t="str">
        <f>CLEAN(TRIM(SUBSTITUTE(LEFT(Table23[[#This Row],[Declarative Statement]],MIN(250,LEN(Table23[[#This Row],[Declarative Statement]]))),CHAR(160)," ")))</f>
        <v>Incidents are classified, logged, and tracked.</v>
      </c>
      <c r="G331" s="206">
        <f>MATCH(Table23[[#This Row],[clean DS]],combinedMaturityTable[Dsm clean],0)</f>
        <v>485</v>
      </c>
      <c r="H331" s="223"/>
      <c r="I331" s="223" t="s">
        <v>1922</v>
      </c>
      <c r="J331" s="308" t="str">
        <f>HYPERLINK(Table23[[#This Row],[URL]],Table23[[#This Row],[Link to Reference]])</f>
        <v>OPS.WP.10.1</v>
      </c>
      <c r="K331" s="206" t="s">
        <v>1923</v>
      </c>
      <c r="X331" s="286" t="s">
        <v>1959</v>
      </c>
      <c r="Y331" s="302" t="str">
        <f>IFERROR(IF(SEARCH("WP",Table23[[#This Row],[Link to Reference]])&gt;0,"Work Program","Booklet"),"Booklet")</f>
        <v>Work Program</v>
      </c>
      <c r="Z331" s="286">
        <v>12</v>
      </c>
      <c r="AA331" s="302">
        <f>IF(Table23[[#This Row],[Type]]="Booklet",MATCH(LEFT(Table23[[#This Row],[Link to Reference]],FIND(".",Table23[[#This Row],[Link to Reference]])-1),bookletsInfo[Initial],0),MATCH(LEFT(Table23[[#This Row],[Link to Reference]],FIND(".",Table23[[#This Row],[Link to Reference]])-1),WPInfo[Initials],0))</f>
        <v>7</v>
      </c>
      <c r="AB331" s="28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https://watkinsconsulting.com/wp-content/uploads/2019/02/Operations-IT-WorkProgram.pdf#Page=12</v>
      </c>
      <c r="AC331" s="286">
        <v>326</v>
      </c>
      <c r="AD331" s="286" t="str">
        <f>IF(G331=G330,IF(MOD(Table23[[#This Row],[order]],2)=1,"hideOdd","hideEven"),FALSE)</f>
        <v>hideEven</v>
      </c>
      <c r="AE331" s="286">
        <f>IF(Table23[[#This Row],[hideText]]=FALSE,AE330+1,AE330)</f>
        <v>123</v>
      </c>
      <c r="AF331" s="269"/>
    </row>
    <row r="337" spans="1:14" x14ac:dyDescent="0.25">
      <c r="A337" s="286" t="s">
        <v>215</v>
      </c>
      <c r="B337" s="286" t="s">
        <v>1560</v>
      </c>
      <c r="C337" s="286" t="s">
        <v>264</v>
      </c>
      <c r="E337" s="286" t="s">
        <v>2062</v>
      </c>
      <c r="F337" s="168" t="s">
        <v>1922</v>
      </c>
      <c r="G337" s="286" t="s">
        <v>1923</v>
      </c>
      <c r="H337" s="286" t="s">
        <v>1959</v>
      </c>
      <c r="I337" s="286" t="s">
        <v>1378</v>
      </c>
      <c r="L337" s="286">
        <v>326</v>
      </c>
      <c r="M337" s="286" t="b">
        <v>0</v>
      </c>
      <c r="N337" s="286">
        <v>124</v>
      </c>
    </row>
  </sheetData>
  <sheetProtection algorithmName="SHA-512" hashValue="D2Ln+o5pI4+y/jBzXjz7kwuqNQetYvb4uyGh/9EJKVTC9p/AJQx9voetDaSJ2lHtqJrEtb/hdFfXkszUYr3Gqg==" saltValue="MVoM1q06wQT2s7e/NCQthQ==" spinCount="100000" sheet="1" objects="1" scenarios="1" formatColumns="0" autoFilter="0"/>
  <conditionalFormatting sqref="A7:C7 E7:E331">
    <cfRule type="expression" dxfId="5" priority="5" stopIfTrue="1">
      <formula>$AD7="hideOdd"</formula>
    </cfRule>
    <cfRule type="expression" dxfId="4" priority="6">
      <formula>$AD7="hideEven"</formula>
    </cfRule>
  </conditionalFormatting>
  <conditionalFormatting sqref="A8:C331">
    <cfRule type="expression" dxfId="3" priority="1" stopIfTrue="1">
      <formula>$AD8="hideOdd"</formula>
    </cfRule>
    <cfRule type="expression" dxfId="2" priority="2">
      <formula>$AD8="hideEven"</formula>
    </cfRule>
  </conditionalFormatting>
  <hyperlinks>
    <hyperlink ref="K3" location="disclaimer" display="disclaimer" xr:uid="{00000000-0004-0000-1100-000000000000}"/>
    <hyperlink ref="K2" location="workbookInfo" display="Workbook Information" xr:uid="{00000000-0004-0000-1100-000001000000}"/>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Q135"/>
  <sheetViews>
    <sheetView workbookViewId="0">
      <selection activeCell="Q41" sqref="Q41:Q48"/>
    </sheetView>
  </sheetViews>
  <sheetFormatPr defaultRowHeight="15" x14ac:dyDescent="0.25"/>
  <cols>
    <col min="2" max="2" width="47" customWidth="1"/>
    <col min="3" max="3" width="47" style="297" customWidth="1"/>
    <col min="6" max="6" width="12.42578125" customWidth="1"/>
    <col min="7" max="7" width="49.42578125" customWidth="1"/>
  </cols>
  <sheetData>
    <row r="1" spans="2:17" s="297" customFormat="1" x14ac:dyDescent="0.25">
      <c r="B1" s="297" t="s">
        <v>2084</v>
      </c>
    </row>
    <row r="2" spans="2:17" s="297" customFormat="1" x14ac:dyDescent="0.25"/>
    <row r="3" spans="2:17" s="297" customFormat="1" x14ac:dyDescent="0.25"/>
    <row r="4" spans="2:17" s="297" customFormat="1" x14ac:dyDescent="0.25"/>
    <row r="5" spans="2:17" s="297" customFormat="1" x14ac:dyDescent="0.25"/>
    <row r="6" spans="2:17" x14ac:dyDescent="0.25">
      <c r="I6" t="s">
        <v>2082</v>
      </c>
      <c r="J6">
        <v>1</v>
      </c>
      <c r="K6">
        <f>MATCH(J6,H10:H115)</f>
        <v>1</v>
      </c>
      <c r="L6" t="str">
        <f>LEFT(INDEX(G10:G115,K6),$J$10)</f>
        <v>Designated members of management are held accountable by the board or an appropriate board committee for implementing and managing the information security and business continuity progr</v>
      </c>
    </row>
    <row r="7" spans="2:17" x14ac:dyDescent="0.25">
      <c r="B7" s="130"/>
      <c r="C7" s="130"/>
      <c r="L7" t="str">
        <f>LEFT(INDEX(L10:L132,K6),$J$10)</f>
        <v>Designated members of management are held accountable by the board or an appropriate board committee for implementing and managing the information security and business continuity progr</v>
      </c>
    </row>
    <row r="8" spans="2:17" x14ac:dyDescent="0.25">
      <c r="B8" s="130"/>
      <c r="C8" s="130"/>
      <c r="D8" s="296"/>
      <c r="I8" t="s">
        <v>2081</v>
      </c>
      <c r="J8">
        <v>6</v>
      </c>
    </row>
    <row r="9" spans="2:17" ht="15.75" thickBot="1" x14ac:dyDescent="0.3">
      <c r="B9" s="300" t="s">
        <v>24</v>
      </c>
      <c r="C9" s="300"/>
      <c r="D9" s="174" t="s">
        <v>26</v>
      </c>
      <c r="E9" s="174" t="s">
        <v>2079</v>
      </c>
      <c r="F9" s="174" t="s">
        <v>613</v>
      </c>
      <c r="G9" s="174" t="s">
        <v>2055</v>
      </c>
      <c r="H9" s="174" t="s">
        <v>2080</v>
      </c>
      <c r="I9" s="301" t="s">
        <v>2086</v>
      </c>
      <c r="L9" s="174" t="s">
        <v>2083</v>
      </c>
      <c r="P9" t="s">
        <v>2085</v>
      </c>
    </row>
    <row r="10" spans="2:17" x14ac:dyDescent="0.25">
      <c r="B10" s="130" t="s">
        <v>46</v>
      </c>
      <c r="C10" s="130" t="str">
        <f ca="1">'Risk Management and Oversight'!$A$3</f>
        <v>Risk Management and Oversight</v>
      </c>
      <c r="D10" s="296" t="s">
        <v>34</v>
      </c>
      <c r="E10" t="s">
        <v>35</v>
      </c>
      <c r="F10" t="s">
        <v>27</v>
      </c>
      <c r="G10" t="s">
        <v>52</v>
      </c>
      <c r="H10">
        <v>1</v>
      </c>
      <c r="I10">
        <f ca="1">MATCH(G10,INDIRECT("'"&amp;C10&amp;"'!$E$8:$E$250"),0)+7</f>
        <v>9</v>
      </c>
      <c r="J10">
        <f>FIND("(FF",G10)-$J$8</f>
        <v>185</v>
      </c>
      <c r="K10" t="str">
        <f>IF(LEFT(G10,J10)=LEFT(L10,J10),"Match","No Match")</f>
        <v>Match</v>
      </c>
      <c r="L10" t="s">
        <v>1309</v>
      </c>
      <c r="M10">
        <v>1</v>
      </c>
      <c r="O10" t="s">
        <v>1309</v>
      </c>
      <c r="P10" t="str">
        <f ca="1">"#'"&amp;C10&amp;"'!E"&amp;I10</f>
        <v>#'Risk Management and Oversight'!E9</v>
      </c>
      <c r="Q10" s="258" t="str">
        <f ca="1">HYPERLINK(P10,"DS")</f>
        <v>DS</v>
      </c>
    </row>
    <row r="11" spans="2:17" x14ac:dyDescent="0.25">
      <c r="B11" s="130" t="s">
        <v>46</v>
      </c>
      <c r="C11" s="130" t="str">
        <f ca="1">'Risk Management and Oversight'!$A$3</f>
        <v>Risk Management and Oversight</v>
      </c>
      <c r="D11" s="296" t="s">
        <v>34</v>
      </c>
      <c r="E11" t="s">
        <v>35</v>
      </c>
      <c r="F11" t="s">
        <v>27</v>
      </c>
      <c r="G11" t="s">
        <v>53</v>
      </c>
      <c r="H11">
        <v>2</v>
      </c>
      <c r="I11" s="297">
        <f t="shared" ref="I11:I74" ca="1" si="0">MATCH(G11,INDIRECT("'"&amp;C11&amp;"'!$E$8:$E$250"),0)+7</f>
        <v>10</v>
      </c>
      <c r="J11" s="297">
        <f t="shared" ref="J11:J38" si="1">FIND("(FF",G11)-$J$8</f>
        <v>126</v>
      </c>
      <c r="K11" s="297" t="str">
        <f t="shared" ref="K11:K38" si="2">IF(LEFT(G11,J11)=LEFT(L11,J11),"Match","No Match")</f>
        <v>Match</v>
      </c>
      <c r="L11" t="s">
        <v>1322</v>
      </c>
      <c r="M11">
        <v>2</v>
      </c>
      <c r="O11" t="s">
        <v>1322</v>
      </c>
      <c r="P11" s="299" t="str">
        <f t="shared" ref="P11:P74" ca="1" si="3">"#'"&amp;C11&amp;"'!E"&amp;I11</f>
        <v>#'Risk Management and Oversight'!E10</v>
      </c>
      <c r="Q11" s="258" t="str">
        <f t="shared" ref="Q11:Q74" ca="1" si="4">HYPERLINK(P11,"DS")</f>
        <v>DS</v>
      </c>
    </row>
    <row r="12" spans="2:17" x14ac:dyDescent="0.25">
      <c r="B12" s="130" t="s">
        <v>46</v>
      </c>
      <c r="C12" s="130" t="str">
        <f ca="1">'Risk Management and Oversight'!$A$3</f>
        <v>Risk Management and Oversight</v>
      </c>
      <c r="D12" s="296" t="s">
        <v>34</v>
      </c>
      <c r="E12" t="s">
        <v>35</v>
      </c>
      <c r="F12" t="s">
        <v>27</v>
      </c>
      <c r="G12" t="s">
        <v>54</v>
      </c>
      <c r="H12">
        <v>3</v>
      </c>
      <c r="I12" s="297">
        <f t="shared" ca="1" si="0"/>
        <v>11</v>
      </c>
      <c r="J12" s="297">
        <f t="shared" si="1"/>
        <v>181</v>
      </c>
      <c r="K12" s="297" t="str">
        <f t="shared" si="2"/>
        <v>Match</v>
      </c>
      <c r="L12" t="s">
        <v>1326</v>
      </c>
      <c r="M12">
        <v>3</v>
      </c>
      <c r="O12" t="s">
        <v>1326</v>
      </c>
      <c r="P12" s="299" t="str">
        <f t="shared" ca="1" si="3"/>
        <v>#'Risk Management and Oversight'!E11</v>
      </c>
      <c r="Q12" s="258" t="str">
        <f t="shared" ca="1" si="4"/>
        <v>DS</v>
      </c>
    </row>
    <row r="13" spans="2:17" x14ac:dyDescent="0.25">
      <c r="B13" s="130" t="s">
        <v>46</v>
      </c>
      <c r="C13" s="130" t="str">
        <f ca="1">'Risk Management and Oversight'!$A$3</f>
        <v>Risk Management and Oversight</v>
      </c>
      <c r="D13" s="296" t="s">
        <v>34</v>
      </c>
      <c r="E13" t="s">
        <v>35</v>
      </c>
      <c r="F13" t="s">
        <v>27</v>
      </c>
      <c r="G13" t="s">
        <v>55</v>
      </c>
      <c r="H13" s="296">
        <v>4</v>
      </c>
      <c r="I13" s="297">
        <f t="shared" ca="1" si="0"/>
        <v>12</v>
      </c>
      <c r="J13" s="297">
        <f t="shared" si="1"/>
        <v>75</v>
      </c>
      <c r="K13" s="297" t="str">
        <f t="shared" si="2"/>
        <v>Match</v>
      </c>
      <c r="L13" t="s">
        <v>1338</v>
      </c>
      <c r="M13">
        <v>4</v>
      </c>
      <c r="O13" t="s">
        <v>1338</v>
      </c>
      <c r="P13" s="299" t="str">
        <f t="shared" ca="1" si="3"/>
        <v>#'Risk Management and Oversight'!E12</v>
      </c>
      <c r="Q13" s="258" t="str">
        <f t="shared" ca="1" si="4"/>
        <v>DS</v>
      </c>
    </row>
    <row r="14" spans="2:17" x14ac:dyDescent="0.25">
      <c r="B14" s="130" t="s">
        <v>46</v>
      </c>
      <c r="C14" s="130" t="str">
        <f ca="1">'Risk Management and Oversight'!$A$3</f>
        <v>Risk Management and Oversight</v>
      </c>
      <c r="D14" s="296" t="s">
        <v>34</v>
      </c>
      <c r="E14" t="s">
        <v>35</v>
      </c>
      <c r="F14" t="s">
        <v>27</v>
      </c>
      <c r="G14" s="296" t="s">
        <v>56</v>
      </c>
      <c r="H14" s="296">
        <v>5</v>
      </c>
      <c r="I14" s="297">
        <f t="shared" ca="1" si="0"/>
        <v>13</v>
      </c>
      <c r="J14" s="297">
        <f t="shared" si="1"/>
        <v>121</v>
      </c>
      <c r="K14" s="297" t="str">
        <f t="shared" si="2"/>
        <v>Match</v>
      </c>
      <c r="L14" t="s">
        <v>1350</v>
      </c>
      <c r="M14">
        <v>5</v>
      </c>
      <c r="O14" t="s">
        <v>1350</v>
      </c>
      <c r="P14" s="299" t="str">
        <f t="shared" ca="1" si="3"/>
        <v>#'Risk Management and Oversight'!E13</v>
      </c>
      <c r="Q14" s="258" t="str">
        <f t="shared" ca="1" si="4"/>
        <v>DS</v>
      </c>
    </row>
    <row r="15" spans="2:17" x14ac:dyDescent="0.25">
      <c r="B15" s="130" t="s">
        <v>46</v>
      </c>
      <c r="C15" s="130" t="str">
        <f ca="1">'Risk Management and Oversight'!$A$3</f>
        <v>Risk Management and Oversight</v>
      </c>
      <c r="D15" s="296" t="s">
        <v>34</v>
      </c>
      <c r="E15" t="s">
        <v>36</v>
      </c>
      <c r="F15" t="s">
        <v>27</v>
      </c>
      <c r="G15" s="296" t="s">
        <v>77</v>
      </c>
      <c r="H15" s="296">
        <v>6</v>
      </c>
      <c r="I15" s="297">
        <f t="shared" ca="1" si="0"/>
        <v>34</v>
      </c>
      <c r="J15" s="297">
        <f t="shared" si="1"/>
        <v>129</v>
      </c>
      <c r="K15" s="297" t="str">
        <f t="shared" si="2"/>
        <v>Match</v>
      </c>
      <c r="L15" t="s">
        <v>1356</v>
      </c>
      <c r="M15">
        <v>6</v>
      </c>
      <c r="O15" t="s">
        <v>1356</v>
      </c>
      <c r="P15" s="299" t="str">
        <f t="shared" ca="1" si="3"/>
        <v>#'Risk Management and Oversight'!E34</v>
      </c>
      <c r="Q15" s="258" t="str">
        <f t="shared" ca="1" si="4"/>
        <v>DS</v>
      </c>
    </row>
    <row r="16" spans="2:17" x14ac:dyDescent="0.25">
      <c r="B16" s="130" t="s">
        <v>46</v>
      </c>
      <c r="C16" s="130" t="str">
        <f ca="1">'Risk Management and Oversight'!$A$3</f>
        <v>Risk Management and Oversight</v>
      </c>
      <c r="D16" s="296" t="s">
        <v>34</v>
      </c>
      <c r="E16" t="s">
        <v>36</v>
      </c>
      <c r="F16" t="s">
        <v>27</v>
      </c>
      <c r="G16" s="296" t="s">
        <v>909</v>
      </c>
      <c r="H16" s="296">
        <v>7</v>
      </c>
      <c r="I16" s="297">
        <f t="shared" ca="1" si="0"/>
        <v>35</v>
      </c>
      <c r="J16" s="297">
        <f t="shared" si="1"/>
        <v>135</v>
      </c>
      <c r="K16" s="297" t="str">
        <f t="shared" si="2"/>
        <v>Match</v>
      </c>
      <c r="L16" t="s">
        <v>1364</v>
      </c>
      <c r="M16">
        <v>7</v>
      </c>
      <c r="O16" t="s">
        <v>1364</v>
      </c>
      <c r="P16" s="299" t="str">
        <f t="shared" ca="1" si="3"/>
        <v>#'Risk Management and Oversight'!E35</v>
      </c>
      <c r="Q16" s="258" t="str">
        <f t="shared" ca="1" si="4"/>
        <v>DS</v>
      </c>
    </row>
    <row r="17" spans="2:17" x14ac:dyDescent="0.25">
      <c r="B17" s="130" t="s">
        <v>46</v>
      </c>
      <c r="C17" s="130" t="str">
        <f ca="1">'Risk Management and Oversight'!$A$3</f>
        <v>Risk Management and Oversight</v>
      </c>
      <c r="D17" s="296" t="s">
        <v>34</v>
      </c>
      <c r="E17" t="s">
        <v>36</v>
      </c>
      <c r="F17" t="s">
        <v>27</v>
      </c>
      <c r="G17" s="296" t="s">
        <v>78</v>
      </c>
      <c r="H17" s="296">
        <v>8</v>
      </c>
      <c r="I17" s="297">
        <f t="shared" ca="1" si="0"/>
        <v>36</v>
      </c>
      <c r="J17" s="297">
        <f t="shared" si="1"/>
        <v>123</v>
      </c>
      <c r="K17" s="297" t="str">
        <f t="shared" si="2"/>
        <v>Match</v>
      </c>
      <c r="L17" t="s">
        <v>1372</v>
      </c>
      <c r="M17">
        <v>8</v>
      </c>
      <c r="O17" t="s">
        <v>1372</v>
      </c>
      <c r="P17" s="299" t="str">
        <f t="shared" ca="1" si="3"/>
        <v>#'Risk Management and Oversight'!E36</v>
      </c>
      <c r="Q17" s="258" t="str">
        <f t="shared" ca="1" si="4"/>
        <v>DS</v>
      </c>
    </row>
    <row r="18" spans="2:17" x14ac:dyDescent="0.25">
      <c r="B18" s="130" t="s">
        <v>46</v>
      </c>
      <c r="C18" s="130" t="str">
        <f ca="1">'Risk Management and Oversight'!$A$3</f>
        <v>Risk Management and Oversight</v>
      </c>
      <c r="D18" s="296" t="s">
        <v>34</v>
      </c>
      <c r="E18" t="s">
        <v>36</v>
      </c>
      <c r="F18" t="s">
        <v>27</v>
      </c>
      <c r="G18" s="296" t="s">
        <v>79</v>
      </c>
      <c r="H18" s="296">
        <v>9</v>
      </c>
      <c r="I18" s="297">
        <f t="shared" ca="1" si="0"/>
        <v>37</v>
      </c>
      <c r="J18" s="297">
        <f t="shared" si="1"/>
        <v>116</v>
      </c>
      <c r="K18" s="297" t="str">
        <f t="shared" si="2"/>
        <v>Match</v>
      </c>
      <c r="L18" t="s">
        <v>1379</v>
      </c>
      <c r="M18">
        <v>9</v>
      </c>
      <c r="O18" t="s">
        <v>1379</v>
      </c>
      <c r="P18" s="299" t="str">
        <f t="shared" ca="1" si="3"/>
        <v>#'Risk Management and Oversight'!E37</v>
      </c>
      <c r="Q18" s="258" t="str">
        <f t="shared" ca="1" si="4"/>
        <v>DS</v>
      </c>
    </row>
    <row r="19" spans="2:17" x14ac:dyDescent="0.25">
      <c r="B19" s="130" t="s">
        <v>46</v>
      </c>
      <c r="C19" s="130" t="str">
        <f ca="1">'Risk Management and Oversight'!$A$3</f>
        <v>Risk Management and Oversight</v>
      </c>
      <c r="D19" s="296" t="s">
        <v>34</v>
      </c>
      <c r="E19" t="s">
        <v>36</v>
      </c>
      <c r="F19" t="s">
        <v>27</v>
      </c>
      <c r="G19" s="296" t="s">
        <v>80</v>
      </c>
      <c r="H19" s="296">
        <v>10</v>
      </c>
      <c r="I19" s="297">
        <f t="shared" ca="1" si="0"/>
        <v>38</v>
      </c>
      <c r="J19" s="297">
        <f t="shared" si="1"/>
        <v>142</v>
      </c>
      <c r="K19" s="297" t="str">
        <f t="shared" si="2"/>
        <v>Match</v>
      </c>
      <c r="L19" t="s">
        <v>1383</v>
      </c>
      <c r="M19">
        <v>10</v>
      </c>
      <c r="O19" t="s">
        <v>1383</v>
      </c>
      <c r="P19" s="299" t="str">
        <f t="shared" ca="1" si="3"/>
        <v>#'Risk Management and Oversight'!E38</v>
      </c>
      <c r="Q19" s="258" t="str">
        <f t="shared" ca="1" si="4"/>
        <v>DS</v>
      </c>
    </row>
    <row r="20" spans="2:17" x14ac:dyDescent="0.25">
      <c r="B20" s="130" t="s">
        <v>46</v>
      </c>
      <c r="C20" s="130" t="str">
        <f ca="1">'Risk Management and Oversight'!$A$3</f>
        <v>Risk Management and Oversight</v>
      </c>
      <c r="D20" s="296" t="s">
        <v>34</v>
      </c>
      <c r="E20" t="s">
        <v>36</v>
      </c>
      <c r="F20" t="s">
        <v>27</v>
      </c>
      <c r="G20" s="296" t="s">
        <v>81</v>
      </c>
      <c r="H20" s="296">
        <v>11</v>
      </c>
      <c r="I20" s="297">
        <f t="shared" ca="1" si="0"/>
        <v>39</v>
      </c>
      <c r="J20" s="297">
        <f t="shared" si="1"/>
        <v>129</v>
      </c>
      <c r="K20" s="297" t="str">
        <f t="shared" si="2"/>
        <v>Match</v>
      </c>
      <c r="L20" t="s">
        <v>1386</v>
      </c>
      <c r="M20">
        <v>11</v>
      </c>
      <c r="O20" t="s">
        <v>1386</v>
      </c>
      <c r="P20" s="299" t="str">
        <f t="shared" ca="1" si="3"/>
        <v>#'Risk Management and Oversight'!E39</v>
      </c>
      <c r="Q20" s="258" t="str">
        <f t="shared" ca="1" si="4"/>
        <v>DS</v>
      </c>
    </row>
    <row r="21" spans="2:17" x14ac:dyDescent="0.25">
      <c r="B21" s="130" t="s">
        <v>46</v>
      </c>
      <c r="C21" s="130" t="str">
        <f ca="1">'Risk Management and Oversight'!$A$3</f>
        <v>Risk Management and Oversight</v>
      </c>
      <c r="D21" s="296" t="s">
        <v>34</v>
      </c>
      <c r="E21" t="s">
        <v>36</v>
      </c>
      <c r="F21" t="s">
        <v>27</v>
      </c>
      <c r="G21" s="296" t="s">
        <v>82</v>
      </c>
      <c r="H21" s="296">
        <v>12</v>
      </c>
      <c r="I21" s="297">
        <f t="shared" ca="1" si="0"/>
        <v>40</v>
      </c>
      <c r="J21" s="297">
        <f t="shared" si="1"/>
        <v>77</v>
      </c>
      <c r="K21" s="297" t="str">
        <f t="shared" si="2"/>
        <v>Match</v>
      </c>
      <c r="L21" t="s">
        <v>1390</v>
      </c>
      <c r="M21">
        <v>12</v>
      </c>
      <c r="O21" t="s">
        <v>1390</v>
      </c>
      <c r="P21" s="299" t="str">
        <f t="shared" ca="1" si="3"/>
        <v>#'Risk Management and Oversight'!E40</v>
      </c>
      <c r="Q21" s="258" t="str">
        <f t="shared" ca="1" si="4"/>
        <v>DS</v>
      </c>
    </row>
    <row r="22" spans="2:17" x14ac:dyDescent="0.25">
      <c r="B22" s="130" t="s">
        <v>46</v>
      </c>
      <c r="C22" s="130" t="str">
        <f ca="1">'Risk Management and Oversight'!$A$3</f>
        <v>Risk Management and Oversight</v>
      </c>
      <c r="D22" s="296" t="s">
        <v>34</v>
      </c>
      <c r="E22" t="s">
        <v>610</v>
      </c>
      <c r="F22" t="s">
        <v>27</v>
      </c>
      <c r="G22" s="296" t="s">
        <v>97</v>
      </c>
      <c r="H22" s="296">
        <v>13</v>
      </c>
      <c r="I22" s="297">
        <f t="shared" ca="1" si="0"/>
        <v>55</v>
      </c>
      <c r="J22" s="297">
        <f t="shared" si="1"/>
        <v>112</v>
      </c>
      <c r="K22" s="297" t="str">
        <f t="shared" si="2"/>
        <v>Match</v>
      </c>
      <c r="L22" t="s">
        <v>1396</v>
      </c>
      <c r="M22">
        <v>13</v>
      </c>
      <c r="O22" t="s">
        <v>1396</v>
      </c>
      <c r="P22" s="299" t="str">
        <f t="shared" ca="1" si="3"/>
        <v>#'Risk Management and Oversight'!E55</v>
      </c>
      <c r="Q22" s="258" t="str">
        <f t="shared" ca="1" si="4"/>
        <v>DS</v>
      </c>
    </row>
    <row r="23" spans="2:17" x14ac:dyDescent="0.25">
      <c r="B23" s="130" t="s">
        <v>46</v>
      </c>
      <c r="C23" s="130" t="str">
        <f ca="1">'Risk Management and Oversight'!$A$3</f>
        <v>Risk Management and Oversight</v>
      </c>
      <c r="D23" s="296" t="s">
        <v>34</v>
      </c>
      <c r="E23" t="s">
        <v>610</v>
      </c>
      <c r="F23" t="s">
        <v>27</v>
      </c>
      <c r="G23" s="296" t="s">
        <v>98</v>
      </c>
      <c r="H23" s="296">
        <v>14</v>
      </c>
      <c r="I23" s="297">
        <f t="shared" ca="1" si="0"/>
        <v>56</v>
      </c>
      <c r="J23" s="297">
        <f t="shared" si="1"/>
        <v>151</v>
      </c>
      <c r="K23" s="297" t="str">
        <f t="shared" si="2"/>
        <v>Match</v>
      </c>
      <c r="L23" t="s">
        <v>1402</v>
      </c>
      <c r="M23">
        <v>14</v>
      </c>
      <c r="O23" t="s">
        <v>1402</v>
      </c>
      <c r="P23" s="299" t="str">
        <f t="shared" ca="1" si="3"/>
        <v>#'Risk Management and Oversight'!E56</v>
      </c>
      <c r="Q23" s="258" t="str">
        <f t="shared" ca="1" si="4"/>
        <v>DS</v>
      </c>
    </row>
    <row r="24" spans="2:17" x14ac:dyDescent="0.25">
      <c r="B24" s="130" t="s">
        <v>46</v>
      </c>
      <c r="C24" s="130" t="str">
        <f ca="1">'Risk Management and Oversight'!$A$3</f>
        <v>Risk Management and Oversight</v>
      </c>
      <c r="D24" s="296" t="s">
        <v>34</v>
      </c>
      <c r="E24" t="s">
        <v>610</v>
      </c>
      <c r="F24" t="s">
        <v>27</v>
      </c>
      <c r="G24" s="296" t="s">
        <v>99</v>
      </c>
      <c r="H24" s="296">
        <v>15</v>
      </c>
      <c r="I24" s="297">
        <f t="shared" ca="1" si="0"/>
        <v>57</v>
      </c>
      <c r="J24" s="297">
        <f t="shared" si="1"/>
        <v>84</v>
      </c>
      <c r="K24" s="297" t="str">
        <f t="shared" si="2"/>
        <v>Match</v>
      </c>
      <c r="L24" t="s">
        <v>1404</v>
      </c>
      <c r="M24">
        <v>15</v>
      </c>
      <c r="O24" t="s">
        <v>1404</v>
      </c>
      <c r="P24" s="299" t="str">
        <f t="shared" ca="1" si="3"/>
        <v>#'Risk Management and Oversight'!E57</v>
      </c>
      <c r="Q24" s="258" t="str">
        <f t="shared" ca="1" si="4"/>
        <v>DS</v>
      </c>
    </row>
    <row r="25" spans="2:17" x14ac:dyDescent="0.25">
      <c r="B25" s="130" t="s">
        <v>46</v>
      </c>
      <c r="C25" s="130" t="str">
        <f ca="1">'Risk Management and Oversight'!$A$3</f>
        <v>Risk Management and Oversight</v>
      </c>
      <c r="D25" s="296" t="s">
        <v>34</v>
      </c>
      <c r="E25" t="s">
        <v>610</v>
      </c>
      <c r="F25" t="s">
        <v>27</v>
      </c>
      <c r="G25" s="296" t="s">
        <v>100</v>
      </c>
      <c r="H25" s="296">
        <v>16</v>
      </c>
      <c r="I25" s="297">
        <f t="shared" ca="1" si="0"/>
        <v>58</v>
      </c>
      <c r="J25" s="297">
        <f t="shared" si="1"/>
        <v>147</v>
      </c>
      <c r="K25" s="297" t="str">
        <f t="shared" si="2"/>
        <v>Match</v>
      </c>
      <c r="L25" t="s">
        <v>1408</v>
      </c>
      <c r="M25">
        <v>16</v>
      </c>
      <c r="O25" t="s">
        <v>1408</v>
      </c>
      <c r="P25" s="299" t="str">
        <f t="shared" ca="1" si="3"/>
        <v>#'Risk Management and Oversight'!E58</v>
      </c>
      <c r="Q25" s="258" t="str">
        <f t="shared" ca="1" si="4"/>
        <v>DS</v>
      </c>
    </row>
    <row r="26" spans="2:17" x14ac:dyDescent="0.25">
      <c r="B26" s="130" t="s">
        <v>46</v>
      </c>
      <c r="C26" s="130" t="str">
        <f ca="1">'Risk Management and Oversight'!$A$3</f>
        <v>Risk Management and Oversight</v>
      </c>
      <c r="D26" s="296" t="s">
        <v>37</v>
      </c>
      <c r="E26" t="s">
        <v>38</v>
      </c>
      <c r="F26" t="s">
        <v>27</v>
      </c>
      <c r="G26" s="296" t="s">
        <v>113</v>
      </c>
      <c r="H26" s="296">
        <v>17</v>
      </c>
      <c r="I26" s="297">
        <f t="shared" ca="1" si="0"/>
        <v>71</v>
      </c>
      <c r="J26" s="297">
        <f t="shared" si="1"/>
        <v>102</v>
      </c>
      <c r="K26" s="297" t="str">
        <f t="shared" si="2"/>
        <v>Match</v>
      </c>
      <c r="L26" t="s">
        <v>1413</v>
      </c>
      <c r="M26">
        <v>17</v>
      </c>
      <c r="O26" t="s">
        <v>1413</v>
      </c>
      <c r="P26" s="299" t="str">
        <f t="shared" ca="1" si="3"/>
        <v>#'Risk Management and Oversight'!E71</v>
      </c>
      <c r="Q26" s="258" t="str">
        <f t="shared" ca="1" si="4"/>
        <v>DS</v>
      </c>
    </row>
    <row r="27" spans="2:17" x14ac:dyDescent="0.25">
      <c r="B27" s="130" t="s">
        <v>46</v>
      </c>
      <c r="C27" s="130" t="str">
        <f ca="1">'Risk Management and Oversight'!$A$3</f>
        <v>Risk Management and Oversight</v>
      </c>
      <c r="D27" s="296" t="s">
        <v>37</v>
      </c>
      <c r="E27" t="s">
        <v>39</v>
      </c>
      <c r="F27" t="s">
        <v>27</v>
      </c>
      <c r="G27" s="296" t="s">
        <v>129</v>
      </c>
      <c r="H27" s="296">
        <v>18</v>
      </c>
      <c r="I27" s="297">
        <v>87</v>
      </c>
      <c r="J27" s="297">
        <f t="shared" si="1"/>
        <v>254</v>
      </c>
      <c r="K27" s="297" t="str">
        <f t="shared" si="2"/>
        <v>Match</v>
      </c>
      <c r="L27" t="s">
        <v>2057</v>
      </c>
      <c r="M27">
        <v>18</v>
      </c>
      <c r="O27" t="s">
        <v>2057</v>
      </c>
      <c r="P27" s="299" t="str">
        <f t="shared" ca="1" si="3"/>
        <v>#'Risk Management and Oversight'!E87</v>
      </c>
      <c r="Q27" s="258" t="str">
        <f t="shared" ca="1" si="4"/>
        <v>DS</v>
      </c>
    </row>
    <row r="28" spans="2:17" x14ac:dyDescent="0.25">
      <c r="B28" s="130" t="s">
        <v>46</v>
      </c>
      <c r="C28" s="130" t="str">
        <f ca="1">'Risk Management and Oversight'!$A$3</f>
        <v>Risk Management and Oversight</v>
      </c>
      <c r="D28" s="296" t="s">
        <v>37</v>
      </c>
      <c r="E28" t="s">
        <v>39</v>
      </c>
      <c r="F28" t="s">
        <v>27</v>
      </c>
      <c r="G28" s="296" t="s">
        <v>130</v>
      </c>
      <c r="H28" s="296">
        <v>19</v>
      </c>
      <c r="I28" s="297">
        <f t="shared" ca="1" si="0"/>
        <v>88</v>
      </c>
      <c r="J28" s="297">
        <f t="shared" si="1"/>
        <v>125</v>
      </c>
      <c r="K28" s="297" t="str">
        <f t="shared" si="2"/>
        <v>Match</v>
      </c>
      <c r="L28" t="s">
        <v>1427</v>
      </c>
      <c r="M28">
        <v>19</v>
      </c>
      <c r="O28" t="s">
        <v>1427</v>
      </c>
      <c r="P28" s="299" t="str">
        <f t="shared" ca="1" si="3"/>
        <v>#'Risk Management and Oversight'!E88</v>
      </c>
      <c r="Q28" s="258" t="str">
        <f t="shared" ca="1" si="4"/>
        <v>DS</v>
      </c>
    </row>
    <row r="29" spans="2:17" x14ac:dyDescent="0.25">
      <c r="B29" s="130" t="s">
        <v>46</v>
      </c>
      <c r="C29" s="130" t="str">
        <f ca="1">'Risk Management and Oversight'!$A$3</f>
        <v>Risk Management and Oversight</v>
      </c>
      <c r="D29" s="296" t="s">
        <v>37</v>
      </c>
      <c r="E29" t="s">
        <v>39</v>
      </c>
      <c r="F29" t="s">
        <v>27</v>
      </c>
      <c r="G29" s="296" t="s">
        <v>131</v>
      </c>
      <c r="H29" s="296">
        <v>20</v>
      </c>
      <c r="I29" s="297">
        <f t="shared" ca="1" si="0"/>
        <v>89</v>
      </c>
      <c r="J29" s="297">
        <f t="shared" si="1"/>
        <v>110</v>
      </c>
      <c r="K29" s="297" t="str">
        <f t="shared" si="2"/>
        <v>Match</v>
      </c>
      <c r="L29" t="s">
        <v>1433</v>
      </c>
      <c r="M29">
        <v>20</v>
      </c>
      <c r="O29" t="s">
        <v>1433</v>
      </c>
      <c r="P29" s="299" t="str">
        <f t="shared" ca="1" si="3"/>
        <v>#'Risk Management and Oversight'!E89</v>
      </c>
      <c r="Q29" s="258" t="str">
        <f t="shared" ca="1" si="4"/>
        <v>DS</v>
      </c>
    </row>
    <row r="30" spans="2:17" x14ac:dyDescent="0.25">
      <c r="B30" s="130" t="s">
        <v>46</v>
      </c>
      <c r="C30" s="130" t="str">
        <f ca="1">'Risk Management and Oversight'!$A$3</f>
        <v>Risk Management and Oversight</v>
      </c>
      <c r="D30" s="296" t="s">
        <v>37</v>
      </c>
      <c r="E30" t="s">
        <v>40</v>
      </c>
      <c r="F30" t="s">
        <v>27</v>
      </c>
      <c r="G30" s="296" t="s">
        <v>140</v>
      </c>
      <c r="H30" s="296">
        <v>21</v>
      </c>
      <c r="I30" s="297">
        <v>98</v>
      </c>
      <c r="J30" s="297">
        <f t="shared" si="1"/>
        <v>259</v>
      </c>
      <c r="K30" s="297" t="str">
        <f t="shared" si="2"/>
        <v>Match</v>
      </c>
      <c r="L30" t="s">
        <v>1440</v>
      </c>
      <c r="M30">
        <v>21</v>
      </c>
      <c r="O30" t="s">
        <v>1440</v>
      </c>
      <c r="P30" s="299" t="str">
        <f t="shared" ca="1" si="3"/>
        <v>#'Risk Management and Oversight'!E98</v>
      </c>
      <c r="Q30" s="258" t="str">
        <f t="shared" ca="1" si="4"/>
        <v>DS</v>
      </c>
    </row>
    <row r="31" spans="2:17" x14ac:dyDescent="0.25">
      <c r="B31" s="130" t="s">
        <v>46</v>
      </c>
      <c r="C31" s="130" t="str">
        <f ca="1">'Risk Management and Oversight'!$A$3</f>
        <v>Risk Management and Oversight</v>
      </c>
      <c r="D31" s="296" t="s">
        <v>37</v>
      </c>
      <c r="E31" t="s">
        <v>40</v>
      </c>
      <c r="F31" t="s">
        <v>27</v>
      </c>
      <c r="G31" s="296" t="s">
        <v>141</v>
      </c>
      <c r="H31" s="296">
        <v>22</v>
      </c>
      <c r="I31" s="297">
        <f t="shared" ca="1" si="0"/>
        <v>99</v>
      </c>
      <c r="J31" s="297">
        <f t="shared" si="1"/>
        <v>106</v>
      </c>
      <c r="K31" s="297" t="str">
        <f t="shared" si="2"/>
        <v>Match</v>
      </c>
      <c r="L31" t="s">
        <v>1449</v>
      </c>
      <c r="M31">
        <v>22</v>
      </c>
      <c r="O31" t="s">
        <v>1449</v>
      </c>
      <c r="P31" s="299" t="str">
        <f t="shared" ca="1" si="3"/>
        <v>#'Risk Management and Oversight'!E99</v>
      </c>
      <c r="Q31" s="258" t="str">
        <f t="shared" ca="1" si="4"/>
        <v>DS</v>
      </c>
    </row>
    <row r="32" spans="2:17" x14ac:dyDescent="0.25">
      <c r="B32" s="130" t="s">
        <v>46</v>
      </c>
      <c r="C32" s="130" t="str">
        <f ca="1">'Risk Management and Oversight'!$A$3</f>
        <v>Risk Management and Oversight</v>
      </c>
      <c r="D32" s="296" t="s">
        <v>37</v>
      </c>
      <c r="E32" t="s">
        <v>40</v>
      </c>
      <c r="F32" t="s">
        <v>27</v>
      </c>
      <c r="G32" s="296" t="s">
        <v>142</v>
      </c>
      <c r="H32" s="296">
        <v>23</v>
      </c>
      <c r="I32" s="297">
        <f t="shared" ca="1" si="0"/>
        <v>100</v>
      </c>
      <c r="J32" s="297">
        <f t="shared" si="1"/>
        <v>143</v>
      </c>
      <c r="K32" s="297" t="str">
        <f t="shared" si="2"/>
        <v>Match</v>
      </c>
      <c r="L32" t="s">
        <v>1452</v>
      </c>
      <c r="M32">
        <v>23</v>
      </c>
      <c r="O32" t="s">
        <v>1452</v>
      </c>
      <c r="P32" s="299" t="str">
        <f t="shared" ca="1" si="3"/>
        <v>#'Risk Management and Oversight'!E100</v>
      </c>
      <c r="Q32" s="258" t="str">
        <f t="shared" ca="1" si="4"/>
        <v>DS</v>
      </c>
    </row>
    <row r="33" spans="2:17" x14ac:dyDescent="0.25">
      <c r="B33" s="130" t="s">
        <v>46</v>
      </c>
      <c r="C33" s="130" t="str">
        <f ca="1">'Risk Management and Oversight'!$A$3</f>
        <v>Risk Management and Oversight</v>
      </c>
      <c r="D33" s="296" t="s">
        <v>37</v>
      </c>
      <c r="E33" t="s">
        <v>40</v>
      </c>
      <c r="F33" t="s">
        <v>27</v>
      </c>
      <c r="G33" s="296" t="s">
        <v>143</v>
      </c>
      <c r="H33" s="296">
        <v>24</v>
      </c>
      <c r="I33" s="297">
        <f t="shared" ca="1" si="0"/>
        <v>101</v>
      </c>
      <c r="J33" s="297">
        <f t="shared" si="1"/>
        <v>176</v>
      </c>
      <c r="K33" s="297" t="str">
        <f t="shared" si="2"/>
        <v>Match</v>
      </c>
      <c r="L33" t="s">
        <v>1459</v>
      </c>
      <c r="M33">
        <v>24</v>
      </c>
      <c r="O33" t="s">
        <v>1459</v>
      </c>
      <c r="P33" s="299" t="str">
        <f t="shared" ca="1" si="3"/>
        <v>#'Risk Management and Oversight'!E101</v>
      </c>
      <c r="Q33" s="258" t="str">
        <f t="shared" ca="1" si="4"/>
        <v>DS</v>
      </c>
    </row>
    <row r="34" spans="2:17" x14ac:dyDescent="0.25">
      <c r="B34" s="130" t="s">
        <v>46</v>
      </c>
      <c r="C34" s="130" t="str">
        <f ca="1">'Risk Management and Oversight'!$A$3</f>
        <v>Risk Management and Oversight</v>
      </c>
      <c r="D34" s="296" t="s">
        <v>871</v>
      </c>
      <c r="E34" t="s">
        <v>42</v>
      </c>
      <c r="F34" t="s">
        <v>27</v>
      </c>
      <c r="G34" s="296" t="s">
        <v>158</v>
      </c>
      <c r="H34" s="296">
        <v>25</v>
      </c>
      <c r="I34" s="297">
        <f t="shared" ca="1" si="0"/>
        <v>116</v>
      </c>
      <c r="J34" s="297">
        <f t="shared" si="1"/>
        <v>64</v>
      </c>
      <c r="K34" s="297" t="str">
        <f t="shared" si="2"/>
        <v>Match</v>
      </c>
      <c r="L34" t="s">
        <v>1473</v>
      </c>
      <c r="M34">
        <v>25</v>
      </c>
      <c r="O34" t="s">
        <v>1473</v>
      </c>
      <c r="P34" s="299" t="str">
        <f t="shared" ca="1" si="3"/>
        <v>#'Risk Management and Oversight'!E116</v>
      </c>
      <c r="Q34" s="258" t="str">
        <f t="shared" ca="1" si="4"/>
        <v>DS</v>
      </c>
    </row>
    <row r="35" spans="2:17" x14ac:dyDescent="0.25">
      <c r="B35" s="130" t="s">
        <v>46</v>
      </c>
      <c r="C35" s="130" t="str">
        <f ca="1">'Risk Management and Oversight'!$A$3</f>
        <v>Risk Management and Oversight</v>
      </c>
      <c r="D35" s="296" t="s">
        <v>871</v>
      </c>
      <c r="E35" t="s">
        <v>42</v>
      </c>
      <c r="F35" t="s">
        <v>27</v>
      </c>
      <c r="G35" s="296" t="s">
        <v>159</v>
      </c>
      <c r="H35" s="296">
        <v>26</v>
      </c>
      <c r="I35" s="297">
        <f t="shared" ca="1" si="0"/>
        <v>117</v>
      </c>
      <c r="J35" s="297">
        <f t="shared" si="1"/>
        <v>100</v>
      </c>
      <c r="K35" s="297" t="str">
        <f t="shared" si="2"/>
        <v>Match</v>
      </c>
      <c r="L35" t="s">
        <v>1480</v>
      </c>
      <c r="M35">
        <v>26</v>
      </c>
      <c r="O35" t="s">
        <v>1480</v>
      </c>
      <c r="P35" s="299" t="str">
        <f t="shared" ca="1" si="3"/>
        <v>#'Risk Management and Oversight'!E117</v>
      </c>
      <c r="Q35" s="258" t="str">
        <f t="shared" ca="1" si="4"/>
        <v>DS</v>
      </c>
    </row>
    <row r="36" spans="2:17" x14ac:dyDescent="0.25">
      <c r="B36" s="130" t="s">
        <v>46</v>
      </c>
      <c r="C36" s="130" t="str">
        <f ca="1">'Risk Management and Oversight'!$A$3</f>
        <v>Risk Management and Oversight</v>
      </c>
      <c r="D36" s="296" t="s">
        <v>43</v>
      </c>
      <c r="E36" t="s">
        <v>44</v>
      </c>
      <c r="F36" t="s">
        <v>27</v>
      </c>
      <c r="G36" s="296" t="s">
        <v>867</v>
      </c>
      <c r="H36" s="296">
        <v>27</v>
      </c>
      <c r="I36" s="297">
        <f t="shared" ca="1" si="0"/>
        <v>126</v>
      </c>
      <c r="J36" s="297">
        <f t="shared" si="1"/>
        <v>45</v>
      </c>
      <c r="K36" s="297" t="str">
        <f t="shared" si="2"/>
        <v>Match</v>
      </c>
      <c r="L36" t="s">
        <v>1488</v>
      </c>
      <c r="M36">
        <v>27</v>
      </c>
      <c r="O36" t="s">
        <v>1488</v>
      </c>
      <c r="P36" s="299" t="str">
        <f t="shared" ca="1" si="3"/>
        <v>#'Risk Management and Oversight'!E126</v>
      </c>
      <c r="Q36" s="258" t="str">
        <f t="shared" ca="1" si="4"/>
        <v>DS</v>
      </c>
    </row>
    <row r="37" spans="2:17" x14ac:dyDescent="0.25">
      <c r="B37" s="130" t="s">
        <v>46</v>
      </c>
      <c r="C37" s="130" t="str">
        <f ca="1">'Risk Management and Oversight'!$A$3</f>
        <v>Risk Management and Oversight</v>
      </c>
      <c r="D37" s="296" t="s">
        <v>43</v>
      </c>
      <c r="E37" t="s">
        <v>44</v>
      </c>
      <c r="F37" t="s">
        <v>27</v>
      </c>
      <c r="G37" s="296" t="s">
        <v>169</v>
      </c>
      <c r="H37" s="296">
        <v>28</v>
      </c>
      <c r="I37" s="297">
        <f t="shared" ca="1" si="0"/>
        <v>127</v>
      </c>
      <c r="J37" s="297">
        <f t="shared" si="1"/>
        <v>178</v>
      </c>
      <c r="K37" s="297" t="str">
        <f t="shared" si="2"/>
        <v>Match</v>
      </c>
      <c r="L37" t="s">
        <v>1497</v>
      </c>
      <c r="M37">
        <v>28</v>
      </c>
      <c r="O37" t="s">
        <v>1497</v>
      </c>
      <c r="P37" s="299" t="str">
        <f t="shared" ca="1" si="3"/>
        <v>#'Risk Management and Oversight'!E127</v>
      </c>
      <c r="Q37" s="258" t="str">
        <f t="shared" ca="1" si="4"/>
        <v>DS</v>
      </c>
    </row>
    <row r="38" spans="2:17" x14ac:dyDescent="0.25">
      <c r="B38" s="130" t="s">
        <v>46</v>
      </c>
      <c r="C38" s="130" t="str">
        <f ca="1">'Risk Management and Oversight'!$A$3</f>
        <v>Risk Management and Oversight</v>
      </c>
      <c r="D38" s="296" t="s">
        <v>43</v>
      </c>
      <c r="E38" t="s">
        <v>44</v>
      </c>
      <c r="F38" t="s">
        <v>27</v>
      </c>
      <c r="G38" s="296" t="s">
        <v>170</v>
      </c>
      <c r="H38" s="296">
        <v>29</v>
      </c>
      <c r="I38" s="297">
        <f t="shared" ca="1" si="0"/>
        <v>128</v>
      </c>
      <c r="J38" s="297">
        <f t="shared" si="1"/>
        <v>129</v>
      </c>
      <c r="K38" s="297" t="str">
        <f t="shared" si="2"/>
        <v>Match</v>
      </c>
      <c r="L38" t="s">
        <v>1502</v>
      </c>
      <c r="M38">
        <v>29</v>
      </c>
      <c r="O38" t="s">
        <v>1502</v>
      </c>
      <c r="P38" s="299" t="str">
        <f t="shared" ca="1" si="3"/>
        <v>#'Risk Management and Oversight'!E128</v>
      </c>
      <c r="Q38" s="258" t="str">
        <f t="shared" ca="1" si="4"/>
        <v>DS</v>
      </c>
    </row>
    <row r="39" spans="2:17" x14ac:dyDescent="0.25">
      <c r="B39" s="130" t="s">
        <v>46</v>
      </c>
      <c r="C39" s="130" t="str">
        <f ca="1">'Risk Management and Oversight'!$A$3</f>
        <v>Risk Management and Oversight</v>
      </c>
      <c r="D39" s="296" t="s">
        <v>43</v>
      </c>
      <c r="E39" t="s">
        <v>44</v>
      </c>
      <c r="F39" t="s">
        <v>27</v>
      </c>
      <c r="G39" s="296" t="s">
        <v>171</v>
      </c>
      <c r="H39" s="296">
        <v>30</v>
      </c>
      <c r="I39" s="297">
        <f t="shared" ca="1" si="0"/>
        <v>129</v>
      </c>
      <c r="J39" s="297">
        <f>FIND("(FF",G39)-$J$8</f>
        <v>100</v>
      </c>
      <c r="K39" s="297" t="str">
        <f>IF(LEFT(G39,J39)=LEFT(L39,J39),"Match","No Match")</f>
        <v>Match</v>
      </c>
      <c r="L39" t="s">
        <v>1505</v>
      </c>
      <c r="M39">
        <v>30</v>
      </c>
      <c r="O39" t="s">
        <v>1505</v>
      </c>
      <c r="P39" s="299" t="str">
        <f t="shared" ca="1" si="3"/>
        <v>#'Risk Management and Oversight'!E129</v>
      </c>
      <c r="Q39" s="258" t="str">
        <f t="shared" ca="1" si="4"/>
        <v>DS</v>
      </c>
    </row>
    <row r="40" spans="2:17" x14ac:dyDescent="0.25">
      <c r="B40" s="130" t="s">
        <v>46</v>
      </c>
      <c r="C40" s="130" t="str">
        <f ca="1">'Risk Management and Oversight'!$A$3</f>
        <v>Risk Management and Oversight</v>
      </c>
      <c r="D40" s="296" t="s">
        <v>43</v>
      </c>
      <c r="E40" t="s">
        <v>45</v>
      </c>
      <c r="F40" t="s">
        <v>27</v>
      </c>
      <c r="G40" t="s">
        <v>183</v>
      </c>
      <c r="H40" s="296">
        <v>31</v>
      </c>
      <c r="I40" s="297">
        <f t="shared" ca="1" si="0"/>
        <v>141</v>
      </c>
      <c r="J40" s="297">
        <f t="shared" ref="J40:J103" si="5">FIND("(FF",G40)-$J$8</f>
        <v>87</v>
      </c>
      <c r="K40" s="297" t="str">
        <f t="shared" ref="K40:K103" si="6">IF(LEFT(G40,J40)=LEFT(L40,J40),"Match","No Match")</f>
        <v>Match</v>
      </c>
      <c r="L40" t="s">
        <v>1512</v>
      </c>
      <c r="M40">
        <v>31</v>
      </c>
      <c r="O40" t="s">
        <v>1512</v>
      </c>
      <c r="P40" s="299" t="str">
        <f t="shared" ca="1" si="3"/>
        <v>#'Risk Management and Oversight'!E141</v>
      </c>
      <c r="Q40" s="258" t="str">
        <f t="shared" ca="1" si="4"/>
        <v>DS</v>
      </c>
    </row>
    <row r="41" spans="2:17" x14ac:dyDescent="0.25">
      <c r="B41" s="130" t="s">
        <v>189</v>
      </c>
      <c r="C41" s="130" t="str">
        <f ca="1">'Threat Intel and Collaboration'!$A$3</f>
        <v>Threat Intel and Collaboration</v>
      </c>
      <c r="D41" s="296" t="s">
        <v>191</v>
      </c>
      <c r="E41" t="s">
        <v>611</v>
      </c>
      <c r="F41" t="s">
        <v>27</v>
      </c>
      <c r="G41" t="s">
        <v>192</v>
      </c>
      <c r="H41" s="296">
        <v>32</v>
      </c>
      <c r="I41" s="297">
        <v>9</v>
      </c>
      <c r="J41" s="297">
        <f t="shared" si="5"/>
        <v>258</v>
      </c>
      <c r="K41" s="297" t="str">
        <f t="shared" si="6"/>
        <v>Match</v>
      </c>
      <c r="L41" t="s">
        <v>2072</v>
      </c>
      <c r="M41">
        <v>32</v>
      </c>
      <c r="O41" t="s">
        <v>2072</v>
      </c>
      <c r="P41" s="299" t="str">
        <f t="shared" ca="1" si="3"/>
        <v>#'Threat Intel and Collaboration'!E9</v>
      </c>
      <c r="Q41" s="258" t="str">
        <f t="shared" ca="1" si="4"/>
        <v>DS</v>
      </c>
    </row>
    <row r="42" spans="2:17" x14ac:dyDescent="0.25">
      <c r="B42" s="130" t="s">
        <v>189</v>
      </c>
      <c r="C42" s="130" t="str">
        <f ca="1">'Threat Intel and Collaboration'!$A$3</f>
        <v>Threat Intel and Collaboration</v>
      </c>
      <c r="D42" s="296" t="s">
        <v>191</v>
      </c>
      <c r="E42" t="s">
        <v>611</v>
      </c>
      <c r="F42" t="s">
        <v>27</v>
      </c>
      <c r="G42" t="s">
        <v>193</v>
      </c>
      <c r="H42" s="296">
        <v>33</v>
      </c>
      <c r="I42" s="297">
        <f t="shared" ca="1" si="0"/>
        <v>10</v>
      </c>
      <c r="J42" s="297">
        <f t="shared" si="5"/>
        <v>62</v>
      </c>
      <c r="K42" s="297" t="str">
        <f t="shared" si="6"/>
        <v>Match</v>
      </c>
      <c r="L42" t="s">
        <v>1522</v>
      </c>
      <c r="M42">
        <v>33</v>
      </c>
      <c r="O42" t="s">
        <v>1522</v>
      </c>
      <c r="P42" s="299" t="str">
        <f t="shared" ca="1" si="3"/>
        <v>#'Threat Intel and Collaboration'!E10</v>
      </c>
      <c r="Q42" s="258" t="str">
        <f t="shared" ca="1" si="4"/>
        <v>DS</v>
      </c>
    </row>
    <row r="43" spans="2:17" x14ac:dyDescent="0.25">
      <c r="B43" s="130" t="s">
        <v>189</v>
      </c>
      <c r="C43" s="130" t="str">
        <f ca="1">'Threat Intel and Collaboration'!$A$3</f>
        <v>Threat Intel and Collaboration</v>
      </c>
      <c r="D43" s="296" t="s">
        <v>191</v>
      </c>
      <c r="E43" t="s">
        <v>611</v>
      </c>
      <c r="F43" t="s">
        <v>27</v>
      </c>
      <c r="G43" t="s">
        <v>194</v>
      </c>
      <c r="H43" s="296">
        <v>34</v>
      </c>
      <c r="I43" s="297">
        <f t="shared" ca="1" si="0"/>
        <v>11</v>
      </c>
      <c r="J43" s="297">
        <f t="shared" si="5"/>
        <v>72</v>
      </c>
      <c r="K43" s="297" t="str">
        <f t="shared" si="6"/>
        <v>Match</v>
      </c>
      <c r="L43" t="s">
        <v>1533</v>
      </c>
      <c r="M43">
        <v>34</v>
      </c>
      <c r="O43" t="s">
        <v>1533</v>
      </c>
      <c r="P43" s="299" t="str">
        <f t="shared" ca="1" si="3"/>
        <v>#'Threat Intel and Collaboration'!E11</v>
      </c>
      <c r="Q43" s="258" t="str">
        <f t="shared" ca="1" si="4"/>
        <v>DS</v>
      </c>
    </row>
    <row r="44" spans="2:17" x14ac:dyDescent="0.25">
      <c r="B44" s="130" t="s">
        <v>189</v>
      </c>
      <c r="C44" s="130" t="str">
        <f ca="1">'Threat Intel and Collaboration'!$A$3</f>
        <v>Threat Intel and Collaboration</v>
      </c>
      <c r="D44" s="296" t="s">
        <v>609</v>
      </c>
      <c r="E44" t="s">
        <v>609</v>
      </c>
      <c r="F44" t="s">
        <v>27</v>
      </c>
      <c r="G44" t="s">
        <v>204</v>
      </c>
      <c r="H44" s="296">
        <v>35</v>
      </c>
      <c r="I44" s="297">
        <f t="shared" ca="1" si="0"/>
        <v>21</v>
      </c>
      <c r="J44" s="297">
        <f t="shared" si="5"/>
        <v>89</v>
      </c>
      <c r="K44" s="297" t="str">
        <f t="shared" si="6"/>
        <v>Match</v>
      </c>
      <c r="L44" t="s">
        <v>1538</v>
      </c>
      <c r="M44">
        <v>35</v>
      </c>
      <c r="O44" t="s">
        <v>1538</v>
      </c>
      <c r="P44" s="299" t="str">
        <f t="shared" ca="1" si="3"/>
        <v>#'Threat Intel and Collaboration'!E21</v>
      </c>
      <c r="Q44" s="258" t="str">
        <f t="shared" ca="1" si="4"/>
        <v>DS</v>
      </c>
    </row>
    <row r="45" spans="2:17" x14ac:dyDescent="0.25">
      <c r="B45" s="130" t="s">
        <v>189</v>
      </c>
      <c r="C45" s="130" t="str">
        <f ca="1">'Threat Intel and Collaboration'!$A$3</f>
        <v>Threat Intel and Collaboration</v>
      </c>
      <c r="D45" s="296" t="s">
        <v>609</v>
      </c>
      <c r="E45" t="s">
        <v>609</v>
      </c>
      <c r="F45" t="s">
        <v>27</v>
      </c>
      <c r="G45" t="s">
        <v>205</v>
      </c>
      <c r="H45" s="296">
        <v>36</v>
      </c>
      <c r="I45" s="297">
        <f t="shared" ca="1" si="0"/>
        <v>22</v>
      </c>
      <c r="J45" s="297">
        <f t="shared" si="5"/>
        <v>71</v>
      </c>
      <c r="K45" s="297" t="str">
        <f t="shared" si="6"/>
        <v>Match</v>
      </c>
      <c r="L45" t="s">
        <v>1543</v>
      </c>
      <c r="M45">
        <v>36</v>
      </c>
      <c r="O45" t="s">
        <v>1543</v>
      </c>
      <c r="P45" s="299" t="str">
        <f t="shared" ca="1" si="3"/>
        <v>#'Threat Intel and Collaboration'!E22</v>
      </c>
      <c r="Q45" s="258" t="str">
        <f t="shared" ca="1" si="4"/>
        <v>DS</v>
      </c>
    </row>
    <row r="46" spans="2:17" x14ac:dyDescent="0.25">
      <c r="B46" s="130" t="s">
        <v>189</v>
      </c>
      <c r="C46" s="130" t="str">
        <f ca="1">'Threat Intel and Collaboration'!$A$3</f>
        <v>Threat Intel and Collaboration</v>
      </c>
      <c r="D46" s="296" t="s">
        <v>246</v>
      </c>
      <c r="E46" t="s">
        <v>246</v>
      </c>
      <c r="F46" t="s">
        <v>27</v>
      </c>
      <c r="G46" t="s">
        <v>872</v>
      </c>
      <c r="H46" s="296">
        <v>37</v>
      </c>
      <c r="I46" s="297">
        <f t="shared" ca="1" si="0"/>
        <v>39</v>
      </c>
      <c r="J46" s="297">
        <f t="shared" si="5"/>
        <v>84</v>
      </c>
      <c r="K46" s="297" t="str">
        <f t="shared" si="6"/>
        <v>Match</v>
      </c>
      <c r="L46" t="s">
        <v>1546</v>
      </c>
      <c r="M46">
        <v>37</v>
      </c>
      <c r="O46" t="s">
        <v>1546</v>
      </c>
      <c r="P46" s="299" t="str">
        <f t="shared" ca="1" si="3"/>
        <v>#'Threat Intel and Collaboration'!E39</v>
      </c>
      <c r="Q46" s="258" t="str">
        <f t="shared" ca="1" si="4"/>
        <v>DS</v>
      </c>
    </row>
    <row r="47" spans="2:17" x14ac:dyDescent="0.25">
      <c r="B47" s="130" t="s">
        <v>189</v>
      </c>
      <c r="C47" s="130" t="str">
        <f ca="1">'Threat Intel and Collaboration'!$A$3</f>
        <v>Threat Intel and Collaboration</v>
      </c>
      <c r="D47" s="296" t="s">
        <v>246</v>
      </c>
      <c r="E47" t="s">
        <v>246</v>
      </c>
      <c r="F47" t="s">
        <v>27</v>
      </c>
      <c r="G47" t="s">
        <v>873</v>
      </c>
      <c r="H47" s="296">
        <v>38</v>
      </c>
      <c r="I47" s="297">
        <f t="shared" ca="1" si="0"/>
        <v>40</v>
      </c>
      <c r="J47" s="297">
        <f t="shared" si="5"/>
        <v>93</v>
      </c>
      <c r="K47" s="297" t="str">
        <f t="shared" si="6"/>
        <v>Match</v>
      </c>
      <c r="L47" t="s">
        <v>1550</v>
      </c>
      <c r="M47">
        <v>38</v>
      </c>
      <c r="O47" t="s">
        <v>1550</v>
      </c>
      <c r="P47" s="299" t="str">
        <f t="shared" ca="1" si="3"/>
        <v>#'Threat Intel and Collaboration'!E40</v>
      </c>
      <c r="Q47" s="258" t="str">
        <f t="shared" ca="1" si="4"/>
        <v>DS</v>
      </c>
    </row>
    <row r="48" spans="2:17" x14ac:dyDescent="0.25">
      <c r="B48" s="130" t="s">
        <v>189</v>
      </c>
      <c r="C48" s="130" t="str">
        <f ca="1">'Threat Intel and Collaboration'!$A$3</f>
        <v>Threat Intel and Collaboration</v>
      </c>
      <c r="D48" s="296" t="s">
        <v>246</v>
      </c>
      <c r="E48" t="s">
        <v>246</v>
      </c>
      <c r="F48" t="s">
        <v>27</v>
      </c>
      <c r="G48" t="s">
        <v>874</v>
      </c>
      <c r="H48" s="296">
        <v>39</v>
      </c>
      <c r="I48" s="297">
        <f t="shared" ca="1" si="0"/>
        <v>41</v>
      </c>
      <c r="J48" s="297">
        <f t="shared" si="5"/>
        <v>94</v>
      </c>
      <c r="K48" s="297" t="str">
        <f t="shared" si="6"/>
        <v>Match</v>
      </c>
      <c r="L48" t="s">
        <v>1558</v>
      </c>
      <c r="M48">
        <v>39</v>
      </c>
      <c r="O48" t="s">
        <v>1558</v>
      </c>
      <c r="P48" s="299" t="str">
        <f t="shared" ca="1" si="3"/>
        <v>#'Threat Intel and Collaboration'!E41</v>
      </c>
      <c r="Q48" s="258" t="str">
        <f t="shared" ca="1" si="4"/>
        <v>DS</v>
      </c>
    </row>
    <row r="49" spans="2:17" x14ac:dyDescent="0.25">
      <c r="B49" s="130" t="s">
        <v>257</v>
      </c>
      <c r="C49" s="130" t="str">
        <f ca="1">'Cybersecurity Controls'!$A$3</f>
        <v>Cybersecurity Controls</v>
      </c>
      <c r="D49" s="296" t="s">
        <v>263</v>
      </c>
      <c r="E49" t="s">
        <v>264</v>
      </c>
      <c r="F49" t="s">
        <v>27</v>
      </c>
      <c r="G49" t="s">
        <v>265</v>
      </c>
      <c r="H49" s="296">
        <v>40</v>
      </c>
      <c r="I49" s="297">
        <f t="shared" ca="1" si="0"/>
        <v>9</v>
      </c>
      <c r="J49" s="297">
        <f t="shared" si="5"/>
        <v>72</v>
      </c>
      <c r="K49" s="297" t="str">
        <f t="shared" si="6"/>
        <v>Match</v>
      </c>
      <c r="L49" t="s">
        <v>1561</v>
      </c>
      <c r="M49">
        <v>40</v>
      </c>
      <c r="O49" t="s">
        <v>1561</v>
      </c>
      <c r="P49" s="299" t="str">
        <f t="shared" ca="1" si="3"/>
        <v>#'Cybersecurity Controls'!E9</v>
      </c>
      <c r="Q49" s="258" t="str">
        <f t="shared" ca="1" si="4"/>
        <v>DS</v>
      </c>
    </row>
    <row r="50" spans="2:17" x14ac:dyDescent="0.25">
      <c r="B50" s="130" t="s">
        <v>257</v>
      </c>
      <c r="C50" s="130" t="str">
        <f ca="1">'Cybersecurity Controls'!$A$3</f>
        <v>Cybersecurity Controls</v>
      </c>
      <c r="D50" s="296" t="s">
        <v>263</v>
      </c>
      <c r="E50" t="s">
        <v>264</v>
      </c>
      <c r="F50" t="s">
        <v>27</v>
      </c>
      <c r="G50" t="s">
        <v>266</v>
      </c>
      <c r="H50" s="296">
        <v>41</v>
      </c>
      <c r="I50" s="297">
        <f t="shared" ca="1" si="0"/>
        <v>10</v>
      </c>
      <c r="J50" s="297">
        <f t="shared" si="5"/>
        <v>115</v>
      </c>
      <c r="K50" s="297" t="str">
        <f t="shared" si="6"/>
        <v>Match</v>
      </c>
      <c r="L50" t="s">
        <v>1566</v>
      </c>
      <c r="M50">
        <v>41</v>
      </c>
      <c r="O50" t="s">
        <v>1566</v>
      </c>
      <c r="P50" s="299" t="str">
        <f t="shared" ca="1" si="3"/>
        <v>#'Cybersecurity Controls'!E10</v>
      </c>
      <c r="Q50" s="258" t="str">
        <f t="shared" ca="1" si="4"/>
        <v>DS</v>
      </c>
    </row>
    <row r="51" spans="2:17" x14ac:dyDescent="0.25">
      <c r="B51" s="130" t="s">
        <v>257</v>
      </c>
      <c r="C51" s="130" t="str">
        <f ca="1">'Cybersecurity Controls'!$A$3</f>
        <v>Cybersecurity Controls</v>
      </c>
      <c r="D51" s="296" t="s">
        <v>263</v>
      </c>
      <c r="E51" t="s">
        <v>264</v>
      </c>
      <c r="F51" t="s">
        <v>27</v>
      </c>
      <c r="G51" t="s">
        <v>267</v>
      </c>
      <c r="H51" s="296">
        <v>42</v>
      </c>
      <c r="I51" s="297">
        <f t="shared" ca="1" si="0"/>
        <v>11</v>
      </c>
      <c r="J51" s="297">
        <f t="shared" si="5"/>
        <v>20</v>
      </c>
      <c r="K51" s="297" t="str">
        <f t="shared" si="6"/>
        <v>Match</v>
      </c>
      <c r="L51" t="s">
        <v>2059</v>
      </c>
      <c r="M51">
        <v>42</v>
      </c>
      <c r="O51" t="s">
        <v>2059</v>
      </c>
      <c r="P51" s="299" t="str">
        <f t="shared" ca="1" si="3"/>
        <v>#'Cybersecurity Controls'!E11</v>
      </c>
      <c r="Q51" s="258" t="str">
        <f t="shared" ca="1" si="4"/>
        <v>DS</v>
      </c>
    </row>
    <row r="52" spans="2:17" x14ac:dyDescent="0.25">
      <c r="B52" s="130" t="s">
        <v>257</v>
      </c>
      <c r="C52" s="130" t="str">
        <f ca="1">'Cybersecurity Controls'!$A$3</f>
        <v>Cybersecurity Controls</v>
      </c>
      <c r="D52" s="296" t="s">
        <v>263</v>
      </c>
      <c r="E52" t="s">
        <v>264</v>
      </c>
      <c r="F52" t="s">
        <v>27</v>
      </c>
      <c r="G52" t="s">
        <v>268</v>
      </c>
      <c r="H52" s="296">
        <v>43</v>
      </c>
      <c r="I52" s="297">
        <f t="shared" ca="1" si="0"/>
        <v>12</v>
      </c>
      <c r="J52" s="297">
        <f t="shared" si="5"/>
        <v>49</v>
      </c>
      <c r="K52" s="297" t="str">
        <f t="shared" si="6"/>
        <v>Match</v>
      </c>
      <c r="L52" t="s">
        <v>2060</v>
      </c>
      <c r="M52">
        <v>43</v>
      </c>
      <c r="O52" t="s">
        <v>2060</v>
      </c>
      <c r="P52" s="299" t="str">
        <f t="shared" ca="1" si="3"/>
        <v>#'Cybersecurity Controls'!E12</v>
      </c>
      <c r="Q52" s="258" t="str">
        <f t="shared" ca="1" si="4"/>
        <v>DS</v>
      </c>
    </row>
    <row r="53" spans="2:17" x14ac:dyDescent="0.25">
      <c r="B53" s="130" t="s">
        <v>257</v>
      </c>
      <c r="C53" s="130" t="str">
        <f ca="1">'Cybersecurity Controls'!$A$3</f>
        <v>Cybersecurity Controls</v>
      </c>
      <c r="D53" s="296" t="s">
        <v>263</v>
      </c>
      <c r="E53" t="s">
        <v>264</v>
      </c>
      <c r="F53" t="s">
        <v>27</v>
      </c>
      <c r="G53" t="s">
        <v>269</v>
      </c>
      <c r="H53" s="296">
        <v>44</v>
      </c>
      <c r="I53" s="297">
        <f t="shared" ca="1" si="0"/>
        <v>13</v>
      </c>
      <c r="J53" s="297">
        <f t="shared" si="5"/>
        <v>101</v>
      </c>
      <c r="K53" s="297" t="str">
        <f t="shared" si="6"/>
        <v>Match</v>
      </c>
      <c r="L53" t="s">
        <v>1582</v>
      </c>
      <c r="M53">
        <v>44</v>
      </c>
      <c r="O53" t="s">
        <v>1582</v>
      </c>
      <c r="P53" s="299" t="str">
        <f t="shared" ca="1" si="3"/>
        <v>#'Cybersecurity Controls'!E13</v>
      </c>
      <c r="Q53" s="258" t="str">
        <f t="shared" ca="1" si="4"/>
        <v>DS</v>
      </c>
    </row>
    <row r="54" spans="2:17" x14ac:dyDescent="0.25">
      <c r="B54" s="130" t="s">
        <v>257</v>
      </c>
      <c r="C54" s="130" t="str">
        <f ca="1">'Cybersecurity Controls'!$A$3</f>
        <v>Cybersecurity Controls</v>
      </c>
      <c r="D54" s="296" t="s">
        <v>263</v>
      </c>
      <c r="E54" t="s">
        <v>264</v>
      </c>
      <c r="F54" t="s">
        <v>27</v>
      </c>
      <c r="G54" t="s">
        <v>270</v>
      </c>
      <c r="H54" s="296">
        <v>45</v>
      </c>
      <c r="I54" s="297">
        <f t="shared" ca="1" si="0"/>
        <v>14</v>
      </c>
      <c r="J54" s="297">
        <f t="shared" si="5"/>
        <v>94</v>
      </c>
      <c r="K54" s="297" t="str">
        <f t="shared" si="6"/>
        <v>Match</v>
      </c>
      <c r="L54" t="s">
        <v>1587</v>
      </c>
      <c r="M54">
        <v>45</v>
      </c>
      <c r="O54" t="s">
        <v>1587</v>
      </c>
      <c r="P54" s="299" t="str">
        <f t="shared" ca="1" si="3"/>
        <v>#'Cybersecurity Controls'!E14</v>
      </c>
      <c r="Q54" s="258" t="str">
        <f t="shared" ca="1" si="4"/>
        <v>DS</v>
      </c>
    </row>
    <row r="55" spans="2:17" x14ac:dyDescent="0.25">
      <c r="B55" s="130" t="s">
        <v>257</v>
      </c>
      <c r="C55" s="130" t="str">
        <f ca="1">'Cybersecurity Controls'!$A$3</f>
        <v>Cybersecurity Controls</v>
      </c>
      <c r="D55" s="296" t="s">
        <v>263</v>
      </c>
      <c r="E55" t="s">
        <v>264</v>
      </c>
      <c r="F55" t="s">
        <v>27</v>
      </c>
      <c r="G55" t="s">
        <v>271</v>
      </c>
      <c r="H55" s="296">
        <v>46</v>
      </c>
      <c r="I55" s="297">
        <f t="shared" ca="1" si="0"/>
        <v>15</v>
      </c>
      <c r="J55" s="297">
        <f t="shared" si="5"/>
        <v>118</v>
      </c>
      <c r="K55" s="297" t="str">
        <f t="shared" si="6"/>
        <v>Match</v>
      </c>
      <c r="L55" t="s">
        <v>2061</v>
      </c>
      <c r="M55">
        <v>46</v>
      </c>
      <c r="O55" t="s">
        <v>2061</v>
      </c>
      <c r="P55" s="299" t="str">
        <f t="shared" ca="1" si="3"/>
        <v>#'Cybersecurity Controls'!E15</v>
      </c>
      <c r="Q55" s="258" t="str">
        <f t="shared" ca="1" si="4"/>
        <v>DS</v>
      </c>
    </row>
    <row r="56" spans="2:17" x14ac:dyDescent="0.25">
      <c r="B56" s="130" t="s">
        <v>257</v>
      </c>
      <c r="C56" s="130" t="str">
        <f ca="1">'Cybersecurity Controls'!$A$3</f>
        <v>Cybersecurity Controls</v>
      </c>
      <c r="D56" s="296" t="s">
        <v>263</v>
      </c>
      <c r="E56" t="s">
        <v>264</v>
      </c>
      <c r="F56" t="s">
        <v>27</v>
      </c>
      <c r="G56" t="s">
        <v>272</v>
      </c>
      <c r="H56" s="296">
        <v>47</v>
      </c>
      <c r="I56" s="297">
        <f t="shared" ca="1" si="0"/>
        <v>16</v>
      </c>
      <c r="J56" s="297">
        <f t="shared" si="5"/>
        <v>105</v>
      </c>
      <c r="K56" s="297" t="str">
        <f t="shared" si="6"/>
        <v>Match</v>
      </c>
      <c r="L56" t="s">
        <v>1594</v>
      </c>
      <c r="M56">
        <v>47</v>
      </c>
      <c r="O56" t="s">
        <v>1594</v>
      </c>
      <c r="P56" s="299" t="str">
        <f t="shared" ca="1" si="3"/>
        <v>#'Cybersecurity Controls'!E16</v>
      </c>
      <c r="Q56" s="258" t="str">
        <f t="shared" ca="1" si="4"/>
        <v>DS</v>
      </c>
    </row>
    <row r="57" spans="2:17" x14ac:dyDescent="0.25">
      <c r="B57" s="130" t="s">
        <v>257</v>
      </c>
      <c r="C57" s="130" t="str">
        <f ca="1">'Cybersecurity Controls'!$A$3</f>
        <v>Cybersecurity Controls</v>
      </c>
      <c r="D57" s="296" t="s">
        <v>263</v>
      </c>
      <c r="E57" t="s">
        <v>264</v>
      </c>
      <c r="F57" t="s">
        <v>27</v>
      </c>
      <c r="G57" t="s">
        <v>273</v>
      </c>
      <c r="H57" s="296">
        <v>48</v>
      </c>
      <c r="I57" s="297">
        <f t="shared" ca="1" si="0"/>
        <v>17</v>
      </c>
      <c r="J57" s="297">
        <f t="shared" si="5"/>
        <v>120</v>
      </c>
      <c r="K57" s="297" t="str">
        <f t="shared" si="6"/>
        <v>Match</v>
      </c>
      <c r="L57" t="s">
        <v>1598</v>
      </c>
      <c r="M57">
        <v>48</v>
      </c>
      <c r="O57" t="s">
        <v>1598</v>
      </c>
      <c r="P57" s="299" t="str">
        <f t="shared" ca="1" si="3"/>
        <v>#'Cybersecurity Controls'!E17</v>
      </c>
      <c r="Q57" s="258" t="str">
        <f t="shared" ca="1" si="4"/>
        <v>DS</v>
      </c>
    </row>
    <row r="58" spans="2:17" x14ac:dyDescent="0.25">
      <c r="B58" s="130" t="s">
        <v>257</v>
      </c>
      <c r="C58" s="130" t="str">
        <f ca="1">'Cybersecurity Controls'!$A$3</f>
        <v>Cybersecurity Controls</v>
      </c>
      <c r="D58" s="296" t="s">
        <v>263</v>
      </c>
      <c r="E58" t="s">
        <v>264</v>
      </c>
      <c r="F58" t="s">
        <v>27</v>
      </c>
      <c r="G58" t="s">
        <v>274</v>
      </c>
      <c r="H58" s="296">
        <v>49</v>
      </c>
      <c r="I58" s="297">
        <f t="shared" ca="1" si="0"/>
        <v>18</v>
      </c>
      <c r="J58" s="297">
        <f t="shared" si="5"/>
        <v>153</v>
      </c>
      <c r="K58" s="297" t="str">
        <f t="shared" si="6"/>
        <v>Match</v>
      </c>
      <c r="L58" t="s">
        <v>2062</v>
      </c>
      <c r="M58">
        <v>49</v>
      </c>
      <c r="O58" t="s">
        <v>2062</v>
      </c>
      <c r="P58" s="299" t="str">
        <f t="shared" ca="1" si="3"/>
        <v>#'Cybersecurity Controls'!E18</v>
      </c>
      <c r="Q58" s="258" t="str">
        <f t="shared" ca="1" si="4"/>
        <v>DS</v>
      </c>
    </row>
    <row r="59" spans="2:17" x14ac:dyDescent="0.25">
      <c r="B59" s="130" t="s">
        <v>257</v>
      </c>
      <c r="C59" s="130" t="str">
        <f ca="1">'Cybersecurity Controls'!$A$3</f>
        <v>Cybersecurity Controls</v>
      </c>
      <c r="D59" s="296" t="s">
        <v>263</v>
      </c>
      <c r="E59" t="s">
        <v>296</v>
      </c>
      <c r="F59" t="s">
        <v>27</v>
      </c>
      <c r="G59" t="s">
        <v>297</v>
      </c>
      <c r="H59" s="296">
        <v>50</v>
      </c>
      <c r="I59" s="297">
        <f t="shared" ca="1" si="0"/>
        <v>40</v>
      </c>
      <c r="J59" s="297">
        <f t="shared" si="5"/>
        <v>124</v>
      </c>
      <c r="K59" s="297" t="str">
        <f t="shared" si="6"/>
        <v>Match</v>
      </c>
      <c r="L59" t="s">
        <v>1605</v>
      </c>
      <c r="M59">
        <v>50</v>
      </c>
      <c r="O59" t="s">
        <v>1605</v>
      </c>
      <c r="P59" s="299" t="str">
        <f t="shared" ca="1" si="3"/>
        <v>#'Cybersecurity Controls'!E40</v>
      </c>
      <c r="Q59" s="258" t="str">
        <f t="shared" ca="1" si="4"/>
        <v>DS</v>
      </c>
    </row>
    <row r="60" spans="2:17" x14ac:dyDescent="0.25">
      <c r="B60" s="130" t="s">
        <v>257</v>
      </c>
      <c r="C60" s="130" t="str">
        <f ca="1">'Cybersecurity Controls'!$A$3</f>
        <v>Cybersecurity Controls</v>
      </c>
      <c r="D60" s="296" t="s">
        <v>263</v>
      </c>
      <c r="E60" t="s">
        <v>296</v>
      </c>
      <c r="F60" t="s">
        <v>27</v>
      </c>
      <c r="G60" t="s">
        <v>298</v>
      </c>
      <c r="H60" s="296">
        <v>51</v>
      </c>
      <c r="I60" s="297">
        <f t="shared" ca="1" si="0"/>
        <v>41</v>
      </c>
      <c r="J60" s="297">
        <f t="shared" si="5"/>
        <v>79</v>
      </c>
      <c r="K60" s="297" t="str">
        <f t="shared" si="6"/>
        <v>Match</v>
      </c>
      <c r="L60" t="s">
        <v>1612</v>
      </c>
      <c r="M60">
        <v>51</v>
      </c>
      <c r="O60" t="s">
        <v>1612</v>
      </c>
      <c r="P60" s="299" t="str">
        <f t="shared" ca="1" si="3"/>
        <v>#'Cybersecurity Controls'!E41</v>
      </c>
      <c r="Q60" s="258" t="str">
        <f t="shared" ca="1" si="4"/>
        <v>DS</v>
      </c>
    </row>
    <row r="61" spans="2:17" x14ac:dyDescent="0.25">
      <c r="B61" s="130" t="s">
        <v>257</v>
      </c>
      <c r="C61" s="130" t="str">
        <f ca="1">'Cybersecurity Controls'!$A$3</f>
        <v>Cybersecurity Controls</v>
      </c>
      <c r="D61" s="296" t="s">
        <v>263</v>
      </c>
      <c r="E61" t="s">
        <v>296</v>
      </c>
      <c r="F61" t="s">
        <v>27</v>
      </c>
      <c r="G61" t="s">
        <v>299</v>
      </c>
      <c r="H61" s="296">
        <v>52</v>
      </c>
      <c r="I61" s="297">
        <f t="shared" ca="1" si="0"/>
        <v>42</v>
      </c>
      <c r="J61" s="297">
        <f t="shared" si="5"/>
        <v>168</v>
      </c>
      <c r="K61" s="297" t="str">
        <f t="shared" si="6"/>
        <v>Match</v>
      </c>
      <c r="L61" t="s">
        <v>1616</v>
      </c>
      <c r="M61">
        <v>52</v>
      </c>
      <c r="O61" t="s">
        <v>1616</v>
      </c>
      <c r="P61" s="299" t="str">
        <f t="shared" ca="1" si="3"/>
        <v>#'Cybersecurity Controls'!E42</v>
      </c>
      <c r="Q61" s="258" t="str">
        <f t="shared" ca="1" si="4"/>
        <v>DS</v>
      </c>
    </row>
    <row r="62" spans="2:17" x14ac:dyDescent="0.25">
      <c r="B62" s="130" t="s">
        <v>257</v>
      </c>
      <c r="C62" s="130" t="str">
        <f ca="1">'Cybersecurity Controls'!$A$3</f>
        <v>Cybersecurity Controls</v>
      </c>
      <c r="D62" s="296" t="s">
        <v>263</v>
      </c>
      <c r="E62" t="s">
        <v>296</v>
      </c>
      <c r="F62" t="s">
        <v>27</v>
      </c>
      <c r="G62" t="s">
        <v>300</v>
      </c>
      <c r="H62" s="296">
        <v>53</v>
      </c>
      <c r="I62" s="297">
        <f t="shared" ca="1" si="0"/>
        <v>43</v>
      </c>
      <c r="J62" s="297">
        <f t="shared" si="5"/>
        <v>123</v>
      </c>
      <c r="K62" s="297" t="str">
        <f t="shared" si="6"/>
        <v>Match</v>
      </c>
      <c r="L62" t="s">
        <v>1620</v>
      </c>
      <c r="M62">
        <v>53</v>
      </c>
      <c r="O62" t="s">
        <v>1620</v>
      </c>
      <c r="P62" s="299" t="str">
        <f t="shared" ca="1" si="3"/>
        <v>#'Cybersecurity Controls'!E43</v>
      </c>
      <c r="Q62" s="258" t="str">
        <f t="shared" ca="1" si="4"/>
        <v>DS</v>
      </c>
    </row>
    <row r="63" spans="2:17" x14ac:dyDescent="0.25">
      <c r="B63" s="130" t="s">
        <v>257</v>
      </c>
      <c r="C63" s="130" t="str">
        <f ca="1">'Cybersecurity Controls'!$A$3</f>
        <v>Cybersecurity Controls</v>
      </c>
      <c r="D63" s="296" t="s">
        <v>263</v>
      </c>
      <c r="E63" t="s">
        <v>296</v>
      </c>
      <c r="F63" t="s">
        <v>27</v>
      </c>
      <c r="G63" t="s">
        <v>301</v>
      </c>
      <c r="H63" s="296">
        <v>54</v>
      </c>
      <c r="I63" s="297">
        <f t="shared" ca="1" si="0"/>
        <v>44</v>
      </c>
      <c r="J63" s="297">
        <f t="shared" si="5"/>
        <v>169</v>
      </c>
      <c r="K63" s="297" t="str">
        <f t="shared" si="6"/>
        <v>Match</v>
      </c>
      <c r="L63" t="s">
        <v>1625</v>
      </c>
      <c r="M63">
        <v>54</v>
      </c>
      <c r="O63" t="s">
        <v>1625</v>
      </c>
      <c r="P63" s="299" t="str">
        <f t="shared" ca="1" si="3"/>
        <v>#'Cybersecurity Controls'!E44</v>
      </c>
      <c r="Q63" s="258" t="str">
        <f t="shared" ca="1" si="4"/>
        <v>DS</v>
      </c>
    </row>
    <row r="64" spans="2:17" x14ac:dyDescent="0.25">
      <c r="B64" s="130" t="s">
        <v>257</v>
      </c>
      <c r="C64" s="130" t="str">
        <f ca="1">'Cybersecurity Controls'!$A$3</f>
        <v>Cybersecurity Controls</v>
      </c>
      <c r="D64" s="296" t="s">
        <v>263</v>
      </c>
      <c r="E64" t="s">
        <v>296</v>
      </c>
      <c r="F64" t="s">
        <v>27</v>
      </c>
      <c r="G64" t="s">
        <v>302</v>
      </c>
      <c r="H64" s="296">
        <v>55</v>
      </c>
      <c r="I64" s="297">
        <f t="shared" ca="1" si="0"/>
        <v>45</v>
      </c>
      <c r="J64" s="297">
        <f t="shared" si="5"/>
        <v>105</v>
      </c>
      <c r="K64" s="297" t="str">
        <f t="shared" si="6"/>
        <v>Match</v>
      </c>
      <c r="L64" t="s">
        <v>1630</v>
      </c>
      <c r="M64">
        <v>55</v>
      </c>
      <c r="O64" t="s">
        <v>1630</v>
      </c>
      <c r="P64" s="299" t="str">
        <f t="shared" ca="1" si="3"/>
        <v>#'Cybersecurity Controls'!E45</v>
      </c>
      <c r="Q64" s="258" t="str">
        <f t="shared" ca="1" si="4"/>
        <v>DS</v>
      </c>
    </row>
    <row r="65" spans="2:17" x14ac:dyDescent="0.25">
      <c r="B65" s="130" t="s">
        <v>257</v>
      </c>
      <c r="C65" s="130" t="str">
        <f ca="1">'Cybersecurity Controls'!$A$3</f>
        <v>Cybersecurity Controls</v>
      </c>
      <c r="D65" s="296" t="s">
        <v>263</v>
      </c>
      <c r="E65" t="s">
        <v>296</v>
      </c>
      <c r="F65" t="s">
        <v>27</v>
      </c>
      <c r="G65" t="s">
        <v>303</v>
      </c>
      <c r="H65" s="296">
        <v>56</v>
      </c>
      <c r="I65" s="297">
        <f t="shared" ca="1" si="0"/>
        <v>46</v>
      </c>
      <c r="J65" s="297">
        <f t="shared" si="5"/>
        <v>82</v>
      </c>
      <c r="K65" s="297" t="str">
        <f t="shared" si="6"/>
        <v>Match</v>
      </c>
      <c r="L65" t="s">
        <v>1635</v>
      </c>
      <c r="M65">
        <v>56</v>
      </c>
      <c r="O65" t="s">
        <v>1635</v>
      </c>
      <c r="P65" s="299" t="str">
        <f t="shared" ca="1" si="3"/>
        <v>#'Cybersecurity Controls'!E46</v>
      </c>
      <c r="Q65" s="258" t="str">
        <f t="shared" ca="1" si="4"/>
        <v>DS</v>
      </c>
    </row>
    <row r="66" spans="2:17" x14ac:dyDescent="0.25">
      <c r="B66" s="130" t="s">
        <v>257</v>
      </c>
      <c r="C66" s="130" t="str">
        <f ca="1">'Cybersecurity Controls'!$A$3</f>
        <v>Cybersecurity Controls</v>
      </c>
      <c r="D66" t="s">
        <v>263</v>
      </c>
      <c r="E66" t="s">
        <v>296</v>
      </c>
      <c r="F66" t="s">
        <v>27</v>
      </c>
      <c r="G66" t="s">
        <v>304</v>
      </c>
      <c r="H66" s="296">
        <v>57</v>
      </c>
      <c r="I66" s="297">
        <f t="shared" ca="1" si="0"/>
        <v>47</v>
      </c>
      <c r="J66" s="297">
        <f t="shared" si="5"/>
        <v>92</v>
      </c>
      <c r="K66" s="297" t="str">
        <f t="shared" si="6"/>
        <v>Match</v>
      </c>
      <c r="L66" t="s">
        <v>1639</v>
      </c>
      <c r="M66">
        <v>57</v>
      </c>
      <c r="O66" t="s">
        <v>1639</v>
      </c>
      <c r="P66" s="299" t="str">
        <f t="shared" ca="1" si="3"/>
        <v>#'Cybersecurity Controls'!E47</v>
      </c>
      <c r="Q66" s="258" t="str">
        <f t="shared" ca="1" si="4"/>
        <v>DS</v>
      </c>
    </row>
    <row r="67" spans="2:17" x14ac:dyDescent="0.25">
      <c r="B67" s="130" t="s">
        <v>257</v>
      </c>
      <c r="C67" s="130" t="str">
        <f ca="1">'Cybersecurity Controls'!$A$3</f>
        <v>Cybersecurity Controls</v>
      </c>
      <c r="D67" t="s">
        <v>263</v>
      </c>
      <c r="E67" t="s">
        <v>296</v>
      </c>
      <c r="F67" t="s">
        <v>27</v>
      </c>
      <c r="G67" t="s">
        <v>305</v>
      </c>
      <c r="H67" s="296">
        <v>58</v>
      </c>
      <c r="I67" s="297">
        <f t="shared" ca="1" si="0"/>
        <v>48</v>
      </c>
      <c r="J67" s="297">
        <f t="shared" si="5"/>
        <v>158</v>
      </c>
      <c r="K67" s="297" t="str">
        <f t="shared" si="6"/>
        <v>Match</v>
      </c>
      <c r="L67" t="s">
        <v>1642</v>
      </c>
      <c r="M67">
        <v>58</v>
      </c>
      <c r="O67" t="s">
        <v>1642</v>
      </c>
      <c r="P67" s="299" t="str">
        <f t="shared" ca="1" si="3"/>
        <v>#'Cybersecurity Controls'!E48</v>
      </c>
      <c r="Q67" s="258" t="str">
        <f t="shared" ca="1" si="4"/>
        <v>DS</v>
      </c>
    </row>
    <row r="68" spans="2:17" x14ac:dyDescent="0.25">
      <c r="B68" s="130" t="s">
        <v>257</v>
      </c>
      <c r="C68" s="130" t="str">
        <f ca="1">'Cybersecurity Controls'!$A$3</f>
        <v>Cybersecurity Controls</v>
      </c>
      <c r="D68" t="s">
        <v>263</v>
      </c>
      <c r="E68" t="s">
        <v>296</v>
      </c>
      <c r="F68" t="s">
        <v>27</v>
      </c>
      <c r="G68" t="s">
        <v>306</v>
      </c>
      <c r="H68" s="296">
        <v>59</v>
      </c>
      <c r="I68" s="297">
        <v>49</v>
      </c>
      <c r="J68" s="297">
        <f t="shared" si="5"/>
        <v>214</v>
      </c>
      <c r="K68" s="297" t="str">
        <f t="shared" si="6"/>
        <v>Match</v>
      </c>
      <c r="L68" t="s">
        <v>1645</v>
      </c>
      <c r="M68">
        <v>59</v>
      </c>
      <c r="O68" t="s">
        <v>1645</v>
      </c>
      <c r="P68" s="299" t="str">
        <f t="shared" ca="1" si="3"/>
        <v>#'Cybersecurity Controls'!E49</v>
      </c>
      <c r="Q68" s="258" t="str">
        <f t="shared" ca="1" si="4"/>
        <v>DS</v>
      </c>
    </row>
    <row r="69" spans="2:17" x14ac:dyDescent="0.25">
      <c r="B69" s="130" t="s">
        <v>257</v>
      </c>
      <c r="C69" s="130" t="str">
        <f ca="1">'Cybersecurity Controls'!$A$3</f>
        <v>Cybersecurity Controls</v>
      </c>
      <c r="D69" t="s">
        <v>263</v>
      </c>
      <c r="E69" t="s">
        <v>296</v>
      </c>
      <c r="F69" t="s">
        <v>27</v>
      </c>
      <c r="G69" t="s">
        <v>307</v>
      </c>
      <c r="H69" s="296">
        <v>60</v>
      </c>
      <c r="I69" s="297">
        <f t="shared" ca="1" si="0"/>
        <v>50</v>
      </c>
      <c r="J69" s="297">
        <f t="shared" si="5"/>
        <v>116</v>
      </c>
      <c r="K69" s="297" t="str">
        <f t="shared" si="6"/>
        <v>Match</v>
      </c>
      <c r="L69" t="s">
        <v>1649</v>
      </c>
      <c r="M69">
        <v>60</v>
      </c>
      <c r="O69" t="s">
        <v>1649</v>
      </c>
      <c r="P69" s="299" t="str">
        <f t="shared" ca="1" si="3"/>
        <v>#'Cybersecurity Controls'!E50</v>
      </c>
      <c r="Q69" s="258" t="str">
        <f t="shared" ca="1" si="4"/>
        <v>DS</v>
      </c>
    </row>
    <row r="70" spans="2:17" x14ac:dyDescent="0.25">
      <c r="B70" s="130" t="s">
        <v>257</v>
      </c>
      <c r="C70" s="130" t="str">
        <f ca="1">'Cybersecurity Controls'!$A$3</f>
        <v>Cybersecurity Controls</v>
      </c>
      <c r="D70" t="s">
        <v>263</v>
      </c>
      <c r="E70" t="s">
        <v>296</v>
      </c>
      <c r="F70" t="s">
        <v>27</v>
      </c>
      <c r="G70" t="s">
        <v>308</v>
      </c>
      <c r="H70" s="296">
        <v>61</v>
      </c>
      <c r="I70" s="297">
        <f t="shared" ca="1" si="0"/>
        <v>51</v>
      </c>
      <c r="J70" s="297">
        <f t="shared" si="5"/>
        <v>50</v>
      </c>
      <c r="K70" s="297" t="str">
        <f t="shared" si="6"/>
        <v>Match</v>
      </c>
      <c r="L70" t="s">
        <v>1653</v>
      </c>
      <c r="M70">
        <v>61</v>
      </c>
      <c r="O70" t="s">
        <v>1653</v>
      </c>
      <c r="P70" s="299" t="str">
        <f t="shared" ca="1" si="3"/>
        <v>#'Cybersecurity Controls'!E51</v>
      </c>
      <c r="Q70" s="258" t="str">
        <f t="shared" ca="1" si="4"/>
        <v>DS</v>
      </c>
    </row>
    <row r="71" spans="2:17" x14ac:dyDescent="0.25">
      <c r="B71" s="130" t="s">
        <v>257</v>
      </c>
      <c r="C71" s="130" t="str">
        <f ca="1">'Cybersecurity Controls'!$A$3</f>
        <v>Cybersecurity Controls</v>
      </c>
      <c r="D71" t="s">
        <v>263</v>
      </c>
      <c r="E71" t="s">
        <v>296</v>
      </c>
      <c r="F71" t="s">
        <v>27</v>
      </c>
      <c r="G71" t="s">
        <v>309</v>
      </c>
      <c r="H71" s="296">
        <v>62</v>
      </c>
      <c r="I71" s="297">
        <f t="shared" ca="1" si="0"/>
        <v>52</v>
      </c>
      <c r="J71" s="297">
        <f t="shared" si="5"/>
        <v>98</v>
      </c>
      <c r="K71" s="297" t="str">
        <f t="shared" si="6"/>
        <v>Match</v>
      </c>
      <c r="L71" t="s">
        <v>1658</v>
      </c>
      <c r="M71">
        <v>62</v>
      </c>
      <c r="O71" t="s">
        <v>1658</v>
      </c>
      <c r="P71" s="299" t="str">
        <f t="shared" ca="1" si="3"/>
        <v>#'Cybersecurity Controls'!E52</v>
      </c>
      <c r="Q71" s="258" t="str">
        <f t="shared" ca="1" si="4"/>
        <v>DS</v>
      </c>
    </row>
    <row r="72" spans="2:17" x14ac:dyDescent="0.25">
      <c r="B72" s="130" t="s">
        <v>257</v>
      </c>
      <c r="C72" s="130" t="str">
        <f ca="1">'Cybersecurity Controls'!$A$3</f>
        <v>Cybersecurity Controls</v>
      </c>
      <c r="D72" t="s">
        <v>263</v>
      </c>
      <c r="E72" t="s">
        <v>296</v>
      </c>
      <c r="F72" t="s">
        <v>27</v>
      </c>
      <c r="G72" t="s">
        <v>310</v>
      </c>
      <c r="H72" s="296">
        <v>63</v>
      </c>
      <c r="I72" s="297">
        <f t="shared" ca="1" si="0"/>
        <v>53</v>
      </c>
      <c r="J72" s="297">
        <f t="shared" si="5"/>
        <v>145</v>
      </c>
      <c r="K72" s="297" t="str">
        <f t="shared" si="6"/>
        <v>Match</v>
      </c>
      <c r="L72" t="s">
        <v>2063</v>
      </c>
      <c r="M72">
        <v>63</v>
      </c>
      <c r="O72" t="s">
        <v>2063</v>
      </c>
      <c r="P72" s="299" t="str">
        <f t="shared" ca="1" si="3"/>
        <v>#'Cybersecurity Controls'!E53</v>
      </c>
      <c r="Q72" s="258" t="str">
        <f t="shared" ca="1" si="4"/>
        <v>DS</v>
      </c>
    </row>
    <row r="73" spans="2:17" x14ac:dyDescent="0.25">
      <c r="B73" s="130" t="s">
        <v>257</v>
      </c>
      <c r="C73" s="130" t="str">
        <f ca="1">'Cybersecurity Controls'!$A$3</f>
        <v>Cybersecurity Controls</v>
      </c>
      <c r="D73" t="s">
        <v>263</v>
      </c>
      <c r="E73" t="s">
        <v>296</v>
      </c>
      <c r="F73" t="s">
        <v>27</v>
      </c>
      <c r="G73" t="s">
        <v>311</v>
      </c>
      <c r="H73" s="296">
        <v>64</v>
      </c>
      <c r="I73" s="297">
        <f t="shared" ca="1" si="0"/>
        <v>54</v>
      </c>
      <c r="J73" s="297">
        <f t="shared" si="5"/>
        <v>133</v>
      </c>
      <c r="K73" s="297" t="str">
        <f t="shared" si="6"/>
        <v>Match</v>
      </c>
      <c r="L73" t="s">
        <v>1664</v>
      </c>
      <c r="M73">
        <v>64</v>
      </c>
      <c r="O73" t="s">
        <v>1664</v>
      </c>
      <c r="P73" s="299" t="str">
        <f t="shared" ca="1" si="3"/>
        <v>#'Cybersecurity Controls'!E54</v>
      </c>
      <c r="Q73" s="258" t="str">
        <f t="shared" ca="1" si="4"/>
        <v>DS</v>
      </c>
    </row>
    <row r="74" spans="2:17" x14ac:dyDescent="0.25">
      <c r="B74" s="130" t="s">
        <v>257</v>
      </c>
      <c r="C74" s="130" t="str">
        <f ca="1">'Cybersecurity Controls'!$A$3</f>
        <v>Cybersecurity Controls</v>
      </c>
      <c r="D74" t="s">
        <v>263</v>
      </c>
      <c r="E74" t="s">
        <v>296</v>
      </c>
      <c r="F74" t="s">
        <v>27</v>
      </c>
      <c r="G74" t="s">
        <v>312</v>
      </c>
      <c r="H74" s="296">
        <v>65</v>
      </c>
      <c r="I74" s="297">
        <f t="shared" ca="1" si="0"/>
        <v>55</v>
      </c>
      <c r="J74" s="297">
        <f t="shared" si="5"/>
        <v>152</v>
      </c>
      <c r="K74" s="297" t="str">
        <f t="shared" si="6"/>
        <v>Match</v>
      </c>
      <c r="L74" t="s">
        <v>1669</v>
      </c>
      <c r="M74">
        <v>65</v>
      </c>
      <c r="O74" t="s">
        <v>1669</v>
      </c>
      <c r="P74" s="299" t="str">
        <f t="shared" ca="1" si="3"/>
        <v>#'Cybersecurity Controls'!E55</v>
      </c>
      <c r="Q74" s="258" t="str">
        <f t="shared" ca="1" si="4"/>
        <v>DS</v>
      </c>
    </row>
    <row r="75" spans="2:17" x14ac:dyDescent="0.25">
      <c r="B75" s="130" t="s">
        <v>257</v>
      </c>
      <c r="C75" s="130" t="str">
        <f ca="1">'Cybersecurity Controls'!$A$3</f>
        <v>Cybersecurity Controls</v>
      </c>
      <c r="D75" t="s">
        <v>263</v>
      </c>
      <c r="E75" t="s">
        <v>296</v>
      </c>
      <c r="F75" t="s">
        <v>27</v>
      </c>
      <c r="G75" t="s">
        <v>313</v>
      </c>
      <c r="H75" s="296">
        <v>66</v>
      </c>
      <c r="I75" s="297">
        <f t="shared" ref="I75:I132" ca="1" si="7">MATCH(G75,INDIRECT("'"&amp;C75&amp;"'!$E$8:$E$250"),0)+7</f>
        <v>56</v>
      </c>
      <c r="J75" s="297">
        <f t="shared" si="5"/>
        <v>147</v>
      </c>
      <c r="K75" s="297" t="str">
        <f t="shared" si="6"/>
        <v>Match</v>
      </c>
      <c r="L75" t="s">
        <v>1671</v>
      </c>
      <c r="M75">
        <v>66</v>
      </c>
      <c r="O75" t="s">
        <v>1671</v>
      </c>
      <c r="P75" s="299" t="str">
        <f t="shared" ref="P75:P132" ca="1" si="8">"#'"&amp;C75&amp;"'!E"&amp;I75</f>
        <v>#'Cybersecurity Controls'!E56</v>
      </c>
      <c r="Q75" s="258" t="str">
        <f t="shared" ref="Q75:Q132" ca="1" si="9">HYPERLINK(P75,"DS")</f>
        <v>DS</v>
      </c>
    </row>
    <row r="76" spans="2:17" x14ac:dyDescent="0.25">
      <c r="B76" s="130" t="s">
        <v>257</v>
      </c>
      <c r="C76" s="130" t="str">
        <f ca="1">'Cybersecurity Controls'!$A$3</f>
        <v>Cybersecurity Controls</v>
      </c>
      <c r="D76" t="s">
        <v>263</v>
      </c>
      <c r="E76" t="s">
        <v>296</v>
      </c>
      <c r="F76" t="s">
        <v>27</v>
      </c>
      <c r="G76" t="s">
        <v>314</v>
      </c>
      <c r="H76" s="296">
        <v>67</v>
      </c>
      <c r="I76" s="297">
        <f t="shared" ca="1" si="7"/>
        <v>57</v>
      </c>
      <c r="J76" s="297">
        <f t="shared" si="5"/>
        <v>98</v>
      </c>
      <c r="K76" s="297" t="str">
        <f t="shared" si="6"/>
        <v>Match</v>
      </c>
      <c r="L76" t="s">
        <v>2064</v>
      </c>
      <c r="M76">
        <v>67</v>
      </c>
      <c r="O76" t="s">
        <v>2064</v>
      </c>
      <c r="P76" s="299" t="str">
        <f t="shared" ca="1" si="8"/>
        <v>#'Cybersecurity Controls'!E57</v>
      </c>
      <c r="Q76" s="258" t="str">
        <f t="shared" ca="1" si="9"/>
        <v>DS</v>
      </c>
    </row>
    <row r="77" spans="2:17" x14ac:dyDescent="0.25">
      <c r="B77" s="130" t="s">
        <v>257</v>
      </c>
      <c r="C77" s="130" t="str">
        <f ca="1">'Cybersecurity Controls'!$A$3</f>
        <v>Cybersecurity Controls</v>
      </c>
      <c r="D77" t="s">
        <v>263</v>
      </c>
      <c r="E77" t="s">
        <v>335</v>
      </c>
      <c r="F77" t="s">
        <v>27</v>
      </c>
      <c r="G77" t="s">
        <v>336</v>
      </c>
      <c r="H77" s="296">
        <v>68</v>
      </c>
      <c r="I77" s="297">
        <f t="shared" ca="1" si="7"/>
        <v>78</v>
      </c>
      <c r="J77" s="297">
        <f t="shared" si="5"/>
        <v>81</v>
      </c>
      <c r="K77" s="297" t="str">
        <f t="shared" si="6"/>
        <v>Match</v>
      </c>
      <c r="L77" t="s">
        <v>1681</v>
      </c>
      <c r="M77">
        <v>68</v>
      </c>
      <c r="O77" t="s">
        <v>1681</v>
      </c>
      <c r="P77" s="299" t="str">
        <f t="shared" ca="1" si="8"/>
        <v>#'Cybersecurity Controls'!E78</v>
      </c>
      <c r="Q77" s="258" t="str">
        <f t="shared" ca="1" si="9"/>
        <v>DS</v>
      </c>
    </row>
    <row r="78" spans="2:17" x14ac:dyDescent="0.25">
      <c r="B78" s="130" t="s">
        <v>257</v>
      </c>
      <c r="C78" s="130" t="str">
        <f ca="1">'Cybersecurity Controls'!$A$3</f>
        <v>Cybersecurity Controls</v>
      </c>
      <c r="D78" t="s">
        <v>263</v>
      </c>
      <c r="E78" t="s">
        <v>350</v>
      </c>
      <c r="F78" t="s">
        <v>27</v>
      </c>
      <c r="G78" t="s">
        <v>351</v>
      </c>
      <c r="H78" s="296">
        <v>69</v>
      </c>
      <c r="I78" s="297">
        <f t="shared" ca="1" si="7"/>
        <v>92</v>
      </c>
      <c r="J78" s="297">
        <f t="shared" si="5"/>
        <v>155</v>
      </c>
      <c r="K78" s="297" t="str">
        <f t="shared" si="6"/>
        <v>Match</v>
      </c>
      <c r="L78" t="s">
        <v>1687</v>
      </c>
      <c r="M78">
        <v>69</v>
      </c>
      <c r="O78" t="s">
        <v>1687</v>
      </c>
      <c r="P78" s="299" t="str">
        <f t="shared" ca="1" si="8"/>
        <v>#'Cybersecurity Controls'!E92</v>
      </c>
      <c r="Q78" s="258" t="str">
        <f t="shared" ca="1" si="9"/>
        <v>DS</v>
      </c>
    </row>
    <row r="79" spans="2:17" x14ac:dyDescent="0.25">
      <c r="B79" s="130" t="s">
        <v>257</v>
      </c>
      <c r="C79" s="130" t="str">
        <f ca="1">'Cybersecurity Controls'!$A$3</f>
        <v>Cybersecurity Controls</v>
      </c>
      <c r="D79" t="s">
        <v>263</v>
      </c>
      <c r="E79" t="s">
        <v>350</v>
      </c>
      <c r="F79" t="s">
        <v>27</v>
      </c>
      <c r="G79" t="s">
        <v>352</v>
      </c>
      <c r="H79" s="296">
        <v>70</v>
      </c>
      <c r="I79" s="297">
        <f t="shared" ca="1" si="7"/>
        <v>93</v>
      </c>
      <c r="J79" s="297">
        <f t="shared" si="5"/>
        <v>132</v>
      </c>
      <c r="K79" s="297" t="str">
        <f t="shared" si="6"/>
        <v>Match</v>
      </c>
      <c r="L79" t="s">
        <v>2065</v>
      </c>
      <c r="M79">
        <v>70</v>
      </c>
      <c r="O79" t="s">
        <v>2065</v>
      </c>
      <c r="P79" s="299" t="str">
        <f t="shared" ca="1" si="8"/>
        <v>#'Cybersecurity Controls'!E93</v>
      </c>
      <c r="Q79" s="258" t="str">
        <f t="shared" ca="1" si="9"/>
        <v>DS</v>
      </c>
    </row>
    <row r="80" spans="2:17" x14ac:dyDescent="0.25">
      <c r="B80" s="130" t="s">
        <v>257</v>
      </c>
      <c r="C80" s="130" t="str">
        <f ca="1">'Cybersecurity Controls'!$A$3</f>
        <v>Cybersecurity Controls</v>
      </c>
      <c r="D80" t="s">
        <v>263</v>
      </c>
      <c r="E80" t="s">
        <v>350</v>
      </c>
      <c r="F80" t="s">
        <v>27</v>
      </c>
      <c r="G80" t="s">
        <v>353</v>
      </c>
      <c r="H80" s="296">
        <v>71</v>
      </c>
      <c r="I80" s="297">
        <f t="shared" ca="1" si="7"/>
        <v>94</v>
      </c>
      <c r="J80" s="297">
        <f t="shared" si="5"/>
        <v>167</v>
      </c>
      <c r="K80" s="297" t="str">
        <f t="shared" si="6"/>
        <v>Match</v>
      </c>
      <c r="L80" t="s">
        <v>1701</v>
      </c>
      <c r="M80">
        <v>71</v>
      </c>
      <c r="O80" t="s">
        <v>1701</v>
      </c>
      <c r="P80" s="299" t="str">
        <f t="shared" ca="1" si="8"/>
        <v>#'Cybersecurity Controls'!E94</v>
      </c>
      <c r="Q80" s="258" t="str">
        <f t="shared" ca="1" si="9"/>
        <v>DS</v>
      </c>
    </row>
    <row r="81" spans="2:17" x14ac:dyDescent="0.25">
      <c r="B81" s="130" t="s">
        <v>257</v>
      </c>
      <c r="C81" s="130" t="str">
        <f ca="1">'Cybersecurity Controls'!$A$3</f>
        <v>Cybersecurity Controls</v>
      </c>
      <c r="D81" t="s">
        <v>263</v>
      </c>
      <c r="E81" t="s">
        <v>350</v>
      </c>
      <c r="F81" t="s">
        <v>27</v>
      </c>
      <c r="G81" t="s">
        <v>354</v>
      </c>
      <c r="H81" s="296">
        <v>72</v>
      </c>
      <c r="I81" s="297">
        <f t="shared" ca="1" si="7"/>
        <v>95</v>
      </c>
      <c r="J81" s="297">
        <f t="shared" si="5"/>
        <v>114</v>
      </c>
      <c r="K81" s="297" t="str">
        <f t="shared" si="6"/>
        <v>Match</v>
      </c>
      <c r="L81" t="s">
        <v>1711</v>
      </c>
      <c r="M81">
        <v>72</v>
      </c>
      <c r="O81" t="s">
        <v>1711</v>
      </c>
      <c r="P81" s="299" t="str">
        <f t="shared" ca="1" si="8"/>
        <v>#'Cybersecurity Controls'!E95</v>
      </c>
      <c r="Q81" s="258" t="str">
        <f t="shared" ca="1" si="9"/>
        <v>DS</v>
      </c>
    </row>
    <row r="82" spans="2:17" x14ac:dyDescent="0.25">
      <c r="B82" s="130" t="s">
        <v>257</v>
      </c>
      <c r="C82" s="130" t="str">
        <f ca="1">'Cybersecurity Controls'!$A$3</f>
        <v>Cybersecurity Controls</v>
      </c>
      <c r="D82" t="s">
        <v>364</v>
      </c>
      <c r="E82" t="s">
        <v>612</v>
      </c>
      <c r="F82" t="s">
        <v>27</v>
      </c>
      <c r="G82" t="s">
        <v>365</v>
      </c>
      <c r="H82" s="296">
        <v>73</v>
      </c>
      <c r="I82" s="297">
        <f t="shared" ca="1" si="7"/>
        <v>105</v>
      </c>
      <c r="J82" s="297">
        <f t="shared" si="5"/>
        <v>174</v>
      </c>
      <c r="K82" s="297" t="str">
        <f t="shared" si="6"/>
        <v>Match</v>
      </c>
      <c r="L82" t="s">
        <v>1716</v>
      </c>
      <c r="M82">
        <v>73</v>
      </c>
      <c r="O82" t="s">
        <v>1716</v>
      </c>
      <c r="P82" s="299" t="str">
        <f t="shared" ca="1" si="8"/>
        <v>#'Cybersecurity Controls'!E105</v>
      </c>
      <c r="Q82" s="258" t="str">
        <f t="shared" ca="1" si="9"/>
        <v>DS</v>
      </c>
    </row>
    <row r="83" spans="2:17" x14ac:dyDescent="0.25">
      <c r="B83" s="130" t="s">
        <v>257</v>
      </c>
      <c r="C83" s="130" t="str">
        <f ca="1">'Cybersecurity Controls'!$A$3</f>
        <v>Cybersecurity Controls</v>
      </c>
      <c r="D83" t="s">
        <v>364</v>
      </c>
      <c r="E83" t="s">
        <v>612</v>
      </c>
      <c r="F83" t="s">
        <v>27</v>
      </c>
      <c r="G83" t="s">
        <v>366</v>
      </c>
      <c r="H83" s="296">
        <v>74</v>
      </c>
      <c r="I83" s="297">
        <f t="shared" ca="1" si="7"/>
        <v>106</v>
      </c>
      <c r="J83" s="297">
        <f t="shared" si="5"/>
        <v>56</v>
      </c>
      <c r="K83" s="297" t="str">
        <f t="shared" si="6"/>
        <v>Match</v>
      </c>
      <c r="L83" t="s">
        <v>2066</v>
      </c>
      <c r="M83">
        <v>74</v>
      </c>
      <c r="O83" t="s">
        <v>2066</v>
      </c>
      <c r="P83" s="299" t="str">
        <f t="shared" ca="1" si="8"/>
        <v>#'Cybersecurity Controls'!E106</v>
      </c>
      <c r="Q83" s="258" t="str">
        <f t="shared" ca="1" si="9"/>
        <v>DS</v>
      </c>
    </row>
    <row r="84" spans="2:17" x14ac:dyDescent="0.25">
      <c r="B84" s="130" t="s">
        <v>257</v>
      </c>
      <c r="C84" s="130" t="str">
        <f ca="1">'Cybersecurity Controls'!$A$3</f>
        <v>Cybersecurity Controls</v>
      </c>
      <c r="D84" t="s">
        <v>364</v>
      </c>
      <c r="E84" t="s">
        <v>612</v>
      </c>
      <c r="F84" t="s">
        <v>27</v>
      </c>
      <c r="G84" t="s">
        <v>367</v>
      </c>
      <c r="H84" s="296">
        <v>75</v>
      </c>
      <c r="I84" s="297">
        <f t="shared" ca="1" si="7"/>
        <v>107</v>
      </c>
      <c r="J84" s="297">
        <f t="shared" si="5"/>
        <v>54</v>
      </c>
      <c r="K84" s="297" t="str">
        <f t="shared" si="6"/>
        <v>Match</v>
      </c>
      <c r="L84" t="s">
        <v>1725</v>
      </c>
      <c r="M84">
        <v>75</v>
      </c>
      <c r="O84" t="s">
        <v>1725</v>
      </c>
      <c r="P84" s="299" t="str">
        <f t="shared" ca="1" si="8"/>
        <v>#'Cybersecurity Controls'!E107</v>
      </c>
      <c r="Q84" s="258" t="str">
        <f t="shared" ca="1" si="9"/>
        <v>DS</v>
      </c>
    </row>
    <row r="85" spans="2:17" x14ac:dyDescent="0.25">
      <c r="B85" s="130" t="s">
        <v>257</v>
      </c>
      <c r="C85" s="130" t="str">
        <f ca="1">'Cybersecurity Controls'!$A$3</f>
        <v>Cybersecurity Controls</v>
      </c>
      <c r="D85" t="s">
        <v>364</v>
      </c>
      <c r="E85" t="s">
        <v>612</v>
      </c>
      <c r="F85" t="s">
        <v>27</v>
      </c>
      <c r="G85" t="s">
        <v>368</v>
      </c>
      <c r="H85" s="296">
        <v>76</v>
      </c>
      <c r="I85" s="297">
        <f t="shared" ca="1" si="7"/>
        <v>108</v>
      </c>
      <c r="J85" s="297">
        <f t="shared" si="5"/>
        <v>113</v>
      </c>
      <c r="K85" s="297" t="str">
        <f t="shared" si="6"/>
        <v>Match</v>
      </c>
      <c r="L85" t="s">
        <v>1727</v>
      </c>
      <c r="M85">
        <v>76</v>
      </c>
      <c r="O85" t="s">
        <v>1727</v>
      </c>
      <c r="P85" s="299" t="str">
        <f t="shared" ca="1" si="8"/>
        <v>#'Cybersecurity Controls'!E108</v>
      </c>
      <c r="Q85" s="258" t="str">
        <f t="shared" ca="1" si="9"/>
        <v>DS</v>
      </c>
    </row>
    <row r="86" spans="2:17" x14ac:dyDescent="0.25">
      <c r="B86" s="130" t="s">
        <v>257</v>
      </c>
      <c r="C86" s="130" t="str">
        <f ca="1">'Cybersecurity Controls'!$A$3</f>
        <v>Cybersecurity Controls</v>
      </c>
      <c r="D86" t="s">
        <v>364</v>
      </c>
      <c r="E86" t="s">
        <v>387</v>
      </c>
      <c r="F86" t="s">
        <v>27</v>
      </c>
      <c r="G86" t="s">
        <v>382</v>
      </c>
      <c r="H86" s="296">
        <v>77</v>
      </c>
      <c r="I86" s="297">
        <f t="shared" ca="1" si="7"/>
        <v>122</v>
      </c>
      <c r="J86" s="297">
        <f t="shared" si="5"/>
        <v>93</v>
      </c>
      <c r="K86" s="297" t="str">
        <f t="shared" si="6"/>
        <v>Match</v>
      </c>
      <c r="L86" t="s">
        <v>1728</v>
      </c>
      <c r="M86">
        <v>77</v>
      </c>
      <c r="O86" t="s">
        <v>1728</v>
      </c>
      <c r="P86" s="299" t="str">
        <f t="shared" ca="1" si="8"/>
        <v>#'Cybersecurity Controls'!E122</v>
      </c>
      <c r="Q86" s="258" t="str">
        <f t="shared" ca="1" si="9"/>
        <v>DS</v>
      </c>
    </row>
    <row r="87" spans="2:17" x14ac:dyDescent="0.25">
      <c r="B87" s="130" t="s">
        <v>257</v>
      </c>
      <c r="C87" s="130" t="str">
        <f ca="1">'Cybersecurity Controls'!$A$3</f>
        <v>Cybersecurity Controls</v>
      </c>
      <c r="D87" t="s">
        <v>364</v>
      </c>
      <c r="E87" t="s">
        <v>387</v>
      </c>
      <c r="F87" t="s">
        <v>27</v>
      </c>
      <c r="G87" t="s">
        <v>383</v>
      </c>
      <c r="H87" s="296">
        <v>78</v>
      </c>
      <c r="I87" s="297">
        <f t="shared" ca="1" si="7"/>
        <v>123</v>
      </c>
      <c r="J87" s="297">
        <f t="shared" si="5"/>
        <v>82</v>
      </c>
      <c r="K87" s="297" t="str">
        <f t="shared" si="6"/>
        <v>Match</v>
      </c>
      <c r="L87" t="s">
        <v>1730</v>
      </c>
      <c r="M87">
        <v>78</v>
      </c>
      <c r="O87" t="s">
        <v>1730</v>
      </c>
      <c r="P87" s="299" t="str">
        <f t="shared" ca="1" si="8"/>
        <v>#'Cybersecurity Controls'!E123</v>
      </c>
      <c r="Q87" s="258" t="str">
        <f t="shared" ca="1" si="9"/>
        <v>DS</v>
      </c>
    </row>
    <row r="88" spans="2:17" x14ac:dyDescent="0.25">
      <c r="B88" s="130" t="s">
        <v>257</v>
      </c>
      <c r="C88" s="130" t="str">
        <f ca="1">'Cybersecurity Controls'!$A$3</f>
        <v>Cybersecurity Controls</v>
      </c>
      <c r="D88" t="s">
        <v>364</v>
      </c>
      <c r="E88" t="s">
        <v>387</v>
      </c>
      <c r="F88" t="s">
        <v>27</v>
      </c>
      <c r="G88" t="s">
        <v>384</v>
      </c>
      <c r="H88" s="296">
        <v>79</v>
      </c>
      <c r="I88" s="297">
        <f t="shared" ca="1" si="7"/>
        <v>124</v>
      </c>
      <c r="J88" s="297">
        <f t="shared" si="5"/>
        <v>65</v>
      </c>
      <c r="K88" s="297" t="str">
        <f t="shared" si="6"/>
        <v>Match</v>
      </c>
      <c r="L88" t="s">
        <v>1734</v>
      </c>
      <c r="M88">
        <v>79</v>
      </c>
      <c r="O88" t="s">
        <v>1734</v>
      </c>
      <c r="P88" s="299" t="str">
        <f t="shared" ca="1" si="8"/>
        <v>#'Cybersecurity Controls'!E124</v>
      </c>
      <c r="Q88" s="258" t="str">
        <f t="shared" ca="1" si="9"/>
        <v>DS</v>
      </c>
    </row>
    <row r="89" spans="2:17" x14ac:dyDescent="0.25">
      <c r="B89" s="130" t="s">
        <v>257</v>
      </c>
      <c r="C89" s="130" t="str">
        <f ca="1">'Cybersecurity Controls'!$A$3</f>
        <v>Cybersecurity Controls</v>
      </c>
      <c r="D89" t="s">
        <v>364</v>
      </c>
      <c r="E89" t="s">
        <v>387</v>
      </c>
      <c r="F89" t="s">
        <v>27</v>
      </c>
      <c r="G89" t="s">
        <v>385</v>
      </c>
      <c r="H89" s="296">
        <v>80</v>
      </c>
      <c r="I89" s="297">
        <f t="shared" ca="1" si="7"/>
        <v>125</v>
      </c>
      <c r="J89" s="297">
        <f t="shared" si="5"/>
        <v>90</v>
      </c>
      <c r="K89" s="297" t="str">
        <f t="shared" si="6"/>
        <v>Match</v>
      </c>
      <c r="L89" t="s">
        <v>1738</v>
      </c>
      <c r="M89">
        <v>80</v>
      </c>
      <c r="O89" t="s">
        <v>1738</v>
      </c>
      <c r="P89" s="299" t="str">
        <f t="shared" ca="1" si="8"/>
        <v>#'Cybersecurity Controls'!E125</v>
      </c>
      <c r="Q89" s="258" t="str">
        <f t="shared" ca="1" si="9"/>
        <v>DS</v>
      </c>
    </row>
    <row r="90" spans="2:17" x14ac:dyDescent="0.25">
      <c r="B90" s="130" t="s">
        <v>257</v>
      </c>
      <c r="C90" s="130" t="str">
        <f ca="1">'Cybersecurity Controls'!$A$3</f>
        <v>Cybersecurity Controls</v>
      </c>
      <c r="D90" t="s">
        <v>364</v>
      </c>
      <c r="E90" t="s">
        <v>387</v>
      </c>
      <c r="F90" t="s">
        <v>27</v>
      </c>
      <c r="G90" t="s">
        <v>386</v>
      </c>
      <c r="H90" s="296">
        <v>81</v>
      </c>
      <c r="I90" s="297">
        <f t="shared" ca="1" si="7"/>
        <v>126</v>
      </c>
      <c r="J90" s="297">
        <f t="shared" si="5"/>
        <v>30</v>
      </c>
      <c r="K90" s="297" t="str">
        <f t="shared" si="6"/>
        <v>Match</v>
      </c>
      <c r="L90" t="s">
        <v>2067</v>
      </c>
      <c r="M90">
        <v>81</v>
      </c>
      <c r="O90" t="s">
        <v>2067</v>
      </c>
      <c r="P90" s="299" t="str">
        <f t="shared" ca="1" si="8"/>
        <v>#'Cybersecurity Controls'!E126</v>
      </c>
      <c r="Q90" s="258" t="str">
        <f t="shared" ca="1" si="9"/>
        <v>DS</v>
      </c>
    </row>
    <row r="91" spans="2:17" x14ac:dyDescent="0.25">
      <c r="B91" s="130" t="s">
        <v>257</v>
      </c>
      <c r="C91" s="130" t="str">
        <f ca="1">'Cybersecurity Controls'!$A$3</f>
        <v>Cybersecurity Controls</v>
      </c>
      <c r="D91" t="s">
        <v>364</v>
      </c>
      <c r="E91" t="s">
        <v>410</v>
      </c>
      <c r="F91" t="s">
        <v>27</v>
      </c>
      <c r="G91" t="s">
        <v>405</v>
      </c>
      <c r="H91" s="296">
        <v>82</v>
      </c>
      <c r="I91" s="297">
        <f t="shared" ca="1" si="7"/>
        <v>144</v>
      </c>
      <c r="J91" s="297">
        <f t="shared" si="5"/>
        <v>46</v>
      </c>
      <c r="K91" s="297" t="str">
        <f t="shared" si="6"/>
        <v>Match</v>
      </c>
      <c r="L91" t="s">
        <v>1742</v>
      </c>
      <c r="M91">
        <v>82</v>
      </c>
      <c r="O91" t="s">
        <v>1742</v>
      </c>
      <c r="P91" s="299" t="str">
        <f t="shared" ca="1" si="8"/>
        <v>#'Cybersecurity Controls'!E144</v>
      </c>
      <c r="Q91" s="258" t="str">
        <f t="shared" ca="1" si="9"/>
        <v>DS</v>
      </c>
    </row>
    <row r="92" spans="2:17" x14ac:dyDescent="0.25">
      <c r="B92" s="130" t="s">
        <v>257</v>
      </c>
      <c r="C92" s="130" t="str">
        <f ca="1">'Cybersecurity Controls'!$A$3</f>
        <v>Cybersecurity Controls</v>
      </c>
      <c r="D92" t="s">
        <v>364</v>
      </c>
      <c r="E92" t="s">
        <v>410</v>
      </c>
      <c r="F92" t="s">
        <v>27</v>
      </c>
      <c r="G92" t="s">
        <v>406</v>
      </c>
      <c r="H92" s="296">
        <v>83</v>
      </c>
      <c r="I92" s="297">
        <f t="shared" ca="1" si="7"/>
        <v>145</v>
      </c>
      <c r="J92" s="297">
        <f t="shared" si="5"/>
        <v>104</v>
      </c>
      <c r="K92" s="297" t="str">
        <f t="shared" si="6"/>
        <v>Match</v>
      </c>
      <c r="L92" t="s">
        <v>2068</v>
      </c>
      <c r="M92">
        <v>83</v>
      </c>
      <c r="O92" t="s">
        <v>2068</v>
      </c>
      <c r="P92" s="299" t="str">
        <f t="shared" ca="1" si="8"/>
        <v>#'Cybersecurity Controls'!E145</v>
      </c>
      <c r="Q92" s="258" t="str">
        <f t="shared" ca="1" si="9"/>
        <v>DS</v>
      </c>
    </row>
    <row r="93" spans="2:17" x14ac:dyDescent="0.25">
      <c r="B93" s="130" t="s">
        <v>257</v>
      </c>
      <c r="C93" s="130" t="str">
        <f ca="1">'Cybersecurity Controls'!$A$3</f>
        <v>Cybersecurity Controls</v>
      </c>
      <c r="D93" t="s">
        <v>364</v>
      </c>
      <c r="E93" t="s">
        <v>410</v>
      </c>
      <c r="F93" t="s">
        <v>27</v>
      </c>
      <c r="G93" t="s">
        <v>407</v>
      </c>
      <c r="H93" s="296">
        <v>84</v>
      </c>
      <c r="I93" s="297">
        <f t="shared" ca="1" si="7"/>
        <v>146</v>
      </c>
      <c r="J93" s="297">
        <f t="shared" si="5"/>
        <v>105</v>
      </c>
      <c r="K93" s="297" t="str">
        <f t="shared" si="6"/>
        <v>Match</v>
      </c>
      <c r="L93" t="s">
        <v>1750</v>
      </c>
      <c r="M93">
        <v>84</v>
      </c>
      <c r="O93" t="s">
        <v>1750</v>
      </c>
      <c r="P93" s="299" t="str">
        <f t="shared" ca="1" si="8"/>
        <v>#'Cybersecurity Controls'!E146</v>
      </c>
      <c r="Q93" s="258" t="str">
        <f t="shared" ca="1" si="9"/>
        <v>DS</v>
      </c>
    </row>
    <row r="94" spans="2:17" x14ac:dyDescent="0.25">
      <c r="B94" s="130" t="s">
        <v>257</v>
      </c>
      <c r="C94" s="130" t="str">
        <f ca="1">'Cybersecurity Controls'!$A$3</f>
        <v>Cybersecurity Controls</v>
      </c>
      <c r="D94" t="s">
        <v>364</v>
      </c>
      <c r="E94" t="s">
        <v>410</v>
      </c>
      <c r="F94" t="s">
        <v>27</v>
      </c>
      <c r="G94" t="s">
        <v>408</v>
      </c>
      <c r="H94" s="296">
        <v>85</v>
      </c>
      <c r="I94" s="297">
        <f t="shared" ca="1" si="7"/>
        <v>147</v>
      </c>
      <c r="J94" s="297">
        <f t="shared" si="5"/>
        <v>89</v>
      </c>
      <c r="K94" s="297" t="str">
        <f t="shared" si="6"/>
        <v>Match</v>
      </c>
      <c r="L94" t="s">
        <v>1752</v>
      </c>
      <c r="M94">
        <v>85</v>
      </c>
      <c r="O94" t="s">
        <v>1752</v>
      </c>
      <c r="P94" s="299" t="str">
        <f t="shared" ca="1" si="8"/>
        <v>#'Cybersecurity Controls'!E147</v>
      </c>
      <c r="Q94" s="258" t="str">
        <f t="shared" ca="1" si="9"/>
        <v>DS</v>
      </c>
    </row>
    <row r="95" spans="2:17" x14ac:dyDescent="0.25">
      <c r="B95" s="130" t="s">
        <v>257</v>
      </c>
      <c r="C95" s="130" t="str">
        <f ca="1">'Cybersecurity Controls'!$A$3</f>
        <v>Cybersecurity Controls</v>
      </c>
      <c r="D95" t="s">
        <v>364</v>
      </c>
      <c r="E95" t="s">
        <v>410</v>
      </c>
      <c r="F95" t="s">
        <v>27</v>
      </c>
      <c r="G95" t="s">
        <v>409</v>
      </c>
      <c r="H95" s="296">
        <v>86</v>
      </c>
      <c r="I95" s="297">
        <f t="shared" ca="1" si="7"/>
        <v>148</v>
      </c>
      <c r="J95" s="297">
        <f t="shared" si="5"/>
        <v>74</v>
      </c>
      <c r="K95" s="297" t="str">
        <f t="shared" si="6"/>
        <v>Match</v>
      </c>
      <c r="L95" t="s">
        <v>1756</v>
      </c>
      <c r="M95">
        <v>86</v>
      </c>
      <c r="O95" t="s">
        <v>1756</v>
      </c>
      <c r="P95" s="299" t="str">
        <f t="shared" ca="1" si="8"/>
        <v>#'Cybersecurity Controls'!E148</v>
      </c>
      <c r="Q95" s="258" t="str">
        <f t="shared" ca="1" si="9"/>
        <v>DS</v>
      </c>
    </row>
    <row r="96" spans="2:17" x14ac:dyDescent="0.25">
      <c r="B96" s="130" t="s">
        <v>257</v>
      </c>
      <c r="C96" s="130" t="str">
        <f ca="1">'Cybersecurity Controls'!$A$3</f>
        <v>Cybersecurity Controls</v>
      </c>
      <c r="D96" t="s">
        <v>421</v>
      </c>
      <c r="E96" t="s">
        <v>422</v>
      </c>
      <c r="F96" t="s">
        <v>27</v>
      </c>
      <c r="G96" t="s">
        <v>423</v>
      </c>
      <c r="H96" s="296">
        <v>87</v>
      </c>
      <c r="I96" s="297">
        <f t="shared" ca="1" si="7"/>
        <v>159</v>
      </c>
      <c r="J96" s="297">
        <f t="shared" si="5"/>
        <v>116</v>
      </c>
      <c r="K96" s="297" t="str">
        <f t="shared" si="6"/>
        <v>Match</v>
      </c>
      <c r="L96" t="s">
        <v>1758</v>
      </c>
      <c r="M96">
        <v>87</v>
      </c>
      <c r="O96" t="s">
        <v>1758</v>
      </c>
      <c r="P96" s="299" t="str">
        <f t="shared" ca="1" si="8"/>
        <v>#'Cybersecurity Controls'!E159</v>
      </c>
      <c r="Q96" s="258" t="str">
        <f t="shared" ca="1" si="9"/>
        <v>DS</v>
      </c>
    </row>
    <row r="97" spans="2:17" x14ac:dyDescent="0.25">
      <c r="B97" s="130" t="s">
        <v>257</v>
      </c>
      <c r="C97" s="130" t="str">
        <f ca="1">'Cybersecurity Controls'!$A$3</f>
        <v>Cybersecurity Controls</v>
      </c>
      <c r="D97" t="s">
        <v>421</v>
      </c>
      <c r="E97" t="s">
        <v>422</v>
      </c>
      <c r="F97" t="s">
        <v>27</v>
      </c>
      <c r="G97" t="s">
        <v>424</v>
      </c>
      <c r="H97" s="296">
        <v>88</v>
      </c>
      <c r="I97" s="297">
        <f t="shared" ca="1" si="7"/>
        <v>160</v>
      </c>
      <c r="J97" s="297">
        <f t="shared" si="5"/>
        <v>63</v>
      </c>
      <c r="K97" s="297" t="str">
        <f t="shared" si="6"/>
        <v>Match</v>
      </c>
      <c r="L97" t="s">
        <v>1763</v>
      </c>
      <c r="M97">
        <v>88</v>
      </c>
      <c r="O97" t="s">
        <v>1763</v>
      </c>
      <c r="P97" s="299" t="str">
        <f t="shared" ca="1" si="8"/>
        <v>#'Cybersecurity Controls'!E160</v>
      </c>
      <c r="Q97" s="258" t="str">
        <f t="shared" ca="1" si="9"/>
        <v>DS</v>
      </c>
    </row>
    <row r="98" spans="2:17" x14ac:dyDescent="0.25">
      <c r="B98" s="130" t="s">
        <v>257</v>
      </c>
      <c r="C98" s="130" t="str">
        <f ca="1">'Cybersecurity Controls'!$A$3</f>
        <v>Cybersecurity Controls</v>
      </c>
      <c r="D98" t="s">
        <v>421</v>
      </c>
      <c r="E98" t="s">
        <v>422</v>
      </c>
      <c r="F98" t="s">
        <v>27</v>
      </c>
      <c r="G98" t="s">
        <v>425</v>
      </c>
      <c r="H98" s="296">
        <v>89</v>
      </c>
      <c r="I98" s="297">
        <f t="shared" ca="1" si="7"/>
        <v>161</v>
      </c>
      <c r="J98" s="297">
        <f t="shared" si="5"/>
        <v>71</v>
      </c>
      <c r="K98" s="297" t="str">
        <f t="shared" si="6"/>
        <v>Match</v>
      </c>
      <c r="L98" t="s">
        <v>1764</v>
      </c>
      <c r="M98">
        <v>89</v>
      </c>
      <c r="O98" t="s">
        <v>1764</v>
      </c>
      <c r="P98" s="299" t="str">
        <f t="shared" ca="1" si="8"/>
        <v>#'Cybersecurity Controls'!E161</v>
      </c>
      <c r="Q98" s="258" t="str">
        <f t="shared" ca="1" si="9"/>
        <v>DS</v>
      </c>
    </row>
    <row r="99" spans="2:17" x14ac:dyDescent="0.25">
      <c r="B99" s="130" t="s">
        <v>257</v>
      </c>
      <c r="C99" s="130" t="str">
        <f ca="1">'Cybersecurity Controls'!$A$3</f>
        <v>Cybersecurity Controls</v>
      </c>
      <c r="D99" t="s">
        <v>421</v>
      </c>
      <c r="E99" t="s">
        <v>436</v>
      </c>
      <c r="F99" t="s">
        <v>27</v>
      </c>
      <c r="G99" t="s">
        <v>437</v>
      </c>
      <c r="H99" s="296">
        <v>90</v>
      </c>
      <c r="I99" s="297">
        <f t="shared" ca="1" si="7"/>
        <v>172</v>
      </c>
      <c r="J99" s="297">
        <f t="shared" si="5"/>
        <v>159</v>
      </c>
      <c r="K99" s="297" t="str">
        <f t="shared" si="6"/>
        <v>Match</v>
      </c>
      <c r="L99" t="s">
        <v>1766</v>
      </c>
      <c r="M99">
        <v>90</v>
      </c>
      <c r="O99" t="s">
        <v>1766</v>
      </c>
      <c r="P99" s="299" t="str">
        <f t="shared" ca="1" si="8"/>
        <v>#'Cybersecurity Controls'!E172</v>
      </c>
      <c r="Q99" s="258" t="str">
        <f t="shared" ca="1" si="9"/>
        <v>DS</v>
      </c>
    </row>
    <row r="100" spans="2:17" x14ac:dyDescent="0.25">
      <c r="B100" s="130" t="s">
        <v>260</v>
      </c>
      <c r="C100" s="130" t="str">
        <f ca="1">'External Dependency'!$A$3</f>
        <v>External Dependency</v>
      </c>
      <c r="D100" t="s">
        <v>448</v>
      </c>
      <c r="E100" t="s">
        <v>448</v>
      </c>
      <c r="F100" t="s">
        <v>27</v>
      </c>
      <c r="G100" t="s">
        <v>449</v>
      </c>
      <c r="H100" s="296">
        <v>91</v>
      </c>
      <c r="I100" s="297">
        <f t="shared" ca="1" si="7"/>
        <v>9</v>
      </c>
      <c r="J100" s="297">
        <f t="shared" si="5"/>
        <v>93</v>
      </c>
      <c r="K100" s="297" t="str">
        <f t="shared" si="6"/>
        <v>Match</v>
      </c>
      <c r="L100" t="s">
        <v>1770</v>
      </c>
      <c r="M100">
        <v>91</v>
      </c>
      <c r="O100" t="s">
        <v>1770</v>
      </c>
      <c r="P100" s="299" t="str">
        <f t="shared" ca="1" si="8"/>
        <v>#'External Dependency'!E9</v>
      </c>
      <c r="Q100" s="258" t="str">
        <f t="shared" ca="1" si="9"/>
        <v>DS</v>
      </c>
    </row>
    <row r="101" spans="2:17" x14ac:dyDescent="0.25">
      <c r="B101" s="130" t="s">
        <v>260</v>
      </c>
      <c r="C101" s="130" t="str">
        <f ca="1">'External Dependency'!$A$3</f>
        <v>External Dependency</v>
      </c>
      <c r="D101" t="s">
        <v>448</v>
      </c>
      <c r="E101" t="s">
        <v>448</v>
      </c>
      <c r="F101" t="s">
        <v>27</v>
      </c>
      <c r="G101" t="s">
        <v>450</v>
      </c>
      <c r="H101" s="296">
        <v>92</v>
      </c>
      <c r="I101" s="297">
        <f t="shared" ca="1" si="7"/>
        <v>10</v>
      </c>
      <c r="J101" s="297">
        <f t="shared" si="5"/>
        <v>64</v>
      </c>
      <c r="K101" s="297" t="str">
        <f t="shared" si="6"/>
        <v>Match</v>
      </c>
      <c r="L101" t="s">
        <v>1774</v>
      </c>
      <c r="M101">
        <v>92</v>
      </c>
      <c r="O101" t="s">
        <v>1774</v>
      </c>
      <c r="P101" s="299" t="str">
        <f t="shared" ca="1" si="8"/>
        <v>#'External Dependency'!E10</v>
      </c>
      <c r="Q101" s="258" t="str">
        <f t="shared" ca="1" si="9"/>
        <v>DS</v>
      </c>
    </row>
    <row r="102" spans="2:17" x14ac:dyDescent="0.25">
      <c r="B102" s="130" t="s">
        <v>260</v>
      </c>
      <c r="C102" s="130" t="str">
        <f ca="1">'External Dependency'!$A$3</f>
        <v>External Dependency</v>
      </c>
      <c r="D102" t="s">
        <v>448</v>
      </c>
      <c r="E102" t="s">
        <v>448</v>
      </c>
      <c r="F102" t="s">
        <v>27</v>
      </c>
      <c r="G102" t="s">
        <v>451</v>
      </c>
      <c r="H102" s="296">
        <v>93</v>
      </c>
      <c r="I102" s="297">
        <f t="shared" ca="1" si="7"/>
        <v>11</v>
      </c>
      <c r="J102" s="297">
        <f t="shared" si="5"/>
        <v>66</v>
      </c>
      <c r="K102" s="297" t="str">
        <f t="shared" si="6"/>
        <v>Match</v>
      </c>
      <c r="L102" t="s">
        <v>1777</v>
      </c>
      <c r="M102">
        <v>93</v>
      </c>
      <c r="O102" t="s">
        <v>1777</v>
      </c>
      <c r="P102" s="299" t="str">
        <f t="shared" ca="1" si="8"/>
        <v>#'External Dependency'!E11</v>
      </c>
      <c r="Q102" s="258" t="str">
        <f t="shared" ca="1" si="9"/>
        <v>DS</v>
      </c>
    </row>
    <row r="103" spans="2:17" x14ac:dyDescent="0.25">
      <c r="B103" s="130" t="s">
        <v>260</v>
      </c>
      <c r="C103" s="130" t="str">
        <f ca="1">'External Dependency'!$A$3</f>
        <v>External Dependency</v>
      </c>
      <c r="D103" t="s">
        <v>448</v>
      </c>
      <c r="E103" t="s">
        <v>448</v>
      </c>
      <c r="F103" t="s">
        <v>27</v>
      </c>
      <c r="G103" t="s">
        <v>452</v>
      </c>
      <c r="H103" s="296">
        <v>94</v>
      </c>
      <c r="I103" s="297">
        <f t="shared" ca="1" si="7"/>
        <v>12</v>
      </c>
      <c r="J103" s="297">
        <f t="shared" si="5"/>
        <v>78</v>
      </c>
      <c r="K103" s="297" t="str">
        <f t="shared" si="6"/>
        <v>Match</v>
      </c>
      <c r="L103" t="s">
        <v>1781</v>
      </c>
      <c r="M103">
        <v>94</v>
      </c>
      <c r="O103" t="s">
        <v>1781</v>
      </c>
      <c r="P103" s="299" t="str">
        <f t="shared" ca="1" si="8"/>
        <v>#'External Dependency'!E12</v>
      </c>
      <c r="Q103" s="258" t="str">
        <f t="shared" ca="1" si="9"/>
        <v>DS</v>
      </c>
    </row>
    <row r="104" spans="2:17" x14ac:dyDescent="0.25">
      <c r="B104" s="130" t="s">
        <v>260</v>
      </c>
      <c r="C104" s="130" t="str">
        <f ca="1">'External Dependency'!$A$3</f>
        <v>External Dependency</v>
      </c>
      <c r="D104" t="s">
        <v>465</v>
      </c>
      <c r="E104" t="s">
        <v>466</v>
      </c>
      <c r="F104" t="s">
        <v>27</v>
      </c>
      <c r="G104" t="s">
        <v>467</v>
      </c>
      <c r="H104" s="296">
        <v>95</v>
      </c>
      <c r="I104" s="297">
        <f t="shared" ca="1" si="7"/>
        <v>25</v>
      </c>
      <c r="J104" s="297">
        <f t="shared" ref="J104:J115" si="10">FIND("(FF",G104)-$J$8</f>
        <v>197</v>
      </c>
      <c r="K104" s="297" t="str">
        <f t="shared" ref="K104:K115" si="11">IF(LEFT(G104,J104)=LEFT(L104,J104),"Match","No Match")</f>
        <v>Match</v>
      </c>
      <c r="L104" t="s">
        <v>1782</v>
      </c>
      <c r="M104">
        <v>95</v>
      </c>
      <c r="O104" t="s">
        <v>1782</v>
      </c>
      <c r="P104" s="299" t="str">
        <f t="shared" ca="1" si="8"/>
        <v>#'External Dependency'!E25</v>
      </c>
      <c r="Q104" s="258" t="str">
        <f t="shared" ca="1" si="9"/>
        <v>DS</v>
      </c>
    </row>
    <row r="105" spans="2:17" x14ac:dyDescent="0.25">
      <c r="B105" s="130" t="s">
        <v>260</v>
      </c>
      <c r="C105" s="130" t="str">
        <f ca="1">'External Dependency'!$A$3</f>
        <v>External Dependency</v>
      </c>
      <c r="D105" t="s">
        <v>465</v>
      </c>
      <c r="E105" t="s">
        <v>466</v>
      </c>
      <c r="F105" t="s">
        <v>27</v>
      </c>
      <c r="G105" t="s">
        <v>468</v>
      </c>
      <c r="H105" s="296">
        <v>96</v>
      </c>
      <c r="I105" s="297">
        <f t="shared" ca="1" si="7"/>
        <v>26</v>
      </c>
      <c r="J105" s="297">
        <f t="shared" si="10"/>
        <v>50</v>
      </c>
      <c r="K105" s="297" t="str">
        <f t="shared" si="11"/>
        <v>Match</v>
      </c>
      <c r="L105" t="s">
        <v>1790</v>
      </c>
      <c r="M105">
        <v>96</v>
      </c>
      <c r="O105" t="s">
        <v>1790</v>
      </c>
      <c r="P105" s="299" t="str">
        <f t="shared" ca="1" si="8"/>
        <v>#'External Dependency'!E26</v>
      </c>
      <c r="Q105" s="258" t="str">
        <f t="shared" ca="1" si="9"/>
        <v>DS</v>
      </c>
    </row>
    <row r="106" spans="2:17" x14ac:dyDescent="0.25">
      <c r="B106" s="130" t="s">
        <v>260</v>
      </c>
      <c r="C106" s="130" t="str">
        <f ca="1">'External Dependency'!$A$3</f>
        <v>External Dependency</v>
      </c>
      <c r="D106" t="s">
        <v>465</v>
      </c>
      <c r="E106" t="s">
        <v>466</v>
      </c>
      <c r="F106" t="s">
        <v>27</v>
      </c>
      <c r="G106" t="s">
        <v>469</v>
      </c>
      <c r="H106" s="296">
        <v>97</v>
      </c>
      <c r="I106" s="297">
        <f t="shared" ca="1" si="7"/>
        <v>27</v>
      </c>
      <c r="J106" s="297">
        <f t="shared" si="10"/>
        <v>72</v>
      </c>
      <c r="K106" s="297" t="str">
        <f t="shared" si="11"/>
        <v>Match</v>
      </c>
      <c r="L106" t="s">
        <v>1794</v>
      </c>
      <c r="M106">
        <v>97</v>
      </c>
      <c r="O106" t="s">
        <v>1794</v>
      </c>
      <c r="P106" s="299" t="str">
        <f t="shared" ca="1" si="8"/>
        <v>#'External Dependency'!E27</v>
      </c>
      <c r="Q106" s="258" t="str">
        <f t="shared" ca="1" si="9"/>
        <v>DS</v>
      </c>
    </row>
    <row r="107" spans="2:17" x14ac:dyDescent="0.25">
      <c r="B107" s="130" t="s">
        <v>260</v>
      </c>
      <c r="C107" s="130" t="str">
        <f ca="1">'External Dependency'!$A$3</f>
        <v>External Dependency</v>
      </c>
      <c r="D107" t="s">
        <v>465</v>
      </c>
      <c r="E107" t="s">
        <v>478</v>
      </c>
      <c r="F107" t="s">
        <v>27</v>
      </c>
      <c r="G107" t="s">
        <v>479</v>
      </c>
      <c r="H107" s="296">
        <v>98</v>
      </c>
      <c r="I107" s="297">
        <f t="shared" ca="1" si="7"/>
        <v>36</v>
      </c>
      <c r="J107" s="297">
        <f t="shared" si="10"/>
        <v>184</v>
      </c>
      <c r="K107" s="297" t="str">
        <f t="shared" si="11"/>
        <v>Match</v>
      </c>
      <c r="L107" t="s">
        <v>1804</v>
      </c>
      <c r="M107">
        <v>98</v>
      </c>
      <c r="O107" t="s">
        <v>1804</v>
      </c>
      <c r="P107" s="299" t="str">
        <f t="shared" ca="1" si="8"/>
        <v>#'External Dependency'!E36</v>
      </c>
      <c r="Q107" s="258" t="str">
        <f t="shared" ca="1" si="9"/>
        <v>DS</v>
      </c>
    </row>
    <row r="108" spans="2:17" x14ac:dyDescent="0.25">
      <c r="B108" s="130" t="s">
        <v>260</v>
      </c>
      <c r="C108" s="130" t="str">
        <f ca="1">'External Dependency'!$A$3</f>
        <v>External Dependency</v>
      </c>
      <c r="D108" t="s">
        <v>465</v>
      </c>
      <c r="E108" t="s">
        <v>478</v>
      </c>
      <c r="F108" t="s">
        <v>27</v>
      </c>
      <c r="G108" t="s">
        <v>480</v>
      </c>
      <c r="H108" s="296">
        <v>99</v>
      </c>
      <c r="I108" s="297">
        <f t="shared" ca="1" si="7"/>
        <v>37</v>
      </c>
      <c r="J108" s="297">
        <f t="shared" si="10"/>
        <v>161</v>
      </c>
      <c r="K108" s="297" t="str">
        <f t="shared" si="11"/>
        <v>Match</v>
      </c>
      <c r="L108" t="s">
        <v>1810</v>
      </c>
      <c r="M108">
        <v>99</v>
      </c>
      <c r="O108" t="s">
        <v>1810</v>
      </c>
      <c r="P108" s="299" t="str">
        <f t="shared" ca="1" si="8"/>
        <v>#'External Dependency'!E37</v>
      </c>
      <c r="Q108" s="258" t="str">
        <f t="shared" ca="1" si="9"/>
        <v>DS</v>
      </c>
    </row>
    <row r="109" spans="2:17" x14ac:dyDescent="0.25">
      <c r="B109" s="130" t="s">
        <v>260</v>
      </c>
      <c r="C109" s="130" t="str">
        <f ca="1">'External Dependency'!$A$3</f>
        <v>External Dependency</v>
      </c>
      <c r="D109" t="s">
        <v>465</v>
      </c>
      <c r="E109" t="s">
        <v>478</v>
      </c>
      <c r="F109" t="s">
        <v>27</v>
      </c>
      <c r="G109" t="s">
        <v>481</v>
      </c>
      <c r="H109" s="296">
        <v>100</v>
      </c>
      <c r="I109" s="297">
        <f t="shared" ca="1" si="7"/>
        <v>38</v>
      </c>
      <c r="J109" s="297">
        <f t="shared" si="10"/>
        <v>116</v>
      </c>
      <c r="K109" s="297" t="str">
        <f t="shared" si="11"/>
        <v>Match</v>
      </c>
      <c r="L109" t="s">
        <v>1813</v>
      </c>
      <c r="M109">
        <v>100</v>
      </c>
      <c r="O109" t="s">
        <v>1813</v>
      </c>
      <c r="P109" s="299" t="str">
        <f t="shared" ca="1" si="8"/>
        <v>#'External Dependency'!E38</v>
      </c>
      <c r="Q109" s="258" t="str">
        <f t="shared" ca="1" si="9"/>
        <v>DS</v>
      </c>
    </row>
    <row r="110" spans="2:17" x14ac:dyDescent="0.25">
      <c r="B110" s="130" t="s">
        <v>260</v>
      </c>
      <c r="C110" s="130" t="str">
        <f ca="1">'External Dependency'!$A$3</f>
        <v>External Dependency</v>
      </c>
      <c r="D110" t="s">
        <v>465</v>
      </c>
      <c r="E110" t="s">
        <v>478</v>
      </c>
      <c r="F110" t="s">
        <v>27</v>
      </c>
      <c r="G110" t="s">
        <v>482</v>
      </c>
      <c r="H110" s="296">
        <v>101</v>
      </c>
      <c r="I110" s="297">
        <f t="shared" ca="1" si="7"/>
        <v>39</v>
      </c>
      <c r="J110" s="297">
        <f t="shared" si="10"/>
        <v>123</v>
      </c>
      <c r="K110" s="297" t="str">
        <f t="shared" si="11"/>
        <v>Match</v>
      </c>
      <c r="L110" t="s">
        <v>1817</v>
      </c>
      <c r="M110">
        <v>101</v>
      </c>
      <c r="O110" t="s">
        <v>1817</v>
      </c>
      <c r="P110" s="299" t="str">
        <f t="shared" ca="1" si="8"/>
        <v>#'External Dependency'!E39</v>
      </c>
      <c r="Q110" s="258" t="str">
        <f t="shared" ca="1" si="9"/>
        <v>DS</v>
      </c>
    </row>
    <row r="111" spans="2:17" x14ac:dyDescent="0.25">
      <c r="B111" s="130" t="s">
        <v>260</v>
      </c>
      <c r="C111" s="130" t="str">
        <f ca="1">'External Dependency'!$A$3</f>
        <v>External Dependency</v>
      </c>
      <c r="D111" t="s">
        <v>465</v>
      </c>
      <c r="E111" t="s">
        <v>478</v>
      </c>
      <c r="F111" t="s">
        <v>27</v>
      </c>
      <c r="G111" t="s">
        <v>483</v>
      </c>
      <c r="H111" s="296">
        <v>102</v>
      </c>
      <c r="I111" s="297">
        <f t="shared" ca="1" si="7"/>
        <v>40</v>
      </c>
      <c r="J111" s="297">
        <f t="shared" si="10"/>
        <v>70</v>
      </c>
      <c r="K111" s="297" t="str">
        <f t="shared" si="11"/>
        <v>Match</v>
      </c>
      <c r="L111" t="s">
        <v>1821</v>
      </c>
      <c r="M111">
        <v>102</v>
      </c>
      <c r="O111" t="s">
        <v>1821</v>
      </c>
      <c r="P111" s="299" t="str">
        <f t="shared" ca="1" si="8"/>
        <v>#'External Dependency'!E40</v>
      </c>
      <c r="Q111" s="258" t="str">
        <f t="shared" ca="1" si="9"/>
        <v>DS</v>
      </c>
    </row>
    <row r="112" spans="2:17" x14ac:dyDescent="0.25">
      <c r="B112" s="130" t="s">
        <v>260</v>
      </c>
      <c r="C112" s="130" t="str">
        <f ca="1">'External Dependency'!$A$3</f>
        <v>External Dependency</v>
      </c>
      <c r="D112" t="s">
        <v>465</v>
      </c>
      <c r="E112" t="s">
        <v>478</v>
      </c>
      <c r="F112" t="s">
        <v>27</v>
      </c>
      <c r="G112" t="s">
        <v>484</v>
      </c>
      <c r="H112" s="296">
        <v>103</v>
      </c>
      <c r="I112" s="297">
        <f t="shared" ca="1" si="7"/>
        <v>41</v>
      </c>
      <c r="J112" s="297">
        <f t="shared" si="10"/>
        <v>104</v>
      </c>
      <c r="K112" s="297" t="str">
        <f t="shared" si="11"/>
        <v>Match</v>
      </c>
      <c r="L112" t="s">
        <v>1825</v>
      </c>
      <c r="M112">
        <v>103</v>
      </c>
      <c r="O112" t="s">
        <v>1825</v>
      </c>
      <c r="P112" s="299" t="str">
        <f t="shared" ca="1" si="8"/>
        <v>#'External Dependency'!E41</v>
      </c>
      <c r="Q112" s="258" t="str">
        <f t="shared" ca="1" si="9"/>
        <v>DS</v>
      </c>
    </row>
    <row r="113" spans="2:17" x14ac:dyDescent="0.25">
      <c r="B113" s="130" t="s">
        <v>260</v>
      </c>
      <c r="C113" s="130" t="str">
        <f ca="1">'External Dependency'!$A$3</f>
        <v>External Dependency</v>
      </c>
      <c r="D113" t="s">
        <v>465</v>
      </c>
      <c r="E113" t="s">
        <v>492</v>
      </c>
      <c r="F113" t="s">
        <v>27</v>
      </c>
      <c r="G113" t="s">
        <v>493</v>
      </c>
      <c r="H113" s="296">
        <v>104</v>
      </c>
      <c r="I113" s="297">
        <f t="shared" ca="1" si="7"/>
        <v>49</v>
      </c>
      <c r="J113" s="297">
        <f t="shared" si="10"/>
        <v>49</v>
      </c>
      <c r="K113" s="297" t="str">
        <f t="shared" si="11"/>
        <v>Match</v>
      </c>
      <c r="L113" t="s">
        <v>1827</v>
      </c>
      <c r="M113">
        <v>104</v>
      </c>
      <c r="O113" t="s">
        <v>1827</v>
      </c>
      <c r="P113" s="299" t="str">
        <f t="shared" ca="1" si="8"/>
        <v>#'External Dependency'!E49</v>
      </c>
      <c r="Q113" s="258" t="str">
        <f t="shared" ca="1" si="9"/>
        <v>DS</v>
      </c>
    </row>
    <row r="114" spans="2:17" x14ac:dyDescent="0.25">
      <c r="B114" s="130" t="s">
        <v>260</v>
      </c>
      <c r="C114" s="130" t="str">
        <f ca="1">'External Dependency'!$A$3</f>
        <v>External Dependency</v>
      </c>
      <c r="D114" t="s">
        <v>465</v>
      </c>
      <c r="E114" t="s">
        <v>492</v>
      </c>
      <c r="F114" t="s">
        <v>27</v>
      </c>
      <c r="G114" t="s">
        <v>494</v>
      </c>
      <c r="H114" s="296">
        <v>105</v>
      </c>
      <c r="I114" s="297">
        <f t="shared" ca="1" si="7"/>
        <v>50</v>
      </c>
      <c r="J114" s="297">
        <f t="shared" si="10"/>
        <v>145</v>
      </c>
      <c r="K114" s="297" t="str">
        <f t="shared" si="11"/>
        <v>Match</v>
      </c>
      <c r="L114" t="s">
        <v>1829</v>
      </c>
      <c r="M114">
        <v>105</v>
      </c>
      <c r="O114" t="s">
        <v>1829</v>
      </c>
      <c r="P114" s="299" t="str">
        <f t="shared" ca="1" si="8"/>
        <v>#'External Dependency'!E50</v>
      </c>
      <c r="Q114" s="258" t="str">
        <f t="shared" ca="1" si="9"/>
        <v>DS</v>
      </c>
    </row>
    <row r="115" spans="2:17" x14ac:dyDescent="0.25">
      <c r="B115" s="130" t="s">
        <v>260</v>
      </c>
      <c r="C115" s="130" t="str">
        <f ca="1">'External Dependency'!$A$3</f>
        <v>External Dependency</v>
      </c>
      <c r="D115" t="s">
        <v>465</v>
      </c>
      <c r="E115" t="s">
        <v>492</v>
      </c>
      <c r="F115" t="s">
        <v>27</v>
      </c>
      <c r="G115" t="s">
        <v>495</v>
      </c>
      <c r="H115" s="296">
        <v>106</v>
      </c>
      <c r="I115" s="297">
        <f t="shared" ca="1" si="7"/>
        <v>51</v>
      </c>
      <c r="J115" s="297">
        <f t="shared" si="10"/>
        <v>84</v>
      </c>
      <c r="K115" s="297" t="str">
        <f t="shared" si="11"/>
        <v>Match</v>
      </c>
      <c r="L115" t="s">
        <v>1836</v>
      </c>
      <c r="M115">
        <v>106</v>
      </c>
      <c r="O115" t="s">
        <v>1836</v>
      </c>
      <c r="P115" s="299" t="str">
        <f t="shared" ca="1" si="8"/>
        <v>#'External Dependency'!E51</v>
      </c>
      <c r="Q115" s="258" t="str">
        <f t="shared" ca="1" si="9"/>
        <v>DS</v>
      </c>
    </row>
    <row r="116" spans="2:17" x14ac:dyDescent="0.25">
      <c r="B116" t="s">
        <v>261</v>
      </c>
      <c r="C116" s="297" t="str">
        <f ca="1">'Cyber Incidence'!$A$3</f>
        <v>Cyber Incidence</v>
      </c>
      <c r="D116" s="130" t="s">
        <v>510</v>
      </c>
      <c r="E116" t="s">
        <v>511</v>
      </c>
      <c r="F116" t="s">
        <v>27</v>
      </c>
      <c r="G116" t="s">
        <v>504</v>
      </c>
      <c r="H116" s="297">
        <v>107</v>
      </c>
      <c r="I116" s="297">
        <f t="shared" ca="1" si="7"/>
        <v>9</v>
      </c>
      <c r="J116" s="297">
        <f t="shared" ref="J116:J132" si="12">FIND("(FF",G116)-$J$8</f>
        <v>76</v>
      </c>
      <c r="K116" s="297" t="str">
        <f t="shared" ref="K116:K132" si="13">IF(LEFT(G116,J116)=LEFT(L116,J116),"Match","No Match")</f>
        <v>Match</v>
      </c>
      <c r="L116" t="s">
        <v>1842</v>
      </c>
      <c r="M116">
        <v>107</v>
      </c>
      <c r="O116" t="s">
        <v>1842</v>
      </c>
      <c r="P116" s="299" t="str">
        <f t="shared" ca="1" si="8"/>
        <v>#'Cyber Incidence'!E9</v>
      </c>
      <c r="Q116" s="258" t="str">
        <f t="shared" ca="1" si="9"/>
        <v>DS</v>
      </c>
    </row>
    <row r="117" spans="2:17" x14ac:dyDescent="0.25">
      <c r="B117" s="297" t="s">
        <v>261</v>
      </c>
      <c r="C117" s="297" t="str">
        <f ca="1">'Cyber Incidence'!$A$3</f>
        <v>Cyber Incidence</v>
      </c>
      <c r="D117" s="130" t="s">
        <v>510</v>
      </c>
      <c r="E117" t="s">
        <v>511</v>
      </c>
      <c r="F117" t="s">
        <v>27</v>
      </c>
      <c r="G117" t="s">
        <v>505</v>
      </c>
      <c r="H117" s="297">
        <v>108</v>
      </c>
      <c r="I117" s="297">
        <f t="shared" ca="1" si="7"/>
        <v>10</v>
      </c>
      <c r="J117" s="297">
        <f t="shared" si="12"/>
        <v>115</v>
      </c>
      <c r="K117" s="297" t="str">
        <f t="shared" si="13"/>
        <v>Match</v>
      </c>
      <c r="L117" t="s">
        <v>1851</v>
      </c>
      <c r="M117">
        <v>108</v>
      </c>
      <c r="O117" t="s">
        <v>1851</v>
      </c>
      <c r="P117" s="299" t="str">
        <f t="shared" ca="1" si="8"/>
        <v>#'Cyber Incidence'!E10</v>
      </c>
      <c r="Q117" s="258" t="str">
        <f t="shared" ca="1" si="9"/>
        <v>DS</v>
      </c>
    </row>
    <row r="118" spans="2:17" x14ac:dyDescent="0.25">
      <c r="B118" s="297" t="s">
        <v>261</v>
      </c>
      <c r="C118" s="297" t="str">
        <f ca="1">'Cyber Incidence'!$A$3</f>
        <v>Cyber Incidence</v>
      </c>
      <c r="D118" s="130" t="s">
        <v>510</v>
      </c>
      <c r="E118" t="s">
        <v>511</v>
      </c>
      <c r="F118" t="s">
        <v>27</v>
      </c>
      <c r="G118" t="s">
        <v>506</v>
      </c>
      <c r="H118" s="297">
        <v>109</v>
      </c>
      <c r="I118" s="297">
        <f t="shared" ca="1" si="7"/>
        <v>11</v>
      </c>
      <c r="J118" s="297">
        <f t="shared" si="12"/>
        <v>70</v>
      </c>
      <c r="K118" s="297" t="str">
        <f t="shared" si="13"/>
        <v>Match</v>
      </c>
      <c r="L118" t="s">
        <v>1855</v>
      </c>
      <c r="M118">
        <v>109</v>
      </c>
      <c r="O118" t="s">
        <v>1855</v>
      </c>
      <c r="P118" s="299" t="str">
        <f t="shared" ca="1" si="8"/>
        <v>#'Cyber Incidence'!E11</v>
      </c>
      <c r="Q118" s="258" t="str">
        <f t="shared" ca="1" si="9"/>
        <v>DS</v>
      </c>
    </row>
    <row r="119" spans="2:17" x14ac:dyDescent="0.25">
      <c r="B119" s="297" t="s">
        <v>261</v>
      </c>
      <c r="C119" s="297" t="str">
        <f ca="1">'Cyber Incidence'!$A$3</f>
        <v>Cyber Incidence</v>
      </c>
      <c r="D119" s="130" t="s">
        <v>510</v>
      </c>
      <c r="E119" t="s">
        <v>511</v>
      </c>
      <c r="F119" t="s">
        <v>27</v>
      </c>
      <c r="G119" t="s">
        <v>507</v>
      </c>
      <c r="H119" s="297">
        <v>110</v>
      </c>
      <c r="I119" s="297">
        <v>12</v>
      </c>
      <c r="J119" s="297">
        <f t="shared" si="12"/>
        <v>211</v>
      </c>
      <c r="K119" s="297" t="str">
        <f t="shared" si="13"/>
        <v>Match</v>
      </c>
      <c r="L119" t="s">
        <v>2069</v>
      </c>
      <c r="M119">
        <v>110</v>
      </c>
      <c r="O119" t="s">
        <v>2069</v>
      </c>
      <c r="P119" s="299" t="str">
        <f t="shared" ca="1" si="8"/>
        <v>#'Cyber Incidence'!E12</v>
      </c>
      <c r="Q119" s="258" t="str">
        <f t="shared" ca="1" si="9"/>
        <v>DS</v>
      </c>
    </row>
    <row r="120" spans="2:17" x14ac:dyDescent="0.25">
      <c r="B120" s="297" t="s">
        <v>261</v>
      </c>
      <c r="C120" s="297" t="str">
        <f ca="1">'Cyber Incidence'!$A$3</f>
        <v>Cyber Incidence</v>
      </c>
      <c r="D120" t="s">
        <v>510</v>
      </c>
      <c r="E120" t="s">
        <v>511</v>
      </c>
      <c r="F120" t="s">
        <v>27</v>
      </c>
      <c r="G120" t="s">
        <v>508</v>
      </c>
      <c r="H120" s="297">
        <v>111</v>
      </c>
      <c r="I120" s="297">
        <f t="shared" ca="1" si="7"/>
        <v>13</v>
      </c>
      <c r="J120" s="297">
        <f t="shared" si="12"/>
        <v>69</v>
      </c>
      <c r="K120" s="297" t="str">
        <f t="shared" si="13"/>
        <v>Match</v>
      </c>
      <c r="L120" t="s">
        <v>1863</v>
      </c>
      <c r="M120">
        <v>111</v>
      </c>
      <c r="O120" t="s">
        <v>1863</v>
      </c>
      <c r="P120" s="299" t="str">
        <f t="shared" ca="1" si="8"/>
        <v>#'Cyber Incidence'!E13</v>
      </c>
      <c r="Q120" s="258" t="str">
        <f t="shared" ca="1" si="9"/>
        <v>DS</v>
      </c>
    </row>
    <row r="121" spans="2:17" x14ac:dyDescent="0.25">
      <c r="B121" s="297" t="s">
        <v>261</v>
      </c>
      <c r="C121" s="297" t="str">
        <f ca="1">'Cyber Incidence'!$A$3</f>
        <v>Cyber Incidence</v>
      </c>
      <c r="D121" t="s">
        <v>510</v>
      </c>
      <c r="E121" t="s">
        <v>511</v>
      </c>
      <c r="F121" t="s">
        <v>27</v>
      </c>
      <c r="G121" t="s">
        <v>509</v>
      </c>
      <c r="H121" s="297">
        <v>112</v>
      </c>
      <c r="I121" s="297">
        <f t="shared" ca="1" si="7"/>
        <v>14</v>
      </c>
      <c r="J121" s="297">
        <f t="shared" si="12"/>
        <v>134</v>
      </c>
      <c r="K121" s="297" t="str">
        <f t="shared" si="13"/>
        <v>Match</v>
      </c>
      <c r="L121" t="s">
        <v>2070</v>
      </c>
      <c r="M121">
        <v>112</v>
      </c>
      <c r="O121" t="s">
        <v>2070</v>
      </c>
      <c r="P121" s="299" t="str">
        <f t="shared" ca="1" si="8"/>
        <v>#'Cyber Incidence'!E14</v>
      </c>
      <c r="Q121" s="258" t="str">
        <f t="shared" ca="1" si="9"/>
        <v>DS</v>
      </c>
    </row>
    <row r="122" spans="2:17" x14ac:dyDescent="0.25">
      <c r="B122" s="297" t="s">
        <v>261</v>
      </c>
      <c r="C122" s="297" t="str">
        <f ca="1">'Cyber Incidence'!$A$3</f>
        <v>Cyber Incidence</v>
      </c>
      <c r="D122" t="s">
        <v>510</v>
      </c>
      <c r="E122" t="s">
        <v>529</v>
      </c>
      <c r="F122" t="s">
        <v>27</v>
      </c>
      <c r="G122" t="s">
        <v>526</v>
      </c>
      <c r="H122" s="297">
        <v>113</v>
      </c>
      <c r="I122" s="297">
        <f t="shared" ca="1" si="7"/>
        <v>29</v>
      </c>
      <c r="J122" s="297">
        <f t="shared" si="12"/>
        <v>58</v>
      </c>
      <c r="K122" s="297" t="str">
        <f t="shared" si="13"/>
        <v>Match</v>
      </c>
      <c r="L122" t="s">
        <v>1873</v>
      </c>
      <c r="M122">
        <v>113</v>
      </c>
      <c r="O122" t="s">
        <v>1873</v>
      </c>
      <c r="P122" s="299" t="str">
        <f t="shared" ca="1" si="8"/>
        <v>#'Cyber Incidence'!E29</v>
      </c>
      <c r="Q122" s="258" t="str">
        <f t="shared" ca="1" si="9"/>
        <v>DS</v>
      </c>
    </row>
    <row r="123" spans="2:17" x14ac:dyDescent="0.25">
      <c r="B123" s="297" t="s">
        <v>261</v>
      </c>
      <c r="C123" s="297" t="str">
        <f ca="1">'Cyber Incidence'!$A$3</f>
        <v>Cyber Incidence</v>
      </c>
      <c r="D123" t="s">
        <v>510</v>
      </c>
      <c r="E123" t="s">
        <v>529</v>
      </c>
      <c r="F123" t="s">
        <v>27</v>
      </c>
      <c r="G123" t="s">
        <v>527</v>
      </c>
      <c r="H123" s="297">
        <v>114</v>
      </c>
      <c r="I123" s="297">
        <f t="shared" ca="1" si="7"/>
        <v>30</v>
      </c>
      <c r="J123" s="297">
        <f t="shared" si="12"/>
        <v>75</v>
      </c>
      <c r="K123" s="297" t="str">
        <f t="shared" si="13"/>
        <v>Match</v>
      </c>
      <c r="L123" t="s">
        <v>1879</v>
      </c>
      <c r="M123">
        <v>114</v>
      </c>
      <c r="O123" t="s">
        <v>1879</v>
      </c>
      <c r="P123" s="299" t="str">
        <f t="shared" ca="1" si="8"/>
        <v>#'Cyber Incidence'!E30</v>
      </c>
      <c r="Q123" s="258" t="str">
        <f t="shared" ca="1" si="9"/>
        <v>DS</v>
      </c>
    </row>
    <row r="124" spans="2:17" x14ac:dyDescent="0.25">
      <c r="B124" s="297" t="s">
        <v>261</v>
      </c>
      <c r="C124" s="297" t="str">
        <f ca="1">'Cyber Incidence'!$A$3</f>
        <v>Cyber Incidence</v>
      </c>
      <c r="D124" t="s">
        <v>510</v>
      </c>
      <c r="E124" t="s">
        <v>529</v>
      </c>
      <c r="F124" t="s">
        <v>27</v>
      </c>
      <c r="G124" t="s">
        <v>528</v>
      </c>
      <c r="H124" s="297">
        <v>115</v>
      </c>
      <c r="I124" s="297">
        <f t="shared" ca="1" si="7"/>
        <v>31</v>
      </c>
      <c r="J124" s="297">
        <f t="shared" si="12"/>
        <v>65</v>
      </c>
      <c r="K124" s="297" t="str">
        <f t="shared" si="13"/>
        <v>Match</v>
      </c>
      <c r="L124" t="s">
        <v>1883</v>
      </c>
      <c r="M124">
        <v>115</v>
      </c>
      <c r="O124" t="s">
        <v>1883</v>
      </c>
      <c r="P124" s="299" t="str">
        <f t="shared" ca="1" si="8"/>
        <v>#'Cyber Incidence'!E31</v>
      </c>
      <c r="Q124" s="258" t="str">
        <f t="shared" ca="1" si="9"/>
        <v>DS</v>
      </c>
    </row>
    <row r="125" spans="2:17" x14ac:dyDescent="0.25">
      <c r="B125" s="297" t="s">
        <v>261</v>
      </c>
      <c r="C125" s="297" t="str">
        <f ca="1">'Cyber Incidence'!$A$3</f>
        <v>Cyber Incidence</v>
      </c>
      <c r="D125" t="s">
        <v>547</v>
      </c>
      <c r="E125" t="s">
        <v>548</v>
      </c>
      <c r="F125" t="s">
        <v>27</v>
      </c>
      <c r="G125" t="s">
        <v>549</v>
      </c>
      <c r="H125" s="297">
        <v>116</v>
      </c>
      <c r="I125" s="297">
        <f t="shared" ca="1" si="7"/>
        <v>49</v>
      </c>
      <c r="J125" s="297">
        <f t="shared" si="12"/>
        <v>97</v>
      </c>
      <c r="K125" s="297" t="str">
        <f t="shared" si="13"/>
        <v>Match</v>
      </c>
      <c r="L125" t="s">
        <v>1888</v>
      </c>
      <c r="M125">
        <v>116</v>
      </c>
      <c r="O125" t="s">
        <v>1888</v>
      </c>
      <c r="P125" s="299" t="str">
        <f t="shared" ca="1" si="8"/>
        <v>#'Cyber Incidence'!E49</v>
      </c>
      <c r="Q125" s="258" t="str">
        <f t="shared" ca="1" si="9"/>
        <v>DS</v>
      </c>
    </row>
    <row r="126" spans="2:17" x14ac:dyDescent="0.25">
      <c r="B126" s="297" t="s">
        <v>261</v>
      </c>
      <c r="C126" s="297" t="str">
        <f ca="1">'Cyber Incidence'!$A$3</f>
        <v>Cyber Incidence</v>
      </c>
      <c r="D126" s="130" t="s">
        <v>547</v>
      </c>
      <c r="E126" s="296" t="s">
        <v>548</v>
      </c>
      <c r="F126" t="s">
        <v>27</v>
      </c>
      <c r="G126" t="s">
        <v>550</v>
      </c>
      <c r="H126" s="297">
        <v>117</v>
      </c>
      <c r="I126" s="297">
        <f t="shared" ca="1" si="7"/>
        <v>50</v>
      </c>
      <c r="J126" s="297">
        <f t="shared" si="12"/>
        <v>121</v>
      </c>
      <c r="K126" s="297" t="str">
        <f t="shared" si="13"/>
        <v>Match</v>
      </c>
      <c r="L126" t="s">
        <v>1894</v>
      </c>
      <c r="M126">
        <v>117</v>
      </c>
      <c r="O126" t="s">
        <v>1894</v>
      </c>
      <c r="P126" s="299" t="str">
        <f t="shared" ca="1" si="8"/>
        <v>#'Cyber Incidence'!E50</v>
      </c>
      <c r="Q126" s="258" t="str">
        <f t="shared" ca="1" si="9"/>
        <v>DS</v>
      </c>
    </row>
    <row r="127" spans="2:17" x14ac:dyDescent="0.25">
      <c r="B127" s="297" t="s">
        <v>261</v>
      </c>
      <c r="C127" s="297" t="str">
        <f ca="1">'Cyber Incidence'!$A$3</f>
        <v>Cyber Incidence</v>
      </c>
      <c r="D127" s="130" t="s">
        <v>547</v>
      </c>
      <c r="E127" s="296" t="s">
        <v>548</v>
      </c>
      <c r="F127" t="s">
        <v>27</v>
      </c>
      <c r="G127" t="s">
        <v>551</v>
      </c>
      <c r="H127" s="297">
        <v>118</v>
      </c>
      <c r="I127" s="297">
        <f t="shared" ca="1" si="7"/>
        <v>51</v>
      </c>
      <c r="J127" s="297">
        <f t="shared" si="12"/>
        <v>89</v>
      </c>
      <c r="K127" s="297" t="str">
        <f t="shared" si="13"/>
        <v>Match</v>
      </c>
      <c r="L127" t="s">
        <v>1897</v>
      </c>
      <c r="M127">
        <v>118</v>
      </c>
      <c r="O127" t="s">
        <v>1897</v>
      </c>
      <c r="P127" s="299" t="str">
        <f t="shared" ca="1" si="8"/>
        <v>#'Cyber Incidence'!E51</v>
      </c>
      <c r="Q127" s="258" t="str">
        <f t="shared" ca="1" si="9"/>
        <v>DS</v>
      </c>
    </row>
    <row r="128" spans="2:17" x14ac:dyDescent="0.25">
      <c r="B128" s="297" t="s">
        <v>261</v>
      </c>
      <c r="C128" s="297" t="str">
        <f ca="1">'Cyber Incidence'!$A$3</f>
        <v>Cyber Incidence</v>
      </c>
      <c r="D128" s="130" t="s">
        <v>547</v>
      </c>
      <c r="E128" s="296" t="s">
        <v>562</v>
      </c>
      <c r="F128" t="s">
        <v>27</v>
      </c>
      <c r="G128" t="s">
        <v>561</v>
      </c>
      <c r="H128" s="297">
        <v>119</v>
      </c>
      <c r="I128" s="297">
        <f t="shared" ca="1" si="7"/>
        <v>61</v>
      </c>
      <c r="J128" s="297">
        <f t="shared" si="12"/>
        <v>132</v>
      </c>
      <c r="K128" s="297" t="str">
        <f t="shared" si="13"/>
        <v>Match</v>
      </c>
      <c r="L128" t="s">
        <v>1901</v>
      </c>
      <c r="M128">
        <v>119</v>
      </c>
      <c r="O128" t="s">
        <v>1901</v>
      </c>
      <c r="P128" s="299" t="str">
        <f t="shared" ca="1" si="8"/>
        <v>#'Cyber Incidence'!E61</v>
      </c>
      <c r="Q128" s="258" t="str">
        <f t="shared" ca="1" si="9"/>
        <v>DS</v>
      </c>
    </row>
    <row r="129" spans="2:17" x14ac:dyDescent="0.25">
      <c r="B129" s="297" t="s">
        <v>261</v>
      </c>
      <c r="C129" s="297" t="str">
        <f ca="1">'Cyber Incidence'!$A$3</f>
        <v>Cyber Incidence</v>
      </c>
      <c r="D129" s="130" t="s">
        <v>580</v>
      </c>
      <c r="E129" s="296" t="s">
        <v>580</v>
      </c>
      <c r="F129" t="s">
        <v>27</v>
      </c>
      <c r="G129" t="s">
        <v>581</v>
      </c>
      <c r="H129" s="297">
        <v>120</v>
      </c>
      <c r="I129" s="297">
        <f t="shared" ca="1" si="7"/>
        <v>79</v>
      </c>
      <c r="J129" s="297">
        <f t="shared" si="12"/>
        <v>98</v>
      </c>
      <c r="K129" s="297" t="str">
        <f t="shared" si="13"/>
        <v>Match</v>
      </c>
      <c r="L129" t="s">
        <v>1905</v>
      </c>
      <c r="M129">
        <v>120</v>
      </c>
      <c r="O129" t="s">
        <v>1905</v>
      </c>
      <c r="P129" s="299" t="str">
        <f t="shared" ca="1" si="8"/>
        <v>#'Cyber Incidence'!E79</v>
      </c>
      <c r="Q129" s="258" t="str">
        <f t="shared" ca="1" si="9"/>
        <v>DS</v>
      </c>
    </row>
    <row r="130" spans="2:17" x14ac:dyDescent="0.25">
      <c r="B130" s="297" t="s">
        <v>261</v>
      </c>
      <c r="C130" s="297" t="str">
        <f ca="1">'Cyber Incidence'!$A$3</f>
        <v>Cyber Incidence</v>
      </c>
      <c r="D130" s="130" t="s">
        <v>580</v>
      </c>
      <c r="E130" s="296" t="s">
        <v>580</v>
      </c>
      <c r="F130" t="s">
        <v>27</v>
      </c>
      <c r="G130" t="s">
        <v>582</v>
      </c>
      <c r="H130" s="297">
        <v>121</v>
      </c>
      <c r="I130" s="297">
        <v>80</v>
      </c>
      <c r="J130" s="297">
        <f t="shared" si="12"/>
        <v>219</v>
      </c>
      <c r="K130" s="297" t="str">
        <f t="shared" si="13"/>
        <v>Match</v>
      </c>
      <c r="L130" t="s">
        <v>1910</v>
      </c>
      <c r="M130">
        <v>121</v>
      </c>
      <c r="O130" t="s">
        <v>1910</v>
      </c>
      <c r="P130" s="299" t="str">
        <f t="shared" ca="1" si="8"/>
        <v>#'Cyber Incidence'!E80</v>
      </c>
      <c r="Q130" s="258" t="str">
        <f t="shared" ca="1" si="9"/>
        <v>DS</v>
      </c>
    </row>
    <row r="131" spans="2:17" x14ac:dyDescent="0.25">
      <c r="B131" s="297" t="s">
        <v>261</v>
      </c>
      <c r="C131" s="297" t="str">
        <f ca="1">'Cyber Incidence'!$A$3</f>
        <v>Cyber Incidence</v>
      </c>
      <c r="D131" s="130" t="s">
        <v>580</v>
      </c>
      <c r="E131" s="296" t="s">
        <v>580</v>
      </c>
      <c r="F131" t="s">
        <v>27</v>
      </c>
      <c r="G131" t="s">
        <v>583</v>
      </c>
      <c r="H131" s="297">
        <v>122</v>
      </c>
      <c r="I131" s="297">
        <f t="shared" ca="1" si="7"/>
        <v>81</v>
      </c>
      <c r="J131" s="297">
        <f t="shared" si="12"/>
        <v>122</v>
      </c>
      <c r="K131" s="297" t="str">
        <f t="shared" si="13"/>
        <v>Match</v>
      </c>
      <c r="L131" t="s">
        <v>1917</v>
      </c>
      <c r="M131">
        <v>122</v>
      </c>
      <c r="O131" t="s">
        <v>1917</v>
      </c>
      <c r="P131" s="299" t="str">
        <f t="shared" ca="1" si="8"/>
        <v>#'Cyber Incidence'!E81</v>
      </c>
      <c r="Q131" s="258" t="str">
        <f t="shared" ca="1" si="9"/>
        <v>DS</v>
      </c>
    </row>
    <row r="132" spans="2:17" x14ac:dyDescent="0.25">
      <c r="B132" s="297" t="s">
        <v>261</v>
      </c>
      <c r="C132" s="297" t="str">
        <f ca="1">'Cyber Incidence'!$A$3</f>
        <v>Cyber Incidence</v>
      </c>
      <c r="D132" s="130" t="s">
        <v>580</v>
      </c>
      <c r="E132" s="296" t="s">
        <v>580</v>
      </c>
      <c r="F132" t="s">
        <v>27</v>
      </c>
      <c r="G132" t="s">
        <v>584</v>
      </c>
      <c r="H132" s="297">
        <v>123</v>
      </c>
      <c r="I132" s="297">
        <f t="shared" ca="1" si="7"/>
        <v>82</v>
      </c>
      <c r="J132" s="297">
        <f t="shared" si="12"/>
        <v>42</v>
      </c>
      <c r="K132" s="297" t="str">
        <f t="shared" si="13"/>
        <v>Match</v>
      </c>
      <c r="L132" t="s">
        <v>1920</v>
      </c>
      <c r="M132">
        <v>123</v>
      </c>
      <c r="O132" t="s">
        <v>1920</v>
      </c>
      <c r="P132" s="299" t="str">
        <f t="shared" ca="1" si="8"/>
        <v>#'Cyber Incidence'!E82</v>
      </c>
      <c r="Q132" s="258" t="str">
        <f t="shared" ca="1" si="9"/>
        <v>DS</v>
      </c>
    </row>
    <row r="133" spans="2:17" x14ac:dyDescent="0.25">
      <c r="B133" s="130"/>
      <c r="C133" s="130"/>
      <c r="D133" s="296"/>
    </row>
    <row r="134" spans="2:17" x14ac:dyDescent="0.25">
      <c r="B134" s="130"/>
      <c r="C134" s="130"/>
      <c r="D134" s="296"/>
    </row>
    <row r="135" spans="2:17" x14ac:dyDescent="0.25">
      <c r="B135" s="130"/>
      <c r="C135" s="130"/>
      <c r="D135" s="29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theme="4" tint="0.39997558519241921"/>
  </sheetPr>
  <dimension ref="A1:J7"/>
  <sheetViews>
    <sheetView workbookViewId="0">
      <selection activeCell="B3" sqref="B3"/>
    </sheetView>
  </sheetViews>
  <sheetFormatPr defaultRowHeight="15" x14ac:dyDescent="0.25"/>
  <cols>
    <col min="1" max="1" width="41.42578125" customWidth="1"/>
    <col min="2" max="2" width="35.140625" customWidth="1"/>
    <col min="3" max="3" width="20.7109375" customWidth="1"/>
    <col min="4" max="4" width="33.140625" customWidth="1"/>
    <col min="5" max="5" width="41.42578125" style="164" customWidth="1"/>
    <col min="6" max="6" width="16.140625" customWidth="1"/>
    <col min="7" max="7" width="20.7109375" customWidth="1"/>
    <col min="8" max="8" width="37.28515625" customWidth="1"/>
    <col min="9" max="9" width="20.7109375" customWidth="1"/>
  </cols>
  <sheetData>
    <row r="1" spans="1:10" s="164" customFormat="1" ht="20.100000000000001" customHeight="1" x14ac:dyDescent="0.25">
      <c r="A1" s="6" t="str">
        <f>HYPERLINK(websiteHTTP&amp;webSiteURL,"Watkins Consulting")</f>
        <v>Watkins Consulting</v>
      </c>
      <c r="B1" s="132"/>
      <c r="C1" s="132"/>
      <c r="D1" s="133" t="str">
        <f>IF(firmName&gt;0,firmName,"")</f>
        <v/>
      </c>
      <c r="E1" s="132"/>
      <c r="F1" s="132"/>
      <c r="G1" s="132"/>
      <c r="H1" s="8" t="str">
        <f>HYPERLINK(websiteHTTP&amp;webSiteURL&amp;userManualrURL,"User Manual")</f>
        <v>User Manual</v>
      </c>
    </row>
    <row r="2" spans="1:10" s="164" customFormat="1" ht="20.100000000000001" customHeight="1" x14ac:dyDescent="0.25">
      <c r="A2" s="256" t="str">
        <f ca="1">workbookVersionLabel</f>
        <v xml:space="preserve"> Excel Workbook Version: 3.4.2</v>
      </c>
      <c r="B2" s="132"/>
      <c r="C2" s="132"/>
      <c r="D2" s="133" t="str">
        <f>Information</f>
        <v>FFIEC Cybersecurity Assessment Tool (May 2017)</v>
      </c>
      <c r="E2" s="133"/>
      <c r="F2" s="133"/>
      <c r="G2" s="133"/>
      <c r="H2" s="8" t="s">
        <v>1094</v>
      </c>
    </row>
    <row r="3" spans="1:10" s="164" customFormat="1" ht="20.100000000000001" customHeight="1" thickBot="1" x14ac:dyDescent="0.3">
      <c r="A3" s="139" t="str">
        <f ca="1">MID(CELL("filename",A1),FIND("]",CELL("filename",A1))+1,256)</f>
        <v>Log</v>
      </c>
      <c r="B3" s="315" t="str">
        <f ca="1">IF(hideRegNotice&lt;&gt;"Yes",HYPERLINK("mailto:solutions@watkinsconsulting.com?subject=FFIEC Cybersecurity Assessment Tool "&amp;versionID&amp;" registration/feedback ","Please register to receive updates."),"")</f>
        <v>Please register to receive updates.</v>
      </c>
      <c r="C3" s="140"/>
      <c r="D3" s="142" t="str">
        <f>IF(assessmentDate&gt;0,assessmentDate,"")</f>
        <v/>
      </c>
      <c r="E3" s="140"/>
      <c r="F3" s="140"/>
      <c r="G3" s="140"/>
      <c r="H3" s="155" t="s">
        <v>620</v>
      </c>
    </row>
    <row r="4" spans="1:10" s="163" customFormat="1" ht="19.5" customHeight="1" thickTop="1" thickBot="1" x14ac:dyDescent="0.35">
      <c r="A4" s="220">
        <f>COUNTA(log[Worksheet])</f>
        <v>0</v>
      </c>
      <c r="B4" s="179" t="s">
        <v>863</v>
      </c>
      <c r="D4" s="33"/>
      <c r="E4" s="33"/>
      <c r="F4" s="219">
        <f>MAX(log[Change Date])</f>
        <v>0</v>
      </c>
      <c r="G4" s="179" t="s">
        <v>864</v>
      </c>
      <c r="H4" s="11"/>
      <c r="I4" s="11"/>
      <c r="J4" s="11"/>
    </row>
    <row r="5" spans="1:10" s="164" customFormat="1" ht="16.5" thickTop="1" thickBot="1" x14ac:dyDescent="0.3">
      <c r="A5" s="348" t="s">
        <v>861</v>
      </c>
      <c r="B5" s="348"/>
      <c r="C5" s="348"/>
      <c r="D5" s="348"/>
      <c r="E5" s="348"/>
      <c r="F5" s="348"/>
      <c r="G5" s="348"/>
    </row>
    <row r="6" spans="1:10" x14ac:dyDescent="0.25">
      <c r="A6" t="s">
        <v>2105</v>
      </c>
      <c r="B6" t="s">
        <v>858</v>
      </c>
      <c r="C6" t="s">
        <v>859</v>
      </c>
      <c r="D6" t="s">
        <v>860</v>
      </c>
      <c r="E6" s="164" t="s">
        <v>862</v>
      </c>
      <c r="F6" t="s">
        <v>856</v>
      </c>
      <c r="G6" t="s">
        <v>857</v>
      </c>
      <c r="H6" s="5" t="s">
        <v>865</v>
      </c>
    </row>
    <row r="7" spans="1:10" x14ac:dyDescent="0.25">
      <c r="D7" s="168"/>
      <c r="F7" s="167"/>
    </row>
  </sheetData>
  <mergeCells count="1">
    <mergeCell ref="A5:G5"/>
  </mergeCells>
  <hyperlinks>
    <hyperlink ref="H3" location="disclaimer" display="disclaimer" xr:uid="{00000000-0004-0000-0100-000000000000}"/>
    <hyperlink ref="H2" location="workbookInfo" display="Workbook Information" xr:uid="{00000000-0004-0000-0100-000001000000}"/>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sheetPr>
  <dimension ref="A1:T139"/>
  <sheetViews>
    <sheetView zoomScale="70" zoomScaleNormal="70" workbookViewId="0">
      <selection activeCell="E17" sqref="E17"/>
    </sheetView>
  </sheetViews>
  <sheetFormatPr defaultRowHeight="15" x14ac:dyDescent="0.25"/>
  <cols>
    <col min="2" max="2" width="40.28515625" bestFit="1" customWidth="1"/>
    <col min="3" max="3" width="38.42578125" bestFit="1" customWidth="1"/>
    <col min="4" max="4" width="33.140625" bestFit="1" customWidth="1"/>
    <col min="5" max="5" width="57.85546875" style="168" customWidth="1"/>
    <col min="6" max="6" width="5" customWidth="1"/>
    <col min="8" max="8" width="13.7109375" customWidth="1"/>
    <col min="10" max="10" width="13.7109375" customWidth="1"/>
    <col min="12" max="12" width="13.7109375" customWidth="1"/>
    <col min="14" max="14" width="13.7109375" customWidth="1"/>
    <col min="16" max="16" width="13.7109375" customWidth="1"/>
    <col min="18" max="18" width="13.7109375" customWidth="1"/>
    <col min="20" max="20" width="13.7109375" customWidth="1"/>
  </cols>
  <sheetData>
    <row r="1" spans="1:20" s="275" customFormat="1" ht="20.100000000000001" customHeight="1" x14ac:dyDescent="0.25">
      <c r="A1" s="6" t="str">
        <f>HYPERLINK(websiteHTTP&amp;webSiteURL,"Watkins Consulting")</f>
        <v>Watkins Consulting</v>
      </c>
      <c r="B1" s="132"/>
      <c r="C1" s="132"/>
      <c r="D1" s="132"/>
      <c r="E1" s="289" t="str">
        <f>IF(firmName&gt;0,firmName,"")</f>
        <v/>
      </c>
      <c r="F1" s="132"/>
      <c r="G1" s="132"/>
      <c r="H1" s="132"/>
      <c r="I1" s="132"/>
      <c r="J1" s="272" t="str">
        <f>HYPERLINK(websiteHTTP&amp;webSiteURL&amp;userManualrURL,"User Manual")</f>
        <v>User Manual</v>
      </c>
    </row>
    <row r="2" spans="1:20" s="275" customFormat="1" ht="20.100000000000001" customHeight="1" x14ac:dyDescent="0.25">
      <c r="A2" s="256" t="str">
        <f ca="1">workbookVersionLabel</f>
        <v xml:space="preserve"> Excel Workbook Version: 3.4.2</v>
      </c>
      <c r="B2" s="132"/>
      <c r="C2" s="133" t="str">
        <f>Information</f>
        <v>FFIEC Cybersecurity Assessment Tool (May 2017)</v>
      </c>
      <c r="D2" s="132"/>
      <c r="E2" s="289"/>
      <c r="F2" s="137"/>
      <c r="G2" s="137"/>
      <c r="H2" s="137"/>
      <c r="I2" s="137"/>
      <c r="J2" s="272" t="s">
        <v>1094</v>
      </c>
    </row>
    <row r="3" spans="1:20" s="275" customFormat="1" ht="20.100000000000001" customHeight="1" thickBot="1" x14ac:dyDescent="0.3">
      <c r="A3" s="139" t="str">
        <f ca="1">MID(CELL("filename",A1),FIND("]",CELL("filename",A1))+1,256)</f>
        <v>Appendix A inline</v>
      </c>
      <c r="B3" s="140"/>
      <c r="C3" s="140"/>
      <c r="D3" s="141"/>
      <c r="E3" s="290" t="str">
        <f>IF(assessmentDate&gt;0,assessmentDate,"")</f>
        <v/>
      </c>
      <c r="F3" s="141"/>
      <c r="G3" s="141"/>
      <c r="H3" s="141"/>
      <c r="I3" s="141"/>
      <c r="J3" s="273" t="s">
        <v>620</v>
      </c>
    </row>
    <row r="4" spans="1:20" s="275" customFormat="1" ht="15.75" thickTop="1" x14ac:dyDescent="0.25">
      <c r="E4" s="168"/>
    </row>
    <row r="5" spans="1:20" x14ac:dyDescent="0.25">
      <c r="C5" s="288" t="s">
        <v>1934</v>
      </c>
      <c r="D5" s="287" t="s">
        <v>1935</v>
      </c>
    </row>
    <row r="6" spans="1:20" x14ac:dyDescent="0.25">
      <c r="B6" s="275"/>
      <c r="C6" s="275" t="s">
        <v>1925</v>
      </c>
      <c r="D6" s="416" t="s">
        <v>1936</v>
      </c>
      <c r="F6" s="275"/>
      <c r="G6" s="275"/>
      <c r="H6" s="275"/>
      <c r="I6" s="275"/>
      <c r="J6" s="275"/>
      <c r="K6" s="275"/>
      <c r="L6" s="275"/>
      <c r="M6" s="275"/>
      <c r="N6" s="275"/>
      <c r="O6" s="275"/>
      <c r="P6" s="275"/>
      <c r="Q6" s="275"/>
      <c r="R6" s="275"/>
      <c r="S6" s="275"/>
      <c r="T6" s="275"/>
    </row>
    <row r="7" spans="1:20" x14ac:dyDescent="0.25">
      <c r="B7" s="275"/>
      <c r="C7" s="275" t="s">
        <v>1926</v>
      </c>
      <c r="D7" s="417"/>
      <c r="F7" s="275"/>
      <c r="G7" s="275"/>
      <c r="H7" s="275"/>
      <c r="I7" s="275"/>
      <c r="J7" s="275"/>
      <c r="K7" s="275"/>
      <c r="L7" s="275"/>
      <c r="M7" s="275"/>
      <c r="N7" s="275"/>
      <c r="O7" s="275"/>
      <c r="P7" s="275"/>
      <c r="Q7" s="275"/>
      <c r="R7" s="275"/>
      <c r="S7" s="275"/>
      <c r="T7" s="275"/>
    </row>
    <row r="8" spans="1:20" x14ac:dyDescent="0.25">
      <c r="B8" s="275"/>
      <c r="C8" s="275" t="s">
        <v>1927</v>
      </c>
      <c r="D8" s="417"/>
      <c r="F8" s="275"/>
      <c r="G8" s="275"/>
      <c r="H8" s="275"/>
      <c r="I8" s="275"/>
      <c r="J8" s="275"/>
      <c r="K8" s="275"/>
      <c r="L8" s="275"/>
      <c r="M8" s="275"/>
      <c r="N8" s="275"/>
      <c r="O8" s="275"/>
      <c r="P8" s="275"/>
      <c r="Q8" s="275"/>
      <c r="R8" s="275"/>
      <c r="S8" s="275"/>
      <c r="T8" s="275"/>
    </row>
    <row r="9" spans="1:20" x14ac:dyDescent="0.25">
      <c r="B9" s="275"/>
      <c r="C9" s="275" t="s">
        <v>1928</v>
      </c>
      <c r="D9" s="417"/>
      <c r="F9" s="275"/>
      <c r="G9" s="275"/>
      <c r="H9" s="275"/>
      <c r="I9" s="275"/>
      <c r="J9" s="275"/>
      <c r="K9" s="275"/>
      <c r="L9" s="275"/>
      <c r="M9" s="275"/>
      <c r="N9" s="275"/>
      <c r="O9" s="275"/>
      <c r="P9" s="275"/>
      <c r="Q9" s="275"/>
      <c r="R9" s="275"/>
      <c r="S9" s="275"/>
      <c r="T9" s="275"/>
    </row>
    <row r="10" spans="1:20" x14ac:dyDescent="0.25">
      <c r="B10" s="275"/>
      <c r="C10" t="s">
        <v>1929</v>
      </c>
      <c r="D10" s="417"/>
      <c r="F10" s="275"/>
      <c r="G10" s="275"/>
      <c r="H10" s="275"/>
      <c r="I10" s="275"/>
      <c r="J10" s="275"/>
      <c r="K10" s="275"/>
      <c r="L10" s="275"/>
      <c r="M10" s="275"/>
      <c r="N10" s="275"/>
      <c r="O10" s="275"/>
      <c r="P10" s="275"/>
      <c r="Q10" s="275"/>
      <c r="R10" s="275"/>
      <c r="S10" s="275"/>
      <c r="T10" s="275"/>
    </row>
    <row r="11" spans="1:20" x14ac:dyDescent="0.25">
      <c r="B11" s="275"/>
      <c r="C11" t="s">
        <v>1930</v>
      </c>
      <c r="D11" s="417"/>
      <c r="F11" s="275"/>
      <c r="G11" s="275"/>
      <c r="H11" s="275"/>
      <c r="I11" s="275"/>
      <c r="J11" s="275"/>
      <c r="K11" s="275"/>
      <c r="L11" s="275"/>
      <c r="M11" s="275"/>
      <c r="N11" s="275"/>
      <c r="O11" s="275"/>
      <c r="P11" s="275"/>
      <c r="Q11" s="275"/>
      <c r="R11" s="275"/>
      <c r="S11" s="275"/>
      <c r="T11" s="275"/>
    </row>
    <row r="12" spans="1:20" x14ac:dyDescent="0.25">
      <c r="B12" s="275"/>
      <c r="C12" t="s">
        <v>1931</v>
      </c>
      <c r="D12" s="417"/>
      <c r="F12" s="275"/>
      <c r="G12" s="275"/>
      <c r="H12" s="275"/>
      <c r="I12" s="275"/>
      <c r="J12" s="275"/>
      <c r="K12" s="275"/>
      <c r="L12" s="275"/>
      <c r="M12" s="275"/>
      <c r="N12" s="275"/>
      <c r="O12" s="275"/>
      <c r="P12" s="275"/>
      <c r="Q12" s="275"/>
      <c r="R12" s="275"/>
      <c r="S12" s="275"/>
      <c r="T12" s="275"/>
    </row>
    <row r="13" spans="1:20" x14ac:dyDescent="0.25">
      <c r="B13" s="275"/>
      <c r="C13" t="s">
        <v>1932</v>
      </c>
      <c r="D13" s="417"/>
      <c r="F13" s="275"/>
      <c r="G13" s="275"/>
      <c r="H13" s="275"/>
      <c r="I13" s="275"/>
      <c r="J13" s="275"/>
      <c r="K13" s="275"/>
      <c r="L13" s="275"/>
      <c r="M13" s="275"/>
      <c r="N13" s="275"/>
      <c r="O13" s="275"/>
      <c r="P13" s="275"/>
      <c r="Q13" s="275"/>
      <c r="R13" s="275"/>
      <c r="S13" s="275"/>
      <c r="T13" s="275"/>
    </row>
    <row r="14" spans="1:20" x14ac:dyDescent="0.25">
      <c r="B14" s="275"/>
      <c r="C14" t="s">
        <v>1933</v>
      </c>
      <c r="D14" s="417"/>
      <c r="F14" s="275"/>
      <c r="G14" s="275"/>
      <c r="H14" s="275"/>
      <c r="I14" s="275"/>
      <c r="J14" s="275"/>
      <c r="K14" s="275"/>
      <c r="L14" s="275"/>
      <c r="M14" s="275"/>
      <c r="N14" s="275"/>
      <c r="O14" s="275"/>
      <c r="P14" s="275"/>
      <c r="Q14" s="275"/>
      <c r="R14" s="275"/>
      <c r="S14" s="275"/>
      <c r="T14" s="275"/>
    </row>
    <row r="16" spans="1:20" x14ac:dyDescent="0.25">
      <c r="B16" s="291" t="s">
        <v>24</v>
      </c>
      <c r="C16" s="291" t="s">
        <v>25</v>
      </c>
      <c r="D16" s="291" t="s">
        <v>26</v>
      </c>
      <c r="E16" s="292" t="s">
        <v>48</v>
      </c>
      <c r="F16" s="291" t="s">
        <v>1924</v>
      </c>
      <c r="G16" s="291" t="s">
        <v>1295</v>
      </c>
      <c r="H16" s="291" t="s">
        <v>1296</v>
      </c>
      <c r="I16" s="291" t="s">
        <v>1297</v>
      </c>
      <c r="J16" s="291" t="s">
        <v>1298</v>
      </c>
      <c r="K16" s="291" t="s">
        <v>1299</v>
      </c>
      <c r="L16" s="291" t="s">
        <v>1300</v>
      </c>
      <c r="M16" s="291" t="s">
        <v>1301</v>
      </c>
      <c r="N16" s="291" t="s">
        <v>1302</v>
      </c>
      <c r="O16" s="291" t="s">
        <v>1303</v>
      </c>
      <c r="P16" s="291" t="s">
        <v>1304</v>
      </c>
      <c r="Q16" s="291" t="s">
        <v>1305</v>
      </c>
      <c r="R16" s="291" t="s">
        <v>1306</v>
      </c>
      <c r="S16" s="291" t="s">
        <v>1307</v>
      </c>
      <c r="T16" s="291" t="s">
        <v>1308</v>
      </c>
    </row>
    <row r="17" spans="2:20" ht="60" x14ac:dyDescent="0.25">
      <c r="B17" s="223" t="s">
        <v>214</v>
      </c>
      <c r="C17" s="223" t="s">
        <v>34</v>
      </c>
      <c r="D17" s="223" t="s">
        <v>35</v>
      </c>
      <c r="E17" s="206" t="s">
        <v>1309</v>
      </c>
      <c r="F17" s="223">
        <v>6</v>
      </c>
      <c r="G17" s="223" t="s">
        <v>1310</v>
      </c>
      <c r="H17" s="223" t="s">
        <v>1311</v>
      </c>
      <c r="I17" s="223" t="s">
        <v>1312</v>
      </c>
      <c r="J17" s="223" t="s">
        <v>1313</v>
      </c>
      <c r="K17" s="223" t="s">
        <v>1314</v>
      </c>
      <c r="L17" s="223" t="s">
        <v>1315</v>
      </c>
      <c r="M17" s="223" t="s">
        <v>1316</v>
      </c>
      <c r="N17" s="223" t="s">
        <v>1317</v>
      </c>
      <c r="O17" s="223" t="s">
        <v>1318</v>
      </c>
      <c r="P17" s="223" t="s">
        <v>1319</v>
      </c>
      <c r="Q17" s="223" t="s">
        <v>1320</v>
      </c>
      <c r="R17" s="223" t="s">
        <v>1321</v>
      </c>
      <c r="S17" s="223"/>
      <c r="T17" s="223"/>
    </row>
    <row r="18" spans="2:20" ht="45" x14ac:dyDescent="0.25">
      <c r="B18" s="223" t="s">
        <v>214</v>
      </c>
      <c r="C18" s="223" t="s">
        <v>34</v>
      </c>
      <c r="D18" s="223" t="s">
        <v>35</v>
      </c>
      <c r="E18" s="206" t="s">
        <v>1322</v>
      </c>
      <c r="F18" s="223">
        <v>2</v>
      </c>
      <c r="G18" s="223" t="s">
        <v>1253</v>
      </c>
      <c r="H18" s="223" t="s">
        <v>1323</v>
      </c>
      <c r="I18" s="223" t="s">
        <v>1324</v>
      </c>
      <c r="J18" s="223" t="s">
        <v>1325</v>
      </c>
      <c r="K18" s="223"/>
      <c r="L18" s="223"/>
      <c r="M18" s="223"/>
      <c r="N18" s="223"/>
      <c r="O18" s="223"/>
      <c r="P18" s="223"/>
      <c r="Q18" s="223"/>
      <c r="R18" s="223"/>
      <c r="S18" s="223"/>
      <c r="T18" s="223"/>
    </row>
    <row r="19" spans="2:20" ht="60" x14ac:dyDescent="0.25">
      <c r="B19" s="223" t="s">
        <v>214</v>
      </c>
      <c r="C19" s="223" t="s">
        <v>34</v>
      </c>
      <c r="D19" s="223" t="s">
        <v>35</v>
      </c>
      <c r="E19" s="206" t="s">
        <v>1326</v>
      </c>
      <c r="F19" s="223">
        <v>6</v>
      </c>
      <c r="G19" s="223" t="s">
        <v>1253</v>
      </c>
      <c r="H19" s="223" t="s">
        <v>1327</v>
      </c>
      <c r="I19" s="223" t="s">
        <v>1328</v>
      </c>
      <c r="J19" s="223" t="s">
        <v>1329</v>
      </c>
      <c r="K19" s="223" t="s">
        <v>1330</v>
      </c>
      <c r="L19" s="223" t="s">
        <v>1331</v>
      </c>
      <c r="M19" s="223" t="s">
        <v>1332</v>
      </c>
      <c r="N19" s="223" t="s">
        <v>1333</v>
      </c>
      <c r="O19" s="223" t="s">
        <v>1334</v>
      </c>
      <c r="P19" s="223" t="s">
        <v>1335</v>
      </c>
      <c r="Q19" s="223" t="s">
        <v>1336</v>
      </c>
      <c r="R19" s="223" t="s">
        <v>1337</v>
      </c>
      <c r="S19" s="223"/>
      <c r="T19" s="223"/>
    </row>
    <row r="20" spans="2:20" ht="30" x14ac:dyDescent="0.25">
      <c r="B20" s="223" t="s">
        <v>214</v>
      </c>
      <c r="C20" s="223" t="s">
        <v>34</v>
      </c>
      <c r="D20" s="223" t="s">
        <v>35</v>
      </c>
      <c r="E20" s="206" t="s">
        <v>1338</v>
      </c>
      <c r="F20" s="223">
        <v>6</v>
      </c>
      <c r="G20" s="223" t="s">
        <v>1339</v>
      </c>
      <c r="H20" s="223" t="s">
        <v>1340</v>
      </c>
      <c r="I20" s="223" t="s">
        <v>1341</v>
      </c>
      <c r="J20" s="223" t="s">
        <v>1342</v>
      </c>
      <c r="K20" s="223" t="s">
        <v>1343</v>
      </c>
      <c r="L20" s="223" t="s">
        <v>1344</v>
      </c>
      <c r="M20" s="223" t="s">
        <v>1345</v>
      </c>
      <c r="N20" s="223" t="s">
        <v>1345</v>
      </c>
      <c r="O20" s="223" t="s">
        <v>1346</v>
      </c>
      <c r="P20" s="223" t="s">
        <v>1347</v>
      </c>
      <c r="Q20" s="223" t="s">
        <v>1348</v>
      </c>
      <c r="R20" s="223" t="s">
        <v>1349</v>
      </c>
      <c r="S20" s="223"/>
      <c r="T20" s="223"/>
    </row>
    <row r="21" spans="2:20" ht="45" x14ac:dyDescent="0.25">
      <c r="B21" s="223" t="s">
        <v>214</v>
      </c>
      <c r="C21" s="223" t="s">
        <v>34</v>
      </c>
      <c r="D21" s="223" t="s">
        <v>35</v>
      </c>
      <c r="E21" s="206" t="s">
        <v>1350</v>
      </c>
      <c r="F21" s="223">
        <v>2</v>
      </c>
      <c r="G21" s="223" t="s">
        <v>1351</v>
      </c>
      <c r="H21" s="223" t="s">
        <v>1352</v>
      </c>
      <c r="I21" s="223" t="s">
        <v>1353</v>
      </c>
      <c r="J21" s="223" t="s">
        <v>1354</v>
      </c>
      <c r="K21" s="223"/>
      <c r="L21" s="223"/>
      <c r="M21" s="223"/>
      <c r="N21" s="223"/>
      <c r="O21" s="223"/>
      <c r="P21" s="223"/>
      <c r="Q21" s="223"/>
      <c r="R21" s="223"/>
      <c r="S21" s="223"/>
      <c r="T21" s="223"/>
    </row>
    <row r="22" spans="2:20" ht="45" x14ac:dyDescent="0.25">
      <c r="B22" s="223" t="s">
        <v>214</v>
      </c>
      <c r="C22" s="223" t="s">
        <v>34</v>
      </c>
      <c r="D22" s="223" t="s">
        <v>1355</v>
      </c>
      <c r="E22" s="206" t="s">
        <v>1356</v>
      </c>
      <c r="F22" s="223">
        <v>4</v>
      </c>
      <c r="G22" s="223" t="s">
        <v>1204</v>
      </c>
      <c r="H22" s="223" t="s">
        <v>1357</v>
      </c>
      <c r="I22" s="223" t="s">
        <v>1358</v>
      </c>
      <c r="J22" s="223" t="s">
        <v>1359</v>
      </c>
      <c r="K22" s="223" t="s">
        <v>1360</v>
      </c>
      <c r="L22" s="223" t="s">
        <v>1361</v>
      </c>
      <c r="M22" s="223" t="s">
        <v>1362</v>
      </c>
      <c r="N22" s="223" t="s">
        <v>1363</v>
      </c>
      <c r="O22" s="223"/>
      <c r="P22" s="223"/>
      <c r="Q22" s="223"/>
      <c r="R22" s="223"/>
      <c r="S22" s="223"/>
      <c r="T22" s="223"/>
    </row>
    <row r="23" spans="2:20" ht="45" x14ac:dyDescent="0.25">
      <c r="B23" s="223" t="s">
        <v>214</v>
      </c>
      <c r="C23" s="223" t="s">
        <v>34</v>
      </c>
      <c r="D23" s="223" t="s">
        <v>1355</v>
      </c>
      <c r="E23" s="206" t="s">
        <v>1364</v>
      </c>
      <c r="F23" s="223">
        <v>4</v>
      </c>
      <c r="G23" s="223" t="s">
        <v>1365</v>
      </c>
      <c r="H23" s="223" t="s">
        <v>1366</v>
      </c>
      <c r="I23" s="223" t="s">
        <v>1367</v>
      </c>
      <c r="J23" s="223" t="s">
        <v>1368</v>
      </c>
      <c r="K23" s="223" t="s">
        <v>1360</v>
      </c>
      <c r="L23" s="223" t="s">
        <v>1369</v>
      </c>
      <c r="M23" s="223" t="s">
        <v>1370</v>
      </c>
      <c r="N23" s="223" t="s">
        <v>1371</v>
      </c>
      <c r="O23" s="223"/>
      <c r="P23" s="223"/>
      <c r="Q23" s="223"/>
      <c r="R23" s="223"/>
      <c r="S23" s="223"/>
      <c r="T23" s="223"/>
    </row>
    <row r="24" spans="2:20" ht="45" x14ac:dyDescent="0.25">
      <c r="B24" s="223" t="s">
        <v>214</v>
      </c>
      <c r="C24" s="223" t="s">
        <v>34</v>
      </c>
      <c r="D24" s="223" t="s">
        <v>1355</v>
      </c>
      <c r="E24" s="206" t="s">
        <v>1372</v>
      </c>
      <c r="F24" s="223">
        <v>3</v>
      </c>
      <c r="G24" s="223" t="s">
        <v>1252</v>
      </c>
      <c r="H24" s="223" t="s">
        <v>1373</v>
      </c>
      <c r="I24" s="223" t="s">
        <v>1374</v>
      </c>
      <c r="J24" s="223" t="s">
        <v>1375</v>
      </c>
      <c r="K24" s="223" t="s">
        <v>1376</v>
      </c>
      <c r="L24" s="223" t="s">
        <v>1377</v>
      </c>
      <c r="M24" s="223" t="s">
        <v>1378</v>
      </c>
      <c r="N24" s="223" t="s">
        <v>1378</v>
      </c>
      <c r="O24" s="223"/>
      <c r="P24" s="223"/>
      <c r="Q24" s="223"/>
      <c r="R24" s="223"/>
      <c r="S24" s="223"/>
      <c r="T24" s="223"/>
    </row>
    <row r="25" spans="2:20" ht="30" x14ac:dyDescent="0.25">
      <c r="B25" s="223" t="s">
        <v>214</v>
      </c>
      <c r="C25" s="223" t="s">
        <v>34</v>
      </c>
      <c r="D25" s="223" t="s">
        <v>1355</v>
      </c>
      <c r="E25" s="206" t="s">
        <v>1379</v>
      </c>
      <c r="F25" s="223">
        <v>2</v>
      </c>
      <c r="G25" s="223" t="s">
        <v>1312</v>
      </c>
      <c r="H25" s="223" t="s">
        <v>1380</v>
      </c>
      <c r="I25" s="223" t="s">
        <v>1381</v>
      </c>
      <c r="J25" s="223" t="s">
        <v>1382</v>
      </c>
      <c r="K25" s="223" t="s">
        <v>1378</v>
      </c>
      <c r="L25" s="223" t="s">
        <v>1378</v>
      </c>
      <c r="M25" s="223" t="s">
        <v>1378</v>
      </c>
      <c r="N25" s="223" t="s">
        <v>1378</v>
      </c>
      <c r="O25" s="223"/>
      <c r="P25" s="223"/>
      <c r="Q25" s="223"/>
      <c r="R25" s="223"/>
      <c r="S25" s="223"/>
      <c r="T25" s="223"/>
    </row>
    <row r="26" spans="2:20" ht="45" x14ac:dyDescent="0.25">
      <c r="B26" s="223" t="s">
        <v>214</v>
      </c>
      <c r="C26" s="223" t="s">
        <v>34</v>
      </c>
      <c r="D26" s="223" t="s">
        <v>1355</v>
      </c>
      <c r="E26" s="206" t="s">
        <v>1383</v>
      </c>
      <c r="F26" s="223">
        <v>1</v>
      </c>
      <c r="G26" s="223" t="s">
        <v>1384</v>
      </c>
      <c r="H26" s="223" t="s">
        <v>1385</v>
      </c>
      <c r="I26" s="223" t="s">
        <v>1378</v>
      </c>
      <c r="J26" s="223" t="s">
        <v>1378</v>
      </c>
      <c r="K26" s="223" t="s">
        <v>1378</v>
      </c>
      <c r="L26" s="223" t="s">
        <v>1378</v>
      </c>
      <c r="M26" s="223" t="s">
        <v>1378</v>
      </c>
      <c r="N26" s="223" t="s">
        <v>1378</v>
      </c>
      <c r="O26" s="223"/>
      <c r="P26" s="223"/>
      <c r="Q26" s="223"/>
      <c r="R26" s="223"/>
      <c r="S26" s="223"/>
      <c r="T26" s="223"/>
    </row>
    <row r="27" spans="2:20" ht="45" x14ac:dyDescent="0.25">
      <c r="B27" s="223" t="s">
        <v>214</v>
      </c>
      <c r="C27" s="223" t="s">
        <v>34</v>
      </c>
      <c r="D27" s="223" t="s">
        <v>1355</v>
      </c>
      <c r="E27" s="206" t="s">
        <v>1386</v>
      </c>
      <c r="F27" s="223">
        <v>2</v>
      </c>
      <c r="G27" s="223" t="s">
        <v>1245</v>
      </c>
      <c r="H27" s="223" t="s">
        <v>1387</v>
      </c>
      <c r="I27" s="223" t="s">
        <v>1388</v>
      </c>
      <c r="J27" s="223" t="s">
        <v>1389</v>
      </c>
      <c r="K27" s="223" t="s">
        <v>1378</v>
      </c>
      <c r="L27" s="223" t="s">
        <v>1378</v>
      </c>
      <c r="M27" s="223" t="s">
        <v>1378</v>
      </c>
      <c r="N27" s="223" t="s">
        <v>1378</v>
      </c>
      <c r="O27" s="223"/>
      <c r="P27" s="223"/>
      <c r="Q27" s="223"/>
      <c r="R27" s="223"/>
      <c r="S27" s="223"/>
      <c r="T27" s="223"/>
    </row>
    <row r="28" spans="2:20" ht="30" x14ac:dyDescent="0.25">
      <c r="B28" s="223" t="s">
        <v>214</v>
      </c>
      <c r="C28" s="223" t="s">
        <v>34</v>
      </c>
      <c r="D28" s="223" t="s">
        <v>1355</v>
      </c>
      <c r="E28" s="206" t="s">
        <v>1390</v>
      </c>
      <c r="F28" s="223">
        <v>3</v>
      </c>
      <c r="G28" s="223" t="s">
        <v>1204</v>
      </c>
      <c r="H28" s="223" t="s">
        <v>1391</v>
      </c>
      <c r="I28" s="223" t="s">
        <v>1392</v>
      </c>
      <c r="J28" s="223" t="s">
        <v>1393</v>
      </c>
      <c r="K28" s="223" t="s">
        <v>1394</v>
      </c>
      <c r="L28" s="223" t="s">
        <v>1395</v>
      </c>
      <c r="M28" s="223" t="s">
        <v>1378</v>
      </c>
      <c r="N28" s="223" t="s">
        <v>1378</v>
      </c>
      <c r="O28" s="223" t="s">
        <v>1378</v>
      </c>
      <c r="P28" s="223" t="s">
        <v>1378</v>
      </c>
      <c r="Q28" s="223" t="s">
        <v>1378</v>
      </c>
      <c r="R28" s="223" t="s">
        <v>1378</v>
      </c>
      <c r="S28" s="223"/>
      <c r="T28" s="223"/>
    </row>
    <row r="29" spans="2:20" ht="30" x14ac:dyDescent="0.25">
      <c r="B29" s="223" t="s">
        <v>214</v>
      </c>
      <c r="C29" s="223" t="s">
        <v>34</v>
      </c>
      <c r="D29" s="223" t="s">
        <v>610</v>
      </c>
      <c r="E29" s="206" t="s">
        <v>1396</v>
      </c>
      <c r="F29" s="223">
        <v>3</v>
      </c>
      <c r="G29" s="223" t="s">
        <v>1397</v>
      </c>
      <c r="H29" s="223" t="s">
        <v>1398</v>
      </c>
      <c r="I29" s="223" t="s">
        <v>1399</v>
      </c>
      <c r="J29" s="223" t="s">
        <v>1400</v>
      </c>
      <c r="K29" s="223" t="s">
        <v>1374</v>
      </c>
      <c r="L29" s="223" t="s">
        <v>1401</v>
      </c>
      <c r="M29" s="223" t="s">
        <v>1378</v>
      </c>
      <c r="N29" s="223" t="s">
        <v>1378</v>
      </c>
      <c r="O29" s="223" t="s">
        <v>1378</v>
      </c>
      <c r="P29" s="223" t="s">
        <v>1378</v>
      </c>
      <c r="Q29" s="223" t="s">
        <v>1378</v>
      </c>
      <c r="R29" s="223" t="s">
        <v>1378</v>
      </c>
      <c r="S29" s="223"/>
      <c r="T29" s="223"/>
    </row>
    <row r="30" spans="2:20" ht="45" x14ac:dyDescent="0.25">
      <c r="B30" s="223" t="s">
        <v>214</v>
      </c>
      <c r="C30" s="223" t="s">
        <v>34</v>
      </c>
      <c r="D30" s="223" t="s">
        <v>610</v>
      </c>
      <c r="E30" s="206" t="s">
        <v>1402</v>
      </c>
      <c r="F30" s="223">
        <v>2</v>
      </c>
      <c r="G30" s="223" t="s">
        <v>1397</v>
      </c>
      <c r="H30" s="223" t="s">
        <v>1403</v>
      </c>
      <c r="I30" s="223" t="s">
        <v>1399</v>
      </c>
      <c r="J30" s="223" t="s">
        <v>1400</v>
      </c>
      <c r="K30" s="223" t="s">
        <v>1378</v>
      </c>
      <c r="L30" s="223" t="s">
        <v>1378</v>
      </c>
      <c r="M30" s="223" t="s">
        <v>1378</v>
      </c>
      <c r="N30" s="223" t="s">
        <v>1378</v>
      </c>
      <c r="O30" s="223" t="s">
        <v>1378</v>
      </c>
      <c r="P30" s="223" t="s">
        <v>1378</v>
      </c>
      <c r="Q30" s="223" t="s">
        <v>1378</v>
      </c>
      <c r="R30" s="223" t="s">
        <v>1378</v>
      </c>
      <c r="S30" s="223"/>
      <c r="T30" s="223"/>
    </row>
    <row r="31" spans="2:20" ht="30" x14ac:dyDescent="0.25">
      <c r="B31" s="223" t="s">
        <v>214</v>
      </c>
      <c r="C31" s="223" t="s">
        <v>34</v>
      </c>
      <c r="D31" s="223" t="s">
        <v>610</v>
      </c>
      <c r="E31" s="206" t="s">
        <v>1404</v>
      </c>
      <c r="F31" s="223">
        <v>3</v>
      </c>
      <c r="G31" s="223" t="s">
        <v>1397</v>
      </c>
      <c r="H31" s="223" t="s">
        <v>1405</v>
      </c>
      <c r="I31" s="223" t="s">
        <v>1399</v>
      </c>
      <c r="J31" s="223" t="s">
        <v>1406</v>
      </c>
      <c r="K31" s="223" t="s">
        <v>1374</v>
      </c>
      <c r="L31" s="223" t="s">
        <v>1407</v>
      </c>
      <c r="M31" s="223" t="s">
        <v>1378</v>
      </c>
      <c r="N31" s="223" t="s">
        <v>1378</v>
      </c>
      <c r="O31" s="223" t="s">
        <v>1378</v>
      </c>
      <c r="P31" s="223" t="s">
        <v>1378</v>
      </c>
      <c r="Q31" s="223" t="s">
        <v>1378</v>
      </c>
      <c r="R31" s="223" t="s">
        <v>1378</v>
      </c>
      <c r="S31" s="223"/>
      <c r="T31" s="223"/>
    </row>
    <row r="32" spans="2:20" ht="45" x14ac:dyDescent="0.25">
      <c r="B32" s="223" t="s">
        <v>214</v>
      </c>
      <c r="C32" s="223" t="s">
        <v>34</v>
      </c>
      <c r="D32" s="223" t="s">
        <v>610</v>
      </c>
      <c r="E32" s="206" t="s">
        <v>1408</v>
      </c>
      <c r="F32" s="223">
        <v>2</v>
      </c>
      <c r="G32" s="223" t="s">
        <v>1409</v>
      </c>
      <c r="H32" s="223" t="s">
        <v>1410</v>
      </c>
      <c r="I32" s="223" t="s">
        <v>1411</v>
      </c>
      <c r="J32" s="223" t="s">
        <v>1412</v>
      </c>
      <c r="K32" s="223" t="s">
        <v>1378</v>
      </c>
      <c r="L32" s="223" t="s">
        <v>1378</v>
      </c>
      <c r="M32" s="223" t="s">
        <v>1378</v>
      </c>
      <c r="N32" s="223" t="s">
        <v>1378</v>
      </c>
      <c r="O32" s="223" t="s">
        <v>1378</v>
      </c>
      <c r="P32" s="223" t="s">
        <v>1378</v>
      </c>
      <c r="Q32" s="223" t="s">
        <v>1378</v>
      </c>
      <c r="R32" s="223" t="s">
        <v>1378</v>
      </c>
      <c r="S32" s="223"/>
      <c r="T32" s="223"/>
    </row>
    <row r="33" spans="2:20" ht="30" x14ac:dyDescent="0.25">
      <c r="B33" s="223" t="s">
        <v>214</v>
      </c>
      <c r="C33" s="223" t="s">
        <v>37</v>
      </c>
      <c r="D33" s="223" t="s">
        <v>38</v>
      </c>
      <c r="E33" s="206" t="s">
        <v>1413</v>
      </c>
      <c r="F33" s="223">
        <v>4</v>
      </c>
      <c r="G33" s="223" t="s">
        <v>1245</v>
      </c>
      <c r="H33" s="223" t="s">
        <v>1414</v>
      </c>
      <c r="I33" s="223" t="s">
        <v>1415</v>
      </c>
      <c r="J33" s="223" t="s">
        <v>1416</v>
      </c>
      <c r="K33" s="223" t="s">
        <v>1417</v>
      </c>
      <c r="L33" s="223" t="s">
        <v>1418</v>
      </c>
      <c r="M33" s="223" t="s">
        <v>1419</v>
      </c>
      <c r="N33" s="223" t="s">
        <v>1420</v>
      </c>
      <c r="O33" s="223" t="s">
        <v>1378</v>
      </c>
      <c r="P33" s="223" t="s">
        <v>1378</v>
      </c>
      <c r="Q33" s="223" t="s">
        <v>1378</v>
      </c>
      <c r="R33" s="223" t="s">
        <v>1378</v>
      </c>
      <c r="S33" s="223"/>
      <c r="T33" s="223"/>
    </row>
    <row r="34" spans="2:20" ht="75" x14ac:dyDescent="0.25">
      <c r="B34" s="223" t="s">
        <v>214</v>
      </c>
      <c r="C34" s="223" t="s">
        <v>37</v>
      </c>
      <c r="D34" s="223" t="s">
        <v>39</v>
      </c>
      <c r="E34" s="206" t="s">
        <v>1421</v>
      </c>
      <c r="F34" s="223">
        <v>4</v>
      </c>
      <c r="G34" s="223" t="s">
        <v>1253</v>
      </c>
      <c r="H34" s="223" t="s">
        <v>1422</v>
      </c>
      <c r="I34" s="223" t="s">
        <v>1328</v>
      </c>
      <c r="J34" s="223" t="s">
        <v>1423</v>
      </c>
      <c r="K34" s="223" t="s">
        <v>1374</v>
      </c>
      <c r="L34" s="223" t="s">
        <v>1424</v>
      </c>
      <c r="M34" s="223" t="s">
        <v>1425</v>
      </c>
      <c r="N34" s="223" t="s">
        <v>1426</v>
      </c>
      <c r="O34" s="223" t="s">
        <v>1378</v>
      </c>
      <c r="P34" s="223" t="s">
        <v>1378</v>
      </c>
      <c r="Q34" s="223" t="s">
        <v>1378</v>
      </c>
      <c r="R34" s="223" t="s">
        <v>1378</v>
      </c>
      <c r="S34" s="223"/>
      <c r="T34" s="223"/>
    </row>
    <row r="35" spans="2:20" ht="45" x14ac:dyDescent="0.25">
      <c r="B35" s="223" t="s">
        <v>214</v>
      </c>
      <c r="C35" s="223" t="s">
        <v>37</v>
      </c>
      <c r="D35" s="223" t="s">
        <v>39</v>
      </c>
      <c r="E35" s="206" t="s">
        <v>1427</v>
      </c>
      <c r="F35" s="223">
        <v>3</v>
      </c>
      <c r="G35" s="223" t="s">
        <v>1253</v>
      </c>
      <c r="H35" s="223" t="s">
        <v>1428</v>
      </c>
      <c r="I35" s="223" t="s">
        <v>1429</v>
      </c>
      <c r="J35" s="223" t="s">
        <v>1430</v>
      </c>
      <c r="K35" s="223" t="s">
        <v>1431</v>
      </c>
      <c r="L35" s="223" t="s">
        <v>1432</v>
      </c>
      <c r="M35" s="223" t="s">
        <v>1378</v>
      </c>
      <c r="N35" s="223" t="s">
        <v>1378</v>
      </c>
      <c r="O35" s="223" t="s">
        <v>1378</v>
      </c>
      <c r="P35" s="223" t="s">
        <v>1378</v>
      </c>
      <c r="Q35" s="223" t="s">
        <v>1378</v>
      </c>
      <c r="R35" s="223" t="s">
        <v>1378</v>
      </c>
      <c r="S35" s="223"/>
      <c r="T35" s="223"/>
    </row>
    <row r="36" spans="2:20" ht="30" x14ac:dyDescent="0.25">
      <c r="B36" s="223" t="s">
        <v>214</v>
      </c>
      <c r="C36" s="223" t="s">
        <v>37</v>
      </c>
      <c r="D36" s="223" t="s">
        <v>39</v>
      </c>
      <c r="E36" s="206" t="s">
        <v>1433</v>
      </c>
      <c r="F36" s="223">
        <v>3</v>
      </c>
      <c r="G36" s="223" t="s">
        <v>1434</v>
      </c>
      <c r="H36" s="223" t="s">
        <v>1435</v>
      </c>
      <c r="I36" s="223" t="s">
        <v>1436</v>
      </c>
      <c r="J36" s="223" t="s">
        <v>1437</v>
      </c>
      <c r="K36" s="223" t="s">
        <v>1438</v>
      </c>
      <c r="L36" s="223" t="s">
        <v>1439</v>
      </c>
      <c r="M36" s="223" t="s">
        <v>1378</v>
      </c>
      <c r="N36" s="223" t="s">
        <v>1378</v>
      </c>
      <c r="O36" s="223" t="s">
        <v>1378</v>
      </c>
      <c r="P36" s="223" t="s">
        <v>1378</v>
      </c>
      <c r="Q36" s="223" t="s">
        <v>1378</v>
      </c>
      <c r="R36" s="223" t="s">
        <v>1378</v>
      </c>
      <c r="S36" s="223"/>
      <c r="T36" s="223"/>
    </row>
    <row r="37" spans="2:20" ht="75" x14ac:dyDescent="0.25">
      <c r="B37" s="223" t="s">
        <v>214</v>
      </c>
      <c r="C37" s="223" t="s">
        <v>37</v>
      </c>
      <c r="D37" s="223" t="s">
        <v>40</v>
      </c>
      <c r="E37" s="206" t="s">
        <v>1440</v>
      </c>
      <c r="F37" s="223">
        <v>4</v>
      </c>
      <c r="G37" s="223" t="s">
        <v>1441</v>
      </c>
      <c r="H37" s="223" t="s">
        <v>1442</v>
      </c>
      <c r="I37" s="223" t="s">
        <v>1443</v>
      </c>
      <c r="J37" s="223" t="s">
        <v>1444</v>
      </c>
      <c r="K37" s="223" t="s">
        <v>1445</v>
      </c>
      <c r="L37" s="223" t="s">
        <v>1446</v>
      </c>
      <c r="M37" s="223" t="s">
        <v>1447</v>
      </c>
      <c r="N37" s="223" t="s">
        <v>1448</v>
      </c>
      <c r="O37" s="223" t="s">
        <v>1378</v>
      </c>
      <c r="P37" s="223" t="s">
        <v>1378</v>
      </c>
      <c r="Q37" s="223" t="s">
        <v>1378</v>
      </c>
      <c r="R37" s="223" t="s">
        <v>1378</v>
      </c>
      <c r="S37" s="223"/>
      <c r="T37" s="223"/>
    </row>
    <row r="38" spans="2:20" ht="30" x14ac:dyDescent="0.25">
      <c r="B38" s="223" t="s">
        <v>214</v>
      </c>
      <c r="C38" s="223" t="s">
        <v>37</v>
      </c>
      <c r="D38" s="223" t="s">
        <v>40</v>
      </c>
      <c r="E38" s="206" t="s">
        <v>1449</v>
      </c>
      <c r="F38" s="223">
        <v>1</v>
      </c>
      <c r="G38" s="223" t="s">
        <v>1450</v>
      </c>
      <c r="H38" s="223" t="s">
        <v>1451</v>
      </c>
      <c r="I38" s="223" t="s">
        <v>1378</v>
      </c>
      <c r="J38" s="223" t="s">
        <v>1378</v>
      </c>
      <c r="K38" s="223" t="s">
        <v>1378</v>
      </c>
      <c r="L38" s="223" t="s">
        <v>1378</v>
      </c>
      <c r="M38" s="223" t="s">
        <v>1378</v>
      </c>
      <c r="N38" s="223" t="s">
        <v>1378</v>
      </c>
      <c r="O38" s="223" t="s">
        <v>1378</v>
      </c>
      <c r="P38" s="223" t="s">
        <v>1378</v>
      </c>
      <c r="Q38" s="223" t="s">
        <v>1378</v>
      </c>
      <c r="R38" s="223" t="s">
        <v>1378</v>
      </c>
      <c r="S38" s="223"/>
      <c r="T38" s="223"/>
    </row>
    <row r="39" spans="2:20" ht="45" x14ac:dyDescent="0.25">
      <c r="B39" s="223" t="s">
        <v>214</v>
      </c>
      <c r="C39" s="223" t="s">
        <v>37</v>
      </c>
      <c r="D39" s="223" t="s">
        <v>40</v>
      </c>
      <c r="E39" s="206" t="s">
        <v>1452</v>
      </c>
      <c r="F39" s="223">
        <v>3</v>
      </c>
      <c r="G39" s="223" t="s">
        <v>1453</v>
      </c>
      <c r="H39" s="223" t="s">
        <v>1454</v>
      </c>
      <c r="I39" s="223" t="s">
        <v>1455</v>
      </c>
      <c r="J39" s="223" t="s">
        <v>1456</v>
      </c>
      <c r="K39" s="223" t="s">
        <v>1457</v>
      </c>
      <c r="L39" s="223" t="s">
        <v>1458</v>
      </c>
      <c r="M39" s="223" t="s">
        <v>1378</v>
      </c>
      <c r="N39" s="223" t="s">
        <v>1378</v>
      </c>
      <c r="O39" s="223" t="s">
        <v>1378</v>
      </c>
      <c r="P39" s="223" t="s">
        <v>1378</v>
      </c>
      <c r="Q39" s="223" t="s">
        <v>1378</v>
      </c>
      <c r="R39" s="223" t="s">
        <v>1378</v>
      </c>
      <c r="S39" s="223"/>
      <c r="T39" s="223"/>
    </row>
    <row r="40" spans="2:20" ht="60" x14ac:dyDescent="0.25">
      <c r="B40" s="223" t="s">
        <v>214</v>
      </c>
      <c r="C40" s="223" t="s">
        <v>37</v>
      </c>
      <c r="D40" s="223" t="s">
        <v>40</v>
      </c>
      <c r="E40" s="206" t="s">
        <v>1459</v>
      </c>
      <c r="F40" s="223">
        <v>7</v>
      </c>
      <c r="G40" s="223" t="s">
        <v>1443</v>
      </c>
      <c r="H40" s="223" t="s">
        <v>1460</v>
      </c>
      <c r="I40" s="223" t="s">
        <v>1461</v>
      </c>
      <c r="J40" s="223" t="s">
        <v>1462</v>
      </c>
      <c r="K40" s="223" t="s">
        <v>1463</v>
      </c>
      <c r="L40" s="223" t="s">
        <v>1464</v>
      </c>
      <c r="M40" s="223" t="s">
        <v>1465</v>
      </c>
      <c r="N40" s="223" t="s">
        <v>1466</v>
      </c>
      <c r="O40" s="223" t="s">
        <v>1467</v>
      </c>
      <c r="P40" s="223" t="s">
        <v>1468</v>
      </c>
      <c r="Q40" s="223" t="s">
        <v>1469</v>
      </c>
      <c r="R40" s="223" t="s">
        <v>1470</v>
      </c>
      <c r="S40" s="223" t="s">
        <v>1471</v>
      </c>
      <c r="T40" s="223" t="s">
        <v>1472</v>
      </c>
    </row>
    <row r="41" spans="2:20" ht="30" x14ac:dyDescent="0.25">
      <c r="B41" s="223" t="s">
        <v>214</v>
      </c>
      <c r="C41" s="223" t="s">
        <v>871</v>
      </c>
      <c r="D41" s="223" t="s">
        <v>42</v>
      </c>
      <c r="E41" s="206" t="s">
        <v>1473</v>
      </c>
      <c r="F41" s="223">
        <v>3</v>
      </c>
      <c r="G41" s="223" t="s">
        <v>1474</v>
      </c>
      <c r="H41" s="223" t="s">
        <v>1475</v>
      </c>
      <c r="I41" s="223" t="s">
        <v>1476</v>
      </c>
      <c r="J41" s="223" t="s">
        <v>1477</v>
      </c>
      <c r="K41" s="223" t="s">
        <v>1478</v>
      </c>
      <c r="L41" s="223" t="s">
        <v>1479</v>
      </c>
      <c r="M41" s="223" t="s">
        <v>1378</v>
      </c>
      <c r="N41" s="223" t="s">
        <v>1378</v>
      </c>
      <c r="O41" s="223" t="s">
        <v>1378</v>
      </c>
      <c r="P41" s="223" t="s">
        <v>1378</v>
      </c>
      <c r="Q41" s="223" t="s">
        <v>1378</v>
      </c>
      <c r="R41" s="223" t="s">
        <v>1378</v>
      </c>
      <c r="S41" s="223"/>
      <c r="T41" s="223"/>
    </row>
    <row r="42" spans="2:20" ht="30" x14ac:dyDescent="0.25">
      <c r="B42" s="223" t="s">
        <v>214</v>
      </c>
      <c r="C42" s="223" t="s">
        <v>871</v>
      </c>
      <c r="D42" s="223" t="s">
        <v>42</v>
      </c>
      <c r="E42" s="206" t="s">
        <v>1480</v>
      </c>
      <c r="F42" s="223">
        <v>4</v>
      </c>
      <c r="G42" s="223" t="s">
        <v>1339</v>
      </c>
      <c r="H42" s="223" t="s">
        <v>1481</v>
      </c>
      <c r="I42" s="223" t="s">
        <v>1482</v>
      </c>
      <c r="J42" s="223" t="s">
        <v>1483</v>
      </c>
      <c r="K42" s="223" t="s">
        <v>1484</v>
      </c>
      <c r="L42" s="223" t="s">
        <v>1485</v>
      </c>
      <c r="M42" s="223" t="s">
        <v>1486</v>
      </c>
      <c r="N42" s="223" t="s">
        <v>1487</v>
      </c>
      <c r="O42" s="223" t="s">
        <v>1378</v>
      </c>
      <c r="P42" s="223" t="s">
        <v>1378</v>
      </c>
      <c r="Q42" s="223" t="s">
        <v>1378</v>
      </c>
      <c r="R42" s="223" t="s">
        <v>1378</v>
      </c>
      <c r="S42" s="223"/>
      <c r="T42" s="223"/>
    </row>
    <row r="43" spans="2:20" x14ac:dyDescent="0.25">
      <c r="B43" s="223" t="s">
        <v>214</v>
      </c>
      <c r="C43" s="223" t="s">
        <v>43</v>
      </c>
      <c r="D43" s="223" t="s">
        <v>44</v>
      </c>
      <c r="E43" s="206" t="s">
        <v>1488</v>
      </c>
      <c r="F43" s="223">
        <v>4</v>
      </c>
      <c r="G43" s="223" t="s">
        <v>1489</v>
      </c>
      <c r="H43" s="223" t="s">
        <v>1490</v>
      </c>
      <c r="I43" s="223" t="s">
        <v>1491</v>
      </c>
      <c r="J43" s="223" t="s">
        <v>1492</v>
      </c>
      <c r="K43" s="223" t="s">
        <v>1493</v>
      </c>
      <c r="L43" s="223" t="s">
        <v>1494</v>
      </c>
      <c r="M43" s="223" t="s">
        <v>1495</v>
      </c>
      <c r="N43" s="223" t="s">
        <v>1496</v>
      </c>
      <c r="O43" s="223" t="s">
        <v>1378</v>
      </c>
      <c r="P43" s="223" t="s">
        <v>1378</v>
      </c>
      <c r="Q43" s="223" t="s">
        <v>1378</v>
      </c>
      <c r="R43" s="223" t="s">
        <v>1378</v>
      </c>
      <c r="S43" s="223"/>
      <c r="T43" s="223"/>
    </row>
    <row r="44" spans="2:20" ht="45" x14ac:dyDescent="0.25">
      <c r="B44" s="223" t="s">
        <v>214</v>
      </c>
      <c r="C44" s="223" t="s">
        <v>43</v>
      </c>
      <c r="D44" s="223" t="s">
        <v>44</v>
      </c>
      <c r="E44" s="206" t="s">
        <v>1497</v>
      </c>
      <c r="F44" s="223">
        <v>2</v>
      </c>
      <c r="G44" s="223" t="s">
        <v>1498</v>
      </c>
      <c r="H44" s="223" t="s">
        <v>1499</v>
      </c>
      <c r="I44" s="223" t="s">
        <v>1500</v>
      </c>
      <c r="J44" s="223" t="s">
        <v>1501</v>
      </c>
      <c r="K44" s="223" t="s">
        <v>1378</v>
      </c>
      <c r="L44" s="223" t="s">
        <v>1378</v>
      </c>
      <c r="M44" s="223" t="s">
        <v>1378</v>
      </c>
      <c r="N44" s="223" t="s">
        <v>1378</v>
      </c>
      <c r="O44" s="223" t="s">
        <v>1378</v>
      </c>
      <c r="P44" s="223" t="s">
        <v>1378</v>
      </c>
      <c r="Q44" s="223" t="s">
        <v>1378</v>
      </c>
      <c r="R44" s="223" t="s">
        <v>1378</v>
      </c>
      <c r="S44" s="223"/>
      <c r="T44" s="223"/>
    </row>
    <row r="45" spans="2:20" ht="45" x14ac:dyDescent="0.25">
      <c r="B45" s="223" t="s">
        <v>214</v>
      </c>
      <c r="C45" s="223" t="s">
        <v>43</v>
      </c>
      <c r="D45" s="223" t="s">
        <v>44</v>
      </c>
      <c r="E45" s="206" t="s">
        <v>1502</v>
      </c>
      <c r="F45" s="223">
        <v>2</v>
      </c>
      <c r="G45" s="223" t="s">
        <v>1503</v>
      </c>
      <c r="H45" s="223" t="s">
        <v>1504</v>
      </c>
      <c r="I45" s="223" t="s">
        <v>1500</v>
      </c>
      <c r="J45" s="223" t="s">
        <v>1501</v>
      </c>
      <c r="K45" s="223" t="s">
        <v>1378</v>
      </c>
      <c r="L45" s="223" t="s">
        <v>1378</v>
      </c>
      <c r="M45" s="223" t="s">
        <v>1378</v>
      </c>
      <c r="N45" s="223" t="s">
        <v>1378</v>
      </c>
      <c r="O45" s="223" t="s">
        <v>1378</v>
      </c>
      <c r="P45" s="223" t="s">
        <v>1378</v>
      </c>
      <c r="Q45" s="223" t="s">
        <v>1378</v>
      </c>
      <c r="R45" s="223" t="s">
        <v>1378</v>
      </c>
      <c r="S45" s="223"/>
      <c r="T45" s="223"/>
    </row>
    <row r="46" spans="2:20" ht="30" x14ac:dyDescent="0.25">
      <c r="B46" s="223" t="s">
        <v>214</v>
      </c>
      <c r="C46" s="223" t="s">
        <v>43</v>
      </c>
      <c r="D46" s="223" t="s">
        <v>44</v>
      </c>
      <c r="E46" s="206" t="s">
        <v>1505</v>
      </c>
      <c r="F46" s="223">
        <v>3</v>
      </c>
      <c r="G46" s="223" t="s">
        <v>1506</v>
      </c>
      <c r="H46" s="223" t="s">
        <v>1507</v>
      </c>
      <c r="I46" s="223" t="s">
        <v>1508</v>
      </c>
      <c r="J46" s="223" t="s">
        <v>1509</v>
      </c>
      <c r="K46" s="223" t="s">
        <v>1510</v>
      </c>
      <c r="L46" s="223" t="s">
        <v>1511</v>
      </c>
      <c r="M46" s="223" t="s">
        <v>1378</v>
      </c>
      <c r="N46" s="223" t="s">
        <v>1378</v>
      </c>
      <c r="O46" s="223" t="s">
        <v>1378</v>
      </c>
      <c r="P46" s="223" t="s">
        <v>1378</v>
      </c>
      <c r="Q46" s="223" t="s">
        <v>1378</v>
      </c>
      <c r="R46" s="223" t="s">
        <v>1378</v>
      </c>
      <c r="S46" s="223"/>
      <c r="T46" s="223"/>
    </row>
    <row r="47" spans="2:20" ht="30" x14ac:dyDescent="0.25">
      <c r="B47" s="223" t="s">
        <v>214</v>
      </c>
      <c r="C47" s="223" t="s">
        <v>43</v>
      </c>
      <c r="D47" s="223" t="s">
        <v>45</v>
      </c>
      <c r="E47" s="206" t="s">
        <v>1512</v>
      </c>
      <c r="F47" s="223">
        <v>3</v>
      </c>
      <c r="G47" s="223" t="s">
        <v>1498</v>
      </c>
      <c r="H47" s="223" t="s">
        <v>1513</v>
      </c>
      <c r="I47" s="223" t="s">
        <v>1493</v>
      </c>
      <c r="J47" s="223" t="s">
        <v>1514</v>
      </c>
      <c r="K47" s="223" t="s">
        <v>1515</v>
      </c>
      <c r="L47" s="223" t="s">
        <v>1516</v>
      </c>
      <c r="M47" s="223" t="s">
        <v>1378</v>
      </c>
      <c r="N47" s="223" t="s">
        <v>1378</v>
      </c>
      <c r="O47" s="223" t="s">
        <v>1378</v>
      </c>
      <c r="P47" s="223" t="s">
        <v>1378</v>
      </c>
      <c r="Q47" s="223" t="s">
        <v>1378</v>
      </c>
      <c r="R47" s="223" t="s">
        <v>1378</v>
      </c>
      <c r="S47" s="223"/>
      <c r="T47" s="223"/>
    </row>
    <row r="48" spans="2:20" ht="45" x14ac:dyDescent="0.25">
      <c r="B48" s="223" t="s">
        <v>210</v>
      </c>
      <c r="C48" s="223" t="s">
        <v>191</v>
      </c>
      <c r="D48" s="223" t="s">
        <v>611</v>
      </c>
      <c r="E48" s="206" t="s">
        <v>1517</v>
      </c>
      <c r="F48" s="223">
        <v>4</v>
      </c>
      <c r="G48" s="223" t="s">
        <v>1436</v>
      </c>
      <c r="H48" s="223" t="s">
        <v>1518</v>
      </c>
      <c r="I48" s="223" t="s">
        <v>1519</v>
      </c>
      <c r="J48" s="223" t="s">
        <v>1520</v>
      </c>
      <c r="K48" s="223" t="s">
        <v>1374</v>
      </c>
      <c r="L48" s="223" t="s">
        <v>1375</v>
      </c>
      <c r="M48" s="223" t="s">
        <v>1376</v>
      </c>
      <c r="N48" s="223" t="s">
        <v>1521</v>
      </c>
      <c r="O48" s="223" t="s">
        <v>1378</v>
      </c>
      <c r="P48" s="223" t="s">
        <v>1378</v>
      </c>
      <c r="Q48" s="223" t="s">
        <v>1378</v>
      </c>
      <c r="R48" s="223" t="s">
        <v>1378</v>
      </c>
      <c r="S48" s="223"/>
      <c r="T48" s="223"/>
    </row>
    <row r="49" spans="2:20" ht="30" x14ac:dyDescent="0.25">
      <c r="B49" s="223" t="s">
        <v>210</v>
      </c>
      <c r="C49" s="223" t="s">
        <v>191</v>
      </c>
      <c r="D49" s="223" t="s">
        <v>611</v>
      </c>
      <c r="E49" s="206" t="s">
        <v>1522</v>
      </c>
      <c r="F49" s="223">
        <v>6</v>
      </c>
      <c r="G49" s="223" t="s">
        <v>1324</v>
      </c>
      <c r="H49" s="223" t="s">
        <v>1523</v>
      </c>
      <c r="I49" s="223" t="s">
        <v>1519</v>
      </c>
      <c r="J49" s="223" t="s">
        <v>1524</v>
      </c>
      <c r="K49" s="223" t="s">
        <v>1525</v>
      </c>
      <c r="L49" s="223" t="s">
        <v>1526</v>
      </c>
      <c r="M49" s="223" t="s">
        <v>1527</v>
      </c>
      <c r="N49" s="223" t="s">
        <v>1528</v>
      </c>
      <c r="O49" s="223" t="s">
        <v>1529</v>
      </c>
      <c r="P49" s="223" t="s">
        <v>1530</v>
      </c>
      <c r="Q49" s="223" t="s">
        <v>1531</v>
      </c>
      <c r="R49" s="223" t="s">
        <v>1532</v>
      </c>
      <c r="S49" s="223"/>
      <c r="T49" s="223"/>
    </row>
    <row r="50" spans="2:20" ht="30" x14ac:dyDescent="0.25">
      <c r="B50" s="223" t="s">
        <v>210</v>
      </c>
      <c r="C50" s="223" t="s">
        <v>191</v>
      </c>
      <c r="D50" s="223" t="s">
        <v>611</v>
      </c>
      <c r="E50" s="206" t="s">
        <v>1533</v>
      </c>
      <c r="F50" s="223">
        <v>2</v>
      </c>
      <c r="G50" s="223" t="s">
        <v>1534</v>
      </c>
      <c r="H50" s="223" t="s">
        <v>1535</v>
      </c>
      <c r="I50" s="223" t="s">
        <v>1536</v>
      </c>
      <c r="J50" s="223" t="s">
        <v>1537</v>
      </c>
      <c r="K50" s="223" t="s">
        <v>1378</v>
      </c>
      <c r="L50" s="223" t="s">
        <v>1378</v>
      </c>
      <c r="M50" s="223" t="s">
        <v>1378</v>
      </c>
      <c r="N50" s="223" t="s">
        <v>1378</v>
      </c>
      <c r="O50" s="223" t="s">
        <v>1378</v>
      </c>
      <c r="P50" s="223" t="s">
        <v>1378</v>
      </c>
      <c r="Q50" s="223" t="s">
        <v>1378</v>
      </c>
      <c r="R50" s="223" t="s">
        <v>1378</v>
      </c>
      <c r="S50" s="223"/>
      <c r="T50" s="223"/>
    </row>
    <row r="51" spans="2:20" ht="30" x14ac:dyDescent="0.25">
      <c r="B51" s="223" t="s">
        <v>210</v>
      </c>
      <c r="C51" s="223" t="s">
        <v>609</v>
      </c>
      <c r="D51" s="223" t="s">
        <v>609</v>
      </c>
      <c r="E51" s="206" t="s">
        <v>1538</v>
      </c>
      <c r="F51" s="223">
        <v>2</v>
      </c>
      <c r="G51" s="223" t="s">
        <v>1539</v>
      </c>
      <c r="H51" s="223" t="s">
        <v>1540</v>
      </c>
      <c r="I51" s="223" t="s">
        <v>1541</v>
      </c>
      <c r="J51" s="223" t="s">
        <v>1542</v>
      </c>
      <c r="K51" s="223" t="s">
        <v>1378</v>
      </c>
      <c r="L51" s="223" t="s">
        <v>1378</v>
      </c>
      <c r="M51" s="223" t="s">
        <v>1378</v>
      </c>
      <c r="N51" s="223" t="s">
        <v>1378</v>
      </c>
      <c r="O51" s="223" t="s">
        <v>1378</v>
      </c>
      <c r="P51" s="223" t="s">
        <v>1378</v>
      </c>
      <c r="Q51" s="223" t="s">
        <v>1378</v>
      </c>
      <c r="R51" s="223" t="s">
        <v>1378</v>
      </c>
      <c r="S51" s="223"/>
      <c r="T51" s="223"/>
    </row>
    <row r="52" spans="2:20" ht="30" x14ac:dyDescent="0.25">
      <c r="B52" s="223" t="s">
        <v>210</v>
      </c>
      <c r="C52" s="223" t="s">
        <v>609</v>
      </c>
      <c r="D52" s="223" t="s">
        <v>609</v>
      </c>
      <c r="E52" s="206" t="s">
        <v>1543</v>
      </c>
      <c r="F52" s="223">
        <v>2</v>
      </c>
      <c r="G52" s="223" t="s">
        <v>1539</v>
      </c>
      <c r="H52" s="223" t="s">
        <v>1544</v>
      </c>
      <c r="I52" s="223" t="s">
        <v>1541</v>
      </c>
      <c r="J52" s="223" t="s">
        <v>1545</v>
      </c>
      <c r="K52" s="223" t="s">
        <v>1378</v>
      </c>
      <c r="L52" s="223" t="s">
        <v>1378</v>
      </c>
      <c r="M52" s="223" t="s">
        <v>1378</v>
      </c>
      <c r="N52" s="223" t="s">
        <v>1378</v>
      </c>
      <c r="O52" s="223" t="s">
        <v>1378</v>
      </c>
      <c r="P52" s="223" t="s">
        <v>1378</v>
      </c>
      <c r="Q52" s="223" t="s">
        <v>1378</v>
      </c>
      <c r="R52" s="223" t="s">
        <v>1378</v>
      </c>
      <c r="S52" s="223"/>
      <c r="T52" s="223"/>
    </row>
    <row r="53" spans="2:20" ht="30" x14ac:dyDescent="0.25">
      <c r="B53" s="223" t="s">
        <v>210</v>
      </c>
      <c r="C53" s="223" t="s">
        <v>246</v>
      </c>
      <c r="D53" s="223" t="s">
        <v>246</v>
      </c>
      <c r="E53" s="206" t="s">
        <v>1546</v>
      </c>
      <c r="F53" s="223">
        <v>2</v>
      </c>
      <c r="G53" s="223" t="s">
        <v>1250</v>
      </c>
      <c r="H53" s="223" t="s">
        <v>1547</v>
      </c>
      <c r="I53" s="223" t="s">
        <v>1548</v>
      </c>
      <c r="J53" s="223" t="s">
        <v>1549</v>
      </c>
      <c r="K53" s="223" t="s">
        <v>1378</v>
      </c>
      <c r="L53" s="223" t="s">
        <v>1378</v>
      </c>
      <c r="M53" s="223" t="s">
        <v>1378</v>
      </c>
      <c r="N53" s="223" t="s">
        <v>1378</v>
      </c>
      <c r="O53" s="223" t="s">
        <v>1378</v>
      </c>
      <c r="P53" s="223" t="s">
        <v>1378</v>
      </c>
      <c r="Q53" s="223" t="s">
        <v>1378</v>
      </c>
      <c r="R53" s="223" t="s">
        <v>1378</v>
      </c>
      <c r="S53" s="223"/>
      <c r="T53" s="223"/>
    </row>
    <row r="54" spans="2:20" ht="30" x14ac:dyDescent="0.25">
      <c r="B54" s="223" t="s">
        <v>210</v>
      </c>
      <c r="C54" s="223" t="s">
        <v>246</v>
      </c>
      <c r="D54" s="223" t="s">
        <v>246</v>
      </c>
      <c r="E54" s="206" t="s">
        <v>1550</v>
      </c>
      <c r="F54" s="223">
        <v>4</v>
      </c>
      <c r="G54" s="223" t="s">
        <v>1551</v>
      </c>
      <c r="H54" s="223" t="s">
        <v>1552</v>
      </c>
      <c r="I54" s="223" t="s">
        <v>1553</v>
      </c>
      <c r="J54" s="223" t="s">
        <v>1554</v>
      </c>
      <c r="K54" s="223" t="s">
        <v>1529</v>
      </c>
      <c r="L54" s="223" t="s">
        <v>1555</v>
      </c>
      <c r="M54" s="223" t="s">
        <v>1556</v>
      </c>
      <c r="N54" s="223" t="s">
        <v>1557</v>
      </c>
      <c r="O54" s="223" t="s">
        <v>1378</v>
      </c>
      <c r="P54" s="223" t="s">
        <v>1378</v>
      </c>
      <c r="Q54" s="223" t="s">
        <v>1378</v>
      </c>
      <c r="R54" s="223" t="s">
        <v>1378</v>
      </c>
      <c r="S54" s="223"/>
      <c r="T54" s="223"/>
    </row>
    <row r="55" spans="2:20" ht="30" x14ac:dyDescent="0.25">
      <c r="B55" s="223" t="s">
        <v>210</v>
      </c>
      <c r="C55" s="223" t="s">
        <v>246</v>
      </c>
      <c r="D55" s="223" t="s">
        <v>246</v>
      </c>
      <c r="E55" s="206" t="s">
        <v>1558</v>
      </c>
      <c r="F55" s="223">
        <v>3</v>
      </c>
      <c r="G55" s="223" t="s">
        <v>1553</v>
      </c>
      <c r="H55" s="223" t="s">
        <v>1559</v>
      </c>
      <c r="I55" s="223" t="s">
        <v>1529</v>
      </c>
      <c r="J55" s="223" t="s">
        <v>1555</v>
      </c>
      <c r="K55" s="223" t="s">
        <v>1556</v>
      </c>
      <c r="L55" s="223" t="s">
        <v>1557</v>
      </c>
      <c r="M55" s="223" t="s">
        <v>1378</v>
      </c>
      <c r="N55" s="223" t="s">
        <v>1378</v>
      </c>
      <c r="O55" s="223" t="s">
        <v>1378</v>
      </c>
      <c r="P55" s="223" t="s">
        <v>1378</v>
      </c>
      <c r="Q55" s="223" t="s">
        <v>1378</v>
      </c>
      <c r="R55" s="223" t="s">
        <v>1378</v>
      </c>
      <c r="S55" s="223"/>
      <c r="T55" s="223"/>
    </row>
    <row r="56" spans="2:20" ht="30" x14ac:dyDescent="0.25">
      <c r="B56" s="223" t="s">
        <v>215</v>
      </c>
      <c r="C56" s="223" t="s">
        <v>1560</v>
      </c>
      <c r="D56" s="223" t="s">
        <v>264</v>
      </c>
      <c r="E56" s="206" t="s">
        <v>1561</v>
      </c>
      <c r="F56" s="223">
        <v>2</v>
      </c>
      <c r="G56" s="223" t="s">
        <v>1562</v>
      </c>
      <c r="H56" s="223" t="s">
        <v>1563</v>
      </c>
      <c r="I56" s="223" t="s">
        <v>1564</v>
      </c>
      <c r="J56" s="223" t="s">
        <v>1565</v>
      </c>
      <c r="K56" s="223" t="s">
        <v>1378</v>
      </c>
      <c r="L56" s="223" t="s">
        <v>1378</v>
      </c>
      <c r="M56" s="223" t="s">
        <v>1378</v>
      </c>
      <c r="N56" s="223" t="s">
        <v>1378</v>
      </c>
      <c r="O56" s="223" t="s">
        <v>1378</v>
      </c>
      <c r="P56" s="223" t="s">
        <v>1378</v>
      </c>
      <c r="Q56" s="223" t="s">
        <v>1378</v>
      </c>
      <c r="R56" s="223" t="s">
        <v>1378</v>
      </c>
      <c r="S56" s="223"/>
      <c r="T56" s="223"/>
    </row>
    <row r="57" spans="2:20" ht="30" x14ac:dyDescent="0.25">
      <c r="B57" s="223" t="s">
        <v>215</v>
      </c>
      <c r="C57" s="223" t="s">
        <v>1560</v>
      </c>
      <c r="D57" s="223" t="s">
        <v>264</v>
      </c>
      <c r="E57" s="206" t="s">
        <v>1566</v>
      </c>
      <c r="F57" s="223">
        <v>5</v>
      </c>
      <c r="G57" s="223" t="s">
        <v>1567</v>
      </c>
      <c r="H57" s="223" t="s">
        <v>1568</v>
      </c>
      <c r="I57" s="223" t="s">
        <v>1569</v>
      </c>
      <c r="J57" s="223" t="s">
        <v>1570</v>
      </c>
      <c r="K57" s="223" t="s">
        <v>1571</v>
      </c>
      <c r="L57" s="223" t="s">
        <v>1572</v>
      </c>
      <c r="M57" s="223" t="s">
        <v>1573</v>
      </c>
      <c r="N57" s="223" t="s">
        <v>1574</v>
      </c>
      <c r="O57" s="223" t="s">
        <v>1529</v>
      </c>
      <c r="P57" s="223" t="s">
        <v>1575</v>
      </c>
      <c r="Q57" s="223" t="s">
        <v>1378</v>
      </c>
      <c r="R57" s="223" t="s">
        <v>1378</v>
      </c>
      <c r="S57" s="223"/>
      <c r="T57" s="223"/>
    </row>
    <row r="58" spans="2:20" x14ac:dyDescent="0.25">
      <c r="B58" s="223" t="s">
        <v>215</v>
      </c>
      <c r="C58" s="223" t="s">
        <v>1560</v>
      </c>
      <c r="D58" s="223" t="s">
        <v>264</v>
      </c>
      <c r="E58" s="206" t="s">
        <v>1576</v>
      </c>
      <c r="F58" s="223">
        <v>1</v>
      </c>
      <c r="G58" s="223" t="s">
        <v>1181</v>
      </c>
      <c r="H58" s="223" t="s">
        <v>1577</v>
      </c>
      <c r="I58" s="223" t="s">
        <v>1378</v>
      </c>
      <c r="J58" s="223" t="s">
        <v>1378</v>
      </c>
      <c r="K58" s="223" t="s">
        <v>1378</v>
      </c>
      <c r="L58" s="223" t="s">
        <v>1378</v>
      </c>
      <c r="M58" s="223" t="s">
        <v>1378</v>
      </c>
      <c r="N58" s="223" t="s">
        <v>1378</v>
      </c>
      <c r="O58" s="223" t="s">
        <v>1378</v>
      </c>
      <c r="P58" s="223" t="s">
        <v>1378</v>
      </c>
      <c r="Q58" s="223" t="s">
        <v>1378</v>
      </c>
      <c r="R58" s="223" t="s">
        <v>1378</v>
      </c>
      <c r="S58" s="223"/>
      <c r="T58" s="223"/>
    </row>
    <row r="59" spans="2:20" x14ac:dyDescent="0.25">
      <c r="B59" s="223" t="s">
        <v>215</v>
      </c>
      <c r="C59" s="223" t="s">
        <v>1560</v>
      </c>
      <c r="D59" s="223" t="s">
        <v>264</v>
      </c>
      <c r="E59" s="206" t="s">
        <v>1578</v>
      </c>
      <c r="F59" s="223">
        <v>2</v>
      </c>
      <c r="G59" s="223" t="s">
        <v>1181</v>
      </c>
      <c r="H59" s="223" t="s">
        <v>1579</v>
      </c>
      <c r="I59" s="223" t="s">
        <v>1580</v>
      </c>
      <c r="J59" s="223" t="s">
        <v>1581</v>
      </c>
      <c r="K59" s="223" t="s">
        <v>1378</v>
      </c>
      <c r="L59" s="223" t="s">
        <v>1378</v>
      </c>
      <c r="M59" s="223" t="s">
        <v>1378</v>
      </c>
      <c r="N59" s="223" t="s">
        <v>1378</v>
      </c>
      <c r="O59" s="223" t="s">
        <v>1378</v>
      </c>
      <c r="P59" s="223" t="s">
        <v>1378</v>
      </c>
      <c r="Q59" s="223" t="s">
        <v>1378</v>
      </c>
      <c r="R59" s="223" t="s">
        <v>1378</v>
      </c>
      <c r="S59" s="223"/>
      <c r="T59" s="223"/>
    </row>
    <row r="60" spans="2:20" ht="30" x14ac:dyDescent="0.25">
      <c r="B60" s="223" t="s">
        <v>215</v>
      </c>
      <c r="C60" s="223" t="s">
        <v>1560</v>
      </c>
      <c r="D60" s="223" t="s">
        <v>264</v>
      </c>
      <c r="E60" s="206" t="s">
        <v>1582</v>
      </c>
      <c r="F60" s="223">
        <v>2</v>
      </c>
      <c r="G60" s="223" t="s">
        <v>1583</v>
      </c>
      <c r="H60" s="223" t="s">
        <v>1584</v>
      </c>
      <c r="I60" s="223" t="s">
        <v>1585</v>
      </c>
      <c r="J60" s="223" t="s">
        <v>1586</v>
      </c>
      <c r="K60" s="223" t="s">
        <v>1378</v>
      </c>
      <c r="L60" s="223" t="s">
        <v>1378</v>
      </c>
      <c r="M60" s="223" t="s">
        <v>1378</v>
      </c>
      <c r="N60" s="223" t="s">
        <v>1378</v>
      </c>
      <c r="O60" s="223" t="s">
        <v>1378</v>
      </c>
      <c r="P60" s="223" t="s">
        <v>1378</v>
      </c>
      <c r="Q60" s="223" t="s">
        <v>1378</v>
      </c>
      <c r="R60" s="223" t="s">
        <v>1378</v>
      </c>
      <c r="S60" s="223"/>
      <c r="T60" s="223"/>
    </row>
    <row r="61" spans="2:20" ht="30" x14ac:dyDescent="0.25">
      <c r="B61" s="223" t="s">
        <v>215</v>
      </c>
      <c r="C61" s="223" t="s">
        <v>1560</v>
      </c>
      <c r="D61" s="223" t="s">
        <v>264</v>
      </c>
      <c r="E61" s="206" t="s">
        <v>1587</v>
      </c>
      <c r="F61" s="223">
        <v>2</v>
      </c>
      <c r="G61" s="223" t="s">
        <v>1588</v>
      </c>
      <c r="H61" s="223" t="s">
        <v>1589</v>
      </c>
      <c r="I61" s="223" t="s">
        <v>1590</v>
      </c>
      <c r="J61" s="223" t="s">
        <v>1591</v>
      </c>
      <c r="K61" s="223" t="s">
        <v>1378</v>
      </c>
      <c r="L61" s="223" t="s">
        <v>1378</v>
      </c>
      <c r="M61" s="223" t="s">
        <v>1378</v>
      </c>
      <c r="N61" s="223" t="s">
        <v>1378</v>
      </c>
      <c r="O61" s="223" t="s">
        <v>1378</v>
      </c>
      <c r="P61" s="223" t="s">
        <v>1378</v>
      </c>
      <c r="Q61" s="223" t="s">
        <v>1378</v>
      </c>
      <c r="R61" s="223" t="s">
        <v>1378</v>
      </c>
      <c r="S61" s="223"/>
      <c r="T61" s="223"/>
    </row>
    <row r="62" spans="2:20" ht="30" x14ac:dyDescent="0.25">
      <c r="B62" s="223" t="s">
        <v>215</v>
      </c>
      <c r="C62" s="223" t="s">
        <v>1560</v>
      </c>
      <c r="D62" s="223" t="s">
        <v>264</v>
      </c>
      <c r="E62" s="206" t="s">
        <v>1592</v>
      </c>
      <c r="F62" s="223">
        <v>2</v>
      </c>
      <c r="G62" s="223" t="s">
        <v>1409</v>
      </c>
      <c r="H62" s="223" t="s">
        <v>1593</v>
      </c>
      <c r="I62" s="223" t="s">
        <v>1411</v>
      </c>
      <c r="J62" s="223" t="s">
        <v>1412</v>
      </c>
      <c r="K62" s="223" t="s">
        <v>1378</v>
      </c>
      <c r="L62" s="223" t="s">
        <v>1378</v>
      </c>
      <c r="M62" s="223" t="s">
        <v>1378</v>
      </c>
      <c r="N62" s="223" t="s">
        <v>1378</v>
      </c>
      <c r="O62" s="223" t="s">
        <v>1378</v>
      </c>
      <c r="P62" s="223" t="s">
        <v>1378</v>
      </c>
      <c r="Q62" s="223" t="s">
        <v>1378</v>
      </c>
      <c r="R62" s="223" t="s">
        <v>1378</v>
      </c>
      <c r="S62" s="223"/>
      <c r="T62" s="223"/>
    </row>
    <row r="63" spans="2:20" ht="30" x14ac:dyDescent="0.25">
      <c r="B63" s="223" t="s">
        <v>215</v>
      </c>
      <c r="C63" s="223" t="s">
        <v>1560</v>
      </c>
      <c r="D63" s="223" t="s">
        <v>264</v>
      </c>
      <c r="E63" s="206" t="s">
        <v>1594</v>
      </c>
      <c r="F63" s="223">
        <v>2</v>
      </c>
      <c r="G63" s="223" t="s">
        <v>1249</v>
      </c>
      <c r="H63" s="223" t="s">
        <v>1595</v>
      </c>
      <c r="I63" s="223" t="s">
        <v>1596</v>
      </c>
      <c r="J63" s="223" t="s">
        <v>1597</v>
      </c>
      <c r="K63" s="223" t="s">
        <v>1378</v>
      </c>
      <c r="L63" s="223" t="s">
        <v>1378</v>
      </c>
      <c r="M63" s="223" t="s">
        <v>1378</v>
      </c>
      <c r="N63" s="223" t="s">
        <v>1378</v>
      </c>
      <c r="O63" s="223" t="s">
        <v>1378</v>
      </c>
      <c r="P63" s="223" t="s">
        <v>1378</v>
      </c>
      <c r="Q63" s="223" t="s">
        <v>1378</v>
      </c>
      <c r="R63" s="223" t="s">
        <v>1378</v>
      </c>
      <c r="S63" s="223"/>
      <c r="T63" s="223"/>
    </row>
    <row r="64" spans="2:20" ht="45" x14ac:dyDescent="0.25">
      <c r="B64" s="223" t="s">
        <v>215</v>
      </c>
      <c r="C64" s="223" t="s">
        <v>1560</v>
      </c>
      <c r="D64" s="223" t="s">
        <v>264</v>
      </c>
      <c r="E64" s="206" t="s">
        <v>1598</v>
      </c>
      <c r="F64" s="223">
        <v>1</v>
      </c>
      <c r="G64" s="223" t="s">
        <v>1506</v>
      </c>
      <c r="H64" s="223" t="s">
        <v>1599</v>
      </c>
      <c r="I64" s="223" t="s">
        <v>1378</v>
      </c>
      <c r="J64" s="223" t="s">
        <v>1378</v>
      </c>
      <c r="K64" s="223" t="s">
        <v>1378</v>
      </c>
      <c r="L64" s="223" t="s">
        <v>1378</v>
      </c>
      <c r="M64" s="223" t="s">
        <v>1378</v>
      </c>
      <c r="N64" s="223" t="s">
        <v>1378</v>
      </c>
      <c r="O64" s="223" t="s">
        <v>1378</v>
      </c>
      <c r="P64" s="223" t="s">
        <v>1378</v>
      </c>
      <c r="Q64" s="223" t="s">
        <v>1378</v>
      </c>
      <c r="R64" s="223" t="s">
        <v>1378</v>
      </c>
      <c r="S64" s="223"/>
      <c r="T64" s="223"/>
    </row>
    <row r="65" spans="2:20" ht="45" x14ac:dyDescent="0.25">
      <c r="B65" s="223" t="s">
        <v>215</v>
      </c>
      <c r="C65" s="223" t="s">
        <v>1560</v>
      </c>
      <c r="D65" s="223" t="s">
        <v>264</v>
      </c>
      <c r="E65" s="206" t="s">
        <v>1600</v>
      </c>
      <c r="F65" s="223">
        <v>2</v>
      </c>
      <c r="G65" s="223" t="s">
        <v>1601</v>
      </c>
      <c r="H65" s="223" t="s">
        <v>1602</v>
      </c>
      <c r="I65" s="223" t="s">
        <v>1603</v>
      </c>
      <c r="J65" s="223" t="s">
        <v>1604</v>
      </c>
      <c r="K65" s="223" t="s">
        <v>1378</v>
      </c>
      <c r="L65" s="223" t="s">
        <v>1378</v>
      </c>
      <c r="M65" s="223" t="s">
        <v>1378</v>
      </c>
      <c r="N65" s="223" t="s">
        <v>1378</v>
      </c>
      <c r="O65" s="223" t="s">
        <v>1378</v>
      </c>
      <c r="P65" s="223" t="s">
        <v>1378</v>
      </c>
      <c r="Q65" s="223" t="s">
        <v>1378</v>
      </c>
      <c r="R65" s="223" t="s">
        <v>1378</v>
      </c>
      <c r="S65" s="223"/>
      <c r="T65" s="223"/>
    </row>
    <row r="66" spans="2:20" ht="45" x14ac:dyDescent="0.25">
      <c r="B66" s="223" t="s">
        <v>215</v>
      </c>
      <c r="C66" s="223" t="s">
        <v>1560</v>
      </c>
      <c r="D66" s="223" t="s">
        <v>296</v>
      </c>
      <c r="E66" s="206" t="s">
        <v>1605</v>
      </c>
      <c r="F66" s="223">
        <v>4</v>
      </c>
      <c r="G66" s="223" t="s">
        <v>1606</v>
      </c>
      <c r="H66" s="223" t="s">
        <v>1607</v>
      </c>
      <c r="I66" s="223" t="s">
        <v>1588</v>
      </c>
      <c r="J66" s="223" t="s">
        <v>1608</v>
      </c>
      <c r="K66" s="223" t="s">
        <v>1609</v>
      </c>
      <c r="L66" s="223" t="s">
        <v>1610</v>
      </c>
      <c r="M66" s="223" t="s">
        <v>1493</v>
      </c>
      <c r="N66" s="223" t="s">
        <v>1611</v>
      </c>
      <c r="O66" s="223" t="s">
        <v>1378</v>
      </c>
      <c r="P66" s="223" t="s">
        <v>1378</v>
      </c>
      <c r="Q66" s="223" t="s">
        <v>1378</v>
      </c>
      <c r="R66" s="223" t="s">
        <v>1378</v>
      </c>
      <c r="S66" s="223"/>
      <c r="T66" s="223"/>
    </row>
    <row r="67" spans="2:20" ht="30" x14ac:dyDescent="0.25">
      <c r="B67" s="223" t="s">
        <v>215</v>
      </c>
      <c r="C67" s="223" t="s">
        <v>1560</v>
      </c>
      <c r="D67" s="223" t="s">
        <v>296</v>
      </c>
      <c r="E67" s="206" t="s">
        <v>1612</v>
      </c>
      <c r="F67" s="223">
        <v>2</v>
      </c>
      <c r="G67" s="223" t="s">
        <v>1606</v>
      </c>
      <c r="H67" s="223" t="s">
        <v>1613</v>
      </c>
      <c r="I67" s="223" t="s">
        <v>1614</v>
      </c>
      <c r="J67" s="223" t="s">
        <v>1615</v>
      </c>
      <c r="K67" s="223" t="s">
        <v>1378</v>
      </c>
      <c r="L67" s="223" t="s">
        <v>1378</v>
      </c>
      <c r="M67" s="223" t="s">
        <v>1378</v>
      </c>
      <c r="N67" s="223" t="s">
        <v>1378</v>
      </c>
      <c r="O67" s="223" t="s">
        <v>1378</v>
      </c>
      <c r="P67" s="223" t="s">
        <v>1378</v>
      </c>
      <c r="Q67" s="223" t="s">
        <v>1378</v>
      </c>
      <c r="R67" s="223" t="s">
        <v>1378</v>
      </c>
      <c r="S67" s="223"/>
      <c r="T67" s="223"/>
    </row>
    <row r="68" spans="2:20" ht="45" x14ac:dyDescent="0.25">
      <c r="B68" s="223" t="s">
        <v>215</v>
      </c>
      <c r="C68" s="223" t="s">
        <v>1560</v>
      </c>
      <c r="D68" s="223" t="s">
        <v>296</v>
      </c>
      <c r="E68" s="206" t="s">
        <v>1616</v>
      </c>
      <c r="F68" s="223">
        <v>2</v>
      </c>
      <c r="G68" s="223" t="s">
        <v>1169</v>
      </c>
      <c r="H68" s="223" t="s">
        <v>1617</v>
      </c>
      <c r="I68" s="223" t="s">
        <v>1618</v>
      </c>
      <c r="J68" s="223" t="s">
        <v>1619</v>
      </c>
      <c r="K68" s="223" t="s">
        <v>1378</v>
      </c>
      <c r="L68" s="223" t="s">
        <v>1378</v>
      </c>
      <c r="M68" s="223" t="s">
        <v>1378</v>
      </c>
      <c r="N68" s="223" t="s">
        <v>1378</v>
      </c>
      <c r="O68" s="223" t="s">
        <v>1378</v>
      </c>
      <c r="P68" s="223" t="s">
        <v>1378</v>
      </c>
      <c r="Q68" s="223" t="s">
        <v>1378</v>
      </c>
      <c r="R68" s="223" t="s">
        <v>1378</v>
      </c>
      <c r="S68" s="223"/>
      <c r="T68" s="223"/>
    </row>
    <row r="69" spans="2:20" ht="45" x14ac:dyDescent="0.25">
      <c r="B69" s="223" t="s">
        <v>215</v>
      </c>
      <c r="C69" s="223" t="s">
        <v>1560</v>
      </c>
      <c r="D69" s="223" t="s">
        <v>296</v>
      </c>
      <c r="E69" s="206" t="s">
        <v>1620</v>
      </c>
      <c r="F69" s="223">
        <v>3</v>
      </c>
      <c r="G69" s="223" t="s">
        <v>1169</v>
      </c>
      <c r="H69" s="223" t="s">
        <v>1621</v>
      </c>
      <c r="I69" s="223" t="s">
        <v>1622</v>
      </c>
      <c r="J69" s="223" t="s">
        <v>1623</v>
      </c>
      <c r="K69" s="223" t="s">
        <v>1493</v>
      </c>
      <c r="L69" s="223" t="s">
        <v>1624</v>
      </c>
      <c r="M69" s="223" t="s">
        <v>1378</v>
      </c>
      <c r="N69" s="223" t="s">
        <v>1378</v>
      </c>
      <c r="O69" s="223" t="s">
        <v>1378</v>
      </c>
      <c r="P69" s="223" t="s">
        <v>1378</v>
      </c>
      <c r="Q69" s="223" t="s">
        <v>1378</v>
      </c>
      <c r="R69" s="223" t="s">
        <v>1378</v>
      </c>
      <c r="S69" s="223"/>
      <c r="T69" s="223"/>
    </row>
    <row r="70" spans="2:20" ht="45" x14ac:dyDescent="0.25">
      <c r="B70" s="223" t="s">
        <v>215</v>
      </c>
      <c r="C70" s="223" t="s">
        <v>1560</v>
      </c>
      <c r="D70" s="223" t="s">
        <v>296</v>
      </c>
      <c r="E70" s="206" t="s">
        <v>1625</v>
      </c>
      <c r="F70" s="223">
        <v>2</v>
      </c>
      <c r="G70" s="223" t="s">
        <v>1626</v>
      </c>
      <c r="H70" s="223" t="s">
        <v>1627</v>
      </c>
      <c r="I70" s="223" t="s">
        <v>1628</v>
      </c>
      <c r="J70" s="223" t="s">
        <v>1629</v>
      </c>
      <c r="K70" s="223" t="s">
        <v>1378</v>
      </c>
      <c r="L70" s="223" t="s">
        <v>1378</v>
      </c>
      <c r="M70" s="223" t="s">
        <v>1378</v>
      </c>
      <c r="N70" s="223" t="s">
        <v>1378</v>
      </c>
      <c r="O70" s="223" t="s">
        <v>1378</v>
      </c>
      <c r="P70" s="223" t="s">
        <v>1378</v>
      </c>
      <c r="Q70" s="223" t="s">
        <v>1378</v>
      </c>
      <c r="R70" s="223" t="s">
        <v>1378</v>
      </c>
      <c r="S70" s="223"/>
      <c r="T70" s="223"/>
    </row>
    <row r="71" spans="2:20" ht="30" x14ac:dyDescent="0.25">
      <c r="B71" s="223" t="s">
        <v>215</v>
      </c>
      <c r="C71" s="223" t="s">
        <v>1560</v>
      </c>
      <c r="D71" s="223" t="s">
        <v>296</v>
      </c>
      <c r="E71" s="206" t="s">
        <v>1630</v>
      </c>
      <c r="F71" s="223">
        <v>2</v>
      </c>
      <c r="G71" s="223" t="s">
        <v>1631</v>
      </c>
      <c r="H71" s="223" t="s">
        <v>1632</v>
      </c>
      <c r="I71" s="223" t="s">
        <v>1633</v>
      </c>
      <c r="J71" s="223" t="s">
        <v>1634</v>
      </c>
      <c r="K71" s="223" t="s">
        <v>1378</v>
      </c>
      <c r="L71" s="223" t="s">
        <v>1378</v>
      </c>
      <c r="M71" s="223" t="s">
        <v>1378</v>
      </c>
      <c r="N71" s="223" t="s">
        <v>1378</v>
      </c>
      <c r="O71" s="223" t="s">
        <v>1378</v>
      </c>
      <c r="P71" s="223" t="s">
        <v>1378</v>
      </c>
      <c r="Q71" s="223" t="s">
        <v>1378</v>
      </c>
      <c r="R71" s="223" t="s">
        <v>1378</v>
      </c>
      <c r="S71" s="223"/>
      <c r="T71" s="223"/>
    </row>
    <row r="72" spans="2:20" ht="30" x14ac:dyDescent="0.25">
      <c r="B72" s="223" t="s">
        <v>215</v>
      </c>
      <c r="C72" s="223" t="s">
        <v>1560</v>
      </c>
      <c r="D72" s="223" t="s">
        <v>296</v>
      </c>
      <c r="E72" s="206" t="s">
        <v>1635</v>
      </c>
      <c r="F72" s="223">
        <v>2</v>
      </c>
      <c r="G72" s="223" t="s">
        <v>1606</v>
      </c>
      <c r="H72" s="223" t="s">
        <v>1636</v>
      </c>
      <c r="I72" s="223" t="s">
        <v>1637</v>
      </c>
      <c r="J72" s="223" t="s">
        <v>1638</v>
      </c>
      <c r="K72" s="223" t="s">
        <v>1378</v>
      </c>
      <c r="L72" s="223" t="s">
        <v>1378</v>
      </c>
      <c r="M72" s="223" t="s">
        <v>1378</v>
      </c>
      <c r="N72" s="223" t="s">
        <v>1378</v>
      </c>
      <c r="O72" s="223" t="s">
        <v>1378</v>
      </c>
      <c r="P72" s="223" t="s">
        <v>1378</v>
      </c>
      <c r="Q72" s="223" t="s">
        <v>1378</v>
      </c>
      <c r="R72" s="223" t="s">
        <v>1378</v>
      </c>
      <c r="S72" s="223"/>
      <c r="T72" s="223"/>
    </row>
    <row r="73" spans="2:20" ht="30" x14ac:dyDescent="0.25">
      <c r="B73" s="223" t="s">
        <v>215</v>
      </c>
      <c r="C73" s="223" t="s">
        <v>1560</v>
      </c>
      <c r="D73" s="223" t="s">
        <v>296</v>
      </c>
      <c r="E73" s="206" t="s">
        <v>1639</v>
      </c>
      <c r="F73" s="223">
        <v>2</v>
      </c>
      <c r="G73" s="223" t="s">
        <v>1169</v>
      </c>
      <c r="H73" s="223" t="s">
        <v>1640</v>
      </c>
      <c r="I73" s="223" t="s">
        <v>1618</v>
      </c>
      <c r="J73" s="223" t="s">
        <v>1641</v>
      </c>
      <c r="K73" s="223" t="s">
        <v>1378</v>
      </c>
      <c r="L73" s="223" t="s">
        <v>1378</v>
      </c>
      <c r="M73" s="223" t="s">
        <v>1378</v>
      </c>
      <c r="N73" s="223" t="s">
        <v>1378</v>
      </c>
      <c r="O73" s="223" t="s">
        <v>1378</v>
      </c>
      <c r="P73" s="223" t="s">
        <v>1378</v>
      </c>
      <c r="Q73" s="223" t="s">
        <v>1378</v>
      </c>
      <c r="R73" s="223" t="s">
        <v>1378</v>
      </c>
      <c r="S73" s="223"/>
      <c r="T73" s="223"/>
    </row>
    <row r="74" spans="2:20" ht="45" x14ac:dyDescent="0.25">
      <c r="B74" s="223" t="s">
        <v>215</v>
      </c>
      <c r="C74" s="223" t="s">
        <v>1560</v>
      </c>
      <c r="D74" s="223" t="s">
        <v>296</v>
      </c>
      <c r="E74" s="206" t="s">
        <v>1642</v>
      </c>
      <c r="F74" s="223">
        <v>2</v>
      </c>
      <c r="G74" s="223" t="s">
        <v>1506</v>
      </c>
      <c r="H74" s="223" t="s">
        <v>1643</v>
      </c>
      <c r="I74" s="223" t="s">
        <v>1633</v>
      </c>
      <c r="J74" s="223" t="s">
        <v>1644</v>
      </c>
      <c r="K74" s="223" t="s">
        <v>1378</v>
      </c>
      <c r="L74" s="223" t="s">
        <v>1378</v>
      </c>
      <c r="M74" s="223" t="s">
        <v>1378</v>
      </c>
      <c r="N74" s="223" t="s">
        <v>1378</v>
      </c>
      <c r="O74" s="223" t="s">
        <v>1378</v>
      </c>
      <c r="P74" s="223" t="s">
        <v>1378</v>
      </c>
      <c r="Q74" s="223" t="s">
        <v>1378</v>
      </c>
      <c r="R74" s="223" t="s">
        <v>1378</v>
      </c>
      <c r="S74" s="223"/>
      <c r="T74" s="223"/>
    </row>
    <row r="75" spans="2:20" ht="60" x14ac:dyDescent="0.25">
      <c r="B75" s="223" t="s">
        <v>215</v>
      </c>
      <c r="C75" s="223" t="s">
        <v>1560</v>
      </c>
      <c r="D75" s="223" t="s">
        <v>296</v>
      </c>
      <c r="E75" s="206" t="s">
        <v>1645</v>
      </c>
      <c r="F75" s="223">
        <v>2</v>
      </c>
      <c r="G75" s="223" t="s">
        <v>1562</v>
      </c>
      <c r="H75" s="223" t="s">
        <v>1646</v>
      </c>
      <c r="I75" s="223" t="s">
        <v>1647</v>
      </c>
      <c r="J75" s="223" t="s">
        <v>1648</v>
      </c>
      <c r="K75" s="223" t="s">
        <v>1378</v>
      </c>
      <c r="L75" s="223" t="s">
        <v>1378</v>
      </c>
      <c r="M75" s="223" t="s">
        <v>1378</v>
      </c>
      <c r="N75" s="223" t="s">
        <v>1378</v>
      </c>
      <c r="O75" s="223" t="s">
        <v>1378</v>
      </c>
      <c r="P75" s="223" t="s">
        <v>1378</v>
      </c>
      <c r="Q75" s="223" t="s">
        <v>1378</v>
      </c>
      <c r="R75" s="223" t="s">
        <v>1378</v>
      </c>
      <c r="S75" s="223"/>
      <c r="T75" s="223"/>
    </row>
    <row r="76" spans="2:20" ht="45" x14ac:dyDescent="0.25">
      <c r="B76" s="223" t="s">
        <v>215</v>
      </c>
      <c r="C76" s="223" t="s">
        <v>1560</v>
      </c>
      <c r="D76" s="223" t="s">
        <v>296</v>
      </c>
      <c r="E76" s="206" t="s">
        <v>1649</v>
      </c>
      <c r="F76" s="223">
        <v>2</v>
      </c>
      <c r="G76" s="223" t="s">
        <v>1170</v>
      </c>
      <c r="H76" s="223" t="s">
        <v>1650</v>
      </c>
      <c r="I76" s="223" t="s">
        <v>1651</v>
      </c>
      <c r="J76" s="223" t="s">
        <v>1652</v>
      </c>
      <c r="K76" s="223" t="s">
        <v>1378</v>
      </c>
      <c r="L76" s="223" t="s">
        <v>1378</v>
      </c>
      <c r="M76" s="223" t="s">
        <v>1378</v>
      </c>
      <c r="N76" s="223" t="s">
        <v>1378</v>
      </c>
      <c r="O76" s="223" t="s">
        <v>1378</v>
      </c>
      <c r="P76" s="223" t="s">
        <v>1378</v>
      </c>
      <c r="Q76" s="223" t="s">
        <v>1378</v>
      </c>
      <c r="R76" s="223" t="s">
        <v>1378</v>
      </c>
      <c r="S76" s="223"/>
      <c r="T76" s="223"/>
    </row>
    <row r="77" spans="2:20" x14ac:dyDescent="0.25">
      <c r="B77" s="223" t="s">
        <v>215</v>
      </c>
      <c r="C77" s="223" t="s">
        <v>1560</v>
      </c>
      <c r="D77" s="223" t="s">
        <v>296</v>
      </c>
      <c r="E77" s="206" t="s">
        <v>1653</v>
      </c>
      <c r="F77" s="223">
        <v>2</v>
      </c>
      <c r="G77" s="223" t="s">
        <v>1654</v>
      </c>
      <c r="H77" s="223" t="s">
        <v>1655</v>
      </c>
      <c r="I77" s="223" t="s">
        <v>1656</v>
      </c>
      <c r="J77" s="223" t="s">
        <v>1657</v>
      </c>
      <c r="K77" s="223" t="s">
        <v>1378</v>
      </c>
      <c r="L77" s="223" t="s">
        <v>1378</v>
      </c>
      <c r="M77" s="223" t="s">
        <v>1378</v>
      </c>
      <c r="N77" s="223" t="s">
        <v>1378</v>
      </c>
      <c r="O77" s="223" t="s">
        <v>1378</v>
      </c>
      <c r="P77" s="223" t="s">
        <v>1378</v>
      </c>
      <c r="Q77" s="223" t="s">
        <v>1378</v>
      </c>
      <c r="R77" s="223" t="s">
        <v>1378</v>
      </c>
      <c r="S77" s="223"/>
      <c r="T77" s="223"/>
    </row>
    <row r="78" spans="2:20" ht="30" x14ac:dyDescent="0.25">
      <c r="B78" s="223" t="s">
        <v>215</v>
      </c>
      <c r="C78" s="223" t="s">
        <v>1560</v>
      </c>
      <c r="D78" s="223" t="s">
        <v>296</v>
      </c>
      <c r="E78" s="206" t="s">
        <v>1658</v>
      </c>
      <c r="F78" s="223">
        <v>2</v>
      </c>
      <c r="G78" s="223" t="s">
        <v>1659</v>
      </c>
      <c r="H78" s="223" t="s">
        <v>1660</v>
      </c>
      <c r="I78" s="223" t="s">
        <v>1656</v>
      </c>
      <c r="J78" s="223" t="s">
        <v>1657</v>
      </c>
      <c r="K78" s="223" t="s">
        <v>1378</v>
      </c>
      <c r="L78" s="223" t="s">
        <v>1378</v>
      </c>
      <c r="M78" s="223" t="s">
        <v>1378</v>
      </c>
      <c r="N78" s="223" t="s">
        <v>1378</v>
      </c>
      <c r="O78" s="223" t="s">
        <v>1378</v>
      </c>
      <c r="P78" s="223" t="s">
        <v>1378</v>
      </c>
      <c r="Q78" s="223" t="s">
        <v>1378</v>
      </c>
      <c r="R78" s="223" t="s">
        <v>1378</v>
      </c>
      <c r="S78" s="223"/>
      <c r="T78" s="223"/>
    </row>
    <row r="79" spans="2:20" ht="45" x14ac:dyDescent="0.25">
      <c r="B79" s="223" t="s">
        <v>215</v>
      </c>
      <c r="C79" s="223" t="s">
        <v>1560</v>
      </c>
      <c r="D79" s="223" t="s">
        <v>296</v>
      </c>
      <c r="E79" s="206" t="s">
        <v>1661</v>
      </c>
      <c r="F79" s="223">
        <v>2</v>
      </c>
      <c r="G79" s="223" t="s">
        <v>1662</v>
      </c>
      <c r="H79" s="223" t="s">
        <v>1663</v>
      </c>
      <c r="I79" s="223" t="s">
        <v>1656</v>
      </c>
      <c r="J79" s="223" t="s">
        <v>1657</v>
      </c>
      <c r="K79" s="223" t="s">
        <v>1378</v>
      </c>
      <c r="L79" s="223" t="s">
        <v>1378</v>
      </c>
      <c r="M79" s="223" t="s">
        <v>1378</v>
      </c>
      <c r="N79" s="223" t="s">
        <v>1378</v>
      </c>
      <c r="O79" s="223" t="s">
        <v>1378</v>
      </c>
      <c r="P79" s="223" t="s">
        <v>1378</v>
      </c>
      <c r="Q79" s="223" t="s">
        <v>1378</v>
      </c>
      <c r="R79" s="223" t="s">
        <v>1378</v>
      </c>
      <c r="S79" s="223"/>
      <c r="T79" s="223"/>
    </row>
    <row r="80" spans="2:20" ht="45" x14ac:dyDescent="0.25">
      <c r="B80" s="223" t="s">
        <v>215</v>
      </c>
      <c r="C80" s="223" t="s">
        <v>1560</v>
      </c>
      <c r="D80" s="223" t="s">
        <v>296</v>
      </c>
      <c r="E80" s="206" t="s">
        <v>1664</v>
      </c>
      <c r="F80" s="223">
        <v>2</v>
      </c>
      <c r="G80" s="223" t="s">
        <v>1665</v>
      </c>
      <c r="H80" s="223" t="s">
        <v>1666</v>
      </c>
      <c r="I80" s="223" t="s">
        <v>1667</v>
      </c>
      <c r="J80" s="223" t="s">
        <v>1668</v>
      </c>
      <c r="K80" s="223" t="s">
        <v>1378</v>
      </c>
      <c r="L80" s="223" t="s">
        <v>1378</v>
      </c>
      <c r="M80" s="223" t="s">
        <v>1378</v>
      </c>
      <c r="N80" s="223" t="s">
        <v>1378</v>
      </c>
      <c r="O80" s="223" t="s">
        <v>1378</v>
      </c>
      <c r="P80" s="223" t="s">
        <v>1378</v>
      </c>
      <c r="Q80" s="223" t="s">
        <v>1378</v>
      </c>
      <c r="R80" s="223" t="s">
        <v>1378</v>
      </c>
      <c r="S80" s="223"/>
      <c r="T80" s="223"/>
    </row>
    <row r="81" spans="2:20" ht="45" x14ac:dyDescent="0.25">
      <c r="B81" s="223" t="s">
        <v>215</v>
      </c>
      <c r="C81" s="223" t="s">
        <v>1560</v>
      </c>
      <c r="D81" s="223" t="s">
        <v>296</v>
      </c>
      <c r="E81" s="206" t="s">
        <v>1669</v>
      </c>
      <c r="F81" s="223">
        <v>2</v>
      </c>
      <c r="G81" s="223" t="s">
        <v>1181</v>
      </c>
      <c r="H81" s="223" t="s">
        <v>1670</v>
      </c>
      <c r="I81" s="223" t="s">
        <v>1411</v>
      </c>
      <c r="J81" s="223" t="s">
        <v>1412</v>
      </c>
      <c r="K81" s="223" t="s">
        <v>1378</v>
      </c>
      <c r="L81" s="223" t="s">
        <v>1378</v>
      </c>
      <c r="M81" s="223" t="s">
        <v>1378</v>
      </c>
      <c r="N81" s="223" t="s">
        <v>1378</v>
      </c>
      <c r="O81" s="223" t="s">
        <v>1378</v>
      </c>
      <c r="P81" s="223" t="s">
        <v>1378</v>
      </c>
      <c r="Q81" s="223" t="s">
        <v>1378</v>
      </c>
      <c r="R81" s="223" t="s">
        <v>1378</v>
      </c>
      <c r="S81" s="223"/>
      <c r="T81" s="223"/>
    </row>
    <row r="82" spans="2:20" ht="45" x14ac:dyDescent="0.25">
      <c r="B82" s="223" t="s">
        <v>215</v>
      </c>
      <c r="C82" s="223" t="s">
        <v>1560</v>
      </c>
      <c r="D82" s="223" t="s">
        <v>296</v>
      </c>
      <c r="E82" s="206" t="s">
        <v>1671</v>
      </c>
      <c r="F82" s="223">
        <v>2</v>
      </c>
      <c r="G82" s="223" t="s">
        <v>1506</v>
      </c>
      <c r="H82" s="223" t="s">
        <v>1672</v>
      </c>
      <c r="I82" s="223" t="s">
        <v>1673</v>
      </c>
      <c r="J82" s="223" t="s">
        <v>1674</v>
      </c>
      <c r="K82" s="223" t="s">
        <v>1378</v>
      </c>
      <c r="L82" s="223" t="s">
        <v>1378</v>
      </c>
      <c r="M82" s="223" t="s">
        <v>1378</v>
      </c>
      <c r="N82" s="223" t="s">
        <v>1378</v>
      </c>
      <c r="O82" s="223" t="s">
        <v>1378</v>
      </c>
      <c r="P82" s="223" t="s">
        <v>1378</v>
      </c>
      <c r="Q82" s="223" t="s">
        <v>1378</v>
      </c>
      <c r="R82" s="223" t="s">
        <v>1378</v>
      </c>
      <c r="S82" s="223"/>
      <c r="T82" s="223"/>
    </row>
    <row r="83" spans="2:20" ht="30" x14ac:dyDescent="0.25">
      <c r="B83" s="223" t="s">
        <v>215</v>
      </c>
      <c r="C83" s="223" t="s">
        <v>1560</v>
      </c>
      <c r="D83" s="223" t="s">
        <v>296</v>
      </c>
      <c r="E83" s="206" t="s">
        <v>1675</v>
      </c>
      <c r="F83" s="223">
        <v>2</v>
      </c>
      <c r="G83" s="223" t="s">
        <v>1676</v>
      </c>
      <c r="H83" s="223" t="s">
        <v>1677</v>
      </c>
      <c r="I83" s="223" t="s">
        <v>1678</v>
      </c>
      <c r="J83" s="223" t="s">
        <v>1679</v>
      </c>
      <c r="K83" s="223" t="s">
        <v>1378</v>
      </c>
      <c r="L83" s="223" t="s">
        <v>1378</v>
      </c>
      <c r="M83" s="223" t="s">
        <v>1378</v>
      </c>
      <c r="N83" s="223" t="s">
        <v>1378</v>
      </c>
      <c r="O83" s="223" t="s">
        <v>1378</v>
      </c>
      <c r="P83" s="223" t="s">
        <v>1378</v>
      </c>
      <c r="Q83" s="223" t="s">
        <v>1378</v>
      </c>
      <c r="R83" s="223" t="s">
        <v>1378</v>
      </c>
      <c r="S83" s="223"/>
      <c r="T83" s="223"/>
    </row>
    <row r="84" spans="2:20" ht="30" x14ac:dyDescent="0.25">
      <c r="B84" s="223" t="s">
        <v>215</v>
      </c>
      <c r="C84" s="223" t="s">
        <v>1560</v>
      </c>
      <c r="D84" s="223" t="s">
        <v>1680</v>
      </c>
      <c r="E84" s="206" t="s">
        <v>1681</v>
      </c>
      <c r="F84" s="223">
        <v>3</v>
      </c>
      <c r="G84" s="223" t="s">
        <v>1662</v>
      </c>
      <c r="H84" s="223" t="s">
        <v>1682</v>
      </c>
      <c r="I84" s="223" t="s">
        <v>1683</v>
      </c>
      <c r="J84" s="223" t="s">
        <v>1684</v>
      </c>
      <c r="K84" s="223" t="s">
        <v>1685</v>
      </c>
      <c r="L84" s="223" t="s">
        <v>1686</v>
      </c>
      <c r="M84" s="223" t="s">
        <v>1378</v>
      </c>
      <c r="N84" s="223" t="s">
        <v>1378</v>
      </c>
      <c r="O84" s="223" t="s">
        <v>1378</v>
      </c>
      <c r="P84" s="223" t="s">
        <v>1378</v>
      </c>
      <c r="Q84" s="223" t="s">
        <v>1378</v>
      </c>
      <c r="R84" s="223" t="s">
        <v>1378</v>
      </c>
      <c r="S84" s="223"/>
      <c r="T84" s="223"/>
    </row>
    <row r="85" spans="2:20" ht="45" x14ac:dyDescent="0.25">
      <c r="B85" s="223" t="s">
        <v>215</v>
      </c>
      <c r="C85" s="223" t="s">
        <v>1560</v>
      </c>
      <c r="D85" s="223" t="s">
        <v>350</v>
      </c>
      <c r="E85" s="206" t="s">
        <v>1687</v>
      </c>
      <c r="F85" s="223">
        <v>4</v>
      </c>
      <c r="G85" s="223" t="s">
        <v>1688</v>
      </c>
      <c r="H85" s="223" t="s">
        <v>1689</v>
      </c>
      <c r="I85" s="223" t="s">
        <v>1690</v>
      </c>
      <c r="J85" s="223" t="s">
        <v>1691</v>
      </c>
      <c r="K85" s="223" t="s">
        <v>1692</v>
      </c>
      <c r="L85" s="223" t="s">
        <v>1693</v>
      </c>
      <c r="M85" s="223" t="s">
        <v>1694</v>
      </c>
      <c r="N85" s="223" t="s">
        <v>1694</v>
      </c>
      <c r="O85" s="223" t="s">
        <v>1378</v>
      </c>
      <c r="P85" s="223" t="s">
        <v>1378</v>
      </c>
      <c r="Q85" s="223" t="s">
        <v>1378</v>
      </c>
      <c r="R85" s="223" t="s">
        <v>1378</v>
      </c>
      <c r="S85" s="223"/>
      <c r="T85" s="223"/>
    </row>
    <row r="86" spans="2:20" ht="45" x14ac:dyDescent="0.25">
      <c r="B86" s="223" t="s">
        <v>215</v>
      </c>
      <c r="C86" s="223" t="s">
        <v>1560</v>
      </c>
      <c r="D86" s="223" t="s">
        <v>350</v>
      </c>
      <c r="E86" s="206" t="s">
        <v>1695</v>
      </c>
      <c r="F86" s="223">
        <v>4</v>
      </c>
      <c r="G86" s="223" t="s">
        <v>1409</v>
      </c>
      <c r="H86" s="223" t="s">
        <v>1696</v>
      </c>
      <c r="I86" s="223" t="s">
        <v>1697</v>
      </c>
      <c r="J86" s="223" t="s">
        <v>1698</v>
      </c>
      <c r="K86" s="223" t="s">
        <v>1692</v>
      </c>
      <c r="L86" s="223" t="s">
        <v>1699</v>
      </c>
      <c r="M86" s="223" t="s">
        <v>1700</v>
      </c>
      <c r="N86" s="223" t="s">
        <v>1700</v>
      </c>
      <c r="O86" s="223" t="s">
        <v>1378</v>
      </c>
      <c r="P86" s="223" t="s">
        <v>1378</v>
      </c>
      <c r="Q86" s="223" t="s">
        <v>1378</v>
      </c>
      <c r="R86" s="223" t="s">
        <v>1378</v>
      </c>
      <c r="S86" s="223"/>
      <c r="T86" s="223"/>
    </row>
    <row r="87" spans="2:20" ht="45" x14ac:dyDescent="0.25">
      <c r="B87" s="223" t="s">
        <v>215</v>
      </c>
      <c r="C87" s="223" t="s">
        <v>1560</v>
      </c>
      <c r="D87" s="223" t="s">
        <v>350</v>
      </c>
      <c r="E87" s="206" t="s">
        <v>1701</v>
      </c>
      <c r="F87" s="223">
        <v>5</v>
      </c>
      <c r="G87" s="223" t="s">
        <v>1702</v>
      </c>
      <c r="H87" s="223" t="s">
        <v>1703</v>
      </c>
      <c r="I87" s="223" t="s">
        <v>1704</v>
      </c>
      <c r="J87" s="223" t="s">
        <v>1705</v>
      </c>
      <c r="K87" s="223" t="s">
        <v>1706</v>
      </c>
      <c r="L87" s="223" t="s">
        <v>1707</v>
      </c>
      <c r="M87" s="223" t="s">
        <v>1692</v>
      </c>
      <c r="N87" s="223" t="s">
        <v>1708</v>
      </c>
      <c r="O87" s="223" t="s">
        <v>1709</v>
      </c>
      <c r="P87" s="223" t="s">
        <v>1710</v>
      </c>
      <c r="Q87" s="223" t="s">
        <v>1378</v>
      </c>
      <c r="R87" s="223" t="s">
        <v>1378</v>
      </c>
      <c r="S87" s="223"/>
      <c r="T87" s="223"/>
    </row>
    <row r="88" spans="2:20" ht="30" x14ac:dyDescent="0.25">
      <c r="B88" s="223" t="s">
        <v>215</v>
      </c>
      <c r="C88" s="223" t="s">
        <v>1560</v>
      </c>
      <c r="D88" s="223" t="s">
        <v>350</v>
      </c>
      <c r="E88" s="206" t="s">
        <v>1711</v>
      </c>
      <c r="F88" s="223">
        <v>2</v>
      </c>
      <c r="G88" s="223" t="s">
        <v>1712</v>
      </c>
      <c r="H88" s="223" t="s">
        <v>1713</v>
      </c>
      <c r="I88" s="223" t="s">
        <v>1714</v>
      </c>
      <c r="J88" s="223" t="s">
        <v>1715</v>
      </c>
      <c r="K88" s="223" t="s">
        <v>1378</v>
      </c>
      <c r="L88" s="223" t="s">
        <v>1378</v>
      </c>
      <c r="M88" s="223" t="s">
        <v>1378</v>
      </c>
      <c r="N88" s="223" t="s">
        <v>1378</v>
      </c>
      <c r="O88" s="223" t="s">
        <v>1378</v>
      </c>
      <c r="P88" s="223" t="s">
        <v>1378</v>
      </c>
      <c r="Q88" s="223" t="s">
        <v>1378</v>
      </c>
      <c r="R88" s="223" t="s">
        <v>1378</v>
      </c>
      <c r="S88" s="223"/>
      <c r="T88" s="223"/>
    </row>
    <row r="89" spans="2:20" ht="60" x14ac:dyDescent="0.25">
      <c r="B89" s="223" t="s">
        <v>215</v>
      </c>
      <c r="C89" s="223" t="s">
        <v>364</v>
      </c>
      <c r="D89" s="223" t="s">
        <v>612</v>
      </c>
      <c r="E89" s="206" t="s">
        <v>1716</v>
      </c>
      <c r="F89" s="223">
        <v>4</v>
      </c>
      <c r="G89" s="223" t="s">
        <v>1717</v>
      </c>
      <c r="H89" s="223" t="s">
        <v>1718</v>
      </c>
      <c r="I89" s="223" t="s">
        <v>1719</v>
      </c>
      <c r="J89" s="223" t="s">
        <v>1720</v>
      </c>
      <c r="K89" s="223" t="s">
        <v>1529</v>
      </c>
      <c r="L89" s="223" t="s">
        <v>1721</v>
      </c>
      <c r="M89" s="223" t="s">
        <v>1722</v>
      </c>
      <c r="N89" s="223" t="s">
        <v>1723</v>
      </c>
      <c r="O89" s="223" t="s">
        <v>1378</v>
      </c>
      <c r="P89" s="223" t="s">
        <v>1378</v>
      </c>
      <c r="Q89" s="223" t="s">
        <v>1378</v>
      </c>
      <c r="R89" s="223" t="s">
        <v>1378</v>
      </c>
      <c r="S89" s="223"/>
      <c r="T89" s="223"/>
    </row>
    <row r="90" spans="2:20" x14ac:dyDescent="0.25">
      <c r="B90" s="223" t="s">
        <v>215</v>
      </c>
      <c r="C90" s="223" t="s">
        <v>364</v>
      </c>
      <c r="D90" s="223" t="s">
        <v>612</v>
      </c>
      <c r="E90" s="206" t="s">
        <v>1724</v>
      </c>
      <c r="F90" s="223">
        <v>2</v>
      </c>
      <c r="G90" s="223" t="s">
        <v>1181</v>
      </c>
      <c r="H90" s="223" t="s">
        <v>1579</v>
      </c>
      <c r="I90" s="223" t="s">
        <v>1580</v>
      </c>
      <c r="J90" s="223" t="s">
        <v>1581</v>
      </c>
      <c r="K90" s="223" t="s">
        <v>1378</v>
      </c>
      <c r="L90" s="223" t="s">
        <v>1378</v>
      </c>
      <c r="M90" s="223" t="s">
        <v>1378</v>
      </c>
      <c r="N90" s="223" t="s">
        <v>1378</v>
      </c>
      <c r="O90" s="223" t="s">
        <v>1378</v>
      </c>
      <c r="P90" s="223" t="s">
        <v>1378</v>
      </c>
      <c r="Q90" s="223" t="s">
        <v>1378</v>
      </c>
      <c r="R90" s="223" t="s">
        <v>1378</v>
      </c>
      <c r="S90" s="223"/>
      <c r="T90" s="223"/>
    </row>
    <row r="91" spans="2:20" x14ac:dyDescent="0.25">
      <c r="B91" s="223" t="s">
        <v>215</v>
      </c>
      <c r="C91" s="223" t="s">
        <v>364</v>
      </c>
      <c r="D91" s="223" t="s">
        <v>612</v>
      </c>
      <c r="E91" s="206" t="s">
        <v>1725</v>
      </c>
      <c r="F91" s="223">
        <v>2</v>
      </c>
      <c r="G91" s="223" t="s">
        <v>1242</v>
      </c>
      <c r="H91" s="223" t="s">
        <v>1726</v>
      </c>
      <c r="I91" s="223" t="s">
        <v>1564</v>
      </c>
      <c r="J91" s="223" t="s">
        <v>1565</v>
      </c>
      <c r="K91" s="223" t="s">
        <v>1378</v>
      </c>
      <c r="L91" s="223" t="s">
        <v>1378</v>
      </c>
      <c r="M91" s="223" t="s">
        <v>1378</v>
      </c>
      <c r="N91" s="223" t="s">
        <v>1378</v>
      </c>
      <c r="O91" s="223" t="s">
        <v>1378</v>
      </c>
      <c r="P91" s="223" t="s">
        <v>1378</v>
      </c>
      <c r="Q91" s="223" t="s">
        <v>1378</v>
      </c>
      <c r="R91" s="223" t="s">
        <v>1378</v>
      </c>
      <c r="S91" s="223"/>
      <c r="T91" s="223"/>
    </row>
    <row r="92" spans="2:20" ht="30" x14ac:dyDescent="0.25">
      <c r="B92" s="223" t="s">
        <v>215</v>
      </c>
      <c r="C92" s="223" t="s">
        <v>364</v>
      </c>
      <c r="D92" s="223" t="s">
        <v>612</v>
      </c>
      <c r="E92" s="206" t="s">
        <v>1727</v>
      </c>
      <c r="F92" s="223">
        <v>2</v>
      </c>
      <c r="G92" s="223" t="s">
        <v>1181</v>
      </c>
      <c r="H92" s="223" t="s">
        <v>1579</v>
      </c>
      <c r="I92" s="223" t="s">
        <v>1580</v>
      </c>
      <c r="J92" s="223" t="s">
        <v>1581</v>
      </c>
      <c r="K92" s="223" t="s">
        <v>1378</v>
      </c>
      <c r="L92" s="223" t="s">
        <v>1378</v>
      </c>
      <c r="M92" s="223" t="s">
        <v>1378</v>
      </c>
      <c r="N92" s="223" t="s">
        <v>1378</v>
      </c>
      <c r="O92" s="223" t="s">
        <v>1378</v>
      </c>
      <c r="P92" s="223" t="s">
        <v>1378</v>
      </c>
      <c r="Q92" s="223" t="s">
        <v>1378</v>
      </c>
      <c r="R92" s="223" t="s">
        <v>1378</v>
      </c>
      <c r="S92" s="223"/>
      <c r="T92" s="223"/>
    </row>
    <row r="93" spans="2:20" ht="30" x14ac:dyDescent="0.25">
      <c r="B93" s="223" t="s">
        <v>215</v>
      </c>
      <c r="C93" s="223" t="s">
        <v>364</v>
      </c>
      <c r="D93" s="223" t="s">
        <v>387</v>
      </c>
      <c r="E93" s="206" t="s">
        <v>1728</v>
      </c>
      <c r="F93" s="223">
        <v>2</v>
      </c>
      <c r="G93" s="223" t="s">
        <v>1181</v>
      </c>
      <c r="H93" s="223" t="s">
        <v>1729</v>
      </c>
      <c r="I93" s="223" t="s">
        <v>1580</v>
      </c>
      <c r="J93" s="223" t="s">
        <v>1581</v>
      </c>
      <c r="K93" s="223" t="s">
        <v>1378</v>
      </c>
      <c r="L93" s="223" t="s">
        <v>1378</v>
      </c>
      <c r="M93" s="223" t="s">
        <v>1378</v>
      </c>
      <c r="N93" s="223" t="s">
        <v>1378</v>
      </c>
      <c r="O93" s="223" t="s">
        <v>1378</v>
      </c>
      <c r="P93" s="223" t="s">
        <v>1378</v>
      </c>
      <c r="Q93" s="223" t="s">
        <v>1378</v>
      </c>
      <c r="R93" s="223" t="s">
        <v>1378</v>
      </c>
      <c r="S93" s="223"/>
      <c r="T93" s="223"/>
    </row>
    <row r="94" spans="2:20" ht="30" x14ac:dyDescent="0.25">
      <c r="B94" s="223" t="s">
        <v>215</v>
      </c>
      <c r="C94" s="223" t="s">
        <v>364</v>
      </c>
      <c r="D94" s="223" t="s">
        <v>387</v>
      </c>
      <c r="E94" s="206" t="s">
        <v>1730</v>
      </c>
      <c r="F94" s="223">
        <v>2</v>
      </c>
      <c r="G94" s="223" t="s">
        <v>1193</v>
      </c>
      <c r="H94" s="223" t="s">
        <v>1731</v>
      </c>
      <c r="I94" s="223" t="s">
        <v>1732</v>
      </c>
      <c r="J94" s="223" t="s">
        <v>1733</v>
      </c>
      <c r="K94" s="223" t="s">
        <v>1378</v>
      </c>
      <c r="L94" s="223" t="s">
        <v>1378</v>
      </c>
      <c r="M94" s="223" t="s">
        <v>1378</v>
      </c>
      <c r="N94" s="223" t="s">
        <v>1378</v>
      </c>
      <c r="O94" s="223" t="s">
        <v>1378</v>
      </c>
      <c r="P94" s="223" t="s">
        <v>1378</v>
      </c>
      <c r="Q94" s="223" t="s">
        <v>1378</v>
      </c>
      <c r="R94" s="223" t="s">
        <v>1378</v>
      </c>
      <c r="S94" s="223"/>
      <c r="T94" s="223"/>
    </row>
    <row r="95" spans="2:20" ht="30" x14ac:dyDescent="0.25">
      <c r="B95" s="223" t="s">
        <v>215</v>
      </c>
      <c r="C95" s="223" t="s">
        <v>364</v>
      </c>
      <c r="D95" s="223" t="s">
        <v>387</v>
      </c>
      <c r="E95" s="206" t="s">
        <v>1734</v>
      </c>
      <c r="F95" s="223">
        <v>2</v>
      </c>
      <c r="G95" s="223" t="s">
        <v>1194</v>
      </c>
      <c r="H95" s="223" t="s">
        <v>1735</v>
      </c>
      <c r="I95" s="223" t="s">
        <v>1736</v>
      </c>
      <c r="J95" s="223" t="s">
        <v>1737</v>
      </c>
      <c r="K95" s="223" t="s">
        <v>1378</v>
      </c>
      <c r="L95" s="223" t="s">
        <v>1378</v>
      </c>
      <c r="M95" s="223" t="s">
        <v>1378</v>
      </c>
      <c r="N95" s="223" t="s">
        <v>1378</v>
      </c>
      <c r="O95" s="223" t="s">
        <v>1378</v>
      </c>
      <c r="P95" s="223" t="s">
        <v>1378</v>
      </c>
      <c r="Q95" s="223" t="s">
        <v>1378</v>
      </c>
      <c r="R95" s="223" t="s">
        <v>1378</v>
      </c>
      <c r="S95" s="223"/>
      <c r="T95" s="223"/>
    </row>
    <row r="96" spans="2:20" ht="30" x14ac:dyDescent="0.25">
      <c r="B96" s="223" t="s">
        <v>215</v>
      </c>
      <c r="C96" s="223" t="s">
        <v>364</v>
      </c>
      <c r="D96" s="223" t="s">
        <v>387</v>
      </c>
      <c r="E96" s="206" t="s">
        <v>1738</v>
      </c>
      <c r="F96" s="223">
        <v>1</v>
      </c>
      <c r="G96" s="223" t="s">
        <v>1195</v>
      </c>
      <c r="H96" s="223" t="s">
        <v>1739</v>
      </c>
      <c r="I96" s="223" t="s">
        <v>1378</v>
      </c>
      <c r="J96" s="223" t="s">
        <v>1378</v>
      </c>
      <c r="K96" s="223" t="s">
        <v>1378</v>
      </c>
      <c r="L96" s="223" t="s">
        <v>1378</v>
      </c>
      <c r="M96" s="223" t="s">
        <v>1378</v>
      </c>
      <c r="N96" s="223" t="s">
        <v>1378</v>
      </c>
      <c r="O96" s="223" t="s">
        <v>1378</v>
      </c>
      <c r="P96" s="223" t="s">
        <v>1378</v>
      </c>
      <c r="Q96" s="223" t="s">
        <v>1378</v>
      </c>
      <c r="R96" s="223" t="s">
        <v>1378</v>
      </c>
      <c r="S96" s="223"/>
      <c r="T96" s="223"/>
    </row>
    <row r="97" spans="2:20" x14ac:dyDescent="0.25">
      <c r="B97" s="223" t="s">
        <v>215</v>
      </c>
      <c r="C97" s="223" t="s">
        <v>364</v>
      </c>
      <c r="D97" s="223" t="s">
        <v>387</v>
      </c>
      <c r="E97" s="206" t="s">
        <v>1740</v>
      </c>
      <c r="F97" s="223">
        <v>1</v>
      </c>
      <c r="G97" s="223" t="s">
        <v>1169</v>
      </c>
      <c r="H97" s="223" t="s">
        <v>1741</v>
      </c>
      <c r="I97" s="223" t="s">
        <v>1378</v>
      </c>
      <c r="J97" s="223" t="s">
        <v>1378</v>
      </c>
      <c r="K97" s="223" t="s">
        <v>1378</v>
      </c>
      <c r="L97" s="223" t="s">
        <v>1378</v>
      </c>
      <c r="M97" s="223" t="s">
        <v>1378</v>
      </c>
      <c r="N97" s="223" t="s">
        <v>1378</v>
      </c>
      <c r="O97" s="223" t="s">
        <v>1378</v>
      </c>
      <c r="P97" s="223" t="s">
        <v>1378</v>
      </c>
      <c r="Q97" s="223" t="s">
        <v>1378</v>
      </c>
      <c r="R97" s="223" t="s">
        <v>1378</v>
      </c>
      <c r="S97" s="223"/>
      <c r="T97" s="223"/>
    </row>
    <row r="98" spans="2:20" x14ac:dyDescent="0.25">
      <c r="B98" s="223" t="s">
        <v>215</v>
      </c>
      <c r="C98" s="223" t="s">
        <v>364</v>
      </c>
      <c r="D98" s="223" t="s">
        <v>410</v>
      </c>
      <c r="E98" s="206" t="s">
        <v>1742</v>
      </c>
      <c r="F98" s="223">
        <v>2</v>
      </c>
      <c r="G98" s="223" t="s">
        <v>1198</v>
      </c>
      <c r="H98" s="223" t="s">
        <v>1743</v>
      </c>
      <c r="I98" s="223" t="s">
        <v>1744</v>
      </c>
      <c r="J98" s="223" t="s">
        <v>1745</v>
      </c>
      <c r="K98" s="223" t="s">
        <v>1378</v>
      </c>
      <c r="L98" s="223" t="s">
        <v>1378</v>
      </c>
      <c r="M98" s="223" t="s">
        <v>1378</v>
      </c>
      <c r="N98" s="223" t="s">
        <v>1378</v>
      </c>
      <c r="O98" s="223" t="s">
        <v>1378</v>
      </c>
      <c r="P98" s="223" t="s">
        <v>1378</v>
      </c>
      <c r="Q98" s="223" t="s">
        <v>1378</v>
      </c>
      <c r="R98" s="223" t="s">
        <v>1378</v>
      </c>
      <c r="S98" s="223"/>
      <c r="T98" s="223"/>
    </row>
    <row r="99" spans="2:20" ht="30" x14ac:dyDescent="0.25">
      <c r="B99" s="223" t="s">
        <v>215</v>
      </c>
      <c r="C99" s="223" t="s">
        <v>364</v>
      </c>
      <c r="D99" s="223" t="s">
        <v>410</v>
      </c>
      <c r="E99" s="206" t="s">
        <v>1746</v>
      </c>
      <c r="F99" s="223">
        <v>2</v>
      </c>
      <c r="G99" s="223" t="s">
        <v>1201</v>
      </c>
      <c r="H99" s="223" t="s">
        <v>1747</v>
      </c>
      <c r="I99" s="223" t="s">
        <v>1748</v>
      </c>
      <c r="J99" s="223" t="s">
        <v>1749</v>
      </c>
      <c r="K99" s="223" t="s">
        <v>1378</v>
      </c>
      <c r="L99" s="223" t="s">
        <v>1378</v>
      </c>
      <c r="M99" s="223" t="s">
        <v>1378</v>
      </c>
      <c r="N99" s="223" t="s">
        <v>1378</v>
      </c>
      <c r="O99" s="223" t="s">
        <v>1378</v>
      </c>
      <c r="P99" s="223" t="s">
        <v>1378</v>
      </c>
      <c r="Q99" s="223" t="s">
        <v>1378</v>
      </c>
      <c r="R99" s="223" t="s">
        <v>1378</v>
      </c>
      <c r="S99" s="223"/>
      <c r="T99" s="223"/>
    </row>
    <row r="100" spans="2:20" ht="30" x14ac:dyDescent="0.25">
      <c r="B100" s="223" t="s">
        <v>215</v>
      </c>
      <c r="C100" s="223" t="s">
        <v>364</v>
      </c>
      <c r="D100" s="223" t="s">
        <v>410</v>
      </c>
      <c r="E100" s="206" t="s">
        <v>1750</v>
      </c>
      <c r="F100" s="223">
        <v>1</v>
      </c>
      <c r="G100" s="223" t="s">
        <v>1204</v>
      </c>
      <c r="H100" s="223" t="s">
        <v>1751</v>
      </c>
      <c r="I100" s="223" t="s">
        <v>1378</v>
      </c>
      <c r="J100" s="223" t="s">
        <v>1378</v>
      </c>
      <c r="K100" s="223" t="s">
        <v>1378</v>
      </c>
      <c r="L100" s="223" t="s">
        <v>1378</v>
      </c>
      <c r="M100" s="223" t="s">
        <v>1378</v>
      </c>
      <c r="N100" s="223" t="s">
        <v>1378</v>
      </c>
      <c r="O100" s="223" t="s">
        <v>1378</v>
      </c>
      <c r="P100" s="223" t="s">
        <v>1378</v>
      </c>
      <c r="Q100" s="223" t="s">
        <v>1378</v>
      </c>
      <c r="R100" s="223" t="s">
        <v>1378</v>
      </c>
      <c r="S100" s="223"/>
      <c r="T100" s="223"/>
    </row>
    <row r="101" spans="2:20" ht="30" x14ac:dyDescent="0.25">
      <c r="B101" s="223" t="s">
        <v>215</v>
      </c>
      <c r="C101" s="223" t="s">
        <v>364</v>
      </c>
      <c r="D101" s="223" t="s">
        <v>410</v>
      </c>
      <c r="E101" s="206" t="s">
        <v>1752</v>
      </c>
      <c r="F101" s="223">
        <v>2</v>
      </c>
      <c r="G101" s="223" t="s">
        <v>1201</v>
      </c>
      <c r="H101" s="223" t="s">
        <v>1753</v>
      </c>
      <c r="I101" s="223" t="s">
        <v>1754</v>
      </c>
      <c r="J101" s="223" t="s">
        <v>1755</v>
      </c>
      <c r="K101" s="223" t="s">
        <v>1378</v>
      </c>
      <c r="L101" s="223" t="s">
        <v>1378</v>
      </c>
      <c r="M101" s="223" t="s">
        <v>1378</v>
      </c>
      <c r="N101" s="223" t="s">
        <v>1378</v>
      </c>
      <c r="O101" s="223" t="s">
        <v>1378</v>
      </c>
      <c r="P101" s="223" t="s">
        <v>1378</v>
      </c>
      <c r="Q101" s="223" t="s">
        <v>1378</v>
      </c>
      <c r="R101" s="223" t="s">
        <v>1378</v>
      </c>
      <c r="S101" s="223"/>
      <c r="T101" s="223"/>
    </row>
    <row r="102" spans="2:20" ht="30" x14ac:dyDescent="0.25">
      <c r="B102" s="223" t="s">
        <v>215</v>
      </c>
      <c r="C102" s="223" t="s">
        <v>364</v>
      </c>
      <c r="D102" s="223" t="s">
        <v>410</v>
      </c>
      <c r="E102" s="206" t="s">
        <v>1756</v>
      </c>
      <c r="F102" s="223">
        <v>2</v>
      </c>
      <c r="G102" s="223" t="s">
        <v>1170</v>
      </c>
      <c r="H102" s="223" t="s">
        <v>1757</v>
      </c>
      <c r="I102" s="223" t="s">
        <v>1651</v>
      </c>
      <c r="J102" s="223" t="s">
        <v>1652</v>
      </c>
      <c r="K102" s="223" t="s">
        <v>1378</v>
      </c>
      <c r="L102" s="223" t="s">
        <v>1378</v>
      </c>
      <c r="M102" s="223" t="s">
        <v>1378</v>
      </c>
      <c r="N102" s="223" t="s">
        <v>1378</v>
      </c>
      <c r="O102" s="223" t="s">
        <v>1378</v>
      </c>
      <c r="P102" s="223" t="s">
        <v>1378</v>
      </c>
      <c r="Q102" s="223" t="s">
        <v>1378</v>
      </c>
      <c r="R102" s="223" t="s">
        <v>1378</v>
      </c>
      <c r="S102" s="223"/>
      <c r="T102" s="223"/>
    </row>
    <row r="103" spans="2:20" ht="45" x14ac:dyDescent="0.25">
      <c r="B103" s="223" t="s">
        <v>215</v>
      </c>
      <c r="C103" s="223" t="s">
        <v>421</v>
      </c>
      <c r="D103" s="223" t="s">
        <v>422</v>
      </c>
      <c r="E103" s="206" t="s">
        <v>1758</v>
      </c>
      <c r="F103" s="223">
        <v>4</v>
      </c>
      <c r="G103" s="223" t="s">
        <v>1206</v>
      </c>
      <c r="H103" s="223" t="s">
        <v>1759</v>
      </c>
      <c r="I103" s="223" t="s">
        <v>1697</v>
      </c>
      <c r="J103" s="223" t="s">
        <v>1698</v>
      </c>
      <c r="K103" s="223" t="s">
        <v>1209</v>
      </c>
      <c r="L103" s="223" t="s">
        <v>1760</v>
      </c>
      <c r="M103" s="223" t="s">
        <v>1761</v>
      </c>
      <c r="N103" s="223" t="s">
        <v>1762</v>
      </c>
      <c r="O103" s="223" t="s">
        <v>1378</v>
      </c>
      <c r="P103" s="223" t="s">
        <v>1378</v>
      </c>
      <c r="Q103" s="223" t="s">
        <v>1378</v>
      </c>
      <c r="R103" s="223" t="s">
        <v>1378</v>
      </c>
      <c r="S103" s="223"/>
      <c r="T103" s="223"/>
    </row>
    <row r="104" spans="2:20" ht="30" x14ac:dyDescent="0.25">
      <c r="B104" s="223" t="s">
        <v>215</v>
      </c>
      <c r="C104" s="223" t="s">
        <v>421</v>
      </c>
      <c r="D104" s="223" t="s">
        <v>422</v>
      </c>
      <c r="E104" s="206" t="s">
        <v>1763</v>
      </c>
      <c r="F104" s="223">
        <v>2</v>
      </c>
      <c r="G104" s="223" t="s">
        <v>1209</v>
      </c>
      <c r="H104" s="223" t="s">
        <v>1760</v>
      </c>
      <c r="I104" s="223" t="s">
        <v>1761</v>
      </c>
      <c r="J104" s="223" t="s">
        <v>1762</v>
      </c>
      <c r="K104" s="223" t="s">
        <v>1378</v>
      </c>
      <c r="L104" s="223" t="s">
        <v>1378</v>
      </c>
      <c r="M104" s="223" t="s">
        <v>1378</v>
      </c>
      <c r="N104" s="223" t="s">
        <v>1378</v>
      </c>
      <c r="O104" s="223" t="s">
        <v>1378</v>
      </c>
      <c r="P104" s="223" t="s">
        <v>1378</v>
      </c>
      <c r="Q104" s="223" t="s">
        <v>1378</v>
      </c>
      <c r="R104" s="223" t="s">
        <v>1378</v>
      </c>
      <c r="S104" s="223"/>
      <c r="T104" s="223"/>
    </row>
    <row r="105" spans="2:20" ht="30" x14ac:dyDescent="0.25">
      <c r="B105" s="223" t="s">
        <v>215</v>
      </c>
      <c r="C105" s="223" t="s">
        <v>421</v>
      </c>
      <c r="D105" s="223" t="s">
        <v>422</v>
      </c>
      <c r="E105" s="206" t="s">
        <v>1764</v>
      </c>
      <c r="F105" s="223">
        <v>1</v>
      </c>
      <c r="G105" s="223" t="s">
        <v>1213</v>
      </c>
      <c r="H105" s="223" t="s">
        <v>1765</v>
      </c>
      <c r="I105" s="223" t="s">
        <v>1378</v>
      </c>
      <c r="J105" s="223" t="s">
        <v>1378</v>
      </c>
      <c r="K105" s="223" t="s">
        <v>1378</v>
      </c>
      <c r="L105" s="223" t="s">
        <v>1378</v>
      </c>
      <c r="M105" s="223" t="s">
        <v>1378</v>
      </c>
      <c r="N105" s="223" t="s">
        <v>1378</v>
      </c>
      <c r="O105" s="223" t="s">
        <v>1378</v>
      </c>
      <c r="P105" s="223" t="s">
        <v>1378</v>
      </c>
      <c r="Q105" s="223" t="s">
        <v>1378</v>
      </c>
      <c r="R105" s="223" t="s">
        <v>1378</v>
      </c>
      <c r="S105" s="223"/>
      <c r="T105" s="223"/>
    </row>
    <row r="106" spans="2:20" ht="45" x14ac:dyDescent="0.25">
      <c r="B106" s="223" t="s">
        <v>215</v>
      </c>
      <c r="C106" s="223" t="s">
        <v>421</v>
      </c>
      <c r="D106" s="223" t="s">
        <v>436</v>
      </c>
      <c r="E106" s="206" t="s">
        <v>1766</v>
      </c>
      <c r="F106" s="223">
        <v>2</v>
      </c>
      <c r="G106" s="223" t="s">
        <v>1214</v>
      </c>
      <c r="H106" s="223" t="s">
        <v>1767</v>
      </c>
      <c r="I106" s="223" t="s">
        <v>1768</v>
      </c>
      <c r="J106" s="223" t="s">
        <v>1769</v>
      </c>
      <c r="K106" s="223" t="s">
        <v>1378</v>
      </c>
      <c r="L106" s="223" t="s">
        <v>1378</v>
      </c>
      <c r="M106" s="223" t="s">
        <v>1378</v>
      </c>
      <c r="N106" s="223" t="s">
        <v>1378</v>
      </c>
      <c r="O106" s="223" t="s">
        <v>1378</v>
      </c>
      <c r="P106" s="223" t="s">
        <v>1378</v>
      </c>
      <c r="Q106" s="223" t="s">
        <v>1378</v>
      </c>
      <c r="R106" s="223" t="s">
        <v>1378</v>
      </c>
      <c r="S106" s="223"/>
      <c r="T106" s="223"/>
    </row>
    <row r="107" spans="2:20" ht="30" x14ac:dyDescent="0.25">
      <c r="B107" s="223" t="s">
        <v>216</v>
      </c>
      <c r="C107" s="223" t="s">
        <v>448</v>
      </c>
      <c r="D107" s="223" t="s">
        <v>448</v>
      </c>
      <c r="E107" s="206" t="s">
        <v>1770</v>
      </c>
      <c r="F107" s="223">
        <v>2</v>
      </c>
      <c r="G107" s="223" t="s">
        <v>1217</v>
      </c>
      <c r="H107" s="223" t="s">
        <v>1771</v>
      </c>
      <c r="I107" s="223" t="s">
        <v>1772</v>
      </c>
      <c r="J107" s="223" t="s">
        <v>1773</v>
      </c>
      <c r="K107" s="223" t="s">
        <v>1378</v>
      </c>
      <c r="L107" s="223" t="s">
        <v>1378</v>
      </c>
      <c r="M107" s="223" t="s">
        <v>1378</v>
      </c>
      <c r="N107" s="223" t="s">
        <v>1378</v>
      </c>
      <c r="O107" s="223" t="s">
        <v>1378</v>
      </c>
      <c r="P107" s="223" t="s">
        <v>1378</v>
      </c>
      <c r="Q107" s="223" t="s">
        <v>1378</v>
      </c>
      <c r="R107" s="223" t="s">
        <v>1378</v>
      </c>
      <c r="S107" s="223"/>
      <c r="T107" s="223"/>
    </row>
    <row r="108" spans="2:20" ht="30" x14ac:dyDescent="0.25">
      <c r="B108" s="223" t="s">
        <v>216</v>
      </c>
      <c r="C108" s="223" t="s">
        <v>448</v>
      </c>
      <c r="D108" s="223" t="s">
        <v>448</v>
      </c>
      <c r="E108" s="206" t="s">
        <v>1774</v>
      </c>
      <c r="F108" s="223">
        <v>2</v>
      </c>
      <c r="G108" s="223" t="s">
        <v>1217</v>
      </c>
      <c r="H108" s="223" t="s">
        <v>1775</v>
      </c>
      <c r="I108" s="223" t="s">
        <v>1772</v>
      </c>
      <c r="J108" s="223" t="s">
        <v>1776</v>
      </c>
      <c r="K108" s="223" t="s">
        <v>1378</v>
      </c>
      <c r="L108" s="223" t="s">
        <v>1378</v>
      </c>
      <c r="M108" s="223" t="s">
        <v>1378</v>
      </c>
      <c r="N108" s="223" t="s">
        <v>1378</v>
      </c>
      <c r="O108" s="223" t="s">
        <v>1378</v>
      </c>
      <c r="P108" s="223" t="s">
        <v>1378</v>
      </c>
      <c r="Q108" s="223" t="s">
        <v>1378</v>
      </c>
      <c r="R108" s="223" t="s">
        <v>1378</v>
      </c>
      <c r="S108" s="223"/>
      <c r="T108" s="223"/>
    </row>
    <row r="109" spans="2:20" ht="30" x14ac:dyDescent="0.25">
      <c r="B109" s="223" t="s">
        <v>216</v>
      </c>
      <c r="C109" s="223" t="s">
        <v>448</v>
      </c>
      <c r="D109" s="223" t="s">
        <v>448</v>
      </c>
      <c r="E109" s="206" t="s">
        <v>1777</v>
      </c>
      <c r="F109" s="223">
        <v>2</v>
      </c>
      <c r="G109" s="223" t="s">
        <v>1221</v>
      </c>
      <c r="H109" s="223" t="s">
        <v>1778</v>
      </c>
      <c r="I109" s="223" t="s">
        <v>1779</v>
      </c>
      <c r="J109" s="223" t="s">
        <v>1780</v>
      </c>
      <c r="K109" s="223" t="s">
        <v>1378</v>
      </c>
      <c r="L109" s="223" t="s">
        <v>1378</v>
      </c>
      <c r="M109" s="223" t="s">
        <v>1378</v>
      </c>
      <c r="N109" s="223" t="s">
        <v>1378</v>
      </c>
      <c r="O109" s="223" t="s">
        <v>1378</v>
      </c>
      <c r="P109" s="223" t="s">
        <v>1378</v>
      </c>
      <c r="Q109" s="223" t="s">
        <v>1378</v>
      </c>
      <c r="R109" s="223" t="s">
        <v>1378</v>
      </c>
      <c r="S109" s="223"/>
      <c r="T109" s="223"/>
    </row>
    <row r="110" spans="2:20" ht="30" x14ac:dyDescent="0.25">
      <c r="B110" s="223" t="s">
        <v>216</v>
      </c>
      <c r="C110" s="223" t="s">
        <v>448</v>
      </c>
      <c r="D110" s="223" t="s">
        <v>448</v>
      </c>
      <c r="E110" s="206" t="s">
        <v>1781</v>
      </c>
      <c r="F110" s="223">
        <v>2</v>
      </c>
      <c r="G110" s="223" t="s">
        <v>1221</v>
      </c>
      <c r="H110" s="223" t="s">
        <v>1778</v>
      </c>
      <c r="I110" s="223" t="s">
        <v>1779</v>
      </c>
      <c r="J110" s="223" t="s">
        <v>1780</v>
      </c>
      <c r="K110" s="223" t="s">
        <v>1378</v>
      </c>
      <c r="L110" s="223" t="s">
        <v>1378</v>
      </c>
      <c r="M110" s="223" t="s">
        <v>1378</v>
      </c>
      <c r="N110" s="223" t="s">
        <v>1378</v>
      </c>
      <c r="O110" s="223" t="s">
        <v>1378</v>
      </c>
      <c r="P110" s="223" t="s">
        <v>1378</v>
      </c>
      <c r="Q110" s="223" t="s">
        <v>1378</v>
      </c>
      <c r="R110" s="223" t="s">
        <v>1378</v>
      </c>
      <c r="S110" s="223"/>
      <c r="T110" s="223"/>
    </row>
    <row r="111" spans="2:20" ht="60" x14ac:dyDescent="0.25">
      <c r="B111" s="223" t="s">
        <v>216</v>
      </c>
      <c r="C111" s="223" t="s">
        <v>465</v>
      </c>
      <c r="D111" s="223" t="s">
        <v>466</v>
      </c>
      <c r="E111" s="206" t="s">
        <v>1782</v>
      </c>
      <c r="F111" s="223">
        <v>4</v>
      </c>
      <c r="G111" s="223" t="s">
        <v>1229</v>
      </c>
      <c r="H111" s="223" t="s">
        <v>1783</v>
      </c>
      <c r="I111" s="223" t="s">
        <v>1784</v>
      </c>
      <c r="J111" s="223" t="s">
        <v>1785</v>
      </c>
      <c r="K111" s="223" t="s">
        <v>1786</v>
      </c>
      <c r="L111" s="223" t="s">
        <v>1787</v>
      </c>
      <c r="M111" s="223" t="s">
        <v>1788</v>
      </c>
      <c r="N111" s="223" t="s">
        <v>1789</v>
      </c>
      <c r="O111" s="223" t="s">
        <v>1378</v>
      </c>
      <c r="P111" s="223" t="s">
        <v>1378</v>
      </c>
      <c r="Q111" s="223" t="s">
        <v>1378</v>
      </c>
      <c r="R111" s="223" t="s">
        <v>1378</v>
      </c>
      <c r="S111" s="223"/>
      <c r="T111" s="223"/>
    </row>
    <row r="112" spans="2:20" x14ac:dyDescent="0.25">
      <c r="B112" s="223" t="s">
        <v>216</v>
      </c>
      <c r="C112" s="223" t="s">
        <v>465</v>
      </c>
      <c r="D112" s="223" t="s">
        <v>466</v>
      </c>
      <c r="E112" s="206" t="s">
        <v>1790</v>
      </c>
      <c r="F112" s="223">
        <v>2</v>
      </c>
      <c r="G112" s="223" t="s">
        <v>1238</v>
      </c>
      <c r="H112" s="223" t="s">
        <v>1791</v>
      </c>
      <c r="I112" s="223" t="s">
        <v>1792</v>
      </c>
      <c r="J112" s="223" t="s">
        <v>1793</v>
      </c>
      <c r="K112" s="223" t="s">
        <v>1378</v>
      </c>
      <c r="L112" s="223" t="s">
        <v>1378</v>
      </c>
      <c r="M112" s="223" t="s">
        <v>1378</v>
      </c>
      <c r="N112" s="223" t="s">
        <v>1378</v>
      </c>
      <c r="O112" s="223" t="s">
        <v>1378</v>
      </c>
      <c r="P112" s="223" t="s">
        <v>1378</v>
      </c>
      <c r="Q112" s="223" t="s">
        <v>1378</v>
      </c>
      <c r="R112" s="223" t="s">
        <v>1378</v>
      </c>
      <c r="S112" s="223"/>
      <c r="T112" s="223"/>
    </row>
    <row r="113" spans="2:20" ht="30" x14ac:dyDescent="0.25">
      <c r="B113" s="223" t="s">
        <v>216</v>
      </c>
      <c r="C113" s="223" t="s">
        <v>465</v>
      </c>
      <c r="D113" s="223" t="s">
        <v>466</v>
      </c>
      <c r="E113" s="206" t="s">
        <v>1794</v>
      </c>
      <c r="F113" s="223">
        <v>5</v>
      </c>
      <c r="G113" s="223" t="s">
        <v>1795</v>
      </c>
      <c r="H113" s="223" t="s">
        <v>1796</v>
      </c>
      <c r="I113" s="223" t="s">
        <v>1797</v>
      </c>
      <c r="J113" s="223" t="s">
        <v>1798</v>
      </c>
      <c r="K113" s="223" t="s">
        <v>1786</v>
      </c>
      <c r="L113" s="223" t="s">
        <v>1799</v>
      </c>
      <c r="M113" s="223" t="s">
        <v>1800</v>
      </c>
      <c r="N113" s="223" t="s">
        <v>1801</v>
      </c>
      <c r="O113" s="223" t="s">
        <v>1802</v>
      </c>
      <c r="P113" s="223" t="s">
        <v>1803</v>
      </c>
      <c r="Q113" s="223" t="s">
        <v>1378</v>
      </c>
      <c r="R113" s="223" t="s">
        <v>1378</v>
      </c>
      <c r="S113" s="223"/>
      <c r="T113" s="223"/>
    </row>
    <row r="114" spans="2:20" ht="45" x14ac:dyDescent="0.25">
      <c r="B114" s="223" t="s">
        <v>216</v>
      </c>
      <c r="C114" s="223" t="s">
        <v>465</v>
      </c>
      <c r="D114" s="223" t="s">
        <v>478</v>
      </c>
      <c r="E114" s="206" t="s">
        <v>1804</v>
      </c>
      <c r="F114" s="223">
        <v>4</v>
      </c>
      <c r="G114" s="223" t="s">
        <v>1229</v>
      </c>
      <c r="H114" s="223" t="s">
        <v>1805</v>
      </c>
      <c r="I114" s="223" t="s">
        <v>1806</v>
      </c>
      <c r="J114" s="223" t="s">
        <v>1807</v>
      </c>
      <c r="K114" s="223" t="s">
        <v>1800</v>
      </c>
      <c r="L114" s="223" t="s">
        <v>1808</v>
      </c>
      <c r="M114" s="223" t="s">
        <v>1800</v>
      </c>
      <c r="N114" s="223" t="s">
        <v>1809</v>
      </c>
      <c r="O114" s="223" t="s">
        <v>1378</v>
      </c>
      <c r="P114" s="223" t="s">
        <v>1378</v>
      </c>
      <c r="Q114" s="223" t="s">
        <v>1378</v>
      </c>
      <c r="R114" s="223" t="s">
        <v>1378</v>
      </c>
      <c r="S114" s="223"/>
      <c r="T114" s="223"/>
    </row>
    <row r="115" spans="2:20" ht="45" x14ac:dyDescent="0.25">
      <c r="B115" s="223" t="s">
        <v>216</v>
      </c>
      <c r="C115" s="223" t="s">
        <v>465</v>
      </c>
      <c r="D115" s="223" t="s">
        <v>478</v>
      </c>
      <c r="E115" s="206" t="s">
        <v>1810</v>
      </c>
      <c r="F115" s="223">
        <v>2</v>
      </c>
      <c r="G115" s="223" t="s">
        <v>1229</v>
      </c>
      <c r="H115" s="223" t="s">
        <v>1811</v>
      </c>
      <c r="I115" s="223" t="s">
        <v>1806</v>
      </c>
      <c r="J115" s="223" t="s">
        <v>1812</v>
      </c>
      <c r="K115" s="223" t="s">
        <v>1378</v>
      </c>
      <c r="L115" s="223" t="s">
        <v>1378</v>
      </c>
      <c r="M115" s="223" t="s">
        <v>1378</v>
      </c>
      <c r="N115" s="223" t="s">
        <v>1378</v>
      </c>
      <c r="O115" s="223" t="s">
        <v>1378</v>
      </c>
      <c r="P115" s="223" t="s">
        <v>1378</v>
      </c>
      <c r="Q115" s="223" t="s">
        <v>1378</v>
      </c>
      <c r="R115" s="223" t="s">
        <v>1378</v>
      </c>
      <c r="S115" s="223"/>
      <c r="T115" s="223"/>
    </row>
    <row r="116" spans="2:20" ht="30" x14ac:dyDescent="0.25">
      <c r="B116" s="223" t="s">
        <v>216</v>
      </c>
      <c r="C116" s="223" t="s">
        <v>465</v>
      </c>
      <c r="D116" s="223" t="s">
        <v>478</v>
      </c>
      <c r="E116" s="206" t="s">
        <v>1813</v>
      </c>
      <c r="F116" s="223">
        <v>2</v>
      </c>
      <c r="G116" s="223" t="s">
        <v>1229</v>
      </c>
      <c r="H116" s="223" t="s">
        <v>1814</v>
      </c>
      <c r="I116" s="223" t="s">
        <v>1815</v>
      </c>
      <c r="J116" s="223" t="s">
        <v>1816</v>
      </c>
      <c r="K116" s="223" t="s">
        <v>1378</v>
      </c>
      <c r="L116" s="223" t="s">
        <v>1378</v>
      </c>
      <c r="M116" s="223" t="s">
        <v>1378</v>
      </c>
      <c r="N116" s="223" t="s">
        <v>1378</v>
      </c>
      <c r="O116" s="223" t="s">
        <v>1378</v>
      </c>
      <c r="P116" s="223" t="s">
        <v>1378</v>
      </c>
      <c r="Q116" s="223" t="s">
        <v>1378</v>
      </c>
      <c r="R116" s="223" t="s">
        <v>1378</v>
      </c>
      <c r="S116" s="223"/>
      <c r="T116" s="223"/>
    </row>
    <row r="117" spans="2:20" ht="45" x14ac:dyDescent="0.25">
      <c r="B117" s="223" t="s">
        <v>216</v>
      </c>
      <c r="C117" s="223" t="s">
        <v>465</v>
      </c>
      <c r="D117" s="223" t="s">
        <v>478</v>
      </c>
      <c r="E117" s="206" t="s">
        <v>1817</v>
      </c>
      <c r="F117" s="223">
        <v>2</v>
      </c>
      <c r="G117" s="223" t="s">
        <v>1232</v>
      </c>
      <c r="H117" s="223" t="s">
        <v>1818</v>
      </c>
      <c r="I117" s="223" t="s">
        <v>1819</v>
      </c>
      <c r="J117" s="223" t="s">
        <v>1820</v>
      </c>
      <c r="K117" s="223" t="s">
        <v>1378</v>
      </c>
      <c r="L117" s="223" t="s">
        <v>1378</v>
      </c>
      <c r="M117" s="223" t="s">
        <v>1378</v>
      </c>
      <c r="N117" s="223" t="s">
        <v>1378</v>
      </c>
      <c r="O117" s="223" t="s">
        <v>1378</v>
      </c>
      <c r="P117" s="223" t="s">
        <v>1378</v>
      </c>
      <c r="Q117" s="223" t="s">
        <v>1378</v>
      </c>
      <c r="R117" s="223" t="s">
        <v>1378</v>
      </c>
      <c r="S117" s="223"/>
      <c r="T117" s="223"/>
    </row>
    <row r="118" spans="2:20" ht="30" x14ac:dyDescent="0.25">
      <c r="B118" s="223" t="s">
        <v>216</v>
      </c>
      <c r="C118" s="223" t="s">
        <v>465</v>
      </c>
      <c r="D118" s="223" t="s">
        <v>478</v>
      </c>
      <c r="E118" s="206" t="s">
        <v>1821</v>
      </c>
      <c r="F118" s="223">
        <v>2</v>
      </c>
      <c r="G118" s="223" t="s">
        <v>1229</v>
      </c>
      <c r="H118" s="223" t="s">
        <v>1822</v>
      </c>
      <c r="I118" s="223" t="s">
        <v>1823</v>
      </c>
      <c r="J118" s="223" t="s">
        <v>1824</v>
      </c>
      <c r="K118" s="223" t="s">
        <v>1378</v>
      </c>
      <c r="L118" s="223" t="s">
        <v>1378</v>
      </c>
      <c r="M118" s="223" t="s">
        <v>1378</v>
      </c>
      <c r="N118" s="223" t="s">
        <v>1378</v>
      </c>
      <c r="O118" s="223" t="s">
        <v>1378</v>
      </c>
      <c r="P118" s="223" t="s">
        <v>1378</v>
      </c>
      <c r="Q118" s="223" t="s">
        <v>1378</v>
      </c>
      <c r="R118" s="223" t="s">
        <v>1378</v>
      </c>
      <c r="S118" s="223"/>
      <c r="T118" s="223"/>
    </row>
    <row r="119" spans="2:20" ht="30" x14ac:dyDescent="0.25">
      <c r="B119" s="223" t="s">
        <v>216</v>
      </c>
      <c r="C119" s="223" t="s">
        <v>465</v>
      </c>
      <c r="D119" s="223" t="s">
        <v>478</v>
      </c>
      <c r="E119" s="206" t="s">
        <v>1825</v>
      </c>
      <c r="F119" s="223">
        <v>1</v>
      </c>
      <c r="G119" s="223" t="s">
        <v>1233</v>
      </c>
      <c r="H119" s="223" t="s">
        <v>1826</v>
      </c>
      <c r="I119" s="223" t="s">
        <v>1378</v>
      </c>
      <c r="J119" s="223" t="s">
        <v>1378</v>
      </c>
      <c r="K119" s="223" t="s">
        <v>1378</v>
      </c>
      <c r="L119" s="223" t="s">
        <v>1378</v>
      </c>
      <c r="M119" s="223" t="s">
        <v>1378</v>
      </c>
      <c r="N119" s="223" t="s">
        <v>1378</v>
      </c>
      <c r="O119" s="223" t="s">
        <v>1378</v>
      </c>
      <c r="P119" s="223" t="s">
        <v>1378</v>
      </c>
      <c r="Q119" s="223" t="s">
        <v>1378</v>
      </c>
      <c r="R119" s="223" t="s">
        <v>1378</v>
      </c>
      <c r="S119" s="223"/>
      <c r="T119" s="223"/>
    </row>
    <row r="120" spans="2:20" x14ac:dyDescent="0.25">
      <c r="B120" s="223" t="s">
        <v>216</v>
      </c>
      <c r="C120" s="223" t="s">
        <v>465</v>
      </c>
      <c r="D120" s="223" t="s">
        <v>492</v>
      </c>
      <c r="E120" s="206" t="s">
        <v>1827</v>
      </c>
      <c r="F120" s="223">
        <v>1</v>
      </c>
      <c r="G120" s="223" t="s">
        <v>1236</v>
      </c>
      <c r="H120" s="223" t="s">
        <v>1828</v>
      </c>
      <c r="I120" s="223" t="s">
        <v>1378</v>
      </c>
      <c r="J120" s="223" t="s">
        <v>1378</v>
      </c>
      <c r="K120" s="223" t="s">
        <v>1378</v>
      </c>
      <c r="L120" s="223" t="s">
        <v>1378</v>
      </c>
      <c r="M120" s="223" t="s">
        <v>1378</v>
      </c>
      <c r="N120" s="223" t="s">
        <v>1378</v>
      </c>
      <c r="O120" s="223" t="s">
        <v>1378</v>
      </c>
      <c r="P120" s="223" t="s">
        <v>1378</v>
      </c>
      <c r="Q120" s="223" t="s">
        <v>1378</v>
      </c>
      <c r="R120" s="223" t="s">
        <v>1378</v>
      </c>
      <c r="S120" s="223"/>
      <c r="T120" s="223"/>
    </row>
    <row r="121" spans="2:20" ht="45" x14ac:dyDescent="0.25">
      <c r="B121" s="223" t="s">
        <v>216</v>
      </c>
      <c r="C121" s="223" t="s">
        <v>465</v>
      </c>
      <c r="D121" s="223" t="s">
        <v>492</v>
      </c>
      <c r="E121" s="206" t="s">
        <v>1829</v>
      </c>
      <c r="F121" s="223">
        <v>4</v>
      </c>
      <c r="G121" s="223" t="s">
        <v>1229</v>
      </c>
      <c r="H121" s="223" t="s">
        <v>1830</v>
      </c>
      <c r="I121" s="223" t="s">
        <v>1815</v>
      </c>
      <c r="J121" s="223" t="s">
        <v>1831</v>
      </c>
      <c r="K121" s="223" t="s">
        <v>1832</v>
      </c>
      <c r="L121" s="223" t="s">
        <v>1833</v>
      </c>
      <c r="M121" s="223" t="s">
        <v>1834</v>
      </c>
      <c r="N121" s="223" t="s">
        <v>1835</v>
      </c>
      <c r="O121" s="223" t="s">
        <v>1378</v>
      </c>
      <c r="P121" s="223" t="s">
        <v>1378</v>
      </c>
      <c r="Q121" s="223" t="s">
        <v>1378</v>
      </c>
      <c r="R121" s="223" t="s">
        <v>1378</v>
      </c>
      <c r="S121" s="223"/>
      <c r="T121" s="223"/>
    </row>
    <row r="122" spans="2:20" ht="30" x14ac:dyDescent="0.25">
      <c r="B122" s="223" t="s">
        <v>216</v>
      </c>
      <c r="C122" s="223" t="s">
        <v>465</v>
      </c>
      <c r="D122" s="223" t="s">
        <v>492</v>
      </c>
      <c r="E122" s="206" t="s">
        <v>1836</v>
      </c>
      <c r="F122" s="223">
        <v>3</v>
      </c>
      <c r="G122" s="223" t="s">
        <v>1238</v>
      </c>
      <c r="H122" s="223" t="s">
        <v>1837</v>
      </c>
      <c r="I122" s="223" t="s">
        <v>1838</v>
      </c>
      <c r="J122" s="223" t="s">
        <v>1839</v>
      </c>
      <c r="K122" s="223" t="s">
        <v>1840</v>
      </c>
      <c r="L122" s="223" t="s">
        <v>1841</v>
      </c>
      <c r="M122" s="223" t="s">
        <v>1378</v>
      </c>
      <c r="N122" s="223" t="s">
        <v>1378</v>
      </c>
      <c r="O122" s="223" t="s">
        <v>1378</v>
      </c>
      <c r="P122" s="223" t="s">
        <v>1378</v>
      </c>
      <c r="Q122" s="223" t="s">
        <v>1378</v>
      </c>
      <c r="R122" s="223" t="s">
        <v>1378</v>
      </c>
      <c r="S122" s="223"/>
      <c r="T122" s="223"/>
    </row>
    <row r="123" spans="2:20" ht="30" x14ac:dyDescent="0.25">
      <c r="B123" s="223" t="s">
        <v>608</v>
      </c>
      <c r="C123" s="223" t="s">
        <v>510</v>
      </c>
      <c r="D123" s="223" t="s">
        <v>511</v>
      </c>
      <c r="E123" s="206" t="s">
        <v>1842</v>
      </c>
      <c r="F123" s="223">
        <v>6</v>
      </c>
      <c r="G123" s="223" t="s">
        <v>1239</v>
      </c>
      <c r="H123" s="223" t="s">
        <v>1843</v>
      </c>
      <c r="I123" s="223" t="s">
        <v>1844</v>
      </c>
      <c r="J123" s="223" t="s">
        <v>1845</v>
      </c>
      <c r="K123" s="223" t="s">
        <v>1353</v>
      </c>
      <c r="L123" s="223" t="s">
        <v>1354</v>
      </c>
      <c r="M123" s="223" t="s">
        <v>1529</v>
      </c>
      <c r="N123" s="223" t="s">
        <v>1846</v>
      </c>
      <c r="O123" s="223" t="s">
        <v>1847</v>
      </c>
      <c r="P123" s="223" t="s">
        <v>1848</v>
      </c>
      <c r="Q123" s="223" t="s">
        <v>1849</v>
      </c>
      <c r="R123" s="223" t="s">
        <v>1850</v>
      </c>
      <c r="S123" s="223"/>
      <c r="T123" s="223"/>
    </row>
    <row r="124" spans="2:20" ht="30" x14ac:dyDescent="0.25">
      <c r="B124" s="223" t="s">
        <v>608</v>
      </c>
      <c r="C124" s="223" t="s">
        <v>510</v>
      </c>
      <c r="D124" s="223" t="s">
        <v>511</v>
      </c>
      <c r="E124" s="206" t="s">
        <v>1851</v>
      </c>
      <c r="F124" s="223">
        <v>2</v>
      </c>
      <c r="G124" s="223" t="s">
        <v>1242</v>
      </c>
      <c r="H124" s="223" t="s">
        <v>1852</v>
      </c>
      <c r="I124" s="223" t="s">
        <v>1853</v>
      </c>
      <c r="J124" s="223" t="s">
        <v>1854</v>
      </c>
      <c r="K124" s="223" t="s">
        <v>1378</v>
      </c>
      <c r="L124" s="223" t="s">
        <v>1378</v>
      </c>
      <c r="M124" s="223" t="s">
        <v>1378</v>
      </c>
      <c r="N124" s="223" t="s">
        <v>1378</v>
      </c>
      <c r="O124" s="223" t="s">
        <v>1378</v>
      </c>
      <c r="P124" s="223" t="s">
        <v>1378</v>
      </c>
      <c r="Q124" s="223" t="s">
        <v>1378</v>
      </c>
      <c r="R124" s="223" t="s">
        <v>1378</v>
      </c>
      <c r="S124" s="223"/>
      <c r="T124" s="223"/>
    </row>
    <row r="125" spans="2:20" ht="30" x14ac:dyDescent="0.25">
      <c r="B125" s="223" t="s">
        <v>608</v>
      </c>
      <c r="C125" s="223" t="s">
        <v>510</v>
      </c>
      <c r="D125" s="223" t="s">
        <v>511</v>
      </c>
      <c r="E125" s="206" t="s">
        <v>1855</v>
      </c>
      <c r="F125" s="223">
        <v>2</v>
      </c>
      <c r="G125" s="223" t="s">
        <v>1243</v>
      </c>
      <c r="H125" s="223" t="s">
        <v>1856</v>
      </c>
      <c r="I125" s="223" t="s">
        <v>1857</v>
      </c>
      <c r="J125" s="223" t="s">
        <v>1858</v>
      </c>
      <c r="K125" s="223" t="s">
        <v>1378</v>
      </c>
      <c r="L125" s="223" t="s">
        <v>1378</v>
      </c>
      <c r="M125" s="223" t="s">
        <v>1378</v>
      </c>
      <c r="N125" s="223" t="s">
        <v>1378</v>
      </c>
      <c r="O125" s="223" t="s">
        <v>1378</v>
      </c>
      <c r="P125" s="223" t="s">
        <v>1378</v>
      </c>
      <c r="Q125" s="223" t="s">
        <v>1378</v>
      </c>
      <c r="R125" s="223" t="s">
        <v>1378</v>
      </c>
      <c r="S125" s="223"/>
      <c r="T125" s="223"/>
    </row>
    <row r="126" spans="2:20" ht="60" x14ac:dyDescent="0.25">
      <c r="B126" s="223" t="s">
        <v>608</v>
      </c>
      <c r="C126" s="223" t="s">
        <v>510</v>
      </c>
      <c r="D126" s="223" t="s">
        <v>511</v>
      </c>
      <c r="E126" s="206" t="s">
        <v>1859</v>
      </c>
      <c r="F126" s="223">
        <v>2</v>
      </c>
      <c r="G126" s="223" t="s">
        <v>1244</v>
      </c>
      <c r="H126" s="223" t="s">
        <v>1860</v>
      </c>
      <c r="I126" s="223" t="s">
        <v>1861</v>
      </c>
      <c r="J126" s="223" t="s">
        <v>1862</v>
      </c>
      <c r="K126" s="223" t="s">
        <v>1378</v>
      </c>
      <c r="L126" s="223" t="s">
        <v>1378</v>
      </c>
      <c r="M126" s="223" t="s">
        <v>1378</v>
      </c>
      <c r="N126" s="223" t="s">
        <v>1378</v>
      </c>
      <c r="O126" s="223" t="s">
        <v>1378</v>
      </c>
      <c r="P126" s="223" t="s">
        <v>1378</v>
      </c>
      <c r="Q126" s="223" t="s">
        <v>1378</v>
      </c>
      <c r="R126" s="223" t="s">
        <v>1378</v>
      </c>
      <c r="S126" s="223"/>
      <c r="T126" s="223"/>
    </row>
    <row r="127" spans="2:20" ht="30" x14ac:dyDescent="0.25">
      <c r="B127" s="223" t="s">
        <v>608</v>
      </c>
      <c r="C127" s="223" t="s">
        <v>510</v>
      </c>
      <c r="D127" s="223" t="s">
        <v>511</v>
      </c>
      <c r="E127" s="206" t="s">
        <v>1863</v>
      </c>
      <c r="F127" s="223">
        <v>2</v>
      </c>
      <c r="G127" s="223" t="s">
        <v>1239</v>
      </c>
      <c r="H127" s="223" t="s">
        <v>1864</v>
      </c>
      <c r="I127" s="223" t="s">
        <v>1865</v>
      </c>
      <c r="J127" s="223" t="s">
        <v>1866</v>
      </c>
      <c r="K127" s="223" t="s">
        <v>1378</v>
      </c>
      <c r="L127" s="223" t="s">
        <v>1378</v>
      </c>
      <c r="M127" s="223" t="s">
        <v>1378</v>
      </c>
      <c r="N127" s="223" t="s">
        <v>1378</v>
      </c>
      <c r="O127" s="223" t="s">
        <v>1378</v>
      </c>
      <c r="P127" s="223" t="s">
        <v>1378</v>
      </c>
      <c r="Q127" s="223" t="s">
        <v>1378</v>
      </c>
      <c r="R127" s="223" t="s">
        <v>1378</v>
      </c>
      <c r="S127" s="223"/>
      <c r="T127" s="223"/>
    </row>
    <row r="128" spans="2:20" ht="45" x14ac:dyDescent="0.25">
      <c r="B128" s="223" t="s">
        <v>608</v>
      </c>
      <c r="C128" s="223" t="s">
        <v>510</v>
      </c>
      <c r="D128" s="223" t="s">
        <v>511</v>
      </c>
      <c r="E128" s="206" t="s">
        <v>1867</v>
      </c>
      <c r="F128" s="223">
        <v>4</v>
      </c>
      <c r="G128" s="223" t="s">
        <v>1245</v>
      </c>
      <c r="H128" s="223" t="s">
        <v>1868</v>
      </c>
      <c r="I128" s="223" t="s">
        <v>1415</v>
      </c>
      <c r="J128" s="223" t="s">
        <v>1416</v>
      </c>
      <c r="K128" s="223" t="s">
        <v>1869</v>
      </c>
      <c r="L128" s="223" t="s">
        <v>1870</v>
      </c>
      <c r="M128" s="223" t="s">
        <v>1871</v>
      </c>
      <c r="N128" s="223" t="s">
        <v>1872</v>
      </c>
      <c r="O128" s="223" t="s">
        <v>1378</v>
      </c>
      <c r="P128" s="223" t="s">
        <v>1378</v>
      </c>
      <c r="Q128" s="223" t="s">
        <v>1378</v>
      </c>
      <c r="R128" s="223" t="s">
        <v>1378</v>
      </c>
      <c r="S128" s="223"/>
      <c r="T128" s="223"/>
    </row>
    <row r="129" spans="2:20" ht="30" x14ac:dyDescent="0.25">
      <c r="B129" s="223" t="s">
        <v>608</v>
      </c>
      <c r="C129" s="223" t="s">
        <v>510</v>
      </c>
      <c r="D129" s="223" t="s">
        <v>529</v>
      </c>
      <c r="E129" s="206" t="s">
        <v>1873</v>
      </c>
      <c r="F129" s="223">
        <v>3</v>
      </c>
      <c r="G129" s="223" t="s">
        <v>1245</v>
      </c>
      <c r="H129" s="223" t="s">
        <v>1874</v>
      </c>
      <c r="I129" s="223" t="s">
        <v>1875</v>
      </c>
      <c r="J129" s="223" t="s">
        <v>1876</v>
      </c>
      <c r="K129" s="223" t="s">
        <v>1877</v>
      </c>
      <c r="L129" s="223" t="s">
        <v>1878</v>
      </c>
      <c r="M129" s="223" t="s">
        <v>1378</v>
      </c>
      <c r="N129" s="223" t="s">
        <v>1378</v>
      </c>
      <c r="O129" s="223" t="s">
        <v>1378</v>
      </c>
      <c r="P129" s="223" t="s">
        <v>1378</v>
      </c>
      <c r="Q129" s="223" t="s">
        <v>1378</v>
      </c>
      <c r="R129" s="223" t="s">
        <v>1378</v>
      </c>
      <c r="S129" s="223"/>
      <c r="T129" s="223"/>
    </row>
    <row r="130" spans="2:20" ht="30" x14ac:dyDescent="0.25">
      <c r="B130" s="223" t="s">
        <v>608</v>
      </c>
      <c r="C130" s="223" t="s">
        <v>510</v>
      </c>
      <c r="D130" s="223" t="s">
        <v>529</v>
      </c>
      <c r="E130" s="206" t="s">
        <v>1879</v>
      </c>
      <c r="F130" s="223">
        <v>2</v>
      </c>
      <c r="G130" s="223" t="s">
        <v>1246</v>
      </c>
      <c r="H130" s="223" t="s">
        <v>1880</v>
      </c>
      <c r="I130" s="223" t="s">
        <v>1881</v>
      </c>
      <c r="J130" s="223" t="s">
        <v>1882</v>
      </c>
      <c r="K130" s="223" t="s">
        <v>1378</v>
      </c>
      <c r="L130" s="223" t="s">
        <v>1378</v>
      </c>
      <c r="M130" s="223" t="s">
        <v>1378</v>
      </c>
      <c r="N130" s="223" t="s">
        <v>1378</v>
      </c>
      <c r="O130" s="223" t="s">
        <v>1378</v>
      </c>
      <c r="P130" s="223" t="s">
        <v>1378</v>
      </c>
      <c r="Q130" s="223" t="s">
        <v>1378</v>
      </c>
      <c r="R130" s="223" t="s">
        <v>1378</v>
      </c>
      <c r="S130" s="223"/>
      <c r="T130" s="223"/>
    </row>
    <row r="131" spans="2:20" ht="30" x14ac:dyDescent="0.25">
      <c r="B131" s="223" t="s">
        <v>608</v>
      </c>
      <c r="C131" s="223" t="s">
        <v>510</v>
      </c>
      <c r="D131" s="223" t="s">
        <v>529</v>
      </c>
      <c r="E131" s="206" t="s">
        <v>1883</v>
      </c>
      <c r="F131" s="223">
        <v>2</v>
      </c>
      <c r="G131" s="223" t="s">
        <v>1247</v>
      </c>
      <c r="H131" s="223" t="s">
        <v>1884</v>
      </c>
      <c r="I131" s="223" t="s">
        <v>1885</v>
      </c>
      <c r="J131" s="223" t="s">
        <v>1886</v>
      </c>
      <c r="K131" s="223" t="s">
        <v>1378</v>
      </c>
      <c r="L131" s="223" t="s">
        <v>1378</v>
      </c>
      <c r="M131" s="223" t="s">
        <v>1378</v>
      </c>
      <c r="N131" s="223" t="s">
        <v>1378</v>
      </c>
      <c r="O131" s="223" t="s">
        <v>1378</v>
      </c>
      <c r="P131" s="223" t="s">
        <v>1378</v>
      </c>
      <c r="Q131" s="223" t="s">
        <v>1378</v>
      </c>
      <c r="R131" s="223" t="s">
        <v>1378</v>
      </c>
      <c r="S131" s="223"/>
      <c r="T131" s="223"/>
    </row>
    <row r="132" spans="2:20" ht="30" x14ac:dyDescent="0.25">
      <c r="B132" s="223" t="s">
        <v>608</v>
      </c>
      <c r="C132" s="223" t="s">
        <v>1887</v>
      </c>
      <c r="D132" s="223" t="s">
        <v>548</v>
      </c>
      <c r="E132" s="206" t="s">
        <v>1888</v>
      </c>
      <c r="F132" s="223">
        <v>3</v>
      </c>
      <c r="G132" s="223" t="s">
        <v>1249</v>
      </c>
      <c r="H132" s="223" t="s">
        <v>1889</v>
      </c>
      <c r="I132" s="223" t="s">
        <v>1890</v>
      </c>
      <c r="J132" s="223" t="s">
        <v>1891</v>
      </c>
      <c r="K132" s="223" t="s">
        <v>1892</v>
      </c>
      <c r="L132" s="223" t="s">
        <v>1893</v>
      </c>
      <c r="M132" s="223" t="s">
        <v>1378</v>
      </c>
      <c r="N132" s="223" t="s">
        <v>1378</v>
      </c>
      <c r="O132" s="223" t="s">
        <v>1378</v>
      </c>
      <c r="P132" s="223" t="s">
        <v>1378</v>
      </c>
      <c r="Q132" s="223" t="s">
        <v>1378</v>
      </c>
      <c r="R132" s="223" t="s">
        <v>1378</v>
      </c>
      <c r="S132" s="223"/>
      <c r="T132" s="223"/>
    </row>
    <row r="133" spans="2:20" ht="45" x14ac:dyDescent="0.25">
      <c r="B133" s="223" t="s">
        <v>608</v>
      </c>
      <c r="C133" s="223" t="s">
        <v>1887</v>
      </c>
      <c r="D133" s="223" t="s">
        <v>548</v>
      </c>
      <c r="E133" s="206" t="s">
        <v>1894</v>
      </c>
      <c r="F133" s="223">
        <v>2</v>
      </c>
      <c r="G133" s="223" t="s">
        <v>1250</v>
      </c>
      <c r="H133" s="223" t="s">
        <v>1895</v>
      </c>
      <c r="I133" s="223" t="s">
        <v>1548</v>
      </c>
      <c r="J133" s="223" t="s">
        <v>1896</v>
      </c>
      <c r="K133" s="223" t="s">
        <v>1378</v>
      </c>
      <c r="L133" s="223" t="s">
        <v>1378</v>
      </c>
      <c r="M133" s="223" t="s">
        <v>1378</v>
      </c>
      <c r="N133" s="223" t="s">
        <v>1378</v>
      </c>
      <c r="O133" s="223" t="s">
        <v>1378</v>
      </c>
      <c r="P133" s="223" t="s">
        <v>1378</v>
      </c>
      <c r="Q133" s="223" t="s">
        <v>1378</v>
      </c>
      <c r="R133" s="223" t="s">
        <v>1378</v>
      </c>
      <c r="S133" s="223"/>
      <c r="T133" s="223"/>
    </row>
    <row r="134" spans="2:20" ht="30" x14ac:dyDescent="0.25">
      <c r="B134" s="223" t="s">
        <v>608</v>
      </c>
      <c r="C134" s="223" t="s">
        <v>1887</v>
      </c>
      <c r="D134" s="223" t="s">
        <v>548</v>
      </c>
      <c r="E134" s="206" t="s">
        <v>1897</v>
      </c>
      <c r="F134" s="223">
        <v>2</v>
      </c>
      <c r="G134" s="223" t="s">
        <v>1251</v>
      </c>
      <c r="H134" s="223" t="s">
        <v>1898</v>
      </c>
      <c r="I134" s="223" t="s">
        <v>1899</v>
      </c>
      <c r="J134" s="223" t="s">
        <v>1900</v>
      </c>
      <c r="K134" s="223" t="s">
        <v>1378</v>
      </c>
      <c r="L134" s="223" t="s">
        <v>1378</v>
      </c>
      <c r="M134" s="223" t="s">
        <v>1378</v>
      </c>
      <c r="N134" s="223" t="s">
        <v>1378</v>
      </c>
      <c r="O134" s="223" t="s">
        <v>1378</v>
      </c>
      <c r="P134" s="223" t="s">
        <v>1378</v>
      </c>
      <c r="Q134" s="223" t="s">
        <v>1378</v>
      </c>
      <c r="R134" s="223" t="s">
        <v>1378</v>
      </c>
      <c r="S134" s="223"/>
      <c r="T134" s="223"/>
    </row>
    <row r="135" spans="2:20" ht="45" x14ac:dyDescent="0.25">
      <c r="B135" s="223" t="s">
        <v>608</v>
      </c>
      <c r="C135" s="223" t="s">
        <v>1887</v>
      </c>
      <c r="D135" s="223" t="s">
        <v>562</v>
      </c>
      <c r="E135" s="206" t="s">
        <v>1901</v>
      </c>
      <c r="F135" s="223">
        <v>2</v>
      </c>
      <c r="G135" s="223" t="s">
        <v>1244</v>
      </c>
      <c r="H135" s="223" t="s">
        <v>1902</v>
      </c>
      <c r="I135" s="223" t="s">
        <v>1903</v>
      </c>
      <c r="J135" s="223" t="s">
        <v>1904</v>
      </c>
      <c r="K135" s="223" t="s">
        <v>1378</v>
      </c>
      <c r="L135" s="223" t="s">
        <v>1378</v>
      </c>
      <c r="M135" s="223" t="s">
        <v>1378</v>
      </c>
      <c r="N135" s="223" t="s">
        <v>1378</v>
      </c>
      <c r="O135" s="223" t="s">
        <v>1378</v>
      </c>
      <c r="P135" s="223" t="s">
        <v>1378</v>
      </c>
      <c r="Q135" s="223" t="s">
        <v>1378</v>
      </c>
      <c r="R135" s="223" t="s">
        <v>1378</v>
      </c>
      <c r="S135" s="223"/>
      <c r="T135" s="223"/>
    </row>
    <row r="136" spans="2:20" ht="30" x14ac:dyDescent="0.25">
      <c r="B136" s="223" t="s">
        <v>608</v>
      </c>
      <c r="C136" s="223" t="s">
        <v>580</v>
      </c>
      <c r="D136" s="223" t="s">
        <v>580</v>
      </c>
      <c r="E136" s="206" t="s">
        <v>1905</v>
      </c>
      <c r="F136" s="223">
        <v>3</v>
      </c>
      <c r="G136" s="223" t="s">
        <v>1252</v>
      </c>
      <c r="H136" s="223" t="s">
        <v>1906</v>
      </c>
      <c r="I136" s="223" t="s">
        <v>1907</v>
      </c>
      <c r="J136" s="223" t="s">
        <v>1908</v>
      </c>
      <c r="K136" s="223" t="s">
        <v>1527</v>
      </c>
      <c r="L136" s="223" t="s">
        <v>1909</v>
      </c>
      <c r="M136" s="223" t="s">
        <v>1378</v>
      </c>
      <c r="N136" s="223" t="s">
        <v>1378</v>
      </c>
      <c r="O136" s="223" t="s">
        <v>1378</v>
      </c>
      <c r="P136" s="223" t="s">
        <v>1378</v>
      </c>
      <c r="Q136" s="223" t="s">
        <v>1378</v>
      </c>
      <c r="R136" s="223" t="s">
        <v>1378</v>
      </c>
      <c r="S136" s="223"/>
      <c r="T136" s="223"/>
    </row>
    <row r="137" spans="2:20" ht="60" x14ac:dyDescent="0.25">
      <c r="B137" s="223" t="s">
        <v>608</v>
      </c>
      <c r="C137" s="223" t="s">
        <v>580</v>
      </c>
      <c r="D137" s="223" t="s">
        <v>580</v>
      </c>
      <c r="E137" s="206" t="s">
        <v>1910</v>
      </c>
      <c r="F137" s="223">
        <v>5</v>
      </c>
      <c r="G137" s="223" t="s">
        <v>1243</v>
      </c>
      <c r="H137" s="223" t="s">
        <v>1911</v>
      </c>
      <c r="I137" s="223" t="s">
        <v>1243</v>
      </c>
      <c r="J137" s="223" t="s">
        <v>1912</v>
      </c>
      <c r="K137" s="223" t="s">
        <v>1913</v>
      </c>
      <c r="L137" s="223" t="s">
        <v>1914</v>
      </c>
      <c r="M137" s="223" t="s">
        <v>1529</v>
      </c>
      <c r="N137" s="223" t="s">
        <v>1555</v>
      </c>
      <c r="O137" s="223" t="s">
        <v>1915</v>
      </c>
      <c r="P137" s="223" t="s">
        <v>1916</v>
      </c>
      <c r="Q137" s="223" t="s">
        <v>1378</v>
      </c>
      <c r="R137" s="223" t="s">
        <v>1378</v>
      </c>
      <c r="S137" s="223"/>
      <c r="T137" s="223"/>
    </row>
    <row r="138" spans="2:20" ht="30" x14ac:dyDescent="0.25">
      <c r="B138" s="223" t="s">
        <v>608</v>
      </c>
      <c r="C138" s="223" t="s">
        <v>580</v>
      </c>
      <c r="D138" s="223" t="s">
        <v>580</v>
      </c>
      <c r="E138" s="206" t="s">
        <v>1917</v>
      </c>
      <c r="F138" s="223">
        <v>2</v>
      </c>
      <c r="G138" s="223" t="s">
        <v>1253</v>
      </c>
      <c r="H138" s="223" t="s">
        <v>1918</v>
      </c>
      <c r="I138" s="223" t="s">
        <v>1919</v>
      </c>
      <c r="J138" s="223" t="s">
        <v>1919</v>
      </c>
      <c r="K138" s="223" t="s">
        <v>1378</v>
      </c>
      <c r="L138" s="223" t="s">
        <v>1378</v>
      </c>
      <c r="M138" s="223" t="s">
        <v>1378</v>
      </c>
      <c r="N138" s="223" t="s">
        <v>1378</v>
      </c>
      <c r="O138" s="223" t="s">
        <v>1378</v>
      </c>
      <c r="P138" s="223" t="s">
        <v>1378</v>
      </c>
      <c r="Q138" s="223" t="s">
        <v>1378</v>
      </c>
      <c r="R138" s="223" t="s">
        <v>1378</v>
      </c>
      <c r="S138" s="223"/>
      <c r="T138" s="223"/>
    </row>
    <row r="139" spans="2:20" x14ac:dyDescent="0.25">
      <c r="B139" s="223" t="s">
        <v>608</v>
      </c>
      <c r="C139" s="223" t="s">
        <v>580</v>
      </c>
      <c r="D139" s="223" t="s">
        <v>580</v>
      </c>
      <c r="E139" s="206" t="s">
        <v>1920</v>
      </c>
      <c r="F139" s="223">
        <v>2</v>
      </c>
      <c r="G139" s="223" t="s">
        <v>1254</v>
      </c>
      <c r="H139" s="223" t="s">
        <v>1921</v>
      </c>
      <c r="I139" s="223" t="s">
        <v>1922</v>
      </c>
      <c r="J139" s="223" t="s">
        <v>1923</v>
      </c>
      <c r="K139" s="223" t="s">
        <v>1378</v>
      </c>
      <c r="L139" s="223" t="s">
        <v>1378</v>
      </c>
      <c r="M139" s="223" t="s">
        <v>1378</v>
      </c>
      <c r="N139" s="223" t="s">
        <v>1378</v>
      </c>
      <c r="O139" s="223" t="s">
        <v>1378</v>
      </c>
      <c r="P139" s="223" t="s">
        <v>1378</v>
      </c>
      <c r="Q139" s="223" t="s">
        <v>1378</v>
      </c>
      <c r="R139" s="223" t="s">
        <v>1378</v>
      </c>
      <c r="S139" s="223"/>
      <c r="T139" s="223"/>
    </row>
  </sheetData>
  <mergeCells count="1">
    <mergeCell ref="D6:D14"/>
  </mergeCells>
  <hyperlinks>
    <hyperlink ref="J3" location="disclaimer" display="disclaimer" xr:uid="{00000000-0004-0000-1300-000000000000}"/>
    <hyperlink ref="J2" location="workbookInfo" display="Workbook Information" xr:uid="{00000000-0004-0000-1300-000001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4" tint="0.39997558519241921"/>
  </sheetPr>
  <dimension ref="A1:BN464"/>
  <sheetViews>
    <sheetView workbookViewId="0">
      <selection activeCell="A3" sqref="A3"/>
    </sheetView>
  </sheetViews>
  <sheetFormatPr defaultRowHeight="15" x14ac:dyDescent="0.25"/>
  <cols>
    <col min="2" max="2" width="42.28515625" bestFit="1" customWidth="1"/>
    <col min="3" max="6" width="8.7109375" customWidth="1"/>
    <col min="7" max="26" width="6.7109375" customWidth="1"/>
    <col min="27" max="27" width="10.7109375" bestFit="1" customWidth="1"/>
    <col min="28" max="28" width="13.140625" bestFit="1" customWidth="1"/>
    <col min="29" max="29" width="10.140625" bestFit="1" customWidth="1"/>
    <col min="30" max="30" width="11.140625" bestFit="1" customWidth="1"/>
    <col min="31" max="31" width="16.140625" bestFit="1" customWidth="1"/>
    <col min="32" max="32" width="13.140625" bestFit="1" customWidth="1"/>
    <col min="33" max="33" width="10.140625" bestFit="1" customWidth="1"/>
    <col min="34" max="34" width="11.140625" bestFit="1" customWidth="1"/>
    <col min="35" max="35" width="10.7109375" bestFit="1" customWidth="1"/>
    <col min="36" max="36" width="13.140625" bestFit="1" customWidth="1"/>
    <col min="37" max="37" width="10.140625" bestFit="1" customWidth="1"/>
    <col min="38" max="38" width="11.140625" bestFit="1" customWidth="1"/>
    <col min="39" max="39" width="15.7109375" bestFit="1" customWidth="1"/>
    <col min="40" max="40" width="18.140625" bestFit="1" customWidth="1"/>
    <col min="41" max="41" width="15.140625" bestFit="1" customWidth="1"/>
    <col min="42" max="42" width="16.140625" bestFit="1" customWidth="1"/>
  </cols>
  <sheetData>
    <row r="1" spans="1:10" s="271" customFormat="1" ht="20.100000000000001" customHeight="1" x14ac:dyDescent="0.25">
      <c r="A1" s="6" t="str">
        <f>HYPERLINK(websiteHTTP&amp;webSiteURL,"Watkins Consulting")</f>
        <v>Watkins Consulting</v>
      </c>
      <c r="B1" s="132"/>
      <c r="C1" s="132"/>
      <c r="D1" s="132"/>
      <c r="E1" s="136" t="str">
        <f>IF(firmName&gt;0,firmName,"")</f>
        <v/>
      </c>
      <c r="F1" s="132"/>
      <c r="G1" s="132"/>
      <c r="H1" s="132"/>
      <c r="I1" s="132"/>
      <c r="J1" s="272" t="str">
        <f>HYPERLINK(websiteHTTP&amp;webSiteURL&amp;userManualrURL,"User Manual")</f>
        <v>User Manual</v>
      </c>
    </row>
    <row r="2" spans="1:10" s="271" customFormat="1" ht="20.100000000000001" customHeight="1" x14ac:dyDescent="0.25">
      <c r="A2" s="256" t="str">
        <f ca="1">workbookVersionLabel</f>
        <v xml:space="preserve"> Excel Workbook Version: 3.4.2</v>
      </c>
      <c r="B2" s="132"/>
      <c r="C2" s="133" t="str">
        <f>Information</f>
        <v>FFIEC Cybersecurity Assessment Tool (May 2017)</v>
      </c>
      <c r="D2" s="132"/>
      <c r="E2" s="136"/>
      <c r="F2" s="137"/>
      <c r="G2" s="137"/>
      <c r="H2" s="137"/>
      <c r="I2" s="137"/>
      <c r="J2" s="272" t="s">
        <v>1094</v>
      </c>
    </row>
    <row r="3" spans="1:10" s="271" customFormat="1" ht="20.100000000000001" customHeight="1" thickBot="1" x14ac:dyDescent="0.3">
      <c r="A3" s="139" t="str">
        <f ca="1">MID(CELL("filename",A1),FIND("]",CELL("filename",A1))+1,256)</f>
        <v>Pivot Reports</v>
      </c>
      <c r="B3" s="140"/>
      <c r="C3" s="140"/>
      <c r="D3" s="141"/>
      <c r="E3" s="142" t="str">
        <f>IF(assessmentDate&gt;0,assessmentDate,"")</f>
        <v/>
      </c>
      <c r="F3" s="141"/>
      <c r="G3" s="141"/>
      <c r="H3" s="141"/>
      <c r="I3" s="141"/>
      <c r="J3" s="273" t="s">
        <v>620</v>
      </c>
    </row>
    <row r="4" spans="1:10" s="252" customFormat="1" ht="15.75" thickTop="1" x14ac:dyDescent="0.25"/>
    <row r="5" spans="1:10" s="252" customFormat="1" ht="15.75" x14ac:dyDescent="0.25">
      <c r="A5" s="418" t="s">
        <v>1290</v>
      </c>
      <c r="B5" s="419"/>
      <c r="C5" s="419"/>
      <c r="D5" s="419"/>
      <c r="E5" s="419"/>
      <c r="F5" s="419"/>
      <c r="G5" s="419"/>
      <c r="H5" s="419"/>
      <c r="I5" s="419"/>
      <c r="J5" s="419"/>
    </row>
    <row r="6" spans="1:10" s="252" customFormat="1" x14ac:dyDescent="0.25">
      <c r="B6"/>
      <c r="C6"/>
      <c r="D6"/>
      <c r="E6"/>
      <c r="F6"/>
      <c r="G6"/>
    </row>
    <row r="7" spans="1:10" s="252" customFormat="1" x14ac:dyDescent="0.25">
      <c r="B7" s="266" t="s">
        <v>1271</v>
      </c>
      <c r="C7"/>
      <c r="D7"/>
      <c r="E7"/>
      <c r="F7"/>
      <c r="G7"/>
      <c r="H7"/>
      <c r="I7"/>
    </row>
    <row r="8" spans="1:10" s="252" customFormat="1" x14ac:dyDescent="0.25">
      <c r="B8" s="267" t="s">
        <v>214</v>
      </c>
      <c r="C8"/>
      <c r="D8"/>
      <c r="E8"/>
      <c r="F8"/>
      <c r="G8"/>
      <c r="H8"/>
      <c r="I8"/>
    </row>
    <row r="9" spans="1:10" s="252" customFormat="1" x14ac:dyDescent="0.25">
      <c r="B9" s="268" t="s">
        <v>27</v>
      </c>
      <c r="C9"/>
      <c r="D9"/>
      <c r="E9"/>
      <c r="F9"/>
      <c r="G9"/>
      <c r="H9"/>
      <c r="I9"/>
    </row>
    <row r="10" spans="1:10" s="252" customFormat="1" x14ac:dyDescent="0.25">
      <c r="B10" s="268" t="s">
        <v>28</v>
      </c>
      <c r="C10"/>
      <c r="D10"/>
      <c r="E10"/>
      <c r="F10"/>
      <c r="G10"/>
      <c r="H10"/>
      <c r="I10"/>
    </row>
    <row r="11" spans="1:10" s="252" customFormat="1" x14ac:dyDescent="0.25">
      <c r="B11" s="268" t="s">
        <v>29</v>
      </c>
      <c r="C11"/>
      <c r="D11"/>
      <c r="E11"/>
      <c r="F11"/>
      <c r="G11"/>
      <c r="H11"/>
      <c r="I11"/>
    </row>
    <row r="12" spans="1:10" s="252" customFormat="1" x14ac:dyDescent="0.25">
      <c r="B12" s="268" t="s">
        <v>30</v>
      </c>
      <c r="C12"/>
      <c r="D12"/>
      <c r="E12"/>
      <c r="F12"/>
      <c r="G12"/>
      <c r="H12"/>
      <c r="I12"/>
    </row>
    <row r="13" spans="1:10" s="252" customFormat="1" x14ac:dyDescent="0.25">
      <c r="B13" s="268" t="s">
        <v>31</v>
      </c>
      <c r="C13"/>
      <c r="D13"/>
      <c r="E13"/>
      <c r="F13"/>
      <c r="G13"/>
      <c r="H13"/>
      <c r="I13"/>
    </row>
    <row r="14" spans="1:10" s="252" customFormat="1" x14ac:dyDescent="0.25">
      <c r="B14" s="267" t="s">
        <v>210</v>
      </c>
      <c r="C14"/>
      <c r="D14"/>
      <c r="E14"/>
      <c r="F14"/>
      <c r="G14"/>
      <c r="H14"/>
      <c r="I14"/>
    </row>
    <row r="15" spans="1:10" s="252" customFormat="1" x14ac:dyDescent="0.25">
      <c r="B15" s="268" t="s">
        <v>27</v>
      </c>
      <c r="C15"/>
      <c r="D15"/>
      <c r="E15"/>
      <c r="F15"/>
      <c r="G15"/>
      <c r="H15"/>
      <c r="I15"/>
    </row>
    <row r="16" spans="1:10" s="252" customFormat="1" x14ac:dyDescent="0.25">
      <c r="B16" s="268" t="s">
        <v>28</v>
      </c>
      <c r="C16"/>
      <c r="D16"/>
      <c r="E16"/>
      <c r="F16"/>
      <c r="G16"/>
      <c r="H16"/>
      <c r="I16"/>
    </row>
    <row r="17" spans="1:9" s="252" customFormat="1" x14ac:dyDescent="0.25">
      <c r="B17" s="268" t="s">
        <v>29</v>
      </c>
      <c r="C17"/>
      <c r="D17"/>
      <c r="E17"/>
      <c r="F17"/>
      <c r="G17"/>
      <c r="H17"/>
      <c r="I17"/>
    </row>
    <row r="18" spans="1:9" s="252" customFormat="1" x14ac:dyDescent="0.25">
      <c r="B18" s="268" t="s">
        <v>30</v>
      </c>
      <c r="C18"/>
      <c r="D18"/>
      <c r="E18"/>
      <c r="F18"/>
      <c r="G18"/>
      <c r="H18"/>
      <c r="I18"/>
    </row>
    <row r="19" spans="1:9" s="252" customFormat="1" x14ac:dyDescent="0.25">
      <c r="B19" s="268" t="s">
        <v>31</v>
      </c>
      <c r="C19"/>
      <c r="D19"/>
      <c r="E19"/>
      <c r="F19"/>
      <c r="G19"/>
      <c r="H19"/>
      <c r="I19"/>
    </row>
    <row r="20" spans="1:9" s="252" customFormat="1" x14ac:dyDescent="0.25">
      <c r="B20" s="267" t="s">
        <v>215</v>
      </c>
      <c r="C20"/>
      <c r="D20"/>
      <c r="E20"/>
      <c r="F20"/>
      <c r="G20"/>
      <c r="H20"/>
      <c r="I20"/>
    </row>
    <row r="21" spans="1:9" s="252" customFormat="1" x14ac:dyDescent="0.25">
      <c r="B21" s="268" t="s">
        <v>27</v>
      </c>
      <c r="C21"/>
      <c r="D21"/>
      <c r="E21"/>
      <c r="F21"/>
      <c r="G21"/>
      <c r="H21"/>
      <c r="I21"/>
    </row>
    <row r="22" spans="1:9" s="252" customFormat="1" x14ac:dyDescent="0.25">
      <c r="B22" s="268" t="s">
        <v>28</v>
      </c>
      <c r="C22"/>
      <c r="D22"/>
      <c r="E22"/>
      <c r="F22"/>
      <c r="G22"/>
      <c r="H22"/>
      <c r="I22"/>
    </row>
    <row r="23" spans="1:9" s="252" customFormat="1" x14ac:dyDescent="0.25">
      <c r="B23" s="268" t="s">
        <v>29</v>
      </c>
      <c r="C23"/>
      <c r="D23"/>
      <c r="E23"/>
      <c r="F23"/>
      <c r="G23"/>
      <c r="H23"/>
      <c r="I23"/>
    </row>
    <row r="24" spans="1:9" s="252" customFormat="1" x14ac:dyDescent="0.25">
      <c r="B24" s="268" t="s">
        <v>30</v>
      </c>
      <c r="C24"/>
      <c r="D24"/>
      <c r="E24"/>
      <c r="F24"/>
      <c r="G24"/>
      <c r="H24"/>
      <c r="I24"/>
    </row>
    <row r="25" spans="1:9" s="252" customFormat="1" x14ac:dyDescent="0.25">
      <c r="B25" s="268" t="s">
        <v>31</v>
      </c>
      <c r="C25"/>
      <c r="D25"/>
      <c r="E25"/>
      <c r="F25"/>
      <c r="G25"/>
      <c r="H25"/>
      <c r="I25"/>
    </row>
    <row r="26" spans="1:9" s="252" customFormat="1" x14ac:dyDescent="0.25">
      <c r="B26" s="267" t="s">
        <v>216</v>
      </c>
      <c r="C26"/>
      <c r="D26"/>
      <c r="E26"/>
      <c r="F26"/>
      <c r="G26"/>
      <c r="H26"/>
      <c r="I26"/>
    </row>
    <row r="27" spans="1:9" s="252" customFormat="1" x14ac:dyDescent="0.25">
      <c r="B27" s="268" t="s">
        <v>27</v>
      </c>
      <c r="C27"/>
      <c r="D27"/>
      <c r="E27"/>
      <c r="F27"/>
      <c r="G27"/>
      <c r="H27"/>
      <c r="I27"/>
    </row>
    <row r="28" spans="1:9" s="252" customFormat="1" x14ac:dyDescent="0.25">
      <c r="B28" s="268" t="s">
        <v>28</v>
      </c>
      <c r="C28"/>
      <c r="D28"/>
      <c r="E28"/>
      <c r="F28"/>
      <c r="G28"/>
      <c r="H28"/>
      <c r="I28"/>
    </row>
    <row r="29" spans="1:9" s="252" customFormat="1" x14ac:dyDescent="0.25">
      <c r="B29" s="268" t="s">
        <v>29</v>
      </c>
      <c r="C29"/>
      <c r="D29"/>
      <c r="E29"/>
      <c r="F29"/>
      <c r="G29"/>
      <c r="H29"/>
      <c r="I29"/>
    </row>
    <row r="30" spans="1:9" s="252" customFormat="1" x14ac:dyDescent="0.25">
      <c r="B30" s="268" t="s">
        <v>30</v>
      </c>
      <c r="C30"/>
      <c r="D30"/>
      <c r="E30"/>
      <c r="F30"/>
      <c r="G30"/>
      <c r="H30"/>
      <c r="I30"/>
    </row>
    <row r="31" spans="1:9" s="252" customFormat="1" x14ac:dyDescent="0.25">
      <c r="B31" s="268" t="s">
        <v>31</v>
      </c>
      <c r="C31"/>
      <c r="D31"/>
      <c r="E31"/>
      <c r="F31"/>
      <c r="G31"/>
      <c r="H31"/>
      <c r="I31"/>
    </row>
    <row r="32" spans="1:9" s="252" customFormat="1" x14ac:dyDescent="0.25">
      <c r="A32"/>
      <c r="B32" s="267" t="s">
        <v>608</v>
      </c>
      <c r="C32"/>
      <c r="D32"/>
      <c r="E32"/>
      <c r="F32"/>
      <c r="G32"/>
      <c r="H32"/>
      <c r="I32"/>
    </row>
    <row r="33" spans="1:43" s="252" customFormat="1" x14ac:dyDescent="0.25">
      <c r="A33"/>
      <c r="B33" s="268" t="s">
        <v>27</v>
      </c>
      <c r="C33"/>
      <c r="D33"/>
      <c r="E33"/>
      <c r="F33"/>
      <c r="G33"/>
      <c r="H33"/>
      <c r="I33"/>
    </row>
    <row r="34" spans="1:43" s="252" customFormat="1" x14ac:dyDescent="0.25">
      <c r="A34"/>
      <c r="B34" s="268" t="s">
        <v>28</v>
      </c>
      <c r="C34"/>
      <c r="D34"/>
      <c r="E34"/>
      <c r="F34"/>
      <c r="G34"/>
      <c r="H34"/>
      <c r="I34"/>
    </row>
    <row r="35" spans="1:43" s="252" customFormat="1" x14ac:dyDescent="0.25">
      <c r="A35"/>
      <c r="B35" s="268" t="s">
        <v>29</v>
      </c>
      <c r="C35"/>
      <c r="D35"/>
      <c r="E35"/>
      <c r="F35"/>
      <c r="G35"/>
      <c r="H35"/>
      <c r="I35"/>
    </row>
    <row r="36" spans="1:43" s="252" customFormat="1" x14ac:dyDescent="0.25">
      <c r="A36"/>
      <c r="B36" s="268" t="s">
        <v>30</v>
      </c>
      <c r="C36"/>
      <c r="D36"/>
      <c r="E36"/>
      <c r="F36"/>
      <c r="G36"/>
      <c r="H36"/>
      <c r="I36"/>
      <c r="W36"/>
      <c r="X36"/>
      <c r="Y36"/>
      <c r="Z36"/>
      <c r="AA36"/>
      <c r="AB36"/>
      <c r="AC36"/>
      <c r="AD36"/>
      <c r="AE36"/>
      <c r="AF36"/>
      <c r="AG36"/>
      <c r="AH36"/>
      <c r="AI36"/>
      <c r="AJ36"/>
      <c r="AK36"/>
      <c r="AL36"/>
      <c r="AM36"/>
      <c r="AN36"/>
      <c r="AO36"/>
      <c r="AP36"/>
      <c r="AQ36"/>
    </row>
    <row r="37" spans="1:43" s="252" customFormat="1" x14ac:dyDescent="0.25">
      <c r="A37"/>
      <c r="B37" s="268" t="s">
        <v>31</v>
      </c>
      <c r="C37"/>
      <c r="D37"/>
      <c r="E37"/>
      <c r="F37"/>
      <c r="G37"/>
      <c r="H37"/>
      <c r="I37"/>
      <c r="W37"/>
      <c r="X37"/>
      <c r="Y37"/>
      <c r="Z37"/>
      <c r="AA37"/>
      <c r="AB37"/>
      <c r="AC37"/>
      <c r="AD37"/>
      <c r="AE37"/>
      <c r="AF37"/>
      <c r="AG37"/>
      <c r="AH37"/>
      <c r="AI37"/>
      <c r="AJ37"/>
      <c r="AK37"/>
      <c r="AL37"/>
      <c r="AM37"/>
      <c r="AN37"/>
      <c r="AO37"/>
      <c r="AP37"/>
      <c r="AQ37"/>
    </row>
    <row r="38" spans="1:43" s="252" customFormat="1" x14ac:dyDescent="0.25">
      <c r="A38"/>
      <c r="B38" s="267" t="s">
        <v>1272</v>
      </c>
      <c r="C38"/>
      <c r="D38"/>
      <c r="E38"/>
      <c r="F38"/>
      <c r="G38"/>
      <c r="H38"/>
      <c r="I38"/>
      <c r="W38"/>
      <c r="X38"/>
      <c r="Y38"/>
      <c r="Z38"/>
      <c r="AA38"/>
      <c r="AB38"/>
      <c r="AC38"/>
      <c r="AD38"/>
      <c r="AE38"/>
      <c r="AF38"/>
      <c r="AG38"/>
      <c r="AH38"/>
      <c r="AI38"/>
      <c r="AJ38"/>
      <c r="AK38"/>
      <c r="AL38"/>
      <c r="AM38"/>
      <c r="AN38"/>
      <c r="AO38"/>
      <c r="AP38"/>
      <c r="AQ38"/>
    </row>
    <row r="39" spans="1:43" s="252" customFormat="1" x14ac:dyDescent="0.25">
      <c r="A39"/>
      <c r="B39"/>
      <c r="C39"/>
      <c r="D39"/>
      <c r="E39"/>
      <c r="F39"/>
      <c r="G39"/>
      <c r="H39"/>
      <c r="I39"/>
      <c r="W39"/>
      <c r="X39"/>
      <c r="Y39"/>
      <c r="Z39"/>
      <c r="AA39"/>
      <c r="AB39"/>
      <c r="AC39"/>
      <c r="AD39"/>
      <c r="AE39"/>
      <c r="AF39"/>
      <c r="AG39"/>
      <c r="AH39"/>
      <c r="AI39"/>
      <c r="AJ39"/>
      <c r="AK39"/>
      <c r="AL39"/>
      <c r="AM39"/>
      <c r="AN39"/>
      <c r="AO39"/>
      <c r="AP39"/>
      <c r="AQ39"/>
    </row>
    <row r="40" spans="1:43" s="252" customFormat="1" x14ac:dyDescent="0.25">
      <c r="A40"/>
      <c r="B40"/>
      <c r="C40"/>
      <c r="D40"/>
      <c r="E40"/>
      <c r="F40"/>
      <c r="G40"/>
      <c r="H40"/>
      <c r="I40"/>
      <c r="W40"/>
      <c r="X40"/>
      <c r="Y40"/>
      <c r="Z40"/>
      <c r="AA40"/>
      <c r="AB40"/>
      <c r="AC40"/>
      <c r="AD40"/>
      <c r="AE40"/>
      <c r="AF40"/>
      <c r="AG40"/>
      <c r="AH40"/>
      <c r="AI40"/>
      <c r="AJ40"/>
      <c r="AK40"/>
      <c r="AL40"/>
      <c r="AM40"/>
      <c r="AN40"/>
      <c r="AO40"/>
      <c r="AP40"/>
      <c r="AQ40"/>
    </row>
    <row r="41" spans="1:43" s="252" customFormat="1" x14ac:dyDescent="0.25">
      <c r="B41"/>
      <c r="C41"/>
      <c r="D41"/>
      <c r="E41"/>
      <c r="F41"/>
      <c r="G41"/>
      <c r="W41"/>
      <c r="X41"/>
      <c r="Y41"/>
      <c r="Z41"/>
      <c r="AA41"/>
      <c r="AB41"/>
      <c r="AC41"/>
      <c r="AD41"/>
      <c r="AE41"/>
      <c r="AF41"/>
      <c r="AG41"/>
      <c r="AH41"/>
      <c r="AI41"/>
      <c r="AJ41"/>
      <c r="AK41"/>
      <c r="AL41"/>
      <c r="AM41"/>
      <c r="AN41"/>
      <c r="AO41"/>
      <c r="AP41"/>
      <c r="AQ41"/>
    </row>
    <row r="42" spans="1:43" s="252" customFormat="1" x14ac:dyDescent="0.25">
      <c r="B42"/>
      <c r="C42"/>
      <c r="D42"/>
      <c r="E42"/>
      <c r="F42"/>
      <c r="G42"/>
      <c r="W42"/>
      <c r="X42"/>
      <c r="Y42"/>
      <c r="Z42"/>
      <c r="AA42"/>
      <c r="AB42"/>
      <c r="AC42"/>
      <c r="AD42"/>
      <c r="AE42"/>
      <c r="AF42"/>
      <c r="AG42"/>
      <c r="AH42"/>
      <c r="AI42"/>
      <c r="AJ42"/>
      <c r="AK42"/>
      <c r="AL42"/>
      <c r="AM42"/>
      <c r="AN42"/>
      <c r="AO42"/>
      <c r="AP42"/>
      <c r="AQ42"/>
    </row>
    <row r="43" spans="1:43" s="252" customFormat="1" x14ac:dyDescent="0.25">
      <c r="W43"/>
      <c r="X43"/>
      <c r="Y43"/>
      <c r="Z43"/>
      <c r="AA43"/>
      <c r="AB43"/>
      <c r="AC43"/>
      <c r="AD43"/>
      <c r="AE43"/>
      <c r="AF43"/>
      <c r="AG43"/>
      <c r="AH43"/>
      <c r="AI43"/>
      <c r="AJ43"/>
      <c r="AK43"/>
      <c r="AL43"/>
      <c r="AM43"/>
      <c r="AN43"/>
      <c r="AO43"/>
      <c r="AP43"/>
      <c r="AQ43"/>
    </row>
    <row r="44" spans="1:43" s="252" customFormat="1" x14ac:dyDescent="0.25">
      <c r="W44"/>
      <c r="X44"/>
      <c r="Y44"/>
      <c r="Z44"/>
      <c r="AA44"/>
      <c r="AB44"/>
      <c r="AC44"/>
      <c r="AD44"/>
      <c r="AE44"/>
      <c r="AF44"/>
      <c r="AG44"/>
      <c r="AH44"/>
      <c r="AI44"/>
      <c r="AJ44"/>
      <c r="AK44"/>
      <c r="AL44"/>
      <c r="AM44"/>
      <c r="AN44"/>
      <c r="AO44"/>
      <c r="AP44"/>
      <c r="AQ44"/>
    </row>
    <row r="45" spans="1:43" s="252" customFormat="1" x14ac:dyDescent="0.25">
      <c r="W45"/>
      <c r="X45"/>
      <c r="Y45"/>
      <c r="Z45"/>
      <c r="AA45"/>
      <c r="AB45"/>
      <c r="AC45"/>
      <c r="AD45"/>
      <c r="AE45"/>
      <c r="AF45"/>
      <c r="AG45"/>
      <c r="AH45"/>
      <c r="AI45"/>
      <c r="AJ45"/>
      <c r="AK45"/>
      <c r="AL45"/>
      <c r="AM45"/>
      <c r="AN45"/>
      <c r="AO45"/>
      <c r="AP45"/>
      <c r="AQ45"/>
    </row>
    <row r="46" spans="1:43" s="252" customFormat="1" x14ac:dyDescent="0.25">
      <c r="J46"/>
      <c r="K46"/>
      <c r="L46"/>
      <c r="M46"/>
      <c r="N46"/>
      <c r="O46"/>
      <c r="P46"/>
      <c r="Q46"/>
      <c r="R46"/>
      <c r="S46"/>
      <c r="T46"/>
      <c r="U46"/>
      <c r="V46"/>
      <c r="W46"/>
      <c r="X46"/>
      <c r="Y46"/>
      <c r="Z46"/>
      <c r="AA46"/>
      <c r="AB46"/>
      <c r="AC46"/>
      <c r="AD46"/>
      <c r="AE46"/>
      <c r="AF46"/>
      <c r="AG46"/>
      <c r="AH46"/>
      <c r="AI46"/>
      <c r="AJ46"/>
      <c r="AK46"/>
      <c r="AL46"/>
      <c r="AM46"/>
      <c r="AN46"/>
      <c r="AO46"/>
      <c r="AP46"/>
      <c r="AQ46"/>
    </row>
    <row r="47" spans="1:43" s="252" customFormat="1" x14ac:dyDescent="0.25">
      <c r="J47"/>
      <c r="K47"/>
      <c r="L47"/>
      <c r="M47"/>
      <c r="N47"/>
      <c r="O47"/>
      <c r="P47"/>
      <c r="Q47"/>
      <c r="R47"/>
      <c r="S47"/>
      <c r="T47"/>
      <c r="U47"/>
      <c r="V47"/>
      <c r="W47"/>
      <c r="X47"/>
      <c r="Y47"/>
      <c r="Z47"/>
      <c r="AA47"/>
      <c r="AB47"/>
      <c r="AC47"/>
      <c r="AD47"/>
      <c r="AE47"/>
      <c r="AF47"/>
      <c r="AG47"/>
      <c r="AH47"/>
      <c r="AI47"/>
      <c r="AJ47"/>
      <c r="AK47"/>
      <c r="AL47"/>
      <c r="AM47"/>
      <c r="AN47"/>
      <c r="AO47"/>
      <c r="AP47"/>
      <c r="AQ47"/>
    </row>
    <row r="48" spans="1:43" s="252" customFormat="1" x14ac:dyDescent="0.25">
      <c r="J48"/>
      <c r="K48"/>
      <c r="L48"/>
      <c r="M48"/>
      <c r="N48"/>
      <c r="O48"/>
      <c r="P48"/>
      <c r="Q48"/>
      <c r="R48"/>
      <c r="S48"/>
      <c r="T48"/>
      <c r="U48"/>
      <c r="V48"/>
      <c r="W48"/>
      <c r="X48"/>
      <c r="Y48"/>
      <c r="Z48"/>
      <c r="AA48"/>
      <c r="AB48"/>
      <c r="AC48"/>
      <c r="AD48"/>
      <c r="AE48"/>
      <c r="AF48"/>
      <c r="AG48"/>
      <c r="AH48"/>
      <c r="AI48"/>
      <c r="AJ48"/>
      <c r="AK48"/>
      <c r="AL48"/>
      <c r="AM48"/>
      <c r="AN48"/>
      <c r="AO48"/>
      <c r="AP48"/>
      <c r="AQ48"/>
    </row>
    <row r="49" spans="10:43" s="252" customFormat="1" x14ac:dyDescent="0.25">
      <c r="J49"/>
      <c r="K49"/>
      <c r="L49"/>
      <c r="M49"/>
      <c r="N49"/>
      <c r="O49"/>
      <c r="P49"/>
      <c r="Q49"/>
      <c r="R49"/>
      <c r="S49"/>
      <c r="T49"/>
      <c r="U49"/>
      <c r="V49"/>
      <c r="W49"/>
      <c r="X49"/>
      <c r="Y49"/>
      <c r="Z49"/>
      <c r="AA49"/>
      <c r="AB49"/>
      <c r="AC49"/>
      <c r="AD49"/>
      <c r="AE49"/>
      <c r="AF49"/>
      <c r="AG49"/>
      <c r="AH49"/>
      <c r="AI49"/>
      <c r="AJ49"/>
      <c r="AK49"/>
      <c r="AL49"/>
      <c r="AM49"/>
      <c r="AN49"/>
      <c r="AO49"/>
      <c r="AP49"/>
      <c r="AQ49"/>
    </row>
    <row r="50" spans="10:43" s="252" customFormat="1" x14ac:dyDescent="0.25">
      <c r="J50"/>
      <c r="K50"/>
      <c r="L50"/>
      <c r="M50"/>
      <c r="N50"/>
      <c r="O50"/>
      <c r="P50"/>
      <c r="Q50"/>
      <c r="R50"/>
      <c r="S50"/>
      <c r="T50"/>
      <c r="U50"/>
      <c r="V50"/>
      <c r="W50"/>
      <c r="X50"/>
      <c r="Y50"/>
      <c r="Z50"/>
      <c r="AA50"/>
      <c r="AB50"/>
      <c r="AC50"/>
      <c r="AD50"/>
      <c r="AE50"/>
      <c r="AF50"/>
      <c r="AG50"/>
      <c r="AH50"/>
      <c r="AI50"/>
      <c r="AJ50"/>
      <c r="AK50"/>
      <c r="AL50"/>
      <c r="AM50"/>
      <c r="AN50"/>
      <c r="AO50"/>
      <c r="AP50"/>
      <c r="AQ50"/>
    </row>
    <row r="51" spans="10:43" s="252" customFormat="1" x14ac:dyDescent="0.25">
      <c r="J51"/>
      <c r="K51"/>
      <c r="L51"/>
      <c r="M51"/>
      <c r="N51"/>
      <c r="O51"/>
      <c r="P51"/>
      <c r="Q51"/>
      <c r="R51"/>
      <c r="S51"/>
      <c r="T51"/>
      <c r="U51"/>
      <c r="V51"/>
      <c r="W51"/>
      <c r="X51"/>
      <c r="Y51"/>
      <c r="Z51"/>
      <c r="AA51"/>
      <c r="AB51"/>
      <c r="AC51"/>
      <c r="AD51"/>
      <c r="AE51"/>
      <c r="AF51"/>
      <c r="AG51"/>
      <c r="AH51"/>
      <c r="AI51"/>
      <c r="AJ51"/>
      <c r="AK51"/>
      <c r="AL51"/>
      <c r="AM51"/>
      <c r="AN51"/>
      <c r="AO51"/>
      <c r="AP51"/>
      <c r="AQ51"/>
    </row>
    <row r="52" spans="10:43" s="252" customFormat="1" x14ac:dyDescent="0.25">
      <c r="J52"/>
      <c r="K52"/>
      <c r="L52"/>
      <c r="M52"/>
      <c r="N52"/>
      <c r="O52"/>
      <c r="P52"/>
      <c r="Q52"/>
      <c r="R52"/>
      <c r="S52"/>
      <c r="T52"/>
      <c r="U52"/>
      <c r="V52"/>
      <c r="W52"/>
      <c r="X52"/>
      <c r="Y52"/>
      <c r="Z52"/>
      <c r="AA52"/>
      <c r="AB52"/>
      <c r="AC52"/>
      <c r="AD52"/>
      <c r="AE52"/>
      <c r="AF52"/>
      <c r="AG52"/>
      <c r="AH52"/>
      <c r="AI52"/>
      <c r="AJ52"/>
      <c r="AK52"/>
      <c r="AL52"/>
      <c r="AM52"/>
      <c r="AN52"/>
      <c r="AO52"/>
      <c r="AP52"/>
      <c r="AQ52"/>
    </row>
    <row r="53" spans="10:43" s="252" customFormat="1" x14ac:dyDescent="0.25">
      <c r="J53"/>
      <c r="K53"/>
      <c r="L53"/>
      <c r="M53"/>
      <c r="N53"/>
      <c r="O53"/>
      <c r="P53"/>
      <c r="Q53"/>
      <c r="R53"/>
      <c r="S53"/>
      <c r="T53"/>
      <c r="U53"/>
      <c r="V53"/>
      <c r="W53"/>
      <c r="X53"/>
      <c r="Y53"/>
      <c r="Z53"/>
      <c r="AA53"/>
      <c r="AB53"/>
      <c r="AC53"/>
      <c r="AD53"/>
      <c r="AE53"/>
      <c r="AF53"/>
      <c r="AG53"/>
      <c r="AH53"/>
      <c r="AI53"/>
      <c r="AJ53"/>
      <c r="AK53"/>
      <c r="AL53"/>
      <c r="AM53"/>
      <c r="AN53"/>
      <c r="AO53"/>
      <c r="AP53"/>
      <c r="AQ53"/>
    </row>
    <row r="54" spans="10:43" s="252" customFormat="1" x14ac:dyDescent="0.25">
      <c r="J54"/>
      <c r="K54"/>
      <c r="L54"/>
      <c r="M54"/>
      <c r="N54"/>
      <c r="O54"/>
      <c r="P54"/>
      <c r="Q54"/>
      <c r="R54"/>
      <c r="S54"/>
      <c r="T54"/>
      <c r="U54"/>
      <c r="V54"/>
      <c r="W54"/>
      <c r="X54"/>
      <c r="Y54"/>
      <c r="Z54"/>
      <c r="AA54"/>
      <c r="AB54"/>
      <c r="AC54"/>
      <c r="AD54"/>
      <c r="AE54"/>
      <c r="AF54"/>
      <c r="AG54"/>
      <c r="AH54"/>
      <c r="AI54"/>
      <c r="AJ54"/>
      <c r="AK54"/>
      <c r="AL54"/>
      <c r="AM54"/>
      <c r="AN54"/>
      <c r="AO54"/>
      <c r="AP54"/>
      <c r="AQ54"/>
    </row>
    <row r="55" spans="10:43" s="252" customFormat="1" x14ac:dyDescent="0.25">
      <c r="J55"/>
      <c r="K55"/>
      <c r="L55"/>
      <c r="M55"/>
      <c r="N55"/>
      <c r="O55"/>
      <c r="P55"/>
      <c r="Q55"/>
      <c r="R55"/>
      <c r="S55"/>
      <c r="T55"/>
      <c r="U55"/>
      <c r="V55"/>
      <c r="W55"/>
      <c r="X55"/>
      <c r="Y55"/>
      <c r="Z55"/>
    </row>
    <row r="56" spans="10:43" s="252" customFormat="1" x14ac:dyDescent="0.25">
      <c r="J56"/>
      <c r="K56"/>
      <c r="L56"/>
      <c r="M56"/>
      <c r="N56"/>
      <c r="O56"/>
      <c r="P56"/>
      <c r="Q56"/>
      <c r="R56"/>
      <c r="S56"/>
      <c r="T56"/>
      <c r="U56"/>
      <c r="V56"/>
      <c r="W56"/>
      <c r="X56"/>
      <c r="Y56"/>
      <c r="Z56"/>
    </row>
    <row r="57" spans="10:43" s="252" customFormat="1" x14ac:dyDescent="0.25">
      <c r="J57"/>
      <c r="K57"/>
      <c r="L57"/>
      <c r="M57"/>
      <c r="N57"/>
      <c r="O57"/>
      <c r="P57"/>
      <c r="Q57"/>
      <c r="R57"/>
      <c r="S57"/>
      <c r="T57"/>
      <c r="U57"/>
      <c r="V57"/>
      <c r="W57"/>
      <c r="X57"/>
      <c r="Y57"/>
      <c r="Z57"/>
    </row>
    <row r="58" spans="10:43" s="252" customFormat="1" x14ac:dyDescent="0.25">
      <c r="J58"/>
      <c r="K58"/>
      <c r="L58"/>
      <c r="M58"/>
      <c r="N58"/>
      <c r="O58"/>
      <c r="P58"/>
      <c r="Q58"/>
      <c r="R58"/>
      <c r="S58"/>
      <c r="T58"/>
      <c r="U58"/>
      <c r="V58"/>
      <c r="W58"/>
      <c r="X58"/>
      <c r="Y58"/>
      <c r="Z58"/>
    </row>
    <row r="59" spans="10:43" s="252" customFormat="1" x14ac:dyDescent="0.25">
      <c r="J59"/>
      <c r="K59"/>
      <c r="L59"/>
      <c r="M59"/>
      <c r="N59"/>
      <c r="O59"/>
      <c r="P59"/>
      <c r="Q59"/>
      <c r="R59"/>
      <c r="S59"/>
      <c r="T59"/>
      <c r="U59"/>
      <c r="V59"/>
      <c r="W59"/>
      <c r="X59"/>
      <c r="Y59"/>
      <c r="Z59"/>
    </row>
    <row r="60" spans="10:43" s="252" customFormat="1" x14ac:dyDescent="0.25">
      <c r="J60"/>
      <c r="K60"/>
      <c r="L60"/>
      <c r="M60"/>
      <c r="N60"/>
      <c r="O60"/>
      <c r="P60"/>
      <c r="Q60"/>
      <c r="R60"/>
      <c r="S60"/>
      <c r="T60"/>
      <c r="U60"/>
      <c r="V60"/>
      <c r="W60"/>
      <c r="X60"/>
      <c r="Y60"/>
      <c r="Z60"/>
    </row>
    <row r="61" spans="10:43" s="252" customFormat="1" x14ac:dyDescent="0.25">
      <c r="J61"/>
      <c r="K61"/>
      <c r="L61"/>
      <c r="M61"/>
      <c r="N61"/>
      <c r="O61"/>
      <c r="P61"/>
      <c r="Q61"/>
      <c r="R61"/>
      <c r="S61"/>
      <c r="T61"/>
      <c r="U61"/>
      <c r="V61"/>
      <c r="W61"/>
      <c r="X61"/>
      <c r="Y61"/>
      <c r="Z61"/>
    </row>
    <row r="62" spans="10:43" s="252" customFormat="1" x14ac:dyDescent="0.25">
      <c r="J62"/>
      <c r="K62"/>
      <c r="L62"/>
      <c r="M62"/>
      <c r="N62"/>
      <c r="O62"/>
      <c r="P62"/>
      <c r="Q62"/>
      <c r="R62"/>
      <c r="S62"/>
      <c r="T62"/>
      <c r="U62"/>
      <c r="V62"/>
      <c r="W62"/>
      <c r="X62"/>
      <c r="Y62"/>
      <c r="Z62"/>
    </row>
    <row r="63" spans="10:43" s="252" customFormat="1" x14ac:dyDescent="0.25">
      <c r="J63"/>
      <c r="K63"/>
      <c r="L63"/>
      <c r="M63"/>
      <c r="N63"/>
      <c r="O63"/>
      <c r="P63"/>
      <c r="Q63"/>
      <c r="R63"/>
      <c r="S63"/>
      <c r="T63"/>
      <c r="U63"/>
      <c r="V63"/>
      <c r="W63"/>
      <c r="X63"/>
      <c r="Y63"/>
      <c r="Z63"/>
    </row>
    <row r="64" spans="10:43" s="252" customFormat="1" x14ac:dyDescent="0.25">
      <c r="J64"/>
      <c r="K64"/>
      <c r="L64"/>
      <c r="M64"/>
      <c r="N64"/>
      <c r="O64"/>
      <c r="P64"/>
      <c r="Q64"/>
      <c r="R64"/>
      <c r="S64"/>
      <c r="T64"/>
      <c r="U64"/>
      <c r="V64"/>
      <c r="W64"/>
      <c r="X64"/>
      <c r="Y64"/>
      <c r="Z64"/>
    </row>
    <row r="65" spans="10:26" s="252" customFormat="1" x14ac:dyDescent="0.25">
      <c r="J65"/>
      <c r="K65"/>
      <c r="L65"/>
      <c r="M65"/>
      <c r="N65"/>
      <c r="O65"/>
      <c r="P65"/>
      <c r="Q65"/>
      <c r="R65"/>
      <c r="S65"/>
      <c r="T65"/>
      <c r="U65"/>
      <c r="V65"/>
      <c r="W65"/>
      <c r="X65"/>
      <c r="Y65"/>
      <c r="Z65"/>
    </row>
    <row r="66" spans="10:26" s="252" customFormat="1" x14ac:dyDescent="0.25">
      <c r="J66"/>
      <c r="K66"/>
      <c r="L66"/>
      <c r="M66"/>
      <c r="N66"/>
      <c r="O66"/>
      <c r="P66"/>
      <c r="Q66"/>
      <c r="R66"/>
      <c r="S66"/>
      <c r="T66"/>
      <c r="U66"/>
      <c r="V66"/>
      <c r="W66"/>
      <c r="X66"/>
      <c r="Y66"/>
      <c r="Z66"/>
    </row>
    <row r="67" spans="10:26" s="252" customFormat="1" x14ac:dyDescent="0.25">
      <c r="J67"/>
      <c r="K67"/>
      <c r="L67"/>
      <c r="M67"/>
      <c r="N67"/>
      <c r="O67"/>
      <c r="P67"/>
      <c r="Q67"/>
      <c r="R67"/>
      <c r="S67"/>
      <c r="T67"/>
      <c r="U67"/>
      <c r="V67"/>
      <c r="W67"/>
      <c r="X67"/>
      <c r="Y67"/>
      <c r="Z67"/>
    </row>
    <row r="68" spans="10:26" s="252" customFormat="1" x14ac:dyDescent="0.25">
      <c r="J68"/>
      <c r="K68"/>
      <c r="L68"/>
      <c r="M68"/>
      <c r="N68"/>
      <c r="O68"/>
      <c r="P68"/>
      <c r="Q68"/>
      <c r="R68"/>
      <c r="S68"/>
      <c r="T68"/>
      <c r="U68"/>
      <c r="V68"/>
      <c r="W68"/>
      <c r="X68"/>
      <c r="Y68"/>
      <c r="Z68"/>
    </row>
    <row r="69" spans="10:26" s="252" customFormat="1" x14ac:dyDescent="0.25">
      <c r="J69"/>
      <c r="K69"/>
      <c r="L69"/>
      <c r="M69"/>
      <c r="N69"/>
      <c r="O69"/>
      <c r="P69"/>
      <c r="Q69"/>
      <c r="R69"/>
      <c r="S69"/>
      <c r="T69"/>
      <c r="U69"/>
      <c r="V69"/>
      <c r="W69"/>
      <c r="X69"/>
      <c r="Y69"/>
      <c r="Z69"/>
    </row>
    <row r="70" spans="10:26" s="252" customFormat="1" x14ac:dyDescent="0.25">
      <c r="J70"/>
      <c r="K70"/>
      <c r="L70"/>
      <c r="M70"/>
      <c r="N70"/>
      <c r="O70"/>
      <c r="P70"/>
      <c r="Q70"/>
      <c r="R70"/>
      <c r="S70"/>
      <c r="T70"/>
      <c r="U70"/>
      <c r="V70"/>
      <c r="W70"/>
      <c r="X70"/>
      <c r="Y70"/>
      <c r="Z70"/>
    </row>
    <row r="404" spans="58:66" x14ac:dyDescent="0.25">
      <c r="BF404" s="252"/>
      <c r="BG404" s="252"/>
    </row>
    <row r="405" spans="58:66" x14ac:dyDescent="0.25">
      <c r="BF405" s="252"/>
      <c r="BG405" s="252"/>
    </row>
    <row r="406" spans="58:66" x14ac:dyDescent="0.25">
      <c r="BM406" s="252"/>
      <c r="BN406" s="252"/>
    </row>
    <row r="407" spans="58:66" x14ac:dyDescent="0.25">
      <c r="BM407" s="252"/>
      <c r="BN407" s="252"/>
    </row>
    <row r="408" spans="58:66" x14ac:dyDescent="0.25">
      <c r="BM408" s="252"/>
      <c r="BN408" s="252"/>
    </row>
    <row r="409" spans="58:66" x14ac:dyDescent="0.25">
      <c r="BM409" s="252"/>
      <c r="BN409" s="252"/>
    </row>
    <row r="410" spans="58:66" x14ac:dyDescent="0.25">
      <c r="BM410" s="252"/>
      <c r="BN410" s="252"/>
    </row>
    <row r="411" spans="58:66" x14ac:dyDescent="0.25">
      <c r="BM411" s="252"/>
      <c r="BN411" s="252"/>
    </row>
    <row r="458" spans="58:66" x14ac:dyDescent="0.25">
      <c r="BF458" s="252"/>
      <c r="BG458" s="252"/>
    </row>
    <row r="459" spans="58:66" x14ac:dyDescent="0.25">
      <c r="BF459" s="252"/>
      <c r="BG459" s="252"/>
    </row>
    <row r="460" spans="58:66" x14ac:dyDescent="0.25">
      <c r="BF460" s="252"/>
      <c r="BG460" s="252"/>
    </row>
    <row r="461" spans="58:66" x14ac:dyDescent="0.25">
      <c r="BM461" s="252"/>
      <c r="BN461" s="252"/>
    </row>
    <row r="462" spans="58:66" x14ac:dyDescent="0.25">
      <c r="BM462" s="252"/>
      <c r="BN462" s="252"/>
    </row>
    <row r="463" spans="58:66" x14ac:dyDescent="0.25">
      <c r="BM463" s="252"/>
      <c r="BN463" s="252"/>
    </row>
    <row r="464" spans="58:66" x14ac:dyDescent="0.25">
      <c r="BM464" s="252"/>
      <c r="BN464" s="252"/>
    </row>
  </sheetData>
  <dataConsolidate/>
  <mergeCells count="1">
    <mergeCell ref="A5:J5"/>
  </mergeCells>
  <hyperlinks>
    <hyperlink ref="J3" location="disclaimer" display="disclaimer" xr:uid="{00000000-0004-0000-1400-000000000000}"/>
    <hyperlink ref="J2" location="workbookInfo" display="Workbook Information" xr:uid="{00000000-0004-0000-1400-000001000000}"/>
  </hyperlink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tabColor theme="4" tint="0.39997558519241921"/>
  </sheetPr>
  <dimension ref="A1:JN537"/>
  <sheetViews>
    <sheetView workbookViewId="0">
      <pane ySplit="7" topLeftCell="A8" activePane="bottomLeft" state="frozen"/>
      <selection pane="bottomLeft" activeCell="A3" sqref="A3"/>
    </sheetView>
  </sheetViews>
  <sheetFormatPr defaultRowHeight="15" x14ac:dyDescent="0.25"/>
  <cols>
    <col min="2" max="2" width="40.28515625" bestFit="1" customWidth="1"/>
    <col min="3" max="3" width="38.42578125" bestFit="1" customWidth="1"/>
    <col min="4" max="4" width="33.140625" bestFit="1" customWidth="1"/>
    <col min="5" max="5" width="16.28515625" bestFit="1" customWidth="1"/>
    <col min="6" max="6" width="11.5703125" bestFit="1" customWidth="1"/>
    <col min="7" max="7" width="6.42578125" bestFit="1" customWidth="1"/>
    <col min="8" max="8" width="8.7109375" bestFit="1" customWidth="1"/>
    <col min="9" max="9" width="5.85546875" bestFit="1" customWidth="1"/>
    <col min="10" max="10" width="6.85546875" bestFit="1" customWidth="1"/>
    <col min="11" max="11" width="7.42578125" customWidth="1"/>
    <col min="12" max="12" width="73.28515625" customWidth="1"/>
    <col min="13" max="13" width="73.28515625" style="293" customWidth="1"/>
  </cols>
  <sheetData>
    <row r="1" spans="1:274" s="271" customFormat="1" ht="20.100000000000001" customHeight="1" x14ac:dyDescent="0.25">
      <c r="A1" s="6" t="str">
        <f>HYPERLINK(websiteHTTP&amp;webSiteURL,"Watkins Consulting")</f>
        <v>Watkins Consulting</v>
      </c>
      <c r="B1" s="132"/>
      <c r="C1" s="132"/>
      <c r="D1" s="132"/>
      <c r="E1" s="136" t="str">
        <f>IF(firmName&gt;0,firmName,"")</f>
        <v/>
      </c>
      <c r="F1" s="132"/>
      <c r="G1" s="132"/>
      <c r="H1" s="132"/>
      <c r="I1" s="132"/>
      <c r="J1" s="272" t="str">
        <f>HYPERLINK(websiteHTTP&amp;webSiteURL&amp;userManualrURL,"User Manual")</f>
        <v>User Manual</v>
      </c>
      <c r="M1" s="293"/>
      <c r="O1" s="293"/>
      <c r="P1" s="293"/>
      <c r="Q1" s="293"/>
      <c r="R1" s="293"/>
      <c r="S1" s="293"/>
      <c r="T1" s="293"/>
      <c r="U1" s="293"/>
      <c r="V1" s="293"/>
      <c r="W1" s="293"/>
      <c r="X1" s="293"/>
      <c r="Y1" s="293"/>
      <c r="Z1" s="293"/>
      <c r="AA1" s="293"/>
      <c r="AB1" s="293"/>
      <c r="AC1" s="293"/>
      <c r="AD1" s="293"/>
      <c r="AE1" s="293"/>
      <c r="AF1" s="293"/>
      <c r="AG1" s="293"/>
      <c r="AH1" s="293"/>
      <c r="AI1" s="293"/>
      <c r="AJ1" s="293"/>
      <c r="AK1" s="293"/>
      <c r="AL1" s="293"/>
      <c r="AM1" s="293"/>
      <c r="AN1" s="293"/>
      <c r="AO1" s="293"/>
      <c r="AP1" s="293"/>
      <c r="AQ1" s="293"/>
      <c r="AR1" s="293"/>
      <c r="AS1" s="293"/>
      <c r="AT1" s="293"/>
      <c r="AU1" s="293"/>
      <c r="AV1" s="293"/>
      <c r="AW1" s="293"/>
      <c r="AX1" s="293"/>
      <c r="AY1" s="293"/>
      <c r="AZ1" s="293"/>
      <c r="BA1" s="293"/>
      <c r="BB1" s="293"/>
      <c r="BC1" s="293"/>
      <c r="BD1" s="293"/>
      <c r="BE1" s="293"/>
      <c r="BF1" s="293"/>
      <c r="BG1" s="293"/>
      <c r="BH1" s="293"/>
      <c r="BI1" s="293"/>
      <c r="BJ1" s="293"/>
      <c r="BK1" s="293"/>
      <c r="BL1" s="293"/>
      <c r="BM1" s="293"/>
      <c r="BN1" s="293"/>
      <c r="BO1" s="293"/>
      <c r="BP1" s="293"/>
      <c r="BQ1" s="293"/>
      <c r="BR1" s="293"/>
      <c r="BS1" s="293"/>
      <c r="BT1" s="293"/>
      <c r="BU1" s="293"/>
      <c r="BV1" s="293"/>
      <c r="BW1" s="293"/>
      <c r="BX1" s="293"/>
      <c r="BY1" s="293"/>
      <c r="BZ1" s="293"/>
      <c r="CA1" s="293"/>
      <c r="CB1" s="293"/>
      <c r="CC1" s="293"/>
      <c r="CD1" s="293"/>
      <c r="CE1" s="293"/>
      <c r="CF1" s="293"/>
      <c r="CG1" s="293"/>
      <c r="CH1" s="293"/>
      <c r="CI1" s="293"/>
      <c r="CJ1" s="293"/>
      <c r="CK1" s="293"/>
      <c r="CL1" s="293"/>
      <c r="CM1" s="293"/>
      <c r="CN1" s="293"/>
      <c r="CO1" s="293"/>
      <c r="CP1" s="293"/>
      <c r="CQ1" s="293"/>
      <c r="CR1" s="293"/>
      <c r="CS1" s="293"/>
      <c r="CT1" s="293"/>
      <c r="CU1" s="293"/>
      <c r="CV1" s="293"/>
      <c r="CW1" s="293"/>
      <c r="CX1" s="293"/>
      <c r="CY1" s="293"/>
      <c r="CZ1" s="293"/>
      <c r="DA1" s="293"/>
      <c r="DB1" s="293"/>
      <c r="DC1" s="293"/>
      <c r="DD1" s="293"/>
      <c r="DE1" s="293"/>
      <c r="DF1" s="293"/>
      <c r="DG1" s="293"/>
      <c r="DH1" s="293"/>
      <c r="DI1" s="293"/>
      <c r="DJ1" s="293"/>
      <c r="DK1" s="293"/>
      <c r="DL1" s="293"/>
      <c r="DM1" s="293"/>
      <c r="DN1" s="293"/>
      <c r="DO1" s="293"/>
      <c r="DP1" s="293"/>
      <c r="DQ1" s="293"/>
      <c r="DR1" s="293"/>
      <c r="DS1" s="293"/>
      <c r="DT1" s="293"/>
      <c r="DU1" s="293"/>
      <c r="DV1" s="293"/>
      <c r="DW1" s="293"/>
      <c r="DX1" s="293"/>
      <c r="DY1" s="293"/>
      <c r="DZ1" s="293"/>
      <c r="EA1" s="293"/>
      <c r="EB1" s="293"/>
      <c r="EC1" s="293"/>
      <c r="ED1" s="293"/>
      <c r="EE1" s="293"/>
      <c r="EF1" s="293"/>
      <c r="EG1" s="293"/>
      <c r="EH1" s="293"/>
      <c r="EI1" s="293"/>
      <c r="EJ1" s="293"/>
      <c r="EK1" s="293"/>
      <c r="EL1" s="293"/>
      <c r="EM1" s="293"/>
      <c r="EN1" s="293"/>
      <c r="EO1" s="293"/>
      <c r="EP1" s="293"/>
      <c r="EQ1" s="293"/>
      <c r="ER1" s="293"/>
      <c r="ES1" s="293"/>
      <c r="ET1" s="293"/>
      <c r="EU1" s="293"/>
      <c r="EV1" s="293"/>
      <c r="EW1" s="293"/>
      <c r="EX1" s="293"/>
      <c r="EY1" s="293"/>
      <c r="EZ1" s="293"/>
      <c r="FA1" s="293"/>
      <c r="FB1" s="293"/>
      <c r="FC1" s="293"/>
      <c r="FD1" s="293"/>
      <c r="FE1" s="293"/>
      <c r="FF1" s="293"/>
      <c r="FG1" s="293"/>
      <c r="FH1" s="293"/>
      <c r="FI1" s="293"/>
      <c r="FJ1" s="293"/>
      <c r="FK1" s="293"/>
      <c r="FL1" s="293"/>
      <c r="FM1" s="293"/>
      <c r="FN1" s="293"/>
      <c r="FO1" s="293"/>
      <c r="FP1" s="293"/>
      <c r="FQ1" s="293"/>
      <c r="FR1" s="293"/>
      <c r="FS1" s="293"/>
      <c r="FT1" s="293"/>
      <c r="FU1" s="293"/>
      <c r="FV1" s="293"/>
      <c r="FW1" s="293"/>
      <c r="FX1" s="293"/>
      <c r="FY1" s="293"/>
      <c r="FZ1" s="293"/>
      <c r="GA1" s="293"/>
      <c r="GB1" s="293"/>
      <c r="GC1" s="293"/>
      <c r="GD1" s="293"/>
      <c r="GE1" s="293"/>
      <c r="GF1" s="293"/>
      <c r="GG1" s="293"/>
      <c r="GH1" s="293"/>
      <c r="GI1" s="293"/>
      <c r="GJ1" s="293"/>
      <c r="GK1" s="293"/>
      <c r="GL1" s="293"/>
      <c r="GM1" s="293"/>
      <c r="GN1" s="293"/>
      <c r="GO1" s="293"/>
      <c r="GP1" s="293"/>
      <c r="GQ1" s="293"/>
      <c r="GR1" s="293"/>
      <c r="GS1" s="293"/>
      <c r="GT1" s="293"/>
      <c r="GU1" s="293"/>
      <c r="GV1" s="293"/>
      <c r="GW1" s="293"/>
      <c r="GX1" s="293"/>
      <c r="GY1" s="293"/>
      <c r="GZ1" s="293"/>
      <c r="HA1" s="293"/>
      <c r="HB1" s="293"/>
      <c r="HC1" s="293"/>
      <c r="HD1" s="293"/>
      <c r="HE1" s="293"/>
      <c r="HF1" s="293"/>
      <c r="HG1" s="293"/>
      <c r="HH1" s="293"/>
      <c r="HI1" s="293"/>
      <c r="HJ1" s="293"/>
      <c r="HK1" s="293"/>
      <c r="HL1" s="293"/>
      <c r="HM1" s="293"/>
      <c r="HN1" s="293"/>
      <c r="HO1" s="293"/>
      <c r="HP1" s="293"/>
      <c r="HQ1" s="293"/>
      <c r="HR1" s="293"/>
      <c r="HS1" s="293"/>
      <c r="HT1" s="293"/>
      <c r="HU1" s="293"/>
      <c r="HV1" s="293"/>
      <c r="HW1" s="293"/>
      <c r="HX1" s="293"/>
      <c r="HY1" s="293"/>
      <c r="HZ1" s="293"/>
      <c r="IA1" s="293"/>
      <c r="IB1" s="293"/>
      <c r="IC1" s="293"/>
      <c r="ID1" s="293"/>
      <c r="IE1" s="293"/>
      <c r="IF1" s="293"/>
      <c r="IG1" s="293"/>
      <c r="IH1" s="293"/>
      <c r="II1" s="293"/>
      <c r="IJ1" s="293"/>
      <c r="IK1" s="293"/>
      <c r="IL1" s="293"/>
      <c r="IM1" s="293"/>
      <c r="IN1" s="293"/>
      <c r="IO1" s="293"/>
      <c r="IP1" s="293"/>
      <c r="IQ1" s="293"/>
      <c r="IR1" s="293"/>
      <c r="IS1" s="293"/>
      <c r="IT1" s="293"/>
      <c r="IU1" s="293"/>
      <c r="IV1" s="293"/>
      <c r="IW1" s="293"/>
      <c r="IX1" s="293"/>
      <c r="IY1" s="293"/>
      <c r="IZ1" s="293"/>
      <c r="JA1" s="293"/>
      <c r="JB1" s="293"/>
      <c r="JC1" s="293"/>
      <c r="JD1" s="293"/>
      <c r="JE1" s="293"/>
      <c r="JF1" s="293"/>
      <c r="JG1" s="293"/>
      <c r="JH1" s="293"/>
      <c r="JI1" s="293"/>
      <c r="JJ1" s="293"/>
      <c r="JK1" s="293"/>
    </row>
    <row r="2" spans="1:274" s="271" customFormat="1" ht="20.100000000000001" customHeight="1" x14ac:dyDescent="0.25">
      <c r="A2" s="256" t="str">
        <f ca="1">workbookVersionLabel</f>
        <v xml:space="preserve"> Excel Workbook Version: 3.4.2</v>
      </c>
      <c r="B2" s="132"/>
      <c r="C2" s="132"/>
      <c r="D2" s="133" t="str">
        <f>Information</f>
        <v>FFIEC Cybersecurity Assessment Tool (May 2017)</v>
      </c>
      <c r="E2" s="136"/>
      <c r="F2" s="137"/>
      <c r="G2" s="137"/>
      <c r="H2" s="137"/>
      <c r="I2" s="137"/>
      <c r="J2" s="272" t="s">
        <v>1094</v>
      </c>
      <c r="M2" s="293"/>
      <c r="O2" s="293"/>
      <c r="P2" s="293"/>
      <c r="Q2" s="293"/>
      <c r="R2" s="293"/>
      <c r="S2" s="293"/>
      <c r="T2" s="293"/>
      <c r="U2" s="293"/>
      <c r="V2" s="293"/>
      <c r="W2" s="293"/>
      <c r="X2" s="293"/>
      <c r="Y2" s="293"/>
      <c r="Z2" s="293"/>
      <c r="AA2" s="293"/>
      <c r="AB2" s="293"/>
      <c r="AC2" s="293"/>
      <c r="AD2" s="293"/>
      <c r="AE2" s="293"/>
      <c r="AF2" s="293"/>
      <c r="AG2" s="293"/>
      <c r="AH2" s="293"/>
      <c r="AI2" s="293"/>
      <c r="AJ2" s="293"/>
      <c r="AK2" s="293"/>
      <c r="AL2" s="293"/>
      <c r="AM2" s="293"/>
      <c r="AN2" s="293"/>
      <c r="AO2" s="293"/>
      <c r="AP2" s="293"/>
      <c r="AQ2" s="293"/>
      <c r="AR2" s="293"/>
      <c r="AS2" s="293"/>
      <c r="AT2" s="293"/>
      <c r="AU2" s="293"/>
      <c r="AV2" s="293"/>
      <c r="AW2" s="293"/>
      <c r="AX2" s="293"/>
      <c r="AY2" s="293"/>
      <c r="AZ2" s="293"/>
      <c r="BA2" s="293"/>
      <c r="BB2" s="293"/>
      <c r="BC2" s="293"/>
      <c r="BD2" s="293"/>
      <c r="BE2" s="293"/>
      <c r="BF2" s="293"/>
      <c r="BG2" s="293"/>
      <c r="BH2" s="293"/>
      <c r="BI2" s="293"/>
      <c r="BJ2" s="293"/>
      <c r="BK2" s="293"/>
      <c r="BL2" s="293"/>
      <c r="BM2" s="293"/>
      <c r="BN2" s="293"/>
      <c r="BO2" s="293"/>
      <c r="BP2" s="293"/>
      <c r="BQ2" s="293"/>
      <c r="BR2" s="293"/>
      <c r="BS2" s="293"/>
      <c r="BT2" s="293"/>
      <c r="BU2" s="293"/>
      <c r="BV2" s="293"/>
      <c r="BW2" s="293"/>
      <c r="BX2" s="293"/>
      <c r="BY2" s="293"/>
      <c r="BZ2" s="293"/>
      <c r="CA2" s="293"/>
      <c r="CB2" s="293"/>
      <c r="CC2" s="293"/>
      <c r="CD2" s="293"/>
      <c r="CE2" s="293"/>
      <c r="CF2" s="293"/>
      <c r="CG2" s="293"/>
      <c r="CH2" s="293"/>
      <c r="CI2" s="293"/>
      <c r="CJ2" s="293"/>
      <c r="CK2" s="293"/>
      <c r="CL2" s="293"/>
      <c r="CM2" s="293"/>
      <c r="CN2" s="293"/>
      <c r="CO2" s="293"/>
      <c r="CP2" s="293"/>
      <c r="CQ2" s="293"/>
      <c r="CR2" s="293"/>
      <c r="CS2" s="293"/>
      <c r="CT2" s="293"/>
      <c r="CU2" s="293"/>
      <c r="CV2" s="293"/>
      <c r="CW2" s="293"/>
      <c r="CX2" s="293"/>
      <c r="CY2" s="293"/>
      <c r="CZ2" s="293"/>
      <c r="DA2" s="293"/>
      <c r="DB2" s="293"/>
      <c r="DC2" s="293"/>
      <c r="DD2" s="293"/>
      <c r="DE2" s="293"/>
      <c r="DF2" s="293"/>
      <c r="DG2" s="293"/>
      <c r="DH2" s="293"/>
      <c r="DI2" s="293"/>
      <c r="DJ2" s="293"/>
      <c r="DK2" s="293"/>
      <c r="DL2" s="293"/>
      <c r="DM2" s="293"/>
      <c r="DN2" s="293"/>
      <c r="DO2" s="293"/>
      <c r="DP2" s="293"/>
      <c r="DQ2" s="293"/>
      <c r="DR2" s="293"/>
      <c r="DS2" s="293"/>
      <c r="DT2" s="293"/>
      <c r="DU2" s="293"/>
      <c r="DV2" s="293"/>
      <c r="DW2" s="293"/>
      <c r="DX2" s="293"/>
      <c r="DY2" s="293"/>
      <c r="DZ2" s="293"/>
      <c r="EA2" s="293"/>
      <c r="EB2" s="293"/>
      <c r="EC2" s="293"/>
      <c r="ED2" s="293"/>
      <c r="EE2" s="293"/>
      <c r="EF2" s="293"/>
      <c r="EG2" s="293"/>
      <c r="EH2" s="293"/>
      <c r="EI2" s="293"/>
      <c r="EJ2" s="293"/>
      <c r="EK2" s="293"/>
      <c r="EL2" s="293"/>
      <c r="EM2" s="293"/>
      <c r="EN2" s="293"/>
      <c r="EO2" s="293"/>
      <c r="EP2" s="293"/>
      <c r="EQ2" s="293"/>
      <c r="ER2" s="293"/>
      <c r="ES2" s="293"/>
      <c r="ET2" s="293"/>
      <c r="EU2" s="293"/>
      <c r="EV2" s="293"/>
      <c r="EW2" s="293"/>
      <c r="EX2" s="293"/>
      <c r="EY2" s="293"/>
      <c r="EZ2" s="293"/>
      <c r="FA2" s="293"/>
      <c r="FB2" s="293"/>
      <c r="FC2" s="293"/>
      <c r="FD2" s="293"/>
      <c r="FE2" s="293"/>
      <c r="FF2" s="293"/>
      <c r="FG2" s="293"/>
      <c r="FH2" s="293"/>
      <c r="FI2" s="293"/>
      <c r="FJ2" s="293"/>
      <c r="FK2" s="293"/>
      <c r="FL2" s="293"/>
      <c r="FM2" s="293"/>
      <c r="FN2" s="293"/>
      <c r="FO2" s="293"/>
      <c r="FP2" s="293"/>
      <c r="FQ2" s="293"/>
      <c r="FR2" s="293"/>
      <c r="FS2" s="293"/>
      <c r="FT2" s="293"/>
      <c r="FU2" s="293"/>
      <c r="FV2" s="293"/>
      <c r="FW2" s="293"/>
      <c r="FX2" s="293"/>
      <c r="FY2" s="293"/>
      <c r="FZ2" s="293"/>
      <c r="GA2" s="293"/>
      <c r="GB2" s="293"/>
      <c r="GC2" s="293"/>
      <c r="GD2" s="293"/>
      <c r="GE2" s="293"/>
      <c r="GF2" s="293"/>
      <c r="GG2" s="293"/>
      <c r="GH2" s="293"/>
      <c r="GI2" s="293"/>
      <c r="GJ2" s="293"/>
      <c r="GK2" s="293"/>
      <c r="GL2" s="293"/>
      <c r="GM2" s="293"/>
      <c r="GN2" s="293"/>
      <c r="GO2" s="293"/>
      <c r="GP2" s="293"/>
      <c r="GQ2" s="293"/>
      <c r="GR2" s="293"/>
      <c r="GS2" s="293"/>
      <c r="GT2" s="293"/>
      <c r="GU2" s="293"/>
      <c r="GV2" s="293"/>
      <c r="GW2" s="293"/>
      <c r="GX2" s="293"/>
      <c r="GY2" s="293"/>
      <c r="GZ2" s="293"/>
      <c r="HA2" s="293"/>
      <c r="HB2" s="293"/>
      <c r="HC2" s="293"/>
      <c r="HD2" s="293"/>
      <c r="HE2" s="293"/>
      <c r="HF2" s="293"/>
      <c r="HG2" s="293"/>
      <c r="HH2" s="293"/>
      <c r="HI2" s="293"/>
      <c r="HJ2" s="293"/>
      <c r="HK2" s="293"/>
      <c r="HL2" s="293"/>
      <c r="HM2" s="293"/>
      <c r="HN2" s="293"/>
      <c r="HO2" s="293"/>
      <c r="HP2" s="293"/>
      <c r="HQ2" s="293"/>
      <c r="HR2" s="293"/>
      <c r="HS2" s="293"/>
      <c r="HT2" s="293"/>
      <c r="HU2" s="293"/>
      <c r="HV2" s="293"/>
      <c r="HW2" s="293"/>
      <c r="HX2" s="293"/>
      <c r="HY2" s="293"/>
      <c r="HZ2" s="293"/>
      <c r="IA2" s="293"/>
      <c r="IB2" s="293"/>
      <c r="IC2" s="293"/>
      <c r="ID2" s="293"/>
      <c r="IE2" s="293"/>
      <c r="IF2" s="293"/>
      <c r="IG2" s="293"/>
      <c r="IH2" s="293"/>
      <c r="II2" s="293"/>
      <c r="IJ2" s="293"/>
      <c r="IK2" s="293"/>
      <c r="IL2" s="293"/>
      <c r="IM2" s="293"/>
      <c r="IN2" s="293"/>
      <c r="IO2" s="293"/>
      <c r="IP2" s="293"/>
      <c r="IQ2" s="293"/>
      <c r="IR2" s="293"/>
      <c r="IS2" s="293"/>
      <c r="IT2" s="293"/>
      <c r="IU2" s="293"/>
      <c r="IV2" s="293"/>
      <c r="IW2" s="293"/>
      <c r="IX2" s="293"/>
      <c r="IY2" s="293"/>
      <c r="IZ2" s="293"/>
      <c r="JA2" s="293"/>
      <c r="JB2" s="293"/>
      <c r="JC2" s="293"/>
      <c r="JD2" s="293"/>
      <c r="JE2" s="293"/>
      <c r="JF2" s="293"/>
      <c r="JG2" s="293"/>
      <c r="JH2" s="293"/>
      <c r="JI2" s="293"/>
      <c r="JJ2" s="293"/>
      <c r="JK2" s="293"/>
    </row>
    <row r="3" spans="1:274" s="271" customFormat="1" ht="20.100000000000001" customHeight="1" thickBot="1" x14ac:dyDescent="0.3">
      <c r="A3" s="139" t="str">
        <f ca="1">MID(CELL("filename",A1),FIND("]",CELL("filename",A1))+1,256)</f>
        <v>Table Roll Up</v>
      </c>
      <c r="B3" s="140"/>
      <c r="C3" s="140"/>
      <c r="D3" s="141"/>
      <c r="E3" s="142" t="str">
        <f>IF(assessmentDate&gt;0,assessmentDate,"")</f>
        <v/>
      </c>
      <c r="F3" s="141"/>
      <c r="G3" s="141"/>
      <c r="H3" s="141"/>
      <c r="I3" s="141"/>
      <c r="J3" s="273" t="s">
        <v>620</v>
      </c>
      <c r="M3" s="293"/>
      <c r="Q3" s="293"/>
      <c r="R3" s="293"/>
      <c r="S3" s="293"/>
      <c r="T3" s="293"/>
      <c r="U3" s="293"/>
      <c r="V3" s="293"/>
      <c r="W3" s="293"/>
      <c r="X3" s="293"/>
      <c r="Y3" s="293"/>
      <c r="Z3" s="293"/>
      <c r="AA3" s="293"/>
      <c r="AB3" s="293"/>
      <c r="AC3" s="293"/>
      <c r="AD3" s="293"/>
      <c r="AE3" s="293"/>
      <c r="AF3" s="293"/>
      <c r="AG3" s="293"/>
      <c r="AH3" s="293"/>
      <c r="AI3" s="293"/>
      <c r="AJ3" s="293"/>
      <c r="AK3" s="293"/>
      <c r="AL3" s="293"/>
      <c r="AM3" s="293"/>
      <c r="AN3" s="293"/>
      <c r="AO3" s="293"/>
      <c r="AP3" s="293"/>
      <c r="AQ3" s="293"/>
      <c r="AR3" s="293"/>
      <c r="AS3" s="293"/>
      <c r="AT3" s="293"/>
      <c r="AU3" s="293"/>
      <c r="AV3" s="293"/>
      <c r="AW3" s="293"/>
      <c r="AX3" s="293"/>
      <c r="AY3" s="293"/>
      <c r="AZ3" s="293"/>
      <c r="BA3" s="293"/>
      <c r="BB3" s="293"/>
      <c r="BC3" s="293"/>
      <c r="BD3" s="293"/>
      <c r="BE3" s="293"/>
      <c r="BF3" s="293"/>
      <c r="BG3" s="293"/>
      <c r="BH3" s="293"/>
      <c r="BI3" s="293"/>
      <c r="BJ3" s="293"/>
      <c r="BK3" s="293"/>
      <c r="BL3" s="293"/>
      <c r="BM3" s="293"/>
      <c r="BN3" s="293"/>
      <c r="BO3" s="293"/>
      <c r="BP3" s="293"/>
      <c r="BQ3" s="293"/>
      <c r="BR3" s="293"/>
      <c r="BS3" s="293"/>
      <c r="BT3" s="293"/>
      <c r="BU3" s="293"/>
      <c r="BV3" s="293"/>
      <c r="BW3" s="293"/>
      <c r="BX3" s="293"/>
      <c r="BY3" s="293"/>
      <c r="BZ3" s="293"/>
      <c r="CA3" s="293"/>
      <c r="CB3" s="293"/>
      <c r="CC3" s="293"/>
      <c r="CD3" s="293"/>
      <c r="CE3" s="293"/>
      <c r="CF3" s="293"/>
      <c r="CG3" s="293"/>
      <c r="CH3" s="293"/>
      <c r="CI3" s="293"/>
      <c r="CJ3" s="293"/>
      <c r="CK3" s="293"/>
      <c r="CL3" s="293"/>
      <c r="CM3" s="293"/>
      <c r="CN3" s="293"/>
      <c r="CO3" s="293"/>
      <c r="CP3" s="293"/>
      <c r="CQ3" s="293"/>
      <c r="CR3" s="293"/>
      <c r="CS3" s="293"/>
      <c r="CT3" s="293"/>
      <c r="CU3" s="293"/>
      <c r="CV3" s="293"/>
      <c r="CW3" s="293"/>
      <c r="CX3" s="293"/>
      <c r="CY3" s="293"/>
      <c r="CZ3" s="293"/>
      <c r="DA3" s="293"/>
      <c r="DB3" s="293"/>
      <c r="DC3" s="293"/>
      <c r="DD3" s="293"/>
      <c r="DE3" s="293"/>
      <c r="DF3" s="293"/>
      <c r="DG3" s="293"/>
      <c r="DH3" s="293"/>
      <c r="DI3" s="293"/>
      <c r="DJ3" s="293"/>
      <c r="DK3" s="293"/>
      <c r="DL3" s="293"/>
      <c r="DM3" s="293"/>
      <c r="DN3" s="293"/>
      <c r="DO3" s="293"/>
      <c r="DP3" s="293"/>
      <c r="DQ3" s="293"/>
      <c r="DR3" s="293"/>
      <c r="DS3" s="293"/>
      <c r="DT3" s="293"/>
      <c r="DU3" s="293"/>
      <c r="DV3" s="293"/>
      <c r="DW3" s="293"/>
      <c r="DX3" s="293"/>
      <c r="DY3" s="293"/>
      <c r="DZ3" s="293"/>
      <c r="EA3" s="293"/>
      <c r="EB3" s="293"/>
      <c r="EC3" s="293"/>
      <c r="ED3" s="293"/>
      <c r="EE3" s="293"/>
      <c r="EF3" s="293"/>
      <c r="EG3" s="293"/>
      <c r="EH3" s="293"/>
      <c r="EI3" s="293"/>
      <c r="EJ3" s="293"/>
      <c r="EK3" s="293"/>
      <c r="EL3" s="293"/>
      <c r="EM3" s="293"/>
      <c r="EN3" s="293"/>
      <c r="EO3" s="293"/>
      <c r="EP3" s="293"/>
      <c r="EQ3" s="293"/>
      <c r="ER3" s="293"/>
      <c r="ES3" s="293"/>
      <c r="ET3" s="293"/>
      <c r="EU3" s="293"/>
      <c r="EV3" s="293"/>
      <c r="EW3" s="293"/>
      <c r="EX3" s="293"/>
      <c r="EY3" s="293"/>
      <c r="EZ3" s="293"/>
      <c r="FA3" s="293"/>
      <c r="FB3" s="293"/>
      <c r="FC3" s="293"/>
      <c r="FD3" s="293"/>
      <c r="FE3" s="293"/>
      <c r="FF3" s="293"/>
      <c r="FG3" s="293"/>
      <c r="FH3" s="293"/>
      <c r="FI3" s="293"/>
      <c r="FJ3" s="293"/>
      <c r="FK3" s="293"/>
      <c r="FL3" s="293"/>
      <c r="FM3" s="293"/>
      <c r="FN3" s="293"/>
      <c r="FO3" s="293"/>
      <c r="FP3" s="293"/>
      <c r="FQ3" s="293"/>
      <c r="FR3" s="293"/>
      <c r="FS3" s="293"/>
      <c r="FT3" s="293"/>
      <c r="FU3" s="293"/>
      <c r="FV3" s="293"/>
      <c r="FW3" s="293"/>
      <c r="FX3" s="293"/>
      <c r="FY3" s="293"/>
      <c r="FZ3" s="293"/>
      <c r="GA3" s="293"/>
      <c r="GB3" s="293"/>
      <c r="GC3" s="293"/>
      <c r="GD3" s="293"/>
      <c r="GE3" s="293"/>
      <c r="GF3" s="293"/>
      <c r="GG3" s="293"/>
      <c r="GH3" s="293"/>
      <c r="GI3" s="293"/>
      <c r="GJ3" s="293"/>
      <c r="GK3" s="293"/>
      <c r="GL3" s="293"/>
      <c r="GM3" s="293"/>
      <c r="GN3" s="293"/>
      <c r="GO3" s="293"/>
      <c r="GP3" s="293"/>
      <c r="GQ3" s="293"/>
      <c r="GR3" s="293"/>
      <c r="GS3" s="293"/>
      <c r="GT3" s="293"/>
      <c r="GU3" s="293"/>
      <c r="GV3" s="293"/>
      <c r="GW3" s="293"/>
      <c r="GX3" s="293"/>
      <c r="GY3" s="293"/>
      <c r="GZ3" s="293"/>
      <c r="HA3" s="293"/>
      <c r="HB3" s="293"/>
      <c r="HC3" s="293"/>
      <c r="HD3" s="293"/>
      <c r="HE3" s="293"/>
      <c r="HF3" s="293"/>
      <c r="HG3" s="293"/>
      <c r="HH3" s="293"/>
      <c r="HI3" s="293"/>
      <c r="HJ3" s="293"/>
      <c r="HK3" s="293"/>
      <c r="HL3" s="293"/>
      <c r="HM3" s="293"/>
      <c r="HN3" s="293"/>
      <c r="HO3" s="293"/>
      <c r="HP3" s="293"/>
      <c r="HQ3" s="293"/>
      <c r="HR3" s="293"/>
      <c r="HS3" s="293"/>
      <c r="HT3" s="293"/>
      <c r="HU3" s="293"/>
      <c r="HV3" s="293"/>
      <c r="HW3" s="293"/>
      <c r="HX3" s="293"/>
      <c r="HY3" s="293"/>
      <c r="HZ3" s="293"/>
      <c r="IA3" s="293"/>
      <c r="IB3" s="293"/>
      <c r="IC3" s="293"/>
      <c r="ID3" s="293"/>
      <c r="IE3" s="293"/>
      <c r="IF3" s="293"/>
      <c r="IG3" s="293"/>
      <c r="IH3" s="293"/>
      <c r="II3" s="293"/>
      <c r="IJ3" s="293"/>
      <c r="IK3" s="293"/>
      <c r="IL3" s="293"/>
      <c r="IM3" s="293"/>
      <c r="IN3" s="293"/>
      <c r="IO3" s="293"/>
      <c r="IP3" s="293"/>
      <c r="IQ3" s="293"/>
      <c r="IR3" s="293"/>
      <c r="IS3" s="293"/>
      <c r="IT3" s="293"/>
      <c r="IU3" s="293"/>
      <c r="IV3" s="293"/>
      <c r="IW3" s="293"/>
      <c r="IX3" s="293"/>
      <c r="IY3" s="293"/>
      <c r="IZ3" s="293"/>
      <c r="JA3" s="293"/>
      <c r="JB3" s="293"/>
      <c r="JC3" s="293"/>
      <c r="JD3" s="293"/>
      <c r="JE3" s="293"/>
      <c r="JF3" s="293"/>
      <c r="JG3" s="293"/>
      <c r="JH3" s="293"/>
      <c r="JI3" s="293"/>
      <c r="JJ3" s="293"/>
      <c r="JK3" s="293"/>
      <c r="JL3" s="293">
        <v>259</v>
      </c>
      <c r="JM3" s="293">
        <v>260</v>
      </c>
      <c r="JN3" s="293">
        <v>261</v>
      </c>
    </row>
    <row r="4" spans="1:274" ht="15.75" thickTop="1" x14ac:dyDescent="0.25">
      <c r="C4" s="252"/>
      <c r="D4" s="252"/>
      <c r="E4" s="252"/>
      <c r="F4" s="252"/>
      <c r="G4" s="252"/>
      <c r="H4" s="252"/>
      <c r="I4" s="252"/>
      <c r="J4" s="252"/>
      <c r="K4" s="252"/>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3"/>
      <c r="AV4" s="293"/>
      <c r="AW4" s="293"/>
      <c r="AX4" s="293"/>
      <c r="AY4" s="293"/>
      <c r="AZ4" s="293"/>
      <c r="BA4" s="293"/>
      <c r="BB4" s="293"/>
      <c r="BC4" s="293"/>
      <c r="BD4" s="293"/>
      <c r="BE4" s="293"/>
      <c r="BF4" s="293"/>
      <c r="BG4" s="293"/>
      <c r="BH4" s="293"/>
      <c r="BI4" s="293"/>
      <c r="BJ4" s="293"/>
      <c r="BK4" s="293"/>
      <c r="BL4" s="293"/>
      <c r="BM4" s="293"/>
      <c r="BN4" s="293"/>
      <c r="BO4" s="293"/>
      <c r="BP4" s="293"/>
      <c r="BQ4" s="293"/>
      <c r="BR4" s="293"/>
      <c r="BS4" s="293"/>
      <c r="BT4" s="293"/>
      <c r="BU4" s="293"/>
      <c r="BV4" s="293"/>
      <c r="BW4" s="293"/>
      <c r="BX4" s="293"/>
      <c r="BY4" s="293"/>
      <c r="BZ4" s="293"/>
      <c r="CA4" s="293"/>
      <c r="CB4" s="293"/>
      <c r="CC4" s="293"/>
      <c r="CD4" s="293"/>
      <c r="CE4" s="293"/>
      <c r="CF4" s="293"/>
      <c r="CG4" s="293"/>
      <c r="CH4" s="293"/>
      <c r="CI4" s="293"/>
      <c r="CJ4" s="293"/>
      <c r="CK4" s="293"/>
      <c r="CL4" s="293"/>
      <c r="CM4" s="293"/>
      <c r="CN4" s="293"/>
      <c r="CO4" s="293"/>
      <c r="CP4" s="293"/>
      <c r="CQ4" s="293"/>
      <c r="CR4" s="293"/>
      <c r="CS4" s="293"/>
      <c r="CT4" s="293"/>
      <c r="CU4" s="293"/>
      <c r="CV4" s="293"/>
      <c r="CW4" s="293"/>
      <c r="CX4" s="293"/>
      <c r="CY4" s="293"/>
      <c r="CZ4" s="293"/>
      <c r="DA4" s="293"/>
      <c r="DB4" s="293"/>
      <c r="DC4" s="293"/>
      <c r="DD4" s="293"/>
      <c r="DE4" s="293"/>
      <c r="DF4" s="293"/>
      <c r="DG4" s="293"/>
      <c r="DH4" s="293"/>
      <c r="DI4" s="293"/>
      <c r="DJ4" s="293"/>
      <c r="DK4" s="293"/>
      <c r="DL4" s="293"/>
      <c r="DM4" s="293"/>
      <c r="DN4" s="293"/>
      <c r="DO4" s="293"/>
      <c r="DP4" s="293"/>
      <c r="DQ4" s="293"/>
      <c r="DR4" s="293"/>
      <c r="DS4" s="293"/>
      <c r="DT4" s="293"/>
      <c r="DU4" s="293"/>
      <c r="DV4" s="293"/>
      <c r="DW4" s="293"/>
      <c r="DX4" s="293"/>
      <c r="DY4" s="293"/>
      <c r="DZ4" s="293"/>
      <c r="EA4" s="293"/>
      <c r="EB4" s="293"/>
      <c r="EC4" s="293"/>
      <c r="ED4" s="293"/>
      <c r="EE4" s="293"/>
      <c r="EF4" s="293"/>
      <c r="EG4" s="293"/>
      <c r="EH4" s="293"/>
      <c r="EI4" s="293"/>
      <c r="EJ4" s="293"/>
      <c r="EK4" s="293"/>
      <c r="EL4" s="293"/>
      <c r="EM4" s="293"/>
      <c r="EN4" s="293"/>
      <c r="EO4" s="293"/>
      <c r="EP4" s="293"/>
      <c r="EQ4" s="293"/>
      <c r="ER4" s="293"/>
      <c r="ES4" s="293"/>
      <c r="ET4" s="293"/>
      <c r="EU4" s="293"/>
      <c r="EV4" s="293"/>
      <c r="EW4" s="293"/>
      <c r="EX4" s="293"/>
      <c r="EY4" s="293"/>
      <c r="EZ4" s="293"/>
      <c r="FA4" s="293"/>
      <c r="FB4" s="293"/>
      <c r="FC4" s="293"/>
      <c r="FD4" s="293"/>
      <c r="FE4" s="293"/>
      <c r="FF4" s="293"/>
      <c r="FG4" s="293"/>
      <c r="FH4" s="293"/>
      <c r="FI4" s="293"/>
      <c r="FJ4" s="293"/>
      <c r="FK4" s="293"/>
      <c r="FL4" s="293"/>
      <c r="FM4" s="293"/>
      <c r="FN4" s="293"/>
      <c r="FO4" s="293"/>
      <c r="FP4" s="293"/>
      <c r="FQ4" s="293"/>
      <c r="FR4" s="293"/>
      <c r="FS4" s="293"/>
      <c r="FT4" s="293"/>
      <c r="FU4" s="293"/>
      <c r="FV4" s="293"/>
      <c r="FW4" s="293"/>
      <c r="FX4" s="293"/>
      <c r="FY4" s="293"/>
      <c r="FZ4" s="293"/>
      <c r="GA4" s="293"/>
      <c r="GB4" s="293"/>
      <c r="GC4" s="293"/>
      <c r="GD4" s="293"/>
      <c r="GE4" s="293"/>
      <c r="GF4" s="293"/>
      <c r="GG4" s="293"/>
      <c r="GH4" s="293"/>
      <c r="GI4" s="293"/>
      <c r="GJ4" s="293"/>
      <c r="GK4" s="293"/>
      <c r="GL4" s="293"/>
      <c r="GM4" s="293"/>
      <c r="GN4" s="293"/>
      <c r="GO4" s="293"/>
      <c r="GP4" s="293"/>
      <c r="GQ4" s="293"/>
      <c r="GR4" s="293"/>
      <c r="GS4" s="293"/>
      <c r="GT4" s="293"/>
      <c r="GU4" s="293"/>
      <c r="GV4" s="293"/>
      <c r="GW4" s="293"/>
      <c r="GX4" s="293"/>
      <c r="GY4" s="293"/>
      <c r="GZ4" s="293"/>
      <c r="HA4" s="293"/>
      <c r="HB4" s="293"/>
      <c r="HC4" s="293"/>
      <c r="HD4" s="293"/>
      <c r="HE4" s="293"/>
      <c r="HF4" s="293"/>
      <c r="HG4" s="293"/>
      <c r="HH4" s="293"/>
      <c r="HI4" s="293"/>
      <c r="HJ4" s="293"/>
      <c r="HK4" s="293"/>
      <c r="HL4" s="293"/>
      <c r="HM4" s="293"/>
      <c r="HN4" s="293"/>
      <c r="HO4" s="293"/>
      <c r="HP4" s="293"/>
      <c r="HQ4" s="293"/>
      <c r="HR4" s="293"/>
      <c r="HS4" s="293"/>
      <c r="HT4" s="293"/>
      <c r="HU4" s="293"/>
      <c r="HV4" s="293"/>
      <c r="HW4" s="293"/>
      <c r="HX4" s="293"/>
      <c r="HY4" s="293"/>
      <c r="HZ4" s="293"/>
      <c r="IA4" s="293"/>
      <c r="IB4" s="293"/>
      <c r="IC4" s="293"/>
      <c r="ID4" s="293"/>
      <c r="IE4" s="293"/>
      <c r="IF4" s="293"/>
      <c r="IG4" s="293"/>
      <c r="IH4" s="293"/>
      <c r="II4" s="293"/>
      <c r="IJ4" s="293"/>
      <c r="IK4" s="293"/>
      <c r="IL4" s="293"/>
      <c r="IM4" s="293"/>
      <c r="IN4" s="293"/>
      <c r="IO4" s="293"/>
      <c r="IP4" s="293"/>
      <c r="IQ4" s="293"/>
      <c r="IR4" s="293"/>
      <c r="IS4" s="293"/>
      <c r="IT4" s="293"/>
      <c r="IU4" s="293"/>
      <c r="IV4" s="293"/>
      <c r="IW4" s="293"/>
      <c r="IX4" s="293"/>
      <c r="IY4" s="293"/>
      <c r="IZ4" s="293"/>
      <c r="JA4" s="293"/>
      <c r="JB4" s="293"/>
      <c r="JC4" s="293"/>
      <c r="JD4" s="293"/>
      <c r="JE4" s="293"/>
      <c r="JF4" s="293"/>
      <c r="JG4" s="293"/>
      <c r="JH4" s="293"/>
      <c r="JI4" s="293"/>
      <c r="JJ4" s="293"/>
      <c r="JK4" s="293"/>
    </row>
    <row r="5" spans="1:274" s="271" customFormat="1" ht="18.75" x14ac:dyDescent="0.3">
      <c r="B5" s="420" t="s">
        <v>1285</v>
      </c>
      <c r="C5" s="420"/>
      <c r="D5" s="420"/>
      <c r="E5" s="420"/>
      <c r="F5" s="420"/>
      <c r="G5" s="420"/>
      <c r="H5" s="420"/>
      <c r="I5" s="420"/>
      <c r="J5" s="420"/>
      <c r="M5" s="293"/>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row>
    <row r="6" spans="1:274" x14ac:dyDescent="0.25">
      <c r="B6" s="252"/>
      <c r="C6" s="252"/>
      <c r="D6" s="252"/>
      <c r="E6" s="252"/>
      <c r="F6" s="252"/>
      <c r="G6" s="252"/>
      <c r="H6" s="252"/>
      <c r="I6" s="252"/>
      <c r="J6" s="252"/>
    </row>
    <row r="7" spans="1:274" ht="15.75" thickBot="1" x14ac:dyDescent="0.3">
      <c r="B7" s="174" t="s">
        <v>1273</v>
      </c>
      <c r="C7" s="174" t="s">
        <v>25</v>
      </c>
      <c r="D7" s="174" t="s">
        <v>26</v>
      </c>
      <c r="E7" s="174" t="s">
        <v>23</v>
      </c>
      <c r="F7" s="174" t="s">
        <v>878</v>
      </c>
      <c r="G7" s="177" t="s">
        <v>1286</v>
      </c>
      <c r="H7" s="177" t="s">
        <v>1287</v>
      </c>
      <c r="I7" s="177" t="s">
        <v>1288</v>
      </c>
      <c r="J7" s="177" t="s">
        <v>1289</v>
      </c>
      <c r="K7" s="294" t="s">
        <v>2055</v>
      </c>
      <c r="L7" s="294" t="s">
        <v>2056</v>
      </c>
      <c r="M7" s="294" t="s">
        <v>2071</v>
      </c>
    </row>
    <row r="8" spans="1:274" x14ac:dyDescent="0.25">
      <c r="B8" s="252" t="str">
        <f>'Risk Management and Oversight'!$M$9</f>
        <v>Cyber Risk Management and Oversight</v>
      </c>
      <c r="C8" s="252" t="str">
        <f>'Risk Management and Oversight'!$A$9</f>
        <v>Governance</v>
      </c>
      <c r="D8" s="252" t="str">
        <f>'Risk Management and Oversight'!$B$9</f>
        <v>Oversight</v>
      </c>
      <c r="E8" s="252" t="str">
        <f>'Risk Management and Oversight'!$C$9</f>
        <v>Baseline</v>
      </c>
      <c r="F8" s="252">
        <f>'Risk Management and Oversight'!$D$9</f>
        <v>0</v>
      </c>
      <c r="G8" s="252">
        <f>'Risk Management and Oversight'!$N$9</f>
        <v>0</v>
      </c>
      <c r="H8" s="252">
        <f>'Risk Management and Oversight'!$O$9</f>
        <v>0</v>
      </c>
      <c r="I8" s="252">
        <f>'Risk Management and Oversight'!$P$9</f>
        <v>0</v>
      </c>
      <c r="J8" s="252">
        <f>'Risk Management and Oversight'!$Q$9</f>
        <v>0</v>
      </c>
      <c r="K8" t="s">
        <v>52</v>
      </c>
      <c r="L8" t="str">
        <f>IF(combinedMaturityTable[[#This Row],[Maturity Level]]="Baseline",LEFT(combinedMaturityTable[[#This Row],[DS]],FIND("(FFIEC ",combinedMaturityTable[[#This Row],[DS]])-1),"")</f>
        <v xml:space="preserve">Designated members of management are held accountable by the board or an appropriate board committee for implementing and managing the information security and business continuity programs. </v>
      </c>
      <c r="M8" s="293" t="str">
        <f>CLEAN(TRIM(SUBSTITUTE(LEFT(combinedMaturityTable[[#This Row],[DSm]],MIN(250,LEN(combinedMaturityTable[[#This Row],[DSm]]))),CHAR(160)," ")))</f>
        <v>Designated members of management are held accountable by the board or an appropriate board committee for implementing and managing the information security and business continuity programs.</v>
      </c>
    </row>
    <row r="9" spans="1:274" x14ac:dyDescent="0.25">
      <c r="B9" s="252" t="str">
        <f>'Risk Management and Oversight'!$M$10</f>
        <v>Cyber Risk Management and Oversight</v>
      </c>
      <c r="C9" s="252" t="str">
        <f>'Risk Management and Oversight'!$A$10</f>
        <v>Governance</v>
      </c>
      <c r="D9" s="252" t="str">
        <f>'Risk Management and Oversight'!$B$10</f>
        <v>Oversight</v>
      </c>
      <c r="E9" s="252" t="str">
        <f>'Risk Management and Oversight'!$C$10</f>
        <v>Baseline</v>
      </c>
      <c r="F9" s="252">
        <f>'Risk Management and Oversight'!$D$10</f>
        <v>0</v>
      </c>
      <c r="G9" s="252">
        <f>'Risk Management and Oversight'!$N$10</f>
        <v>0</v>
      </c>
      <c r="H9" s="252">
        <f>'Risk Management and Oversight'!$O$10</f>
        <v>0</v>
      </c>
      <c r="I9" s="252">
        <f>'Risk Management and Oversight'!$P$10</f>
        <v>0</v>
      </c>
      <c r="J9" s="252">
        <f>'Risk Management and Oversight'!$Q$10</f>
        <v>0</v>
      </c>
      <c r="K9" t="s">
        <v>53</v>
      </c>
      <c r="L9" t="str">
        <f>IF(combinedMaturityTable[[#This Row],[Maturity Level]]="Baseline",LEFT(combinedMaturityTable[[#This Row],[DS]],FIND("(FFIEC ",combinedMaturityTable[[#This Row],[DS]])-1),"")</f>
        <v xml:space="preserve">Information security risks are discussed in management meetings when prompted by highly visible cyber events or regulatory alerts. </v>
      </c>
      <c r="M9" s="293" t="str">
        <f>CLEAN(TRIM(SUBSTITUTE(LEFT(combinedMaturityTable[[#This Row],[DSm]],MIN(250,LEN(combinedMaturityTable[[#This Row],[DSm]]))),CHAR(160)," ")))</f>
        <v>Information security risks are discussed in management meetings when prompted by highly visible cyber events or regulatory alerts.</v>
      </c>
    </row>
    <row r="10" spans="1:274" x14ac:dyDescent="0.25">
      <c r="B10" s="252" t="str">
        <f>'Risk Management and Oversight'!$M$11</f>
        <v>Cyber Risk Management and Oversight</v>
      </c>
      <c r="C10" s="252" t="str">
        <f>'Risk Management and Oversight'!$A$11</f>
        <v>Governance</v>
      </c>
      <c r="D10" s="252" t="str">
        <f>'Risk Management and Oversight'!$B$11</f>
        <v>Oversight</v>
      </c>
      <c r="E10" s="252" t="str">
        <f>'Risk Management and Oversight'!$C$11</f>
        <v>Baseline</v>
      </c>
      <c r="F10" s="252">
        <f>'Risk Management and Oversight'!$D$11</f>
        <v>0</v>
      </c>
      <c r="G10" s="252">
        <f>'Risk Management and Oversight'!$N$11</f>
        <v>0</v>
      </c>
      <c r="H10" s="252">
        <f>'Risk Management and Oversight'!$O$11</f>
        <v>0</v>
      </c>
      <c r="I10" s="252">
        <f>'Risk Management and Oversight'!$P$11</f>
        <v>0</v>
      </c>
      <c r="J10" s="252">
        <f>'Risk Management and Oversight'!$Q$11</f>
        <v>0</v>
      </c>
      <c r="K10" t="s">
        <v>54</v>
      </c>
      <c r="L10" t="str">
        <f>IF(combinedMaturityTable[[#This Row],[Maturity Level]]="Baseline",LEFT(combinedMaturityTable[[#This Row],[DS]],FIND("(FFIEC ",combinedMaturityTable[[#This Row],[DS]])-1),"")</f>
        <v xml:space="preserve">Management provides a written report on the overall status of the information security and business continuity programs to the board or an appropriate board committee at least annually. </v>
      </c>
      <c r="M10" s="293" t="str">
        <f>CLEAN(TRIM(SUBSTITUTE(LEFT(combinedMaturityTable[[#This Row],[DSm]],MIN(250,LEN(combinedMaturityTable[[#This Row],[DSm]]))),CHAR(160)," ")))</f>
        <v>Management provides a written report on the overall status of the information security and business continuity programs to the board or an appropriate board committee at least annually.</v>
      </c>
    </row>
    <row r="11" spans="1:274" x14ac:dyDescent="0.25">
      <c r="B11" s="252" t="str">
        <f>'Risk Management and Oversight'!$M$12</f>
        <v>Cyber Risk Management and Oversight</v>
      </c>
      <c r="C11" s="252" t="str">
        <f>'Risk Management and Oversight'!$A$12</f>
        <v>Governance</v>
      </c>
      <c r="D11" s="252" t="str">
        <f>'Risk Management and Oversight'!$B$12</f>
        <v>Oversight</v>
      </c>
      <c r="E11" s="252" t="str">
        <f>'Risk Management and Oversight'!$C$12</f>
        <v>Baseline</v>
      </c>
      <c r="F11" s="252">
        <f>'Risk Management and Oversight'!$D$12</f>
        <v>0</v>
      </c>
      <c r="G11" s="252">
        <f>'Risk Management and Oversight'!$N$12</f>
        <v>0</v>
      </c>
      <c r="H11" s="252">
        <f>'Risk Management and Oversight'!$O$12</f>
        <v>0</v>
      </c>
      <c r="I11" s="252">
        <f>'Risk Management and Oversight'!$P$12</f>
        <v>0</v>
      </c>
      <c r="J11" s="252">
        <f>'Risk Management and Oversight'!$Q$12</f>
        <v>0</v>
      </c>
      <c r="K11" t="s">
        <v>55</v>
      </c>
      <c r="L11" t="str">
        <f>IF(combinedMaturityTable[[#This Row],[Maturity Level]]="Baseline",LEFT(combinedMaturityTable[[#This Row],[DS]],FIND("(FFIEC ",combinedMaturityTable[[#This Row],[DS]])-1),"")</f>
        <v xml:space="preserve">The budgeting process includes information security related expenses and tools. </v>
      </c>
      <c r="M11" s="293" t="str">
        <f>CLEAN(TRIM(SUBSTITUTE(LEFT(combinedMaturityTable[[#This Row],[DSm]],MIN(250,LEN(combinedMaturityTable[[#This Row],[DSm]]))),CHAR(160)," ")))</f>
        <v>The budgeting process includes information security related expenses and tools.</v>
      </c>
    </row>
    <row r="12" spans="1:274" x14ac:dyDescent="0.25">
      <c r="B12" s="252" t="str">
        <f>'Risk Management and Oversight'!$M$13</f>
        <v>Cyber Risk Management and Oversight</v>
      </c>
      <c r="C12" s="252" t="str">
        <f>'Risk Management and Oversight'!$A$13</f>
        <v>Governance</v>
      </c>
      <c r="D12" s="252" t="str">
        <f>'Risk Management and Oversight'!$B$13</f>
        <v>Oversight</v>
      </c>
      <c r="E12" s="252" t="str">
        <f>'Risk Management and Oversight'!$C$13</f>
        <v>Baseline</v>
      </c>
      <c r="F12" s="252">
        <f>'Risk Management and Oversight'!$D$13</f>
        <v>0</v>
      </c>
      <c r="G12" s="252">
        <f>'Risk Management and Oversight'!$N$13</f>
        <v>0</v>
      </c>
      <c r="H12" s="252">
        <f>'Risk Management and Oversight'!$O$13</f>
        <v>0</v>
      </c>
      <c r="I12" s="252">
        <f>'Risk Management and Oversight'!$P$13</f>
        <v>0</v>
      </c>
      <c r="J12" s="252">
        <f>'Risk Management and Oversight'!$Q$13</f>
        <v>0</v>
      </c>
      <c r="K12" t="s">
        <v>56</v>
      </c>
      <c r="L12" t="str">
        <f>IF(combinedMaturityTable[[#This Row],[Maturity Level]]="Baseline",LEFT(combinedMaturityTable[[#This Row],[DS]],FIND("(FFIEC ",combinedMaturityTable[[#This Row],[DS]])-1),"")</f>
        <v xml:space="preserve">Management considers the risks posed by other critical infrastructures (e.g., telecommunications, energy) to the institution. </v>
      </c>
      <c r="M12" s="293" t="str">
        <f>CLEAN(TRIM(SUBSTITUTE(LEFT(combinedMaturityTable[[#This Row],[DSm]],MIN(250,LEN(combinedMaturityTable[[#This Row],[DSm]]))),CHAR(160)," ")))</f>
        <v>Management considers the risks posed by other critical infrastructures (e.g., telecommunications, energy) to the institution.</v>
      </c>
    </row>
    <row r="13" spans="1:274" hidden="1" x14ac:dyDescent="0.25">
      <c r="B13" s="252" t="str">
        <f>'Risk Management and Oversight'!$M$14</f>
        <v>Cyber Risk Management and Oversight</v>
      </c>
      <c r="C13" s="252" t="str">
        <f>'Risk Management and Oversight'!$A$14</f>
        <v>Governance</v>
      </c>
      <c r="D13" s="252" t="str">
        <f>'Risk Management and Oversight'!$B$14</f>
        <v>Oversight</v>
      </c>
      <c r="E13" s="252" t="str">
        <f>'Risk Management and Oversight'!$C$14</f>
        <v>Evolving</v>
      </c>
      <c r="F13" s="252">
        <f>'Risk Management and Oversight'!$D$14</f>
        <v>0</v>
      </c>
      <c r="G13" s="252">
        <f>'Risk Management and Oversight'!$N$14</f>
        <v>0</v>
      </c>
      <c r="H13" s="252">
        <f>'Risk Management and Oversight'!$O$14</f>
        <v>0</v>
      </c>
      <c r="I13" s="252">
        <f>'Risk Management and Oversight'!$P$14</f>
        <v>0</v>
      </c>
      <c r="J13" s="252">
        <f>'Risk Management and Oversight'!$Q$14</f>
        <v>0</v>
      </c>
      <c r="K13" t="s">
        <v>57</v>
      </c>
      <c r="L13" t="str">
        <f>IF(combinedMaturityTable[[#This Row],[Maturity Level]]="Baseline",LEFT(combinedMaturityTable[[#This Row],[DS]],FIND("(FFIEC ",combinedMaturityTable[[#This Row],[DS]])-1),"")</f>
        <v/>
      </c>
      <c r="M13" s="293" t="str">
        <f>CLEAN(TRIM(SUBSTITUTE(LEFT(combinedMaturityTable[[#This Row],[DSm]],MIN(250,LEN(combinedMaturityTable[[#This Row],[DSm]]))),CHAR(160)," ")))</f>
        <v/>
      </c>
    </row>
    <row r="14" spans="1:274" hidden="1" x14ac:dyDescent="0.25">
      <c r="B14" s="252" t="str">
        <f>'Risk Management and Oversight'!$M$15</f>
        <v>Cyber Risk Management and Oversight</v>
      </c>
      <c r="C14" s="252" t="str">
        <f>'Risk Management and Oversight'!$A$15</f>
        <v>Governance</v>
      </c>
      <c r="D14" s="252" t="str">
        <f>'Risk Management and Oversight'!$B$15</f>
        <v>Oversight</v>
      </c>
      <c r="E14" s="252" t="str">
        <f>'Risk Management and Oversight'!$C$15</f>
        <v>Evolving</v>
      </c>
      <c r="F14" s="252">
        <f>'Risk Management and Oversight'!$D$15</f>
        <v>0</v>
      </c>
      <c r="G14" s="252">
        <f>'Risk Management and Oversight'!$N$15</f>
        <v>0</v>
      </c>
      <c r="H14" s="252">
        <f>'Risk Management and Oversight'!$O$15</f>
        <v>0</v>
      </c>
      <c r="I14" s="252">
        <f>'Risk Management and Oversight'!$P$15</f>
        <v>0</v>
      </c>
      <c r="J14" s="252">
        <f>'Risk Management and Oversight'!$Q$15</f>
        <v>0</v>
      </c>
      <c r="K14" t="s">
        <v>58</v>
      </c>
      <c r="L14" t="str">
        <f>IF(combinedMaturityTable[[#This Row],[Maturity Level]]="Baseline",LEFT(combinedMaturityTable[[#This Row],[DS]],FIND("(FFIEC ",combinedMaturityTable[[#This Row],[DS]])-1),"")</f>
        <v/>
      </c>
      <c r="M14" s="293" t="str">
        <f>CLEAN(TRIM(SUBSTITUTE(LEFT(combinedMaturityTable[[#This Row],[DSm]],MIN(250,LEN(combinedMaturityTable[[#This Row],[DSm]]))),CHAR(160)," ")))</f>
        <v/>
      </c>
    </row>
    <row r="15" spans="1:274" hidden="1" x14ac:dyDescent="0.25">
      <c r="B15" s="252" t="str">
        <f>'Risk Management and Oversight'!$M$16</f>
        <v>Cyber Risk Management and Oversight</v>
      </c>
      <c r="C15" s="252" t="str">
        <f>'Risk Management and Oversight'!$A$16</f>
        <v>Governance</v>
      </c>
      <c r="D15" s="252" t="str">
        <f>'Risk Management and Oversight'!$B$16</f>
        <v>Oversight</v>
      </c>
      <c r="E15" s="252" t="str">
        <f>'Risk Management and Oversight'!$C$16</f>
        <v>Evolving</v>
      </c>
      <c r="F15" s="252">
        <f>'Risk Management and Oversight'!$D$16</f>
        <v>0</v>
      </c>
      <c r="G15" s="252">
        <f>'Risk Management and Oversight'!$N$16</f>
        <v>0</v>
      </c>
      <c r="H15" s="252">
        <f>'Risk Management and Oversight'!$O$16</f>
        <v>0</v>
      </c>
      <c r="I15" s="252">
        <f>'Risk Management and Oversight'!$P$16</f>
        <v>0</v>
      </c>
      <c r="J15" s="252">
        <f>'Risk Management and Oversight'!$Q$16</f>
        <v>0</v>
      </c>
      <c r="K15" t="s">
        <v>59</v>
      </c>
      <c r="L15" t="str">
        <f>IF(combinedMaturityTable[[#This Row],[Maturity Level]]="Baseline",LEFT(combinedMaturityTable[[#This Row],[DS]],FIND("(FFIEC ",combinedMaturityTable[[#This Row],[DS]])-1),"")</f>
        <v/>
      </c>
      <c r="M15" s="293" t="str">
        <f>CLEAN(TRIM(SUBSTITUTE(LEFT(combinedMaturityTable[[#This Row],[DSm]],MIN(250,LEN(combinedMaturityTable[[#This Row],[DSm]]))),CHAR(160)," ")))</f>
        <v/>
      </c>
    </row>
    <row r="16" spans="1:274" hidden="1" x14ac:dyDescent="0.25">
      <c r="B16" s="252" t="str">
        <f>'Risk Management and Oversight'!$M$17</f>
        <v>Cyber Risk Management and Oversight</v>
      </c>
      <c r="C16" s="252" t="str">
        <f>'Risk Management and Oversight'!$A$17</f>
        <v>Governance</v>
      </c>
      <c r="D16" s="252" t="str">
        <f>'Risk Management and Oversight'!$B$17</f>
        <v>Oversight</v>
      </c>
      <c r="E16" s="252" t="str">
        <f>'Risk Management and Oversight'!$C$17</f>
        <v>Evolving</v>
      </c>
      <c r="F16" s="252">
        <f>'Risk Management and Oversight'!$D$17</f>
        <v>0</v>
      </c>
      <c r="G16" s="252">
        <f>'Risk Management and Oversight'!$N$17</f>
        <v>0</v>
      </c>
      <c r="H16" s="252">
        <f>'Risk Management and Oversight'!$O$17</f>
        <v>0</v>
      </c>
      <c r="I16" s="252">
        <f>'Risk Management and Oversight'!$P$17</f>
        <v>0</v>
      </c>
      <c r="J16" s="252">
        <f>'Risk Management and Oversight'!$Q$17</f>
        <v>0</v>
      </c>
      <c r="K16" t="s">
        <v>60</v>
      </c>
      <c r="L16" t="str">
        <f>IF(combinedMaturityTable[[#This Row],[Maturity Level]]="Baseline",LEFT(combinedMaturityTable[[#This Row],[DS]],FIND("(FFIEC ",combinedMaturityTable[[#This Row],[DS]])-1),"")</f>
        <v/>
      </c>
      <c r="M16" s="293" t="str">
        <f>CLEAN(TRIM(SUBSTITUTE(LEFT(combinedMaturityTable[[#This Row],[DSm]],MIN(250,LEN(combinedMaturityTable[[#This Row],[DSm]]))),CHAR(160)," ")))</f>
        <v/>
      </c>
    </row>
    <row r="17" spans="2:13" hidden="1" x14ac:dyDescent="0.25">
      <c r="B17" s="252" t="str">
        <f>'Risk Management and Oversight'!$M$18</f>
        <v>Cyber Risk Management and Oversight</v>
      </c>
      <c r="C17" s="252" t="str">
        <f>'Risk Management and Oversight'!$A$18</f>
        <v>Governance</v>
      </c>
      <c r="D17" s="252" t="str">
        <f>'Risk Management and Oversight'!$B$18</f>
        <v>Oversight</v>
      </c>
      <c r="E17" s="252" t="str">
        <f>'Risk Management and Oversight'!$C$18</f>
        <v>Intermediate</v>
      </c>
      <c r="F17" s="252">
        <f>'Risk Management and Oversight'!$D$18</f>
        <v>0</v>
      </c>
      <c r="G17" s="252">
        <f>'Risk Management and Oversight'!$N$18</f>
        <v>0</v>
      </c>
      <c r="H17" s="252">
        <f>'Risk Management and Oversight'!$O$18</f>
        <v>0</v>
      </c>
      <c r="I17" s="252">
        <f>'Risk Management and Oversight'!$P$18</f>
        <v>0</v>
      </c>
      <c r="J17" s="252">
        <f>'Risk Management and Oversight'!$Q$18</f>
        <v>0</v>
      </c>
      <c r="K17" t="s">
        <v>61</v>
      </c>
      <c r="L17" t="str">
        <f>IF(combinedMaturityTable[[#This Row],[Maturity Level]]="Baseline",LEFT(combinedMaturityTable[[#This Row],[DS]],FIND("(FFIEC ",combinedMaturityTable[[#This Row],[DS]])-1),"")</f>
        <v/>
      </c>
      <c r="M17" s="293" t="str">
        <f>CLEAN(TRIM(SUBSTITUTE(LEFT(combinedMaturityTable[[#This Row],[DSm]],MIN(250,LEN(combinedMaturityTable[[#This Row],[DSm]]))),CHAR(160)," ")))</f>
        <v/>
      </c>
    </row>
    <row r="18" spans="2:13" hidden="1" x14ac:dyDescent="0.25">
      <c r="B18" s="252" t="str">
        <f>'Risk Management and Oversight'!$M$19</f>
        <v>Cyber Risk Management and Oversight</v>
      </c>
      <c r="C18" s="252" t="str">
        <f>'Risk Management and Oversight'!$A$19</f>
        <v>Governance</v>
      </c>
      <c r="D18" s="252" t="str">
        <f>'Risk Management and Oversight'!$B$19</f>
        <v>Oversight</v>
      </c>
      <c r="E18" s="252" t="str">
        <f>'Risk Management and Oversight'!$C$19</f>
        <v>Intermediate</v>
      </c>
      <c r="F18" s="252">
        <f>'Risk Management and Oversight'!$D$19</f>
        <v>0</v>
      </c>
      <c r="G18" s="252">
        <f>'Risk Management and Oversight'!$N$19</f>
        <v>0</v>
      </c>
      <c r="H18" s="252">
        <f>'Risk Management and Oversight'!$O$19</f>
        <v>0</v>
      </c>
      <c r="I18" s="252">
        <f>'Risk Management and Oversight'!$P$19</f>
        <v>0</v>
      </c>
      <c r="J18" s="252">
        <f>'Risk Management and Oversight'!$Q$19</f>
        <v>0</v>
      </c>
      <c r="K18" t="s">
        <v>62</v>
      </c>
      <c r="L18" t="str">
        <f>IF(combinedMaturityTable[[#This Row],[Maturity Level]]="Baseline",LEFT(combinedMaturityTable[[#This Row],[DS]],FIND("(FFIEC ",combinedMaturityTable[[#This Row],[DS]])-1),"")</f>
        <v/>
      </c>
      <c r="M18" s="293" t="str">
        <f>CLEAN(TRIM(SUBSTITUTE(LEFT(combinedMaturityTable[[#This Row],[DSm]],MIN(250,LEN(combinedMaturityTable[[#This Row],[DSm]]))),CHAR(160)," ")))</f>
        <v/>
      </c>
    </row>
    <row r="19" spans="2:13" hidden="1" x14ac:dyDescent="0.25">
      <c r="B19" s="252" t="str">
        <f>'Risk Management and Oversight'!$M$20</f>
        <v>Cyber Risk Management and Oversight</v>
      </c>
      <c r="C19" s="252" t="str">
        <f>'Risk Management and Oversight'!$A$20</f>
        <v>Governance</v>
      </c>
      <c r="D19" s="252" t="str">
        <f>'Risk Management and Oversight'!$B$20</f>
        <v>Oversight</v>
      </c>
      <c r="E19" s="252" t="str">
        <f>'Risk Management and Oversight'!$C$20</f>
        <v>Intermediate</v>
      </c>
      <c r="F19" s="252">
        <f>'Risk Management and Oversight'!$D$20</f>
        <v>0</v>
      </c>
      <c r="G19" s="252">
        <f>'Risk Management and Oversight'!$N$20</f>
        <v>0</v>
      </c>
      <c r="H19" s="252">
        <f>'Risk Management and Oversight'!$O$20</f>
        <v>0</v>
      </c>
      <c r="I19" s="252">
        <f>'Risk Management and Oversight'!$P$20</f>
        <v>0</v>
      </c>
      <c r="J19" s="252">
        <f>'Risk Management and Oversight'!$Q$20</f>
        <v>0</v>
      </c>
      <c r="K19" t="s">
        <v>63</v>
      </c>
      <c r="L19" t="str">
        <f>IF(combinedMaturityTable[[#This Row],[Maturity Level]]="Baseline",LEFT(combinedMaturityTable[[#This Row],[DS]],FIND("(FFIEC ",combinedMaturityTable[[#This Row],[DS]])-1),"")</f>
        <v/>
      </c>
      <c r="M19" s="293" t="str">
        <f>CLEAN(TRIM(SUBSTITUTE(LEFT(combinedMaturityTable[[#This Row],[DSm]],MIN(250,LEN(combinedMaturityTable[[#This Row],[DSm]]))),CHAR(160)," ")))</f>
        <v/>
      </c>
    </row>
    <row r="20" spans="2:13" hidden="1" x14ac:dyDescent="0.25">
      <c r="B20" s="252" t="str">
        <f>'Risk Management and Oversight'!$M$21</f>
        <v>Cyber Risk Management and Oversight</v>
      </c>
      <c r="C20" s="252" t="str">
        <f>'Risk Management and Oversight'!$A$21</f>
        <v>Governance</v>
      </c>
      <c r="D20" s="252" t="str">
        <f>'Risk Management and Oversight'!$B$21</f>
        <v>Oversight</v>
      </c>
      <c r="E20" s="252" t="str">
        <f>'Risk Management and Oversight'!$C$21</f>
        <v>Intermediate</v>
      </c>
      <c r="F20" s="252">
        <f>'Risk Management and Oversight'!$D$21</f>
        <v>0</v>
      </c>
      <c r="G20" s="252">
        <f>'Risk Management and Oversight'!$N$21</f>
        <v>0</v>
      </c>
      <c r="H20" s="252">
        <f>'Risk Management and Oversight'!$O$21</f>
        <v>0</v>
      </c>
      <c r="I20" s="252">
        <f>'Risk Management and Oversight'!$P$21</f>
        <v>0</v>
      </c>
      <c r="J20" s="252">
        <f>'Risk Management and Oversight'!$Q$21</f>
        <v>0</v>
      </c>
      <c r="K20" t="s">
        <v>64</v>
      </c>
      <c r="L20" t="str">
        <f>IF(combinedMaturityTable[[#This Row],[Maturity Level]]="Baseline",LEFT(combinedMaturityTable[[#This Row],[DS]],FIND("(FFIEC ",combinedMaturityTable[[#This Row],[DS]])-1),"")</f>
        <v/>
      </c>
      <c r="M20" s="293" t="str">
        <f>CLEAN(TRIM(SUBSTITUTE(LEFT(combinedMaturityTable[[#This Row],[DSm]],MIN(250,LEN(combinedMaturityTable[[#This Row],[DSm]]))),CHAR(160)," ")))</f>
        <v/>
      </c>
    </row>
    <row r="21" spans="2:13" hidden="1" x14ac:dyDescent="0.25">
      <c r="B21" s="252" t="str">
        <f>'Risk Management and Oversight'!$M$22</f>
        <v>Cyber Risk Management and Oversight</v>
      </c>
      <c r="C21" s="252" t="str">
        <f>'Risk Management and Oversight'!$A$22</f>
        <v>Governance</v>
      </c>
      <c r="D21" s="252" t="str">
        <f>'Risk Management and Oversight'!$B$22</f>
        <v>Oversight</v>
      </c>
      <c r="E21" s="252" t="str">
        <f>'Risk Management and Oversight'!$C$22</f>
        <v>Intermediate</v>
      </c>
      <c r="F21" s="252">
        <f>'Risk Management and Oversight'!$D$22</f>
        <v>0</v>
      </c>
      <c r="G21" s="252">
        <f>'Risk Management and Oversight'!$N$22</f>
        <v>0</v>
      </c>
      <c r="H21" s="252">
        <f>'Risk Management and Oversight'!$O$22</f>
        <v>0</v>
      </c>
      <c r="I21" s="252">
        <f>'Risk Management and Oversight'!$P$22</f>
        <v>0</v>
      </c>
      <c r="J21" s="252">
        <f>'Risk Management and Oversight'!$Q$22</f>
        <v>0</v>
      </c>
      <c r="K21" t="s">
        <v>65</v>
      </c>
      <c r="L21" t="str">
        <f>IF(combinedMaturityTable[[#This Row],[Maturity Level]]="Baseline",LEFT(combinedMaturityTable[[#This Row],[DS]],FIND("(FFIEC ",combinedMaturityTable[[#This Row],[DS]])-1),"")</f>
        <v/>
      </c>
      <c r="M21" s="293" t="str">
        <f>CLEAN(TRIM(SUBSTITUTE(LEFT(combinedMaturityTable[[#This Row],[DSm]],MIN(250,LEN(combinedMaturityTable[[#This Row],[DSm]]))),CHAR(160)," ")))</f>
        <v/>
      </c>
    </row>
    <row r="22" spans="2:13" hidden="1" x14ac:dyDescent="0.25">
      <c r="B22" s="252" t="str">
        <f>'Risk Management and Oversight'!$M$23</f>
        <v>Cyber Risk Management and Oversight</v>
      </c>
      <c r="C22" s="252" t="str">
        <f>'Risk Management and Oversight'!$A$23</f>
        <v>Governance</v>
      </c>
      <c r="D22" s="252" t="str">
        <f>'Risk Management and Oversight'!$B$23</f>
        <v>Oversight</v>
      </c>
      <c r="E22" s="252" t="str">
        <f>'Risk Management and Oversight'!$C$23</f>
        <v>Intermediate</v>
      </c>
      <c r="F22" s="252">
        <f>'Risk Management and Oversight'!$D$23</f>
        <v>0</v>
      </c>
      <c r="G22" s="252">
        <f>'Risk Management and Oversight'!$N$23</f>
        <v>0</v>
      </c>
      <c r="H22" s="252">
        <f>'Risk Management and Oversight'!$O$23</f>
        <v>0</v>
      </c>
      <c r="I22" s="252">
        <f>'Risk Management and Oversight'!$P$23</f>
        <v>0</v>
      </c>
      <c r="J22" s="252">
        <f>'Risk Management and Oversight'!$Q$23</f>
        <v>0</v>
      </c>
      <c r="K22" t="s">
        <v>66</v>
      </c>
      <c r="L22" t="str">
        <f>IF(combinedMaturityTable[[#This Row],[Maturity Level]]="Baseline",LEFT(combinedMaturityTable[[#This Row],[DS]],FIND("(FFIEC ",combinedMaturityTable[[#This Row],[DS]])-1),"")</f>
        <v/>
      </c>
      <c r="M22" s="293" t="str">
        <f>CLEAN(TRIM(SUBSTITUTE(LEFT(combinedMaturityTable[[#This Row],[DSm]],MIN(250,LEN(combinedMaturityTable[[#This Row],[DSm]]))),CHAR(160)," ")))</f>
        <v/>
      </c>
    </row>
    <row r="23" spans="2:13" hidden="1" x14ac:dyDescent="0.25">
      <c r="B23" s="252" t="str">
        <f>'Risk Management and Oversight'!$M$24</f>
        <v>Cyber Risk Management and Oversight</v>
      </c>
      <c r="C23" s="252" t="str">
        <f>'Risk Management and Oversight'!$A$24</f>
        <v>Governance</v>
      </c>
      <c r="D23" s="252" t="str">
        <f>'Risk Management and Oversight'!$B$24</f>
        <v>Oversight</v>
      </c>
      <c r="E23" s="252" t="str">
        <f>'Risk Management and Oversight'!$C$24</f>
        <v>Intermediate</v>
      </c>
      <c r="F23" s="252">
        <f>'Risk Management and Oversight'!$D$24</f>
        <v>0</v>
      </c>
      <c r="G23" s="252">
        <f>'Risk Management and Oversight'!$N$24</f>
        <v>0</v>
      </c>
      <c r="H23" s="252">
        <f>'Risk Management and Oversight'!$O$24</f>
        <v>0</v>
      </c>
      <c r="I23" s="252">
        <f>'Risk Management and Oversight'!$P$24</f>
        <v>0</v>
      </c>
      <c r="J23" s="252">
        <f>'Risk Management and Oversight'!$Q$24</f>
        <v>0</v>
      </c>
      <c r="K23" t="s">
        <v>67</v>
      </c>
      <c r="L23" t="str">
        <f>IF(combinedMaturityTable[[#This Row],[Maturity Level]]="Baseline",LEFT(combinedMaturityTable[[#This Row],[DS]],FIND("(FFIEC ",combinedMaturityTable[[#This Row],[DS]])-1),"")</f>
        <v/>
      </c>
      <c r="M23" s="293" t="str">
        <f>CLEAN(TRIM(SUBSTITUTE(LEFT(combinedMaturityTable[[#This Row],[DSm]],MIN(250,LEN(combinedMaturityTable[[#This Row],[DSm]]))),CHAR(160)," ")))</f>
        <v/>
      </c>
    </row>
    <row r="24" spans="2:13" hidden="1" x14ac:dyDescent="0.25">
      <c r="B24" s="252" t="str">
        <f>'Risk Management and Oversight'!$M$25</f>
        <v>Cyber Risk Management and Oversight</v>
      </c>
      <c r="C24" s="252" t="str">
        <f>'Risk Management and Oversight'!$A$25</f>
        <v>Governance</v>
      </c>
      <c r="D24" s="252" t="str">
        <f>'Risk Management and Oversight'!$B$25</f>
        <v>Oversight</v>
      </c>
      <c r="E24" s="252" t="str">
        <f>'Risk Management and Oversight'!$C$25</f>
        <v>Intermediate</v>
      </c>
      <c r="F24" s="252">
        <f>'Risk Management and Oversight'!$D$25</f>
        <v>0</v>
      </c>
      <c r="G24" s="252">
        <f>'Risk Management and Oversight'!$N$25</f>
        <v>0</v>
      </c>
      <c r="H24" s="252">
        <f>'Risk Management and Oversight'!$O$25</f>
        <v>0</v>
      </c>
      <c r="I24" s="252">
        <f>'Risk Management and Oversight'!$P$25</f>
        <v>0</v>
      </c>
      <c r="J24" s="252">
        <f>'Risk Management and Oversight'!$Q$25</f>
        <v>0</v>
      </c>
      <c r="K24" t="s">
        <v>68</v>
      </c>
      <c r="L24" t="str">
        <f>IF(combinedMaturityTable[[#This Row],[Maturity Level]]="Baseline",LEFT(combinedMaturityTable[[#This Row],[DS]],FIND("(FFIEC ",combinedMaturityTable[[#This Row],[DS]])-1),"")</f>
        <v/>
      </c>
      <c r="M24" s="293" t="str">
        <f>CLEAN(TRIM(SUBSTITUTE(LEFT(combinedMaturityTable[[#This Row],[DSm]],MIN(250,LEN(combinedMaturityTable[[#This Row],[DSm]]))),CHAR(160)," ")))</f>
        <v/>
      </c>
    </row>
    <row r="25" spans="2:13" hidden="1" x14ac:dyDescent="0.25">
      <c r="B25" s="252" t="str">
        <f>'Risk Management and Oversight'!$M$26</f>
        <v>Cyber Risk Management and Oversight</v>
      </c>
      <c r="C25" s="252" t="str">
        <f>'Risk Management and Oversight'!$A$26</f>
        <v>Governance</v>
      </c>
      <c r="D25" s="252" t="str">
        <f>'Risk Management and Oversight'!$B$26</f>
        <v>Oversight</v>
      </c>
      <c r="E25" s="252" t="str">
        <f>'Risk Management and Oversight'!$C$26</f>
        <v>Advanced</v>
      </c>
      <c r="F25" s="252">
        <f>'Risk Management and Oversight'!$D$26</f>
        <v>0</v>
      </c>
      <c r="G25" s="252">
        <f>'Risk Management and Oversight'!$N$26</f>
        <v>0</v>
      </c>
      <c r="H25" s="252">
        <f>'Risk Management and Oversight'!$O$26</f>
        <v>0</v>
      </c>
      <c r="I25" s="252">
        <f>'Risk Management and Oversight'!$P$26</f>
        <v>0</v>
      </c>
      <c r="J25" s="252">
        <f>'Risk Management and Oversight'!$Q$26</f>
        <v>0</v>
      </c>
      <c r="K25" t="s">
        <v>69</v>
      </c>
      <c r="L25" t="str">
        <f>IF(combinedMaturityTable[[#This Row],[Maturity Level]]="Baseline",LEFT(combinedMaturityTable[[#This Row],[DS]],FIND("(FFIEC ",combinedMaturityTable[[#This Row],[DS]])-1),"")</f>
        <v/>
      </c>
      <c r="M25" s="293" t="str">
        <f>CLEAN(TRIM(SUBSTITUTE(LEFT(combinedMaturityTable[[#This Row],[DSm]],MIN(250,LEN(combinedMaturityTable[[#This Row],[DSm]]))),CHAR(160)," ")))</f>
        <v/>
      </c>
    </row>
    <row r="26" spans="2:13" hidden="1" x14ac:dyDescent="0.25">
      <c r="B26" s="252" t="str">
        <f>'Risk Management and Oversight'!$M$27</f>
        <v>Cyber Risk Management and Oversight</v>
      </c>
      <c r="C26" s="252" t="str">
        <f>'Risk Management and Oversight'!$A$27</f>
        <v>Governance</v>
      </c>
      <c r="D26" s="252" t="str">
        <f>'Risk Management and Oversight'!$B$27</f>
        <v>Oversight</v>
      </c>
      <c r="E26" s="252" t="str">
        <f>'Risk Management and Oversight'!$C$27</f>
        <v>Advanced</v>
      </c>
      <c r="F26" s="252">
        <f>'Risk Management and Oversight'!$D$27</f>
        <v>0</v>
      </c>
      <c r="G26" s="252">
        <f>'Risk Management and Oversight'!$N$27</f>
        <v>0</v>
      </c>
      <c r="H26" s="252">
        <f>'Risk Management and Oversight'!$O$27</f>
        <v>0</v>
      </c>
      <c r="I26" s="252">
        <f>'Risk Management and Oversight'!$P$27</f>
        <v>0</v>
      </c>
      <c r="J26" s="252">
        <f>'Risk Management and Oversight'!$Q$27</f>
        <v>0</v>
      </c>
      <c r="K26" t="s">
        <v>70</v>
      </c>
      <c r="L26" t="str">
        <f>IF(combinedMaturityTable[[#This Row],[Maturity Level]]="Baseline",LEFT(combinedMaturityTable[[#This Row],[DS]],FIND("(FFIEC ",combinedMaturityTable[[#This Row],[DS]])-1),"")</f>
        <v/>
      </c>
      <c r="M26" s="293" t="str">
        <f>CLEAN(TRIM(SUBSTITUTE(LEFT(combinedMaturityTable[[#This Row],[DSm]],MIN(250,LEN(combinedMaturityTable[[#This Row],[DSm]]))),CHAR(160)," ")))</f>
        <v/>
      </c>
    </row>
    <row r="27" spans="2:13" hidden="1" x14ac:dyDescent="0.25">
      <c r="B27" s="252" t="str">
        <f>'Risk Management and Oversight'!$M$28</f>
        <v>Cyber Risk Management and Oversight</v>
      </c>
      <c r="C27" s="252" t="str">
        <f>'Risk Management and Oversight'!$A$28</f>
        <v>Governance</v>
      </c>
      <c r="D27" s="252" t="str">
        <f>'Risk Management and Oversight'!$B$28</f>
        <v>Oversight</v>
      </c>
      <c r="E27" s="252" t="str">
        <f>'Risk Management and Oversight'!$C$28</f>
        <v>Advanced</v>
      </c>
      <c r="F27" s="252">
        <f>'Risk Management and Oversight'!$D$28</f>
        <v>0</v>
      </c>
      <c r="G27" s="252">
        <f>'Risk Management and Oversight'!$N$28</f>
        <v>0</v>
      </c>
      <c r="H27" s="252">
        <f>'Risk Management and Oversight'!$O$28</f>
        <v>0</v>
      </c>
      <c r="I27" s="252">
        <f>'Risk Management and Oversight'!$P$28</f>
        <v>0</v>
      </c>
      <c r="J27" s="252">
        <f>'Risk Management and Oversight'!$Q$28</f>
        <v>0</v>
      </c>
      <c r="K27" t="s">
        <v>71</v>
      </c>
      <c r="L27" t="str">
        <f>IF(combinedMaturityTable[[#This Row],[Maturity Level]]="Baseline",LEFT(combinedMaturityTable[[#This Row],[DS]],FIND("(FFIEC ",combinedMaturityTable[[#This Row],[DS]])-1),"")</f>
        <v/>
      </c>
      <c r="M27" s="293" t="str">
        <f>CLEAN(TRIM(SUBSTITUTE(LEFT(combinedMaturityTable[[#This Row],[DSm]],MIN(250,LEN(combinedMaturityTable[[#This Row],[DSm]]))),CHAR(160)," ")))</f>
        <v/>
      </c>
    </row>
    <row r="28" spans="2:13" hidden="1" x14ac:dyDescent="0.25">
      <c r="B28" s="252" t="str">
        <f>'Risk Management and Oversight'!$M$29</f>
        <v>Cyber Risk Management and Oversight</v>
      </c>
      <c r="C28" s="252" t="str">
        <f>'Risk Management and Oversight'!$A$29</f>
        <v>Governance</v>
      </c>
      <c r="D28" s="252" t="str">
        <f>'Risk Management and Oversight'!$B$29</f>
        <v>Oversight</v>
      </c>
      <c r="E28" s="252" t="str">
        <f>'Risk Management and Oversight'!$C$29</f>
        <v>Advanced</v>
      </c>
      <c r="F28" s="252">
        <f>'Risk Management and Oversight'!$D$29</f>
        <v>0</v>
      </c>
      <c r="G28" s="252">
        <f>'Risk Management and Oversight'!$N$29</f>
        <v>0</v>
      </c>
      <c r="H28" s="252">
        <f>'Risk Management and Oversight'!$O$29</f>
        <v>0</v>
      </c>
      <c r="I28" s="252">
        <f>'Risk Management and Oversight'!$P$29</f>
        <v>0</v>
      </c>
      <c r="J28" s="252">
        <f>'Risk Management and Oversight'!$Q$29</f>
        <v>0</v>
      </c>
      <c r="K28" t="s">
        <v>72</v>
      </c>
      <c r="L28" t="str">
        <f>IF(combinedMaturityTable[[#This Row],[Maturity Level]]="Baseline",LEFT(combinedMaturityTable[[#This Row],[DS]],FIND("(FFIEC ",combinedMaturityTable[[#This Row],[DS]])-1),"")</f>
        <v/>
      </c>
      <c r="M28" s="293" t="str">
        <f>CLEAN(TRIM(SUBSTITUTE(LEFT(combinedMaturityTable[[#This Row],[DSm]],MIN(250,LEN(combinedMaturityTable[[#This Row],[DSm]]))),CHAR(160)," ")))</f>
        <v/>
      </c>
    </row>
    <row r="29" spans="2:13" hidden="1" x14ac:dyDescent="0.25">
      <c r="B29" s="252" t="str">
        <f>'Risk Management and Oversight'!$M$30</f>
        <v>Cyber Risk Management and Oversight</v>
      </c>
      <c r="C29" s="252" t="str">
        <f>'Risk Management and Oversight'!$A$30</f>
        <v>Governance</v>
      </c>
      <c r="D29" s="252" t="str">
        <f>'Risk Management and Oversight'!$B$30</f>
        <v>Oversight</v>
      </c>
      <c r="E29" s="252" t="str">
        <f>'Risk Management and Oversight'!$C$30</f>
        <v>Advanced</v>
      </c>
      <c r="F29" s="252">
        <f>'Risk Management and Oversight'!$D$30</f>
        <v>0</v>
      </c>
      <c r="G29" s="252">
        <f>'Risk Management and Oversight'!$N$30</f>
        <v>0</v>
      </c>
      <c r="H29" s="252">
        <f>'Risk Management and Oversight'!$O$30</f>
        <v>0</v>
      </c>
      <c r="I29" s="252">
        <f>'Risk Management and Oversight'!$P$30</f>
        <v>0</v>
      </c>
      <c r="J29" s="252">
        <f>'Risk Management and Oversight'!$Q$30</f>
        <v>0</v>
      </c>
      <c r="K29" t="s">
        <v>73</v>
      </c>
      <c r="L29" t="str">
        <f>IF(combinedMaturityTable[[#This Row],[Maturity Level]]="Baseline",LEFT(combinedMaturityTable[[#This Row],[DS]],FIND("(FFIEC ",combinedMaturityTable[[#This Row],[DS]])-1),"")</f>
        <v/>
      </c>
      <c r="M29" s="293" t="str">
        <f>CLEAN(TRIM(SUBSTITUTE(LEFT(combinedMaturityTable[[#This Row],[DSm]],MIN(250,LEN(combinedMaturityTable[[#This Row],[DSm]]))),CHAR(160)," ")))</f>
        <v/>
      </c>
    </row>
    <row r="30" spans="2:13" hidden="1" x14ac:dyDescent="0.25">
      <c r="B30" s="252" t="str">
        <f>'Risk Management and Oversight'!$M$31</f>
        <v>Cyber Risk Management and Oversight</v>
      </c>
      <c r="C30" s="252" t="str">
        <f>'Risk Management and Oversight'!$A$31</f>
        <v>Governance</v>
      </c>
      <c r="D30" s="252" t="str">
        <f>'Risk Management and Oversight'!$B$31</f>
        <v>Oversight</v>
      </c>
      <c r="E30" s="252" t="str">
        <f>'Risk Management and Oversight'!$C$31</f>
        <v>Advanced</v>
      </c>
      <c r="F30" s="252">
        <f>'Risk Management and Oversight'!$D$31</f>
        <v>0</v>
      </c>
      <c r="G30" s="252">
        <f>'Risk Management and Oversight'!$N$31</f>
        <v>0</v>
      </c>
      <c r="H30" s="252">
        <f>'Risk Management and Oversight'!$O$31</f>
        <v>0</v>
      </c>
      <c r="I30" s="252">
        <f>'Risk Management and Oversight'!$P$31</f>
        <v>0</v>
      </c>
      <c r="J30" s="252">
        <f>'Risk Management and Oversight'!$Q$31</f>
        <v>0</v>
      </c>
      <c r="K30" t="s">
        <v>74</v>
      </c>
      <c r="L30" t="str">
        <f>IF(combinedMaturityTable[[#This Row],[Maturity Level]]="Baseline",LEFT(combinedMaturityTable[[#This Row],[DS]],FIND("(FFIEC ",combinedMaturityTable[[#This Row],[DS]])-1),"")</f>
        <v/>
      </c>
      <c r="M30" s="293" t="str">
        <f>CLEAN(TRIM(SUBSTITUTE(LEFT(combinedMaturityTable[[#This Row],[DSm]],MIN(250,LEN(combinedMaturityTable[[#This Row],[DSm]]))),CHAR(160)," ")))</f>
        <v/>
      </c>
    </row>
    <row r="31" spans="2:13" hidden="1" x14ac:dyDescent="0.25">
      <c r="B31" s="252" t="str">
        <f>'Risk Management and Oversight'!$M$32</f>
        <v>Cyber Risk Management and Oversight</v>
      </c>
      <c r="C31" s="252" t="str">
        <f>'Risk Management and Oversight'!$A$32</f>
        <v>Governance</v>
      </c>
      <c r="D31" s="252" t="str">
        <f>'Risk Management and Oversight'!$B$32</f>
        <v>Oversight</v>
      </c>
      <c r="E31" s="252" t="str">
        <f>'Risk Management and Oversight'!$C$32</f>
        <v>Innovative</v>
      </c>
      <c r="F31" s="252">
        <f>'Risk Management and Oversight'!$D$32</f>
        <v>0</v>
      </c>
      <c r="G31" s="252">
        <f>'Risk Management and Oversight'!$N$32</f>
        <v>0</v>
      </c>
      <c r="H31" s="252">
        <f>'Risk Management and Oversight'!$O$32</f>
        <v>0</v>
      </c>
      <c r="I31" s="252">
        <f>'Risk Management and Oversight'!$P$32</f>
        <v>0</v>
      </c>
      <c r="J31" s="252">
        <f>'Risk Management and Oversight'!$Q$32</f>
        <v>0</v>
      </c>
      <c r="K31" t="s">
        <v>75</v>
      </c>
      <c r="L31" t="str">
        <f>IF(combinedMaturityTable[[#This Row],[Maturity Level]]="Baseline",LEFT(combinedMaturityTable[[#This Row],[DS]],FIND("(FFIEC ",combinedMaturityTable[[#This Row],[DS]])-1),"")</f>
        <v/>
      </c>
      <c r="M31" s="293" t="str">
        <f>CLEAN(TRIM(SUBSTITUTE(LEFT(combinedMaturityTable[[#This Row],[DSm]],MIN(250,LEN(combinedMaturityTable[[#This Row],[DSm]]))),CHAR(160)," ")))</f>
        <v/>
      </c>
    </row>
    <row r="32" spans="2:13" hidden="1" x14ac:dyDescent="0.25">
      <c r="B32" s="252" t="str">
        <f>'Risk Management and Oversight'!$M$33</f>
        <v>Cyber Risk Management and Oversight</v>
      </c>
      <c r="C32" s="252" t="str">
        <f>'Risk Management and Oversight'!$A$33</f>
        <v>Governance</v>
      </c>
      <c r="D32" s="252" t="str">
        <f>'Risk Management and Oversight'!$B$33</f>
        <v>Oversight</v>
      </c>
      <c r="E32" s="252" t="str">
        <f>'Risk Management and Oversight'!$C$33</f>
        <v>Innovative</v>
      </c>
      <c r="F32" s="252">
        <f>'Risk Management and Oversight'!$D$33</f>
        <v>0</v>
      </c>
      <c r="G32" s="252">
        <f>'Risk Management and Oversight'!$N$33</f>
        <v>0</v>
      </c>
      <c r="H32" s="252">
        <f>'Risk Management and Oversight'!$O$33</f>
        <v>0</v>
      </c>
      <c r="I32" s="252">
        <f>'Risk Management and Oversight'!$P$33</f>
        <v>0</v>
      </c>
      <c r="J32" s="252">
        <f>'Risk Management and Oversight'!$Q$33</f>
        <v>0</v>
      </c>
      <c r="K32" t="s">
        <v>76</v>
      </c>
      <c r="L32" t="str">
        <f>IF(combinedMaturityTable[[#This Row],[Maturity Level]]="Baseline",LEFT(combinedMaturityTable[[#This Row],[DS]],FIND("(FFIEC ",combinedMaturityTable[[#This Row],[DS]])-1),"")</f>
        <v/>
      </c>
      <c r="M32" s="293" t="str">
        <f>CLEAN(TRIM(SUBSTITUTE(LEFT(combinedMaturityTable[[#This Row],[DSm]],MIN(250,LEN(combinedMaturityTable[[#This Row],[DSm]]))),CHAR(160)," ")))</f>
        <v/>
      </c>
    </row>
    <row r="33" spans="2:13" x14ac:dyDescent="0.25">
      <c r="B33" s="252" t="str">
        <f>'Risk Management and Oversight'!$M$34</f>
        <v>Cyber Risk Management and Oversight</v>
      </c>
      <c r="C33" s="252" t="str">
        <f>'Risk Management and Oversight'!$A$34</f>
        <v>Governance</v>
      </c>
      <c r="D33" s="252" t="str">
        <f>'Risk Management and Oversight'!$B$34</f>
        <v>Strategy/Policies</v>
      </c>
      <c r="E33" s="252" t="str">
        <f>'Risk Management and Oversight'!$C$34</f>
        <v>Baseline</v>
      </c>
      <c r="F33" s="252">
        <f>'Risk Management and Oversight'!$D$34</f>
        <v>0</v>
      </c>
      <c r="G33" s="252">
        <f>'Risk Management and Oversight'!$N$34</f>
        <v>0</v>
      </c>
      <c r="H33" s="252">
        <f>'Risk Management and Oversight'!$O$34</f>
        <v>0</v>
      </c>
      <c r="I33" s="252">
        <f>'Risk Management and Oversight'!$P$34</f>
        <v>0</v>
      </c>
      <c r="J33" s="252">
        <f>'Risk Management and Oversight'!$Q$34</f>
        <v>0</v>
      </c>
      <c r="K33" t="s">
        <v>77</v>
      </c>
      <c r="L33" t="str">
        <f>IF(combinedMaturityTable[[#This Row],[Maturity Level]]="Baseline",LEFT(combinedMaturityTable[[#This Row],[DS]],FIND("(FFIEC ",combinedMaturityTable[[#This Row],[DS]])-1),"")</f>
        <v xml:space="preserve">The institution has an information security strategy that integrates technology, policies, procedures, and training to mitigate risk. </v>
      </c>
      <c r="M33" s="293" t="str">
        <f>CLEAN(TRIM(SUBSTITUTE(LEFT(combinedMaturityTable[[#This Row],[DSm]],MIN(250,LEN(combinedMaturityTable[[#This Row],[DSm]]))),CHAR(160)," ")))</f>
        <v>The institution has an information security strategy that integrates technology, policies, procedures, and training to mitigate risk.</v>
      </c>
    </row>
    <row r="34" spans="2:13" x14ac:dyDescent="0.25">
      <c r="B34" s="252" t="str">
        <f>'Risk Management and Oversight'!$M$35</f>
        <v>Cyber Risk Management and Oversight</v>
      </c>
      <c r="C34" s="252" t="str">
        <f>'Risk Management and Oversight'!$A$35</f>
        <v>Governance</v>
      </c>
      <c r="D34" s="252" t="str">
        <f>'Risk Management and Oversight'!$B$35</f>
        <v>Strategy/Policies</v>
      </c>
      <c r="E34" s="252" t="str">
        <f>'Risk Management and Oversight'!$C$35</f>
        <v>Baseline</v>
      </c>
      <c r="F34" s="252">
        <f>'Risk Management and Oversight'!$D$35</f>
        <v>0</v>
      </c>
      <c r="G34" s="252">
        <f>'Risk Management and Oversight'!$N$35</f>
        <v>0</v>
      </c>
      <c r="H34" s="252">
        <f>'Risk Management and Oversight'!$O$35</f>
        <v>0</v>
      </c>
      <c r="I34" s="252">
        <f>'Risk Management and Oversight'!$P$35</f>
        <v>0</v>
      </c>
      <c r="J34" s="252">
        <f>'Risk Management and Oversight'!$Q$35</f>
        <v>0</v>
      </c>
      <c r="K34" t="s">
        <v>909</v>
      </c>
      <c r="L34" t="str">
        <f>IF(combinedMaturityTable[[#This Row],[Maturity Level]]="Baseline",LEFT(combinedMaturityTable[[#This Row],[DS]],FIND("(FFIEC ",combinedMaturityTable[[#This Row],[DS]])-1),"")</f>
        <v xml:space="preserve">The institution has policies commensurate with its risk and complexity that address the concepts of information technology risk management. </v>
      </c>
      <c r="M34" s="293" t="str">
        <f>CLEAN(TRIM(SUBSTITUTE(LEFT(combinedMaturityTable[[#This Row],[DSm]],MIN(250,LEN(combinedMaturityTable[[#This Row],[DSm]]))),CHAR(160)," ")))</f>
        <v>The institution has policies commensurate with its risk and complexity that address the concepts of information technology risk management.</v>
      </c>
    </row>
    <row r="35" spans="2:13" x14ac:dyDescent="0.25">
      <c r="B35" s="252" t="str">
        <f>'Risk Management and Oversight'!$M$36</f>
        <v>Cyber Risk Management and Oversight</v>
      </c>
      <c r="C35" s="252" t="str">
        <f>'Risk Management and Oversight'!$A$36</f>
        <v>Governance</v>
      </c>
      <c r="D35" s="252" t="str">
        <f>'Risk Management and Oversight'!$B$36</f>
        <v>Strategy/Policies</v>
      </c>
      <c r="E35" s="252" t="str">
        <f>'Risk Management and Oversight'!$C$36</f>
        <v>Baseline</v>
      </c>
      <c r="F35" s="252">
        <f>'Risk Management and Oversight'!$D$36</f>
        <v>0</v>
      </c>
      <c r="G35" s="252">
        <f>'Risk Management and Oversight'!$N$36</f>
        <v>0</v>
      </c>
      <c r="H35" s="252">
        <f>'Risk Management and Oversight'!$O$36</f>
        <v>0</v>
      </c>
      <c r="I35" s="252">
        <f>'Risk Management and Oversight'!$P$36</f>
        <v>0</v>
      </c>
      <c r="J35" s="252">
        <f>'Risk Management and Oversight'!$Q$36</f>
        <v>0</v>
      </c>
      <c r="K35" t="s">
        <v>78</v>
      </c>
      <c r="L35" t="str">
        <f>IF(combinedMaturityTable[[#This Row],[Maturity Level]]="Baseline",LEFT(combinedMaturityTable[[#This Row],[DS]],FIND("(FFIEC ",combinedMaturityTable[[#This Row],[DS]])-1),"")</f>
        <v xml:space="preserve">The institution has policies commensurate with its risk and complexity that address the concepts of threat information sharing. </v>
      </c>
      <c r="M35" s="293" t="str">
        <f>CLEAN(TRIM(SUBSTITUTE(LEFT(combinedMaturityTable[[#This Row],[DSm]],MIN(250,LEN(combinedMaturityTable[[#This Row],[DSm]]))),CHAR(160)," ")))</f>
        <v>The institution has policies commensurate with its risk and complexity that address the concepts of threat information sharing.</v>
      </c>
    </row>
    <row r="36" spans="2:13" x14ac:dyDescent="0.25">
      <c r="B36" s="252" t="str">
        <f>'Risk Management and Oversight'!$M$37</f>
        <v>Cyber Risk Management and Oversight</v>
      </c>
      <c r="C36" s="252" t="str">
        <f>'Risk Management and Oversight'!$A$37</f>
        <v>Governance</v>
      </c>
      <c r="D36" s="252" t="str">
        <f>'Risk Management and Oversight'!$B$37</f>
        <v>Strategy/Policies</v>
      </c>
      <c r="E36" s="252" t="str">
        <f>'Risk Management and Oversight'!$C$37</f>
        <v>Baseline</v>
      </c>
      <c r="F36" s="252">
        <f>'Risk Management and Oversight'!$D$37</f>
        <v>0</v>
      </c>
      <c r="G36" s="252">
        <f>'Risk Management and Oversight'!$N$37</f>
        <v>0</v>
      </c>
      <c r="H36" s="252">
        <f>'Risk Management and Oversight'!$O$37</f>
        <v>0</v>
      </c>
      <c r="I36" s="252">
        <f>'Risk Management and Oversight'!$P$37</f>
        <v>0</v>
      </c>
      <c r="J36" s="252">
        <f>'Risk Management and Oversight'!$Q$37</f>
        <v>0</v>
      </c>
      <c r="K36" t="s">
        <v>79</v>
      </c>
      <c r="L36" t="str">
        <f>IF(combinedMaturityTable[[#This Row],[Maturity Level]]="Baseline",LEFT(combinedMaturityTable[[#This Row],[DS]],FIND("(FFIEC ",combinedMaturityTable[[#This Row],[DS]])-1),"")</f>
        <v xml:space="preserve">The institution has board-approved policies commensurate with its risk and complexity that address information security. </v>
      </c>
      <c r="M36" s="293" t="str">
        <f>CLEAN(TRIM(SUBSTITUTE(LEFT(combinedMaturityTable[[#This Row],[DSm]],MIN(250,LEN(combinedMaturityTable[[#This Row],[DSm]]))),CHAR(160)," ")))</f>
        <v>The institution has board-approved policies commensurate with its risk and complexity that address information security.</v>
      </c>
    </row>
    <row r="37" spans="2:13" x14ac:dyDescent="0.25">
      <c r="B37" s="252" t="str">
        <f>'Risk Management and Oversight'!$M$38</f>
        <v>Cyber Risk Management and Oversight</v>
      </c>
      <c r="C37" s="252" t="str">
        <f>'Risk Management and Oversight'!$A$38</f>
        <v>Governance</v>
      </c>
      <c r="D37" s="252" t="str">
        <f>'Risk Management and Oversight'!$B$38</f>
        <v>Strategy/Policies</v>
      </c>
      <c r="E37" s="252" t="str">
        <f>'Risk Management and Oversight'!$C$38</f>
        <v>Baseline</v>
      </c>
      <c r="F37" s="252">
        <f>'Risk Management and Oversight'!$D$38</f>
        <v>0</v>
      </c>
      <c r="G37" s="252">
        <f>'Risk Management and Oversight'!$N$38</f>
        <v>0</v>
      </c>
      <c r="H37" s="252">
        <f>'Risk Management and Oversight'!$O$38</f>
        <v>0</v>
      </c>
      <c r="I37" s="252">
        <f>'Risk Management and Oversight'!$P$38</f>
        <v>0</v>
      </c>
      <c r="J37" s="252">
        <f>'Risk Management and Oversight'!$Q$38</f>
        <v>0</v>
      </c>
      <c r="K37" t="s">
        <v>80</v>
      </c>
      <c r="L37" t="str">
        <f>IF(combinedMaturityTable[[#This Row],[Maturity Level]]="Baseline",LEFT(combinedMaturityTable[[#This Row],[DS]],FIND("(FFIEC ",combinedMaturityTable[[#This Row],[DS]])-1),"")</f>
        <v xml:space="preserve">The institution has policies commensurate with its risk and complexity that address the concepts of external dependency or third-party management. </v>
      </c>
      <c r="M37" s="293" t="str">
        <f>CLEAN(TRIM(SUBSTITUTE(LEFT(combinedMaturityTable[[#This Row],[DSm]],MIN(250,LEN(combinedMaturityTable[[#This Row],[DSm]]))),CHAR(160)," ")))</f>
        <v>The institution has policies commensurate with its risk and complexity that address the concepts of external dependency or third-party management.</v>
      </c>
    </row>
    <row r="38" spans="2:13" x14ac:dyDescent="0.25">
      <c r="B38" s="252" t="str">
        <f>'Risk Management and Oversight'!$M$39</f>
        <v>Cyber Risk Management and Oversight</v>
      </c>
      <c r="C38" s="252" t="str">
        <f>'Risk Management and Oversight'!$A$39</f>
        <v>Governance</v>
      </c>
      <c r="D38" s="252" t="str">
        <f>'Risk Management and Oversight'!$B$39</f>
        <v>Strategy/Policies</v>
      </c>
      <c r="E38" s="252" t="str">
        <f>'Risk Management and Oversight'!$C$39</f>
        <v>Baseline</v>
      </c>
      <c r="F38" s="252">
        <f>'Risk Management and Oversight'!$D$39</f>
        <v>0</v>
      </c>
      <c r="G38" s="252">
        <f>'Risk Management and Oversight'!$N$39</f>
        <v>0</v>
      </c>
      <c r="H38" s="252">
        <f>'Risk Management and Oversight'!$O$39</f>
        <v>0</v>
      </c>
      <c r="I38" s="252">
        <f>'Risk Management and Oversight'!$P$39</f>
        <v>0</v>
      </c>
      <c r="J38" s="252">
        <f>'Risk Management and Oversight'!$Q$39</f>
        <v>0</v>
      </c>
      <c r="K38" t="s">
        <v>81</v>
      </c>
      <c r="L38" t="str">
        <f>IF(combinedMaturityTable[[#This Row],[Maturity Level]]="Baseline",LEFT(combinedMaturityTable[[#This Row],[DS]],FIND("(FFIEC ",combinedMaturityTable[[#This Row],[DS]])-1),"")</f>
        <v xml:space="preserve">The institution has policies commensurate with its risk and complexity that address the concepts of incident response and resilience. </v>
      </c>
      <c r="M38" s="293" t="str">
        <f>CLEAN(TRIM(SUBSTITUTE(LEFT(combinedMaturityTable[[#This Row],[DSm]],MIN(250,LEN(combinedMaturityTable[[#This Row],[DSm]]))),CHAR(160)," ")))</f>
        <v>The institution has policies commensurate with its risk and complexity that address the concepts of incident response and resilience.</v>
      </c>
    </row>
    <row r="39" spans="2:13" x14ac:dyDescent="0.25">
      <c r="B39" s="252" t="str">
        <f>'Risk Management and Oversight'!$M$40</f>
        <v>Cyber Risk Management and Oversight</v>
      </c>
      <c r="C39" s="252" t="str">
        <f>'Risk Management and Oversight'!$A$40</f>
        <v>Governance</v>
      </c>
      <c r="D39" s="252" t="str">
        <f>'Risk Management and Oversight'!$B$40</f>
        <v>Strategy/Policies</v>
      </c>
      <c r="E39" s="252" t="str">
        <f>'Risk Management and Oversight'!$C$40</f>
        <v>Baseline</v>
      </c>
      <c r="F39" s="252">
        <f>'Risk Management and Oversight'!$D$40</f>
        <v>0</v>
      </c>
      <c r="G39" s="252">
        <f>'Risk Management and Oversight'!$N$40</f>
        <v>0</v>
      </c>
      <c r="H39" s="252">
        <f>'Risk Management and Oversight'!$O$40</f>
        <v>0</v>
      </c>
      <c r="I39" s="252">
        <f>'Risk Management and Oversight'!$P$40</f>
        <v>0</v>
      </c>
      <c r="J39" s="252">
        <f>'Risk Management and Oversight'!$Q$40</f>
        <v>0</v>
      </c>
      <c r="K39" t="s">
        <v>82</v>
      </c>
      <c r="L39" t="str">
        <f>IF(combinedMaturityTable[[#This Row],[Maturity Level]]="Baseline",LEFT(combinedMaturityTable[[#This Row],[DS]],FIND("(FFIEC ",combinedMaturityTable[[#This Row],[DS]])-1),"")</f>
        <v xml:space="preserve">All elements of the information security program are coordinated enterprise-wide. </v>
      </c>
      <c r="M39" s="293" t="str">
        <f>CLEAN(TRIM(SUBSTITUTE(LEFT(combinedMaturityTable[[#This Row],[DSm]],MIN(250,LEN(combinedMaturityTable[[#This Row],[DSm]]))),CHAR(160)," ")))</f>
        <v>All elements of the information security program are coordinated enterprise-wide.</v>
      </c>
    </row>
    <row r="40" spans="2:13" hidden="1" x14ac:dyDescent="0.25">
      <c r="B40" s="252" t="str">
        <f>'Risk Management and Oversight'!$M$41</f>
        <v>Cyber Risk Management and Oversight</v>
      </c>
      <c r="C40" s="252" t="str">
        <f>'Risk Management and Oversight'!$A$41</f>
        <v>Governance</v>
      </c>
      <c r="D40" s="252" t="str">
        <f>'Risk Management and Oversight'!$B$41</f>
        <v>Strategy/Policies</v>
      </c>
      <c r="E40" s="252" t="str">
        <f>'Risk Management and Oversight'!$C$41</f>
        <v>Evolving</v>
      </c>
      <c r="F40" s="252">
        <f>'Risk Management and Oversight'!$D$41</f>
        <v>0</v>
      </c>
      <c r="G40" s="252">
        <f>'Risk Management and Oversight'!$N$41</f>
        <v>0</v>
      </c>
      <c r="H40" s="252">
        <f>'Risk Management and Oversight'!$O$41</f>
        <v>0</v>
      </c>
      <c r="I40" s="252">
        <f>'Risk Management and Oversight'!$P$41</f>
        <v>0</v>
      </c>
      <c r="J40" s="252">
        <f>'Risk Management and Oversight'!$Q$41</f>
        <v>0</v>
      </c>
      <c r="K40" t="s">
        <v>83</v>
      </c>
      <c r="L40" t="str">
        <f>IF(combinedMaturityTable[[#This Row],[Maturity Level]]="Baseline",LEFT(combinedMaturityTable[[#This Row],[DS]],FIND("(FFIEC ",combinedMaturityTable[[#This Row],[DS]])-1),"")</f>
        <v/>
      </c>
      <c r="M40" s="293" t="str">
        <f>CLEAN(TRIM(SUBSTITUTE(LEFT(combinedMaturityTable[[#This Row],[DSm]],MIN(250,LEN(combinedMaturityTable[[#This Row],[DSm]]))),CHAR(160)," ")))</f>
        <v/>
      </c>
    </row>
    <row r="41" spans="2:13" hidden="1" x14ac:dyDescent="0.25">
      <c r="B41" s="252" t="str">
        <f>'Risk Management and Oversight'!$M$42</f>
        <v>Cyber Risk Management and Oversight</v>
      </c>
      <c r="C41" s="252" t="str">
        <f>'Risk Management and Oversight'!$A$42</f>
        <v>Governance</v>
      </c>
      <c r="D41" s="252" t="str">
        <f>'Risk Management and Oversight'!$B$42</f>
        <v>Strategy/Policies</v>
      </c>
      <c r="E41" s="252" t="str">
        <f>'Risk Management and Oversight'!$C$42</f>
        <v>Evolving</v>
      </c>
      <c r="F41" s="252">
        <f>'Risk Management and Oversight'!$D$42</f>
        <v>0</v>
      </c>
      <c r="G41" s="252">
        <f>'Risk Management and Oversight'!$N$42</f>
        <v>0</v>
      </c>
      <c r="H41" s="252">
        <f>'Risk Management and Oversight'!$O$42</f>
        <v>0</v>
      </c>
      <c r="I41" s="252">
        <f>'Risk Management and Oversight'!$P$42</f>
        <v>0</v>
      </c>
      <c r="J41" s="252">
        <f>'Risk Management and Oversight'!$Q$42</f>
        <v>0</v>
      </c>
      <c r="K41" t="s">
        <v>84</v>
      </c>
      <c r="L41" t="str">
        <f>IF(combinedMaturityTable[[#This Row],[Maturity Level]]="Baseline",LEFT(combinedMaturityTable[[#This Row],[DS]],FIND("(FFIEC ",combinedMaturityTable[[#This Row],[DS]])-1),"")</f>
        <v/>
      </c>
      <c r="M41" s="293" t="str">
        <f>CLEAN(TRIM(SUBSTITUTE(LEFT(combinedMaturityTable[[#This Row],[DSm]],MIN(250,LEN(combinedMaturityTable[[#This Row],[DSm]]))),CHAR(160)," ")))</f>
        <v/>
      </c>
    </row>
    <row r="42" spans="2:13" hidden="1" x14ac:dyDescent="0.25">
      <c r="B42" s="252" t="str">
        <f>'Risk Management and Oversight'!$M$43</f>
        <v>Cyber Risk Management and Oversight</v>
      </c>
      <c r="C42" s="252" t="str">
        <f>'Risk Management and Oversight'!$A$43</f>
        <v>Governance</v>
      </c>
      <c r="D42" s="252" t="str">
        <f>'Risk Management and Oversight'!$B$43</f>
        <v>Strategy/Policies</v>
      </c>
      <c r="E42" s="252" t="str">
        <f>'Risk Management and Oversight'!$C$43</f>
        <v>Evolving</v>
      </c>
      <c r="F42" s="252">
        <f>'Risk Management and Oversight'!$D$43</f>
        <v>0</v>
      </c>
      <c r="G42" s="252">
        <f>'Risk Management and Oversight'!$N$43</f>
        <v>0</v>
      </c>
      <c r="H42" s="252">
        <f>'Risk Management and Oversight'!$O$43</f>
        <v>0</v>
      </c>
      <c r="I42" s="252">
        <f>'Risk Management and Oversight'!$P$43</f>
        <v>0</v>
      </c>
      <c r="J42" s="252">
        <f>'Risk Management and Oversight'!$Q$43</f>
        <v>0</v>
      </c>
      <c r="K42" t="s">
        <v>85</v>
      </c>
      <c r="L42" t="str">
        <f>IF(combinedMaturityTable[[#This Row],[Maturity Level]]="Baseline",LEFT(combinedMaturityTable[[#This Row],[DS]],FIND("(FFIEC ",combinedMaturityTable[[#This Row],[DS]])-1),"")</f>
        <v/>
      </c>
      <c r="M42" s="293" t="str">
        <f>CLEAN(TRIM(SUBSTITUTE(LEFT(combinedMaturityTable[[#This Row],[DSm]],MIN(250,LEN(combinedMaturityTable[[#This Row],[DSm]]))),CHAR(160)," ")))</f>
        <v/>
      </c>
    </row>
    <row r="43" spans="2:13" hidden="1" x14ac:dyDescent="0.25">
      <c r="B43" s="252" t="str">
        <f>'Risk Management and Oversight'!$M$44</f>
        <v>Cyber Risk Management and Oversight</v>
      </c>
      <c r="C43" s="252" t="str">
        <f>'Risk Management and Oversight'!$A$44</f>
        <v>Governance</v>
      </c>
      <c r="D43" s="252" t="str">
        <f>'Risk Management and Oversight'!$B$44</f>
        <v>Strategy/Policies</v>
      </c>
      <c r="E43" s="252" t="str">
        <f>'Risk Management and Oversight'!$C$44</f>
        <v>Intermediate</v>
      </c>
      <c r="F43" s="252">
        <f>'Risk Management and Oversight'!$D$44</f>
        <v>0</v>
      </c>
      <c r="G43" s="252">
        <f>'Risk Management and Oversight'!$N$44</f>
        <v>0</v>
      </c>
      <c r="H43" s="252">
        <f>'Risk Management and Oversight'!$O$44</f>
        <v>0</v>
      </c>
      <c r="I43" s="252">
        <f>'Risk Management and Oversight'!$P$44</f>
        <v>0</v>
      </c>
      <c r="J43" s="252">
        <f>'Risk Management and Oversight'!$Q$44</f>
        <v>0</v>
      </c>
      <c r="K43" t="s">
        <v>86</v>
      </c>
      <c r="L43" t="str">
        <f>IF(combinedMaturityTable[[#This Row],[Maturity Level]]="Baseline",LEFT(combinedMaturityTable[[#This Row],[DS]],FIND("(FFIEC ",combinedMaturityTable[[#This Row],[DS]])-1),"")</f>
        <v/>
      </c>
      <c r="M43" s="293" t="str">
        <f>CLEAN(TRIM(SUBSTITUTE(LEFT(combinedMaturityTable[[#This Row],[DSm]],MIN(250,LEN(combinedMaturityTable[[#This Row],[DSm]]))),CHAR(160)," ")))</f>
        <v/>
      </c>
    </row>
    <row r="44" spans="2:13" hidden="1" x14ac:dyDescent="0.25">
      <c r="B44" s="252" t="str">
        <f>'Risk Management and Oversight'!$M$45</f>
        <v>Cyber Risk Management and Oversight</v>
      </c>
      <c r="C44" s="252" t="str">
        <f>'Risk Management and Oversight'!$A$45</f>
        <v>Governance</v>
      </c>
      <c r="D44" s="252" t="str">
        <f>'Risk Management and Oversight'!$B$45</f>
        <v>Strategy/Policies</v>
      </c>
      <c r="E44" s="252" t="str">
        <f>'Risk Management and Oversight'!$C$45</f>
        <v>Intermediate</v>
      </c>
      <c r="F44" s="252">
        <f>'Risk Management and Oversight'!$D$45</f>
        <v>0</v>
      </c>
      <c r="G44" s="252">
        <f>'Risk Management and Oversight'!$N$45</f>
        <v>0</v>
      </c>
      <c r="H44" s="252">
        <f>'Risk Management and Oversight'!$O$45</f>
        <v>0</v>
      </c>
      <c r="I44" s="252">
        <f>'Risk Management and Oversight'!$P$45</f>
        <v>0</v>
      </c>
      <c r="J44" s="252">
        <f>'Risk Management and Oversight'!$Q$45</f>
        <v>0</v>
      </c>
      <c r="K44" t="s">
        <v>87</v>
      </c>
      <c r="L44" t="str">
        <f>IF(combinedMaturityTable[[#This Row],[Maturity Level]]="Baseline",LEFT(combinedMaturityTable[[#This Row],[DS]],FIND("(FFIEC ",combinedMaturityTable[[#This Row],[DS]])-1),"")</f>
        <v/>
      </c>
      <c r="M44" s="293" t="str">
        <f>CLEAN(TRIM(SUBSTITUTE(LEFT(combinedMaturityTable[[#This Row],[DSm]],MIN(250,LEN(combinedMaturityTable[[#This Row],[DSm]]))),CHAR(160)," ")))</f>
        <v/>
      </c>
    </row>
    <row r="45" spans="2:13" hidden="1" x14ac:dyDescent="0.25">
      <c r="B45" s="252" t="str">
        <f>'Risk Management and Oversight'!$M$46</f>
        <v>Cyber Risk Management and Oversight</v>
      </c>
      <c r="C45" s="252" t="str">
        <f>'Risk Management and Oversight'!$A$46</f>
        <v>Governance</v>
      </c>
      <c r="D45" s="252" t="str">
        <f>'Risk Management and Oversight'!$B$46</f>
        <v>Strategy/Policies</v>
      </c>
      <c r="E45" s="252" t="str">
        <f>'Risk Management and Oversight'!$C$46</f>
        <v>Intermediate</v>
      </c>
      <c r="F45" s="252">
        <f>'Risk Management and Oversight'!$D$46</f>
        <v>0</v>
      </c>
      <c r="G45" s="252">
        <f>'Risk Management and Oversight'!$N$46</f>
        <v>0</v>
      </c>
      <c r="H45" s="252">
        <f>'Risk Management and Oversight'!$O$46</f>
        <v>0</v>
      </c>
      <c r="I45" s="252">
        <f>'Risk Management and Oversight'!$P$46</f>
        <v>0</v>
      </c>
      <c r="J45" s="252">
        <f>'Risk Management and Oversight'!$Q$46</f>
        <v>0</v>
      </c>
      <c r="K45" t="s">
        <v>88</v>
      </c>
      <c r="L45" t="str">
        <f>IF(combinedMaturityTable[[#This Row],[Maturity Level]]="Baseline",LEFT(combinedMaturityTable[[#This Row],[DS]],FIND("(FFIEC ",combinedMaturityTable[[#This Row],[DS]])-1),"")</f>
        <v/>
      </c>
      <c r="M45" s="293" t="str">
        <f>CLEAN(TRIM(SUBSTITUTE(LEFT(combinedMaturityTable[[#This Row],[DSm]],MIN(250,LEN(combinedMaturityTable[[#This Row],[DSm]]))),CHAR(160)," ")))</f>
        <v/>
      </c>
    </row>
    <row r="46" spans="2:13" hidden="1" x14ac:dyDescent="0.25">
      <c r="B46" s="252" t="str">
        <f>'Risk Management and Oversight'!$M$47</f>
        <v>Cyber Risk Management and Oversight</v>
      </c>
      <c r="C46" s="252" t="str">
        <f>'Risk Management and Oversight'!$A$47</f>
        <v>Governance</v>
      </c>
      <c r="D46" s="252" t="str">
        <f>'Risk Management and Oversight'!$B$47</f>
        <v>Strategy/Policies</v>
      </c>
      <c r="E46" s="252" t="str">
        <f>'Risk Management and Oversight'!$C$47</f>
        <v>Intermediate</v>
      </c>
      <c r="F46" s="252">
        <f>'Risk Management and Oversight'!$D$47</f>
        <v>0</v>
      </c>
      <c r="G46" s="252">
        <f>'Risk Management and Oversight'!$N$47</f>
        <v>0</v>
      </c>
      <c r="H46" s="252">
        <f>'Risk Management and Oversight'!$O$47</f>
        <v>0</v>
      </c>
      <c r="I46" s="252">
        <f>'Risk Management and Oversight'!$P$47</f>
        <v>0</v>
      </c>
      <c r="J46" s="252">
        <f>'Risk Management and Oversight'!$Q$47</f>
        <v>0</v>
      </c>
      <c r="K46" t="s">
        <v>89</v>
      </c>
      <c r="L46" t="str">
        <f>IF(combinedMaturityTable[[#This Row],[Maturity Level]]="Baseline",LEFT(combinedMaturityTable[[#This Row],[DS]],FIND("(FFIEC ",combinedMaturityTable[[#This Row],[DS]])-1),"")</f>
        <v/>
      </c>
      <c r="M46" s="293" t="str">
        <f>CLEAN(TRIM(SUBSTITUTE(LEFT(combinedMaturityTable[[#This Row],[DSm]],MIN(250,LEN(combinedMaturityTable[[#This Row],[DSm]]))),CHAR(160)," ")))</f>
        <v/>
      </c>
    </row>
    <row r="47" spans="2:13" hidden="1" x14ac:dyDescent="0.25">
      <c r="B47" s="252" t="str">
        <f>'Risk Management and Oversight'!$M$48</f>
        <v>Cyber Risk Management and Oversight</v>
      </c>
      <c r="C47" s="252" t="str">
        <f>'Risk Management and Oversight'!$A$48</f>
        <v>Governance</v>
      </c>
      <c r="D47" s="252" t="str">
        <f>'Risk Management and Oversight'!$B$48</f>
        <v>Strategy/Policies</v>
      </c>
      <c r="E47" s="252" t="str">
        <f>'Risk Management and Oversight'!$C$48</f>
        <v>Intermediate</v>
      </c>
      <c r="F47" s="252">
        <f>'Risk Management and Oversight'!$D$48</f>
        <v>0</v>
      </c>
      <c r="G47" s="252">
        <f>'Risk Management and Oversight'!$N$48</f>
        <v>0</v>
      </c>
      <c r="H47" s="252">
        <f>'Risk Management and Oversight'!$O$48</f>
        <v>0</v>
      </c>
      <c r="I47" s="252">
        <f>'Risk Management and Oversight'!$P$48</f>
        <v>0</v>
      </c>
      <c r="J47" s="252">
        <f>'Risk Management and Oversight'!$Q$48</f>
        <v>0</v>
      </c>
      <c r="K47" t="s">
        <v>90</v>
      </c>
      <c r="L47" t="str">
        <f>IF(combinedMaturityTable[[#This Row],[Maturity Level]]="Baseline",LEFT(combinedMaturityTable[[#This Row],[DS]],FIND("(FFIEC ",combinedMaturityTable[[#This Row],[DS]])-1),"")</f>
        <v/>
      </c>
      <c r="M47" s="293" t="str">
        <f>CLEAN(TRIM(SUBSTITUTE(LEFT(combinedMaturityTable[[#This Row],[DSm]],MIN(250,LEN(combinedMaturityTable[[#This Row],[DSm]]))),CHAR(160)," ")))</f>
        <v/>
      </c>
    </row>
    <row r="48" spans="2:13" hidden="1" x14ac:dyDescent="0.25">
      <c r="B48" s="252" t="str">
        <f>'Risk Management and Oversight'!$M$49</f>
        <v>Cyber Risk Management and Oversight</v>
      </c>
      <c r="C48" s="252" t="str">
        <f>'Risk Management and Oversight'!$A$49</f>
        <v>Governance</v>
      </c>
      <c r="D48" s="252" t="str">
        <f>'Risk Management and Oversight'!$B$49</f>
        <v>Strategy/Policies</v>
      </c>
      <c r="E48" s="252" t="str">
        <f>'Risk Management and Oversight'!$C$49</f>
        <v>Advanced</v>
      </c>
      <c r="F48" s="252">
        <f>'Risk Management and Oversight'!$D$49</f>
        <v>0</v>
      </c>
      <c r="G48" s="252">
        <f>'Risk Management and Oversight'!$N$49</f>
        <v>0</v>
      </c>
      <c r="H48" s="252">
        <f>'Risk Management and Oversight'!$O$49</f>
        <v>0</v>
      </c>
      <c r="I48" s="252">
        <f>'Risk Management and Oversight'!$P$49</f>
        <v>0</v>
      </c>
      <c r="J48" s="252">
        <f>'Risk Management and Oversight'!$Q$49</f>
        <v>0</v>
      </c>
      <c r="K48" t="s">
        <v>91</v>
      </c>
      <c r="L48" t="str">
        <f>IF(combinedMaturityTable[[#This Row],[Maturity Level]]="Baseline",LEFT(combinedMaturityTable[[#This Row],[DS]],FIND("(FFIEC ",combinedMaturityTable[[#This Row],[DS]])-1),"")</f>
        <v/>
      </c>
      <c r="M48" s="293" t="str">
        <f>CLEAN(TRIM(SUBSTITUTE(LEFT(combinedMaturityTable[[#This Row],[DSm]],MIN(250,LEN(combinedMaturityTable[[#This Row],[DSm]]))),CHAR(160)," ")))</f>
        <v/>
      </c>
    </row>
    <row r="49" spans="2:13" hidden="1" x14ac:dyDescent="0.25">
      <c r="B49" s="252" t="str">
        <f>'Risk Management and Oversight'!$M$50</f>
        <v>Cyber Risk Management and Oversight</v>
      </c>
      <c r="C49" s="252" t="str">
        <f>'Risk Management and Oversight'!$A$50</f>
        <v>Governance</v>
      </c>
      <c r="D49" s="252" t="str">
        <f>'Risk Management and Oversight'!$B$50</f>
        <v>Strategy/Policies</v>
      </c>
      <c r="E49" s="252" t="str">
        <f>'Risk Management and Oversight'!$C$50</f>
        <v>Advanced</v>
      </c>
      <c r="F49" s="252">
        <f>'Risk Management and Oversight'!$D$50</f>
        <v>0</v>
      </c>
      <c r="G49" s="252">
        <f>'Risk Management and Oversight'!$N$50</f>
        <v>0</v>
      </c>
      <c r="H49" s="252">
        <f>'Risk Management and Oversight'!$O$50</f>
        <v>0</v>
      </c>
      <c r="I49" s="252">
        <f>'Risk Management and Oversight'!$P$50</f>
        <v>0</v>
      </c>
      <c r="J49" s="252">
        <f>'Risk Management and Oversight'!$Q$50</f>
        <v>0</v>
      </c>
      <c r="K49" t="s">
        <v>92</v>
      </c>
      <c r="L49" t="str">
        <f>IF(combinedMaturityTable[[#This Row],[Maturity Level]]="Baseline",LEFT(combinedMaturityTable[[#This Row],[DS]],FIND("(FFIEC ",combinedMaturityTable[[#This Row],[DS]])-1),"")</f>
        <v/>
      </c>
      <c r="M49" s="293" t="str">
        <f>CLEAN(TRIM(SUBSTITUTE(LEFT(combinedMaturityTable[[#This Row],[DSm]],MIN(250,LEN(combinedMaturityTable[[#This Row],[DSm]]))),CHAR(160)," ")))</f>
        <v/>
      </c>
    </row>
    <row r="50" spans="2:13" hidden="1" x14ac:dyDescent="0.25">
      <c r="B50" s="252" t="str">
        <f>'Risk Management and Oversight'!$M$51</f>
        <v>Cyber Risk Management and Oversight</v>
      </c>
      <c r="C50" s="252" t="str">
        <f>'Risk Management and Oversight'!$A$51</f>
        <v>Governance</v>
      </c>
      <c r="D50" s="252" t="str">
        <f>'Risk Management and Oversight'!$B$51</f>
        <v>Strategy/Policies</v>
      </c>
      <c r="E50" s="252" t="str">
        <f>'Risk Management and Oversight'!$C$51</f>
        <v>Advanced</v>
      </c>
      <c r="F50" s="252">
        <f>'Risk Management and Oversight'!$D$51</f>
        <v>0</v>
      </c>
      <c r="G50" s="252">
        <f>'Risk Management and Oversight'!$N$51</f>
        <v>0</v>
      </c>
      <c r="H50" s="252">
        <f>'Risk Management and Oversight'!$O$51</f>
        <v>0</v>
      </c>
      <c r="I50" s="252">
        <f>'Risk Management and Oversight'!$P$51</f>
        <v>0</v>
      </c>
      <c r="J50" s="252">
        <f>'Risk Management and Oversight'!$Q$51</f>
        <v>0</v>
      </c>
      <c r="K50" t="s">
        <v>93</v>
      </c>
      <c r="L50" t="str">
        <f>IF(combinedMaturityTable[[#This Row],[Maturity Level]]="Baseline",LEFT(combinedMaturityTable[[#This Row],[DS]],FIND("(FFIEC ",combinedMaturityTable[[#This Row],[DS]])-1),"")</f>
        <v/>
      </c>
      <c r="M50" s="293" t="str">
        <f>CLEAN(TRIM(SUBSTITUTE(LEFT(combinedMaturityTable[[#This Row],[DSm]],MIN(250,LEN(combinedMaturityTable[[#This Row],[DSm]]))),CHAR(160)," ")))</f>
        <v/>
      </c>
    </row>
    <row r="51" spans="2:13" hidden="1" x14ac:dyDescent="0.25">
      <c r="B51" s="252" t="str">
        <f>'Risk Management and Oversight'!$M$52</f>
        <v>Cyber Risk Management and Oversight</v>
      </c>
      <c r="C51" s="252" t="str">
        <f>'Risk Management and Oversight'!$A$52</f>
        <v>Governance</v>
      </c>
      <c r="D51" s="252" t="str">
        <f>'Risk Management and Oversight'!$B$52</f>
        <v>Strategy/Policies</v>
      </c>
      <c r="E51" s="252" t="str">
        <f>'Risk Management and Oversight'!$C$52</f>
        <v>Advanced</v>
      </c>
      <c r="F51" s="252">
        <f>'Risk Management and Oversight'!$D$52</f>
        <v>0</v>
      </c>
      <c r="G51" s="252">
        <f>'Risk Management and Oversight'!$N$52</f>
        <v>0</v>
      </c>
      <c r="H51" s="252">
        <f>'Risk Management and Oversight'!$O$52</f>
        <v>0</v>
      </c>
      <c r="I51" s="252">
        <f>'Risk Management and Oversight'!$P$52</f>
        <v>0</v>
      </c>
      <c r="J51" s="252">
        <f>'Risk Management and Oversight'!$Q$52</f>
        <v>0</v>
      </c>
      <c r="K51" t="s">
        <v>94</v>
      </c>
      <c r="L51" t="str">
        <f>IF(combinedMaturityTable[[#This Row],[Maturity Level]]="Baseline",LEFT(combinedMaturityTable[[#This Row],[DS]],FIND("(FFIEC ",combinedMaturityTable[[#This Row],[DS]])-1),"")</f>
        <v/>
      </c>
      <c r="M51" s="293" t="str">
        <f>CLEAN(TRIM(SUBSTITUTE(LEFT(combinedMaturityTable[[#This Row],[DSm]],MIN(250,LEN(combinedMaturityTable[[#This Row],[DSm]]))),CHAR(160)," ")))</f>
        <v/>
      </c>
    </row>
    <row r="52" spans="2:13" hidden="1" x14ac:dyDescent="0.25">
      <c r="B52" s="252" t="str">
        <f>'Risk Management and Oversight'!$M$53</f>
        <v>Cyber Risk Management and Oversight</v>
      </c>
      <c r="C52" s="252" t="str">
        <f>'Risk Management and Oversight'!$A$53</f>
        <v>Governance</v>
      </c>
      <c r="D52" s="252" t="str">
        <f>'Risk Management and Oversight'!$B$53</f>
        <v>Strategy/Policies</v>
      </c>
      <c r="E52" s="252" t="str">
        <f>'Risk Management and Oversight'!$C$53</f>
        <v>Advanced</v>
      </c>
      <c r="F52" s="252">
        <f>'Risk Management and Oversight'!$D$53</f>
        <v>0</v>
      </c>
      <c r="G52" s="252">
        <f>'Risk Management and Oversight'!$N$53</f>
        <v>0</v>
      </c>
      <c r="H52" s="252">
        <f>'Risk Management and Oversight'!$O$53</f>
        <v>0</v>
      </c>
      <c r="I52" s="252">
        <f>'Risk Management and Oversight'!$P$53</f>
        <v>0</v>
      </c>
      <c r="J52" s="252">
        <f>'Risk Management and Oversight'!$Q$53</f>
        <v>0</v>
      </c>
      <c r="K52" t="s">
        <v>95</v>
      </c>
      <c r="L52" t="str">
        <f>IF(combinedMaturityTable[[#This Row],[Maturity Level]]="Baseline",LEFT(combinedMaturityTable[[#This Row],[DS]],FIND("(FFIEC ",combinedMaturityTable[[#This Row],[DS]])-1),"")</f>
        <v/>
      </c>
      <c r="M52" s="293" t="str">
        <f>CLEAN(TRIM(SUBSTITUTE(LEFT(combinedMaturityTable[[#This Row],[DSm]],MIN(250,LEN(combinedMaturityTable[[#This Row],[DSm]]))),CHAR(160)," ")))</f>
        <v/>
      </c>
    </row>
    <row r="53" spans="2:13" hidden="1" x14ac:dyDescent="0.25">
      <c r="B53" s="252" t="str">
        <f>'Risk Management and Oversight'!$M$54</f>
        <v>Cyber Risk Management and Oversight</v>
      </c>
      <c r="C53" s="252" t="str">
        <f>'Risk Management and Oversight'!$A$54</f>
        <v>Governance</v>
      </c>
      <c r="D53" s="252" t="str">
        <f>'Risk Management and Oversight'!$B$54</f>
        <v>Strategy/Policies</v>
      </c>
      <c r="E53" s="252" t="str">
        <f>'Risk Management and Oversight'!$C$54</f>
        <v>Innovative</v>
      </c>
      <c r="F53" s="252">
        <f>'Risk Management and Oversight'!$D$54</f>
        <v>0</v>
      </c>
      <c r="G53" s="252">
        <f>'Risk Management and Oversight'!$N$54</f>
        <v>0</v>
      </c>
      <c r="H53" s="252">
        <f>'Risk Management and Oversight'!$O$54</f>
        <v>0</v>
      </c>
      <c r="I53" s="252">
        <f>'Risk Management and Oversight'!$P$54</f>
        <v>0</v>
      </c>
      <c r="J53" s="252">
        <f>'Risk Management and Oversight'!$Q$54</f>
        <v>0</v>
      </c>
      <c r="K53" t="s">
        <v>96</v>
      </c>
      <c r="L53" t="str">
        <f>IF(combinedMaturityTable[[#This Row],[Maturity Level]]="Baseline",LEFT(combinedMaturityTable[[#This Row],[DS]],FIND("(FFIEC ",combinedMaturityTable[[#This Row],[DS]])-1),"")</f>
        <v/>
      </c>
      <c r="M53" s="293" t="str">
        <f>CLEAN(TRIM(SUBSTITUTE(LEFT(combinedMaturityTable[[#This Row],[DSm]],MIN(250,LEN(combinedMaturityTable[[#This Row],[DSm]]))),CHAR(160)," ")))</f>
        <v/>
      </c>
    </row>
    <row r="54" spans="2:13" x14ac:dyDescent="0.25">
      <c r="B54" s="252" t="str">
        <f>'Risk Management and Oversight'!$M$55</f>
        <v>Cyber Risk Management and Oversight</v>
      </c>
      <c r="C54" s="252" t="str">
        <f>'Risk Management and Oversight'!$A$55</f>
        <v>Governance</v>
      </c>
      <c r="D54" s="252" t="str">
        <f>'Risk Management and Oversight'!$B$55</f>
        <v>IT Asset Management</v>
      </c>
      <c r="E54" s="252" t="str">
        <f>'Risk Management and Oversight'!$C$55</f>
        <v>Baseline</v>
      </c>
      <c r="F54" s="252">
        <f>'Risk Management and Oversight'!$D$55</f>
        <v>0</v>
      </c>
      <c r="G54" s="252">
        <f>'Risk Management and Oversight'!$N$55</f>
        <v>0</v>
      </c>
      <c r="H54" s="252">
        <f>'Risk Management and Oversight'!$O$55</f>
        <v>0</v>
      </c>
      <c r="I54" s="252">
        <f>'Risk Management and Oversight'!$P$55</f>
        <v>0</v>
      </c>
      <c r="J54" s="252">
        <f>'Risk Management and Oversight'!$Q$55</f>
        <v>0</v>
      </c>
      <c r="K54" t="s">
        <v>97</v>
      </c>
      <c r="L54" t="str">
        <f>IF(combinedMaturityTable[[#This Row],[Maturity Level]]="Baseline",LEFT(combinedMaturityTable[[#This Row],[DS]],FIND("(FFIEC ",combinedMaturityTable[[#This Row],[DS]])-1),"")</f>
        <v xml:space="preserve">An inventory of organizational assets (e.g., hardware, software, data, and systems hosted externally) is maintained. </v>
      </c>
      <c r="M54" s="293" t="str">
        <f>CLEAN(TRIM(SUBSTITUTE(LEFT(combinedMaturityTable[[#This Row],[DSm]],MIN(250,LEN(combinedMaturityTable[[#This Row],[DSm]]))),CHAR(160)," ")))</f>
        <v>An inventory of organizational assets (e.g., hardware, software, data, and systems hosted externally) is maintained.</v>
      </c>
    </row>
    <row r="55" spans="2:13" x14ac:dyDescent="0.25">
      <c r="B55" s="252" t="str">
        <f>'Risk Management and Oversight'!$M$56</f>
        <v>Cyber Risk Management and Oversight</v>
      </c>
      <c r="C55" s="252" t="str">
        <f>'Risk Management and Oversight'!$A$56</f>
        <v>Governance</v>
      </c>
      <c r="D55" s="252" t="str">
        <f>'Risk Management and Oversight'!$B$56</f>
        <v>IT Asset Management</v>
      </c>
      <c r="E55" s="252" t="str">
        <f>'Risk Management and Oversight'!$C$56</f>
        <v>Baseline</v>
      </c>
      <c r="F55" s="252">
        <f>'Risk Management and Oversight'!$D$56</f>
        <v>0</v>
      </c>
      <c r="G55" s="252">
        <f>'Risk Management and Oversight'!$N$56</f>
        <v>0</v>
      </c>
      <c r="H55" s="252">
        <f>'Risk Management and Oversight'!$O$56</f>
        <v>0</v>
      </c>
      <c r="I55" s="252">
        <f>'Risk Management and Oversight'!$P$56</f>
        <v>0</v>
      </c>
      <c r="J55" s="252">
        <f>'Risk Management and Oversight'!$Q$56</f>
        <v>0</v>
      </c>
      <c r="K55" t="s">
        <v>98</v>
      </c>
      <c r="L55" t="str">
        <f>IF(combinedMaturityTable[[#This Row],[Maturity Level]]="Baseline",LEFT(combinedMaturityTable[[#This Row],[DS]],FIND("(FFIEC ",combinedMaturityTable[[#This Row],[DS]])-1),"")</f>
        <v xml:space="preserve">Organizational assets (e.g., hardware, systems, data, and applications) are prioritized for protection based on the data classification and business value. </v>
      </c>
      <c r="M55" s="293" t="str">
        <f>CLEAN(TRIM(SUBSTITUTE(LEFT(combinedMaturityTable[[#This Row],[DSm]],MIN(250,LEN(combinedMaturityTable[[#This Row],[DSm]]))),CHAR(160)," ")))</f>
        <v>Organizational assets (e.g., hardware, systems, data, and applications) are prioritized for protection based on the data classification and business value.</v>
      </c>
    </row>
    <row r="56" spans="2:13" x14ac:dyDescent="0.25">
      <c r="B56" s="252" t="str">
        <f>'Risk Management and Oversight'!$M$57</f>
        <v>Cyber Risk Management and Oversight</v>
      </c>
      <c r="C56" s="252" t="str">
        <f>'Risk Management and Oversight'!$A$57</f>
        <v>Governance</v>
      </c>
      <c r="D56" s="252" t="str">
        <f>'Risk Management and Oversight'!$B$57</f>
        <v>IT Asset Management</v>
      </c>
      <c r="E56" s="252" t="str">
        <f>'Risk Management and Oversight'!$C$57</f>
        <v>Baseline</v>
      </c>
      <c r="F56" s="252">
        <f>'Risk Management and Oversight'!$D$57</f>
        <v>0</v>
      </c>
      <c r="G56" s="252">
        <f>'Risk Management and Oversight'!$N$57</f>
        <v>0</v>
      </c>
      <c r="H56" s="252">
        <f>'Risk Management and Oversight'!$O$57</f>
        <v>0</v>
      </c>
      <c r="I56" s="252">
        <f>'Risk Management and Oversight'!$P$57</f>
        <v>0</v>
      </c>
      <c r="J56" s="252">
        <f>'Risk Management and Oversight'!$Q$57</f>
        <v>0</v>
      </c>
      <c r="K56" t="s">
        <v>99</v>
      </c>
      <c r="L56" t="str">
        <f>IF(combinedMaturityTable[[#This Row],[Maturity Level]]="Baseline",LEFT(combinedMaturityTable[[#This Row],[DS]],FIND("(FFIEC ",combinedMaturityTable[[#This Row],[DS]])-1),"")</f>
        <v xml:space="preserve">Management assigns accountability for maintaining an inventory of organizational assets. </v>
      </c>
      <c r="M56" s="293" t="str">
        <f>CLEAN(TRIM(SUBSTITUTE(LEFT(combinedMaturityTable[[#This Row],[DSm]],MIN(250,LEN(combinedMaturityTable[[#This Row],[DSm]]))),CHAR(160)," ")))</f>
        <v>Management assigns accountability for maintaining an inventory of organizational assets.</v>
      </c>
    </row>
    <row r="57" spans="2:13" x14ac:dyDescent="0.25">
      <c r="B57" s="252" t="str">
        <f>'Risk Management and Oversight'!$M$58</f>
        <v>Cyber Risk Management and Oversight</v>
      </c>
      <c r="C57" s="252" t="str">
        <f>'Risk Management and Oversight'!$A$58</f>
        <v>Governance</v>
      </c>
      <c r="D57" s="252" t="str">
        <f>'Risk Management and Oversight'!$B$58</f>
        <v>IT Asset Management</v>
      </c>
      <c r="E57" s="252" t="str">
        <f>'Risk Management and Oversight'!$C$58</f>
        <v>Baseline</v>
      </c>
      <c r="F57" s="252">
        <f>'Risk Management and Oversight'!$D$58</f>
        <v>0</v>
      </c>
      <c r="G57" s="252">
        <f>'Risk Management and Oversight'!$N$58</f>
        <v>0</v>
      </c>
      <c r="H57" s="252">
        <f>'Risk Management and Oversight'!$O$58</f>
        <v>0</v>
      </c>
      <c r="I57" s="252">
        <f>'Risk Management and Oversight'!$P$58</f>
        <v>0</v>
      </c>
      <c r="J57" s="252">
        <f>'Risk Management and Oversight'!$Q$58</f>
        <v>0</v>
      </c>
      <c r="K57" t="s">
        <v>100</v>
      </c>
      <c r="L57" t="str">
        <f>IF(combinedMaturityTable[[#This Row],[Maturity Level]]="Baseline",LEFT(combinedMaturityTable[[#This Row],[DS]],FIND("(FFIEC ",combinedMaturityTable[[#This Row],[DS]])-1),"")</f>
        <v xml:space="preserve">A change management process is in place to request and approve changes to systems configurations, hardware, software, applications, and security tools. </v>
      </c>
      <c r="M57" s="293" t="str">
        <f>CLEAN(TRIM(SUBSTITUTE(LEFT(combinedMaturityTable[[#This Row],[DSm]],MIN(250,LEN(combinedMaturityTable[[#This Row],[DSm]]))),CHAR(160)," ")))</f>
        <v>A change management process is in place to request and approve changes to systems configurations, hardware, software, applications, and security tools.</v>
      </c>
    </row>
    <row r="58" spans="2:13" hidden="1" x14ac:dyDescent="0.25">
      <c r="B58" s="252" t="str">
        <f>'Risk Management and Oversight'!$M$59</f>
        <v>Cyber Risk Management and Oversight</v>
      </c>
      <c r="C58" s="252" t="str">
        <f>'Risk Management and Oversight'!$A$59</f>
        <v>Governance</v>
      </c>
      <c r="D58" s="252" t="str">
        <f>'Risk Management and Oversight'!$B$59</f>
        <v>IT Asset Management</v>
      </c>
      <c r="E58" s="252" t="str">
        <f>'Risk Management and Oversight'!$C$59</f>
        <v>Evolving</v>
      </c>
      <c r="F58" s="252">
        <f>'Risk Management and Oversight'!$D$59</f>
        <v>0</v>
      </c>
      <c r="G58" s="252">
        <f>'Risk Management and Oversight'!$N$59</f>
        <v>0</v>
      </c>
      <c r="H58" s="252">
        <f>'Risk Management and Oversight'!$O$59</f>
        <v>0</v>
      </c>
      <c r="I58" s="252">
        <f>'Risk Management and Oversight'!$P$59</f>
        <v>0</v>
      </c>
      <c r="J58" s="252">
        <f>'Risk Management and Oversight'!$Q$59</f>
        <v>0</v>
      </c>
      <c r="K58" t="s">
        <v>101</v>
      </c>
      <c r="L58" t="str">
        <f>IF(combinedMaturityTable[[#This Row],[Maturity Level]]="Baseline",LEFT(combinedMaturityTable[[#This Row],[DS]],FIND("(FFIEC ",combinedMaturityTable[[#This Row],[DS]])-1),"")</f>
        <v/>
      </c>
      <c r="M58" s="293" t="str">
        <f>CLEAN(TRIM(SUBSTITUTE(LEFT(combinedMaturityTable[[#This Row],[DSm]],MIN(250,LEN(combinedMaturityTable[[#This Row],[DSm]]))),CHAR(160)," ")))</f>
        <v/>
      </c>
    </row>
    <row r="59" spans="2:13" hidden="1" x14ac:dyDescent="0.25">
      <c r="B59" s="252" t="str">
        <f>'Risk Management and Oversight'!$M$60</f>
        <v>Cyber Risk Management and Oversight</v>
      </c>
      <c r="C59" s="252" t="str">
        <f>'Risk Management and Oversight'!$A$60</f>
        <v>Governance</v>
      </c>
      <c r="D59" s="252" t="str">
        <f>'Risk Management and Oversight'!$B$60</f>
        <v>IT Asset Management</v>
      </c>
      <c r="E59" s="252" t="str">
        <f>'Risk Management and Oversight'!$C$60</f>
        <v>Evolving</v>
      </c>
      <c r="F59" s="252">
        <f>'Risk Management and Oversight'!$D$60</f>
        <v>0</v>
      </c>
      <c r="G59" s="252">
        <f>'Risk Management and Oversight'!$N$60</f>
        <v>0</v>
      </c>
      <c r="H59" s="252">
        <f>'Risk Management and Oversight'!$O$60</f>
        <v>0</v>
      </c>
      <c r="I59" s="252">
        <f>'Risk Management and Oversight'!$P$60</f>
        <v>0</v>
      </c>
      <c r="J59" s="252">
        <f>'Risk Management and Oversight'!$Q$60</f>
        <v>0</v>
      </c>
      <c r="K59" t="s">
        <v>102</v>
      </c>
      <c r="L59" t="str">
        <f>IF(combinedMaturityTable[[#This Row],[Maturity Level]]="Baseline",LEFT(combinedMaturityTable[[#This Row],[DS]],FIND("(FFIEC ",combinedMaturityTable[[#This Row],[DS]])-1),"")</f>
        <v/>
      </c>
      <c r="M59" s="293" t="str">
        <f>CLEAN(TRIM(SUBSTITUTE(LEFT(combinedMaturityTable[[#This Row],[DSm]],MIN(250,LEN(combinedMaturityTable[[#This Row],[DSm]]))),CHAR(160)," ")))</f>
        <v/>
      </c>
    </row>
    <row r="60" spans="2:13" hidden="1" x14ac:dyDescent="0.25">
      <c r="B60" s="252" t="str">
        <f>'Risk Management and Oversight'!$M$61</f>
        <v>Cyber Risk Management and Oversight</v>
      </c>
      <c r="C60" s="252" t="str">
        <f>'Risk Management and Oversight'!$A$61</f>
        <v>Governance</v>
      </c>
      <c r="D60" s="252" t="str">
        <f>'Risk Management and Oversight'!$B$61</f>
        <v>IT Asset Management</v>
      </c>
      <c r="E60" s="252" t="str">
        <f>'Risk Management and Oversight'!$C$61</f>
        <v>Evolving</v>
      </c>
      <c r="F60" s="252">
        <f>'Risk Management and Oversight'!$D$61</f>
        <v>0</v>
      </c>
      <c r="G60" s="252">
        <f>'Risk Management and Oversight'!$N$61</f>
        <v>0</v>
      </c>
      <c r="H60" s="252">
        <f>'Risk Management and Oversight'!$O$61</f>
        <v>0</v>
      </c>
      <c r="I60" s="252">
        <f>'Risk Management and Oversight'!$P$61</f>
        <v>0</v>
      </c>
      <c r="J60" s="252">
        <f>'Risk Management and Oversight'!$Q$61</f>
        <v>0</v>
      </c>
      <c r="K60" t="s">
        <v>103</v>
      </c>
      <c r="L60" t="str">
        <f>IF(combinedMaturityTable[[#This Row],[Maturity Level]]="Baseline",LEFT(combinedMaturityTable[[#This Row],[DS]],FIND("(FFIEC ",combinedMaturityTable[[#This Row],[DS]])-1),"")</f>
        <v/>
      </c>
      <c r="M60" s="293" t="str">
        <f>CLEAN(TRIM(SUBSTITUTE(LEFT(combinedMaturityTable[[#This Row],[DSm]],MIN(250,LEN(combinedMaturityTable[[#This Row],[DSm]]))),CHAR(160)," ")))</f>
        <v/>
      </c>
    </row>
    <row r="61" spans="2:13" hidden="1" x14ac:dyDescent="0.25">
      <c r="B61" s="252" t="str">
        <f>'Risk Management and Oversight'!$M$62</f>
        <v>Cyber Risk Management and Oversight</v>
      </c>
      <c r="C61" s="252" t="str">
        <f>'Risk Management and Oversight'!$A$62</f>
        <v>Governance</v>
      </c>
      <c r="D61" s="252" t="str">
        <f>'Risk Management and Oversight'!$B$62</f>
        <v>IT Asset Management</v>
      </c>
      <c r="E61" s="252" t="str">
        <f>'Risk Management and Oversight'!$C$62</f>
        <v>Evolving</v>
      </c>
      <c r="F61" s="252">
        <f>'Risk Management and Oversight'!$D$62</f>
        <v>0</v>
      </c>
      <c r="G61" s="252">
        <f>'Risk Management and Oversight'!$N$62</f>
        <v>0</v>
      </c>
      <c r="H61" s="252">
        <f>'Risk Management and Oversight'!$O$62</f>
        <v>0</v>
      </c>
      <c r="I61" s="252">
        <f>'Risk Management and Oversight'!$P$62</f>
        <v>0</v>
      </c>
      <c r="J61" s="252">
        <f>'Risk Management and Oversight'!$Q$62</f>
        <v>0</v>
      </c>
      <c r="K61" t="s">
        <v>104</v>
      </c>
      <c r="L61" t="str">
        <f>IF(combinedMaturityTable[[#This Row],[Maturity Level]]="Baseline",LEFT(combinedMaturityTable[[#This Row],[DS]],FIND("(FFIEC ",combinedMaturityTable[[#This Row],[DS]])-1),"")</f>
        <v/>
      </c>
      <c r="M61" s="293" t="str">
        <f>CLEAN(TRIM(SUBSTITUTE(LEFT(combinedMaturityTable[[#This Row],[DSm]],MIN(250,LEN(combinedMaturityTable[[#This Row],[DSm]]))),CHAR(160)," ")))</f>
        <v/>
      </c>
    </row>
    <row r="62" spans="2:13" hidden="1" x14ac:dyDescent="0.25">
      <c r="B62" s="252" t="str">
        <f>'Risk Management and Oversight'!$M$63</f>
        <v>Cyber Risk Management and Oversight</v>
      </c>
      <c r="C62" s="252" t="str">
        <f>'Risk Management and Oversight'!$A$63</f>
        <v>Governance</v>
      </c>
      <c r="D62" s="252" t="str">
        <f>'Risk Management and Oversight'!$B$63</f>
        <v>IT Asset Management</v>
      </c>
      <c r="E62" s="252" t="str">
        <f>'Risk Management and Oversight'!$C$63</f>
        <v>Intermediate</v>
      </c>
      <c r="F62" s="252">
        <f>'Risk Management and Oversight'!$D$63</f>
        <v>0</v>
      </c>
      <c r="G62" s="252">
        <f>'Risk Management and Oversight'!$N$63</f>
        <v>0</v>
      </c>
      <c r="H62" s="252">
        <f>'Risk Management and Oversight'!$O$63</f>
        <v>0</v>
      </c>
      <c r="I62" s="252">
        <f>'Risk Management and Oversight'!$P$63</f>
        <v>0</v>
      </c>
      <c r="J62" s="252">
        <f>'Risk Management and Oversight'!$Q$63</f>
        <v>0</v>
      </c>
      <c r="K62" t="s">
        <v>105</v>
      </c>
      <c r="L62" t="str">
        <f>IF(combinedMaturityTable[[#This Row],[Maturity Level]]="Baseline",LEFT(combinedMaturityTable[[#This Row],[DS]],FIND("(FFIEC ",combinedMaturityTable[[#This Row],[DS]])-1),"")</f>
        <v/>
      </c>
      <c r="M62" s="293" t="str">
        <f>CLEAN(TRIM(SUBSTITUTE(LEFT(combinedMaturityTable[[#This Row],[DSm]],MIN(250,LEN(combinedMaturityTable[[#This Row],[DSm]]))),CHAR(160)," ")))</f>
        <v/>
      </c>
    </row>
    <row r="63" spans="2:13" hidden="1" x14ac:dyDescent="0.25">
      <c r="B63" s="252" t="str">
        <f>'Risk Management and Oversight'!$M$64</f>
        <v>Cyber Risk Management and Oversight</v>
      </c>
      <c r="C63" s="252" t="str">
        <f>'Risk Management and Oversight'!$A$64</f>
        <v>Governance</v>
      </c>
      <c r="D63" s="252" t="str">
        <f>'Risk Management and Oversight'!$B$64</f>
        <v>IT Asset Management</v>
      </c>
      <c r="E63" s="252" t="str">
        <f>'Risk Management and Oversight'!$C$64</f>
        <v>Intermediate</v>
      </c>
      <c r="F63" s="252">
        <f>'Risk Management and Oversight'!$D$64</f>
        <v>0</v>
      </c>
      <c r="G63" s="252">
        <f>'Risk Management and Oversight'!$N$64</f>
        <v>0</v>
      </c>
      <c r="H63" s="252">
        <f>'Risk Management and Oversight'!$O$64</f>
        <v>0</v>
      </c>
      <c r="I63" s="252">
        <f>'Risk Management and Oversight'!$P$64</f>
        <v>0</v>
      </c>
      <c r="J63" s="252">
        <f>'Risk Management and Oversight'!$Q$64</f>
        <v>0</v>
      </c>
      <c r="K63" t="s">
        <v>106</v>
      </c>
      <c r="L63" t="str">
        <f>IF(combinedMaturityTable[[#This Row],[Maturity Level]]="Baseline",LEFT(combinedMaturityTable[[#This Row],[DS]],FIND("(FFIEC ",combinedMaturityTable[[#This Row],[DS]])-1),"")</f>
        <v/>
      </c>
      <c r="M63" s="293" t="str">
        <f>CLEAN(TRIM(SUBSTITUTE(LEFT(combinedMaturityTable[[#This Row],[DSm]],MIN(250,LEN(combinedMaturityTable[[#This Row],[DSm]]))),CHAR(160)," ")))</f>
        <v/>
      </c>
    </row>
    <row r="64" spans="2:13" hidden="1" x14ac:dyDescent="0.25">
      <c r="B64" s="252" t="str">
        <f>'Risk Management and Oversight'!$M$65</f>
        <v>Cyber Risk Management and Oversight</v>
      </c>
      <c r="C64" s="252" t="str">
        <f>'Risk Management and Oversight'!$A$65</f>
        <v>Governance</v>
      </c>
      <c r="D64" s="252" t="str">
        <f>'Risk Management and Oversight'!$B$65</f>
        <v>IT Asset Management</v>
      </c>
      <c r="E64" s="252" t="str">
        <f>'Risk Management and Oversight'!$C$65</f>
        <v>Advanced</v>
      </c>
      <c r="F64" s="252">
        <f>'Risk Management and Oversight'!$D$65</f>
        <v>0</v>
      </c>
      <c r="G64" s="252">
        <f>'Risk Management and Oversight'!$N$65</f>
        <v>0</v>
      </c>
      <c r="H64" s="252">
        <f>'Risk Management and Oversight'!$O$65</f>
        <v>0</v>
      </c>
      <c r="I64" s="252">
        <f>'Risk Management and Oversight'!$P$65</f>
        <v>0</v>
      </c>
      <c r="J64" s="252">
        <f>'Risk Management and Oversight'!$Q$65</f>
        <v>0</v>
      </c>
      <c r="K64" t="s">
        <v>107</v>
      </c>
      <c r="L64" t="str">
        <f>IF(combinedMaturityTable[[#This Row],[Maturity Level]]="Baseline",LEFT(combinedMaturityTable[[#This Row],[DS]],FIND("(FFIEC ",combinedMaturityTable[[#This Row],[DS]])-1),"")</f>
        <v/>
      </c>
      <c r="M64" s="293" t="str">
        <f>CLEAN(TRIM(SUBSTITUTE(LEFT(combinedMaturityTable[[#This Row],[DSm]],MIN(250,LEN(combinedMaturityTable[[#This Row],[DSm]]))),CHAR(160)," ")))</f>
        <v/>
      </c>
    </row>
    <row r="65" spans="2:13" hidden="1" x14ac:dyDescent="0.25">
      <c r="B65" s="252" t="str">
        <f>'Risk Management and Oversight'!$M$66</f>
        <v>Cyber Risk Management and Oversight</v>
      </c>
      <c r="C65" s="252" t="str">
        <f>'Risk Management and Oversight'!$A$66</f>
        <v>Governance</v>
      </c>
      <c r="D65" s="252" t="str">
        <f>'Risk Management and Oversight'!$B$66</f>
        <v>IT Asset Management</v>
      </c>
      <c r="E65" s="252" t="str">
        <f>'Risk Management and Oversight'!$C$66</f>
        <v>Advanced</v>
      </c>
      <c r="F65" s="252">
        <f>'Risk Management and Oversight'!$D$66</f>
        <v>0</v>
      </c>
      <c r="G65" s="252">
        <f>'Risk Management and Oversight'!$N$66</f>
        <v>0</v>
      </c>
      <c r="H65" s="252">
        <f>'Risk Management and Oversight'!$O$66</f>
        <v>0</v>
      </c>
      <c r="I65" s="252">
        <f>'Risk Management and Oversight'!$P$66</f>
        <v>0</v>
      </c>
      <c r="J65" s="252">
        <f>'Risk Management and Oversight'!$Q$66</f>
        <v>0</v>
      </c>
      <c r="K65" t="s">
        <v>108</v>
      </c>
      <c r="L65" t="str">
        <f>IF(combinedMaturityTable[[#This Row],[Maturity Level]]="Baseline",LEFT(combinedMaturityTable[[#This Row],[DS]],FIND("(FFIEC ",combinedMaturityTable[[#This Row],[DS]])-1),"")</f>
        <v/>
      </c>
      <c r="M65" s="293" t="str">
        <f>CLEAN(TRIM(SUBSTITUTE(LEFT(combinedMaturityTable[[#This Row],[DSm]],MIN(250,LEN(combinedMaturityTable[[#This Row],[DSm]]))),CHAR(160)," ")))</f>
        <v/>
      </c>
    </row>
    <row r="66" spans="2:13" hidden="1" x14ac:dyDescent="0.25">
      <c r="B66" s="252" t="str">
        <f>'Risk Management and Oversight'!$M$67</f>
        <v>Cyber Risk Management and Oversight</v>
      </c>
      <c r="C66" s="252" t="str">
        <f>'Risk Management and Oversight'!$A$67</f>
        <v>Governance</v>
      </c>
      <c r="D66" s="252" t="str">
        <f>'Risk Management and Oversight'!$B$67</f>
        <v>IT Asset Management</v>
      </c>
      <c r="E66" s="252" t="str">
        <f>'Risk Management and Oversight'!$C$67</f>
        <v>Advanced</v>
      </c>
      <c r="F66" s="252">
        <f>'Risk Management and Oversight'!$D$67</f>
        <v>0</v>
      </c>
      <c r="G66" s="252">
        <f>'Risk Management and Oversight'!$N$67</f>
        <v>0</v>
      </c>
      <c r="H66" s="252">
        <f>'Risk Management and Oversight'!$O$67</f>
        <v>0</v>
      </c>
      <c r="I66" s="252">
        <f>'Risk Management and Oversight'!$P$67</f>
        <v>0</v>
      </c>
      <c r="J66" s="252">
        <f>'Risk Management and Oversight'!$Q$67</f>
        <v>0</v>
      </c>
      <c r="K66" t="s">
        <v>109</v>
      </c>
      <c r="L66" t="str">
        <f>IF(combinedMaturityTable[[#This Row],[Maturity Level]]="Baseline",LEFT(combinedMaturityTable[[#This Row],[DS]],FIND("(FFIEC ",combinedMaturityTable[[#This Row],[DS]])-1),"")</f>
        <v/>
      </c>
      <c r="M66" s="293" t="str">
        <f>CLEAN(TRIM(SUBSTITUTE(LEFT(combinedMaturityTable[[#This Row],[DSm]],MIN(250,LEN(combinedMaturityTable[[#This Row],[DSm]]))),CHAR(160)," ")))</f>
        <v/>
      </c>
    </row>
    <row r="67" spans="2:13" hidden="1" x14ac:dyDescent="0.25">
      <c r="B67" s="252" t="str">
        <f>'Risk Management and Oversight'!$M$68</f>
        <v>Cyber Risk Management and Oversight</v>
      </c>
      <c r="C67" s="252" t="str">
        <f>'Risk Management and Oversight'!$A$68</f>
        <v>Governance</v>
      </c>
      <c r="D67" s="252" t="str">
        <f>'Risk Management and Oversight'!$B$68</f>
        <v>IT Asset Management</v>
      </c>
      <c r="E67" s="252" t="str">
        <f>'Risk Management and Oversight'!$C$68</f>
        <v>Advanced</v>
      </c>
      <c r="F67" s="252">
        <f>'Risk Management and Oversight'!$D$68</f>
        <v>0</v>
      </c>
      <c r="G67" s="252">
        <f>'Risk Management and Oversight'!$N$68</f>
        <v>0</v>
      </c>
      <c r="H67" s="252">
        <f>'Risk Management and Oversight'!$O$68</f>
        <v>0</v>
      </c>
      <c r="I67" s="252">
        <f>'Risk Management and Oversight'!$P$68</f>
        <v>0</v>
      </c>
      <c r="J67" s="252">
        <f>'Risk Management and Oversight'!$Q$68</f>
        <v>0</v>
      </c>
      <c r="K67" t="s">
        <v>110</v>
      </c>
      <c r="L67" t="str">
        <f>IF(combinedMaturityTable[[#This Row],[Maturity Level]]="Baseline",LEFT(combinedMaturityTable[[#This Row],[DS]],FIND("(FFIEC ",combinedMaturityTable[[#This Row],[DS]])-1),"")</f>
        <v/>
      </c>
      <c r="M67" s="293" t="str">
        <f>CLEAN(TRIM(SUBSTITUTE(LEFT(combinedMaturityTable[[#This Row],[DSm]],MIN(250,LEN(combinedMaturityTable[[#This Row],[DSm]]))),CHAR(160)," ")))</f>
        <v/>
      </c>
    </row>
    <row r="68" spans="2:13" hidden="1" x14ac:dyDescent="0.25">
      <c r="B68" s="252" t="str">
        <f>'Risk Management and Oversight'!$M$69</f>
        <v>Cyber Risk Management and Oversight</v>
      </c>
      <c r="C68" s="252" t="str">
        <f>'Risk Management and Oversight'!$A$69</f>
        <v>Governance</v>
      </c>
      <c r="D68" s="252" t="str">
        <f>'Risk Management and Oversight'!$B$69</f>
        <v>IT Asset Management</v>
      </c>
      <c r="E68" s="252" t="str">
        <f>'Risk Management and Oversight'!$C$69</f>
        <v>Innovative</v>
      </c>
      <c r="F68" s="252">
        <f>'Risk Management and Oversight'!$D$69</f>
        <v>0</v>
      </c>
      <c r="G68" s="252">
        <f>'Risk Management and Oversight'!$N$69</f>
        <v>0</v>
      </c>
      <c r="H68" s="252">
        <f>'Risk Management and Oversight'!$O$69</f>
        <v>0</v>
      </c>
      <c r="I68" s="252">
        <f>'Risk Management and Oversight'!$P$69</f>
        <v>0</v>
      </c>
      <c r="J68" s="252">
        <f>'Risk Management and Oversight'!$Q$69</f>
        <v>0</v>
      </c>
      <c r="K68" t="s">
        <v>111</v>
      </c>
      <c r="L68" t="str">
        <f>IF(combinedMaturityTable[[#This Row],[Maturity Level]]="Baseline",LEFT(combinedMaturityTable[[#This Row],[DS]],FIND("(FFIEC ",combinedMaturityTable[[#This Row],[DS]])-1),"")</f>
        <v/>
      </c>
      <c r="M68" s="293" t="str">
        <f>CLEAN(TRIM(SUBSTITUTE(LEFT(combinedMaturityTable[[#This Row],[DSm]],MIN(250,LEN(combinedMaturityTable[[#This Row],[DSm]]))),CHAR(160)," ")))</f>
        <v/>
      </c>
    </row>
    <row r="69" spans="2:13" hidden="1" x14ac:dyDescent="0.25">
      <c r="B69" s="252" t="str">
        <f>'Risk Management and Oversight'!$M$70</f>
        <v>Cyber Risk Management and Oversight</v>
      </c>
      <c r="C69" s="252" t="str">
        <f>'Risk Management and Oversight'!$A$70</f>
        <v>Governance</v>
      </c>
      <c r="D69" s="252" t="str">
        <f>'Risk Management and Oversight'!$B$70</f>
        <v>IT Asset Management</v>
      </c>
      <c r="E69" s="252" t="str">
        <f>'Risk Management and Oversight'!$C$70</f>
        <v>Innovative</v>
      </c>
      <c r="F69" s="252">
        <f>'Risk Management and Oversight'!$D$70</f>
        <v>0</v>
      </c>
      <c r="G69" s="252">
        <f>'Risk Management and Oversight'!$N$70</f>
        <v>0</v>
      </c>
      <c r="H69" s="252">
        <f>'Risk Management and Oversight'!$O$70</f>
        <v>0</v>
      </c>
      <c r="I69" s="252">
        <f>'Risk Management and Oversight'!$P$70</f>
        <v>0</v>
      </c>
      <c r="J69" s="252">
        <f>'Risk Management and Oversight'!$Q$70</f>
        <v>0</v>
      </c>
      <c r="K69" t="s">
        <v>112</v>
      </c>
      <c r="L69" t="str">
        <f>IF(combinedMaturityTable[[#This Row],[Maturity Level]]="Baseline",LEFT(combinedMaturityTable[[#This Row],[DS]],FIND("(FFIEC ",combinedMaturityTable[[#This Row],[DS]])-1),"")</f>
        <v/>
      </c>
      <c r="M69" s="293" t="str">
        <f>CLEAN(TRIM(SUBSTITUTE(LEFT(combinedMaturityTable[[#This Row],[DSm]],MIN(250,LEN(combinedMaturityTable[[#This Row],[DSm]]))),CHAR(160)," ")))</f>
        <v/>
      </c>
    </row>
    <row r="70" spans="2:13" x14ac:dyDescent="0.25">
      <c r="B70" s="252" t="str">
        <f>'Risk Management and Oversight'!$M$71</f>
        <v>Cyber Risk Management and Oversight</v>
      </c>
      <c r="C70" s="252" t="str">
        <f>'Risk Management and Oversight'!$A$71</f>
        <v>Risk Management</v>
      </c>
      <c r="D70" s="252" t="str">
        <f>'Risk Management and Oversight'!$B$71</f>
        <v>Risk Management Program</v>
      </c>
      <c r="E70" s="252" t="str">
        <f>'Risk Management and Oversight'!$C$71</f>
        <v>Baseline</v>
      </c>
      <c r="F70" s="252">
        <f>'Risk Management and Oversight'!$D$71</f>
        <v>0</v>
      </c>
      <c r="G70" s="252">
        <f>'Risk Management and Oversight'!$N$71</f>
        <v>0</v>
      </c>
      <c r="H70" s="252">
        <f>'Risk Management and Oversight'!$O$71</f>
        <v>0</v>
      </c>
      <c r="I70" s="252">
        <f>'Risk Management and Oversight'!$P$71</f>
        <v>0</v>
      </c>
      <c r="J70" s="252">
        <f>'Risk Management and Oversight'!$Q$71</f>
        <v>0</v>
      </c>
      <c r="K70" t="s">
        <v>113</v>
      </c>
      <c r="L70" t="str">
        <f>IF(combinedMaturityTable[[#This Row],[Maturity Level]]="Baseline",LEFT(combinedMaturityTable[[#This Row],[DS]],FIND("(FFIEC ",combinedMaturityTable[[#This Row],[DS]])-1),"")</f>
        <v xml:space="preserve">An information security and business continuity risk management function(s) exists within the institution. </v>
      </c>
      <c r="M70" s="293" t="str">
        <f>CLEAN(TRIM(SUBSTITUTE(LEFT(combinedMaturityTable[[#This Row],[DSm]],MIN(250,LEN(combinedMaturityTable[[#This Row],[DSm]]))),CHAR(160)," ")))</f>
        <v>An information security and business continuity risk management function(s) exists within the institution.</v>
      </c>
    </row>
    <row r="71" spans="2:13" hidden="1" x14ac:dyDescent="0.25">
      <c r="B71" s="252" t="str">
        <f>'Risk Management and Oversight'!$M$72</f>
        <v>Cyber Risk Management and Oversight</v>
      </c>
      <c r="C71" s="252" t="str">
        <f>'Risk Management and Oversight'!$A$72</f>
        <v>Risk Management</v>
      </c>
      <c r="D71" s="252" t="str">
        <f>'Risk Management and Oversight'!$B$72</f>
        <v>Risk Management Program</v>
      </c>
      <c r="E71" s="252" t="str">
        <f>'Risk Management and Oversight'!$C$72</f>
        <v>Evolving</v>
      </c>
      <c r="F71" s="252">
        <f>'Risk Management and Oversight'!$D$72</f>
        <v>0</v>
      </c>
      <c r="G71" s="252">
        <f>'Risk Management and Oversight'!$N$72</f>
        <v>0</v>
      </c>
      <c r="H71" s="252">
        <f>'Risk Management and Oversight'!$O$72</f>
        <v>0</v>
      </c>
      <c r="I71" s="252">
        <f>'Risk Management and Oversight'!$P$72</f>
        <v>0</v>
      </c>
      <c r="J71" s="252">
        <f>'Risk Management and Oversight'!$Q$72</f>
        <v>0</v>
      </c>
      <c r="K71" t="s">
        <v>114</v>
      </c>
      <c r="L71" t="str">
        <f>IF(combinedMaturityTable[[#This Row],[Maturity Level]]="Baseline",LEFT(combinedMaturityTable[[#This Row],[DS]],FIND("(FFIEC ",combinedMaturityTable[[#This Row],[DS]])-1),"")</f>
        <v/>
      </c>
      <c r="M71" s="293" t="str">
        <f>CLEAN(TRIM(SUBSTITUTE(LEFT(combinedMaturityTable[[#This Row],[DSm]],MIN(250,LEN(combinedMaturityTable[[#This Row],[DSm]]))),CHAR(160)," ")))</f>
        <v/>
      </c>
    </row>
    <row r="72" spans="2:13" hidden="1" x14ac:dyDescent="0.25">
      <c r="B72" s="252" t="str">
        <f>'Risk Management and Oversight'!$M$73</f>
        <v>Cyber Risk Management and Oversight</v>
      </c>
      <c r="C72" s="252" t="str">
        <f>'Risk Management and Oversight'!$A$73</f>
        <v>Risk Management</v>
      </c>
      <c r="D72" s="252" t="str">
        <f>'Risk Management and Oversight'!$B$73</f>
        <v>Risk Management Program</v>
      </c>
      <c r="E72" s="252" t="str">
        <f>'Risk Management and Oversight'!$C$73</f>
        <v>Evolving</v>
      </c>
      <c r="F72" s="252">
        <f>'Risk Management and Oversight'!$D$73</f>
        <v>0</v>
      </c>
      <c r="G72" s="252">
        <f>'Risk Management and Oversight'!$N$73</f>
        <v>0</v>
      </c>
      <c r="H72" s="252">
        <f>'Risk Management and Oversight'!$O$73</f>
        <v>0</v>
      </c>
      <c r="I72" s="252">
        <f>'Risk Management and Oversight'!$P$73</f>
        <v>0</v>
      </c>
      <c r="J72" s="252">
        <f>'Risk Management and Oversight'!$Q$73</f>
        <v>0</v>
      </c>
      <c r="K72" t="s">
        <v>115</v>
      </c>
      <c r="L72" t="str">
        <f>IF(combinedMaturityTable[[#This Row],[Maturity Level]]="Baseline",LEFT(combinedMaturityTable[[#This Row],[DS]],FIND("(FFIEC ",combinedMaturityTable[[#This Row],[DS]])-1),"")</f>
        <v/>
      </c>
      <c r="M72" s="293" t="str">
        <f>CLEAN(TRIM(SUBSTITUTE(LEFT(combinedMaturityTable[[#This Row],[DSm]],MIN(250,LEN(combinedMaturityTable[[#This Row],[DSm]]))),CHAR(160)," ")))</f>
        <v/>
      </c>
    </row>
    <row r="73" spans="2:13" hidden="1" x14ac:dyDescent="0.25">
      <c r="B73" s="252" t="str">
        <f>'Risk Management and Oversight'!$M$74</f>
        <v>Cyber Risk Management and Oversight</v>
      </c>
      <c r="C73" s="252" t="str">
        <f>'Risk Management and Oversight'!$A$74</f>
        <v>Risk Management</v>
      </c>
      <c r="D73" s="252" t="str">
        <f>'Risk Management and Oversight'!$B$74</f>
        <v>Risk Management Program</v>
      </c>
      <c r="E73" s="252" t="str">
        <f>'Risk Management and Oversight'!$C$74</f>
        <v>Evolving</v>
      </c>
      <c r="F73" s="252">
        <f>'Risk Management and Oversight'!$D$74</f>
        <v>0</v>
      </c>
      <c r="G73" s="252">
        <f>'Risk Management and Oversight'!$N$74</f>
        <v>0</v>
      </c>
      <c r="H73" s="252">
        <f>'Risk Management and Oversight'!$O$74</f>
        <v>0</v>
      </c>
      <c r="I73" s="252">
        <f>'Risk Management and Oversight'!$P$74</f>
        <v>0</v>
      </c>
      <c r="J73" s="252">
        <f>'Risk Management and Oversight'!$Q$74</f>
        <v>0</v>
      </c>
      <c r="K73" t="s">
        <v>116</v>
      </c>
      <c r="L73" t="str">
        <f>IF(combinedMaturityTable[[#This Row],[Maturity Level]]="Baseline",LEFT(combinedMaturityTable[[#This Row],[DS]],FIND("(FFIEC ",combinedMaturityTable[[#This Row],[DS]])-1),"")</f>
        <v/>
      </c>
      <c r="M73" s="293" t="str">
        <f>CLEAN(TRIM(SUBSTITUTE(LEFT(combinedMaturityTable[[#This Row],[DSm]],MIN(250,LEN(combinedMaturityTable[[#This Row],[DSm]]))),CHAR(160)," ")))</f>
        <v/>
      </c>
    </row>
    <row r="74" spans="2:13" hidden="1" x14ac:dyDescent="0.25">
      <c r="B74" s="252" t="str">
        <f>'Risk Management and Oversight'!$M$75</f>
        <v>Cyber Risk Management and Oversight</v>
      </c>
      <c r="C74" s="252" t="str">
        <f>'Risk Management and Oversight'!$A$75</f>
        <v>Risk Management</v>
      </c>
      <c r="D74" s="252" t="str">
        <f>'Risk Management and Oversight'!$B$75</f>
        <v>Risk Management Program</v>
      </c>
      <c r="E74" s="252" t="str">
        <f>'Risk Management and Oversight'!$C$75</f>
        <v>Intermediate</v>
      </c>
      <c r="F74" s="252">
        <f>'Risk Management and Oversight'!$D$75</f>
        <v>0</v>
      </c>
      <c r="G74" s="252">
        <f>'Risk Management and Oversight'!$N$75</f>
        <v>0</v>
      </c>
      <c r="H74" s="252">
        <f>'Risk Management and Oversight'!$O$75</f>
        <v>0</v>
      </c>
      <c r="I74" s="252">
        <f>'Risk Management and Oversight'!$P$75</f>
        <v>0</v>
      </c>
      <c r="J74" s="252">
        <f>'Risk Management and Oversight'!$Q$75</f>
        <v>0</v>
      </c>
      <c r="K74" t="s">
        <v>117</v>
      </c>
      <c r="L74" t="str">
        <f>IF(combinedMaturityTable[[#This Row],[Maturity Level]]="Baseline",LEFT(combinedMaturityTable[[#This Row],[DS]],FIND("(FFIEC ",combinedMaturityTable[[#This Row],[DS]])-1),"")</f>
        <v/>
      </c>
      <c r="M74" s="293" t="str">
        <f>CLEAN(TRIM(SUBSTITUTE(LEFT(combinedMaturityTable[[#This Row],[DSm]],MIN(250,LEN(combinedMaturityTable[[#This Row],[DSm]]))),CHAR(160)," ")))</f>
        <v/>
      </c>
    </row>
    <row r="75" spans="2:13" hidden="1" x14ac:dyDescent="0.25">
      <c r="B75" s="252" t="str">
        <f>'Risk Management and Oversight'!$M$76</f>
        <v>Cyber Risk Management and Oversight</v>
      </c>
      <c r="C75" s="252" t="str">
        <f>'Risk Management and Oversight'!$A$76</f>
        <v>Risk Management</v>
      </c>
      <c r="D75" s="252" t="str">
        <f>'Risk Management and Oversight'!$B$76</f>
        <v>Risk Management Program</v>
      </c>
      <c r="E75" s="252" t="str">
        <f>'Risk Management and Oversight'!$C$76</f>
        <v>Intermediate</v>
      </c>
      <c r="F75" s="252">
        <f>'Risk Management and Oversight'!$D$76</f>
        <v>0</v>
      </c>
      <c r="G75" s="252">
        <f>'Risk Management and Oversight'!$N$76</f>
        <v>0</v>
      </c>
      <c r="H75" s="252">
        <f>'Risk Management and Oversight'!$O$76</f>
        <v>0</v>
      </c>
      <c r="I75" s="252">
        <f>'Risk Management and Oversight'!$P$76</f>
        <v>0</v>
      </c>
      <c r="J75" s="252">
        <f>'Risk Management and Oversight'!$Q$76</f>
        <v>0</v>
      </c>
      <c r="K75" t="s">
        <v>118</v>
      </c>
      <c r="L75" t="str">
        <f>IF(combinedMaturityTable[[#This Row],[Maturity Level]]="Baseline",LEFT(combinedMaturityTable[[#This Row],[DS]],FIND("(FFIEC ",combinedMaturityTable[[#This Row],[DS]])-1),"")</f>
        <v/>
      </c>
      <c r="M75" s="293" t="str">
        <f>CLEAN(TRIM(SUBSTITUTE(LEFT(combinedMaturityTable[[#This Row],[DSm]],MIN(250,LEN(combinedMaturityTable[[#This Row],[DSm]]))),CHAR(160)," ")))</f>
        <v/>
      </c>
    </row>
    <row r="76" spans="2:13" hidden="1" x14ac:dyDescent="0.25">
      <c r="B76" s="252" t="str">
        <f>'Risk Management and Oversight'!$M$77</f>
        <v>Cyber Risk Management and Oversight</v>
      </c>
      <c r="C76" s="252" t="str">
        <f>'Risk Management and Oversight'!$A$77</f>
        <v>Risk Management</v>
      </c>
      <c r="D76" s="252" t="str">
        <f>'Risk Management and Oversight'!$B$77</f>
        <v>Risk Management Program</v>
      </c>
      <c r="E76" s="252" t="str">
        <f>'Risk Management and Oversight'!$C$77</f>
        <v>Intermediate</v>
      </c>
      <c r="F76" s="252">
        <f>'Risk Management and Oversight'!$D$77</f>
        <v>0</v>
      </c>
      <c r="G76" s="252">
        <f>'Risk Management and Oversight'!$N$77</f>
        <v>0</v>
      </c>
      <c r="H76" s="252">
        <f>'Risk Management and Oversight'!$O$77</f>
        <v>0</v>
      </c>
      <c r="I76" s="252">
        <f>'Risk Management and Oversight'!$P$77</f>
        <v>0</v>
      </c>
      <c r="J76" s="252">
        <f>'Risk Management and Oversight'!$Q$77</f>
        <v>0</v>
      </c>
      <c r="K76" t="s">
        <v>119</v>
      </c>
      <c r="L76" t="str">
        <f>IF(combinedMaturityTable[[#This Row],[Maturity Level]]="Baseline",LEFT(combinedMaturityTable[[#This Row],[DS]],FIND("(FFIEC ",combinedMaturityTable[[#This Row],[DS]])-1),"")</f>
        <v/>
      </c>
      <c r="M76" s="293" t="str">
        <f>CLEAN(TRIM(SUBSTITUTE(LEFT(combinedMaturityTable[[#This Row],[DSm]],MIN(250,LEN(combinedMaturityTable[[#This Row],[DSm]]))),CHAR(160)," ")))</f>
        <v/>
      </c>
    </row>
    <row r="77" spans="2:13" hidden="1" x14ac:dyDescent="0.25">
      <c r="B77" s="252" t="str">
        <f>'Risk Management and Oversight'!$M$78</f>
        <v>Cyber Risk Management and Oversight</v>
      </c>
      <c r="C77" s="252" t="str">
        <f>'Risk Management and Oversight'!$A$78</f>
        <v>Risk Management</v>
      </c>
      <c r="D77" s="252" t="str">
        <f>'Risk Management and Oversight'!$B$78</f>
        <v>Risk Management Program</v>
      </c>
      <c r="E77" s="252" t="str">
        <f>'Risk Management and Oversight'!$C$78</f>
        <v>Intermediate</v>
      </c>
      <c r="F77" s="252">
        <f>'Risk Management and Oversight'!$D$78</f>
        <v>0</v>
      </c>
      <c r="G77" s="252">
        <f>'Risk Management and Oversight'!$N$78</f>
        <v>0</v>
      </c>
      <c r="H77" s="252">
        <f>'Risk Management and Oversight'!$O$78</f>
        <v>0</v>
      </c>
      <c r="I77" s="252">
        <f>'Risk Management and Oversight'!$P$78</f>
        <v>0</v>
      </c>
      <c r="J77" s="252">
        <f>'Risk Management and Oversight'!$Q$78</f>
        <v>0</v>
      </c>
      <c r="K77" t="s">
        <v>120</v>
      </c>
      <c r="L77" t="str">
        <f>IF(combinedMaturityTable[[#This Row],[Maturity Level]]="Baseline",LEFT(combinedMaturityTable[[#This Row],[DS]],FIND("(FFIEC ",combinedMaturityTable[[#This Row],[DS]])-1),"")</f>
        <v/>
      </c>
      <c r="M77" s="293" t="str">
        <f>CLEAN(TRIM(SUBSTITUTE(LEFT(combinedMaturityTable[[#This Row],[DSm]],MIN(250,LEN(combinedMaturityTable[[#This Row],[DSm]]))),CHAR(160)," ")))</f>
        <v/>
      </c>
    </row>
    <row r="78" spans="2:13" hidden="1" x14ac:dyDescent="0.25">
      <c r="B78" s="252" t="str">
        <f>'Risk Management and Oversight'!$M$79</f>
        <v>Cyber Risk Management and Oversight</v>
      </c>
      <c r="C78" s="252" t="str">
        <f>'Risk Management and Oversight'!$A$79</f>
        <v>Risk Management</v>
      </c>
      <c r="D78" s="252" t="str">
        <f>'Risk Management and Oversight'!$B$79</f>
        <v>Risk Management Program</v>
      </c>
      <c r="E78" s="252" t="str">
        <f>'Risk Management and Oversight'!$C$79</f>
        <v>Intermediate</v>
      </c>
      <c r="F78" s="252">
        <f>'Risk Management and Oversight'!$D$79</f>
        <v>0</v>
      </c>
      <c r="G78" s="252">
        <f>'Risk Management and Oversight'!$N$79</f>
        <v>0</v>
      </c>
      <c r="H78" s="252">
        <f>'Risk Management and Oversight'!$O$79</f>
        <v>0</v>
      </c>
      <c r="I78" s="252">
        <f>'Risk Management and Oversight'!$P$79</f>
        <v>0</v>
      </c>
      <c r="J78" s="252">
        <f>'Risk Management and Oversight'!$Q$79</f>
        <v>0</v>
      </c>
      <c r="K78" t="s">
        <v>121</v>
      </c>
      <c r="L78" t="str">
        <f>IF(combinedMaturityTable[[#This Row],[Maturity Level]]="Baseline",LEFT(combinedMaturityTable[[#This Row],[DS]],FIND("(FFIEC ",combinedMaturityTable[[#This Row],[DS]])-1),"")</f>
        <v/>
      </c>
      <c r="M78" s="293" t="str">
        <f>CLEAN(TRIM(SUBSTITUTE(LEFT(combinedMaturityTable[[#This Row],[DSm]],MIN(250,LEN(combinedMaturityTable[[#This Row],[DSm]]))),CHAR(160)," ")))</f>
        <v/>
      </c>
    </row>
    <row r="79" spans="2:13" hidden="1" x14ac:dyDescent="0.25">
      <c r="B79" s="252" t="str">
        <f>'Risk Management and Oversight'!$M$80</f>
        <v>Cyber Risk Management and Oversight</v>
      </c>
      <c r="C79" s="252" t="str">
        <f>'Risk Management and Oversight'!$A$80</f>
        <v>Risk Management</v>
      </c>
      <c r="D79" s="252" t="str">
        <f>'Risk Management and Oversight'!$B$80</f>
        <v>Risk Management Program</v>
      </c>
      <c r="E79" s="252" t="str">
        <f>'Risk Management and Oversight'!$C$80</f>
        <v>Advanced</v>
      </c>
      <c r="F79" s="252">
        <f>'Risk Management and Oversight'!$D$80</f>
        <v>0</v>
      </c>
      <c r="G79" s="252">
        <f>'Risk Management and Oversight'!$N$80</f>
        <v>0</v>
      </c>
      <c r="H79" s="252">
        <f>'Risk Management and Oversight'!$O$80</f>
        <v>0</v>
      </c>
      <c r="I79" s="252">
        <f>'Risk Management and Oversight'!$P$80</f>
        <v>0</v>
      </c>
      <c r="J79" s="252">
        <f>'Risk Management and Oversight'!$Q$80</f>
        <v>0</v>
      </c>
      <c r="K79" t="s">
        <v>122</v>
      </c>
      <c r="L79" t="str">
        <f>IF(combinedMaturityTable[[#This Row],[Maturity Level]]="Baseline",LEFT(combinedMaturityTable[[#This Row],[DS]],FIND("(FFIEC ",combinedMaturityTable[[#This Row],[DS]])-1),"")</f>
        <v/>
      </c>
      <c r="M79" s="293" t="str">
        <f>CLEAN(TRIM(SUBSTITUTE(LEFT(combinedMaturityTable[[#This Row],[DSm]],MIN(250,LEN(combinedMaturityTable[[#This Row],[DSm]]))),CHAR(160)," ")))</f>
        <v/>
      </c>
    </row>
    <row r="80" spans="2:13" hidden="1" x14ac:dyDescent="0.25">
      <c r="B80" s="252" t="str">
        <f>'Risk Management and Oversight'!$M$81</f>
        <v>Cyber Risk Management and Oversight</v>
      </c>
      <c r="C80" s="252" t="str">
        <f>'Risk Management and Oversight'!$A$81</f>
        <v>Risk Management</v>
      </c>
      <c r="D80" s="252" t="str">
        <f>'Risk Management and Oversight'!$B$81</f>
        <v>Risk Management Program</v>
      </c>
      <c r="E80" s="252" t="str">
        <f>'Risk Management and Oversight'!$C$81</f>
        <v>Advanced</v>
      </c>
      <c r="F80" s="252">
        <f>'Risk Management and Oversight'!$D$81</f>
        <v>0</v>
      </c>
      <c r="G80" s="252">
        <f>'Risk Management and Oversight'!$N$81</f>
        <v>0</v>
      </c>
      <c r="H80" s="252">
        <f>'Risk Management and Oversight'!$O$81</f>
        <v>0</v>
      </c>
      <c r="I80" s="252">
        <f>'Risk Management and Oversight'!$P$81</f>
        <v>0</v>
      </c>
      <c r="J80" s="252">
        <f>'Risk Management and Oversight'!$Q$81</f>
        <v>0</v>
      </c>
      <c r="K80" t="s">
        <v>123</v>
      </c>
      <c r="L80" t="str">
        <f>IF(combinedMaturityTable[[#This Row],[Maturity Level]]="Baseline",LEFT(combinedMaturityTable[[#This Row],[DS]],FIND("(FFIEC ",combinedMaturityTable[[#This Row],[DS]])-1),"")</f>
        <v/>
      </c>
      <c r="M80" s="293" t="str">
        <f>CLEAN(TRIM(SUBSTITUTE(LEFT(combinedMaturityTable[[#This Row],[DSm]],MIN(250,LEN(combinedMaturityTable[[#This Row],[DSm]]))),CHAR(160)," ")))</f>
        <v/>
      </c>
    </row>
    <row r="81" spans="2:13" hidden="1" x14ac:dyDescent="0.25">
      <c r="B81" s="252" t="str">
        <f>'Risk Management and Oversight'!$M$82</f>
        <v>Cyber Risk Management and Oversight</v>
      </c>
      <c r="C81" s="252" t="str">
        <f>'Risk Management and Oversight'!$A$82</f>
        <v>Risk Management</v>
      </c>
      <c r="D81" s="252" t="str">
        <f>'Risk Management and Oversight'!$B$82</f>
        <v>Risk Management Program</v>
      </c>
      <c r="E81" s="252" t="str">
        <f>'Risk Management and Oversight'!$C$82</f>
        <v>Advanced</v>
      </c>
      <c r="F81" s="252">
        <f>'Risk Management and Oversight'!$D$82</f>
        <v>0</v>
      </c>
      <c r="G81" s="252">
        <f>'Risk Management and Oversight'!$N$82</f>
        <v>0</v>
      </c>
      <c r="H81" s="252">
        <f>'Risk Management and Oversight'!$O$82</f>
        <v>0</v>
      </c>
      <c r="I81" s="252">
        <f>'Risk Management and Oversight'!$P$82</f>
        <v>0</v>
      </c>
      <c r="J81" s="252">
        <f>'Risk Management and Oversight'!$Q$82</f>
        <v>0</v>
      </c>
      <c r="K81" t="s">
        <v>124</v>
      </c>
      <c r="L81" t="str">
        <f>IF(combinedMaturityTable[[#This Row],[Maturity Level]]="Baseline",LEFT(combinedMaturityTable[[#This Row],[DS]],FIND("(FFIEC ",combinedMaturityTable[[#This Row],[DS]])-1),"")</f>
        <v/>
      </c>
      <c r="M81" s="293" t="str">
        <f>CLEAN(TRIM(SUBSTITUTE(LEFT(combinedMaturityTable[[#This Row],[DSm]],MIN(250,LEN(combinedMaturityTable[[#This Row],[DSm]]))),CHAR(160)," ")))</f>
        <v/>
      </c>
    </row>
    <row r="82" spans="2:13" hidden="1" x14ac:dyDescent="0.25">
      <c r="B82" s="252" t="str">
        <f>'Risk Management and Oversight'!$M$83</f>
        <v>Cyber Risk Management and Oversight</v>
      </c>
      <c r="C82" s="252" t="str">
        <f>'Risk Management and Oversight'!$A$83</f>
        <v>Risk Management</v>
      </c>
      <c r="D82" s="252" t="str">
        <f>'Risk Management and Oversight'!$B$83</f>
        <v>Risk Management Program</v>
      </c>
      <c r="E82" s="252" t="str">
        <f>'Risk Management and Oversight'!$C$83</f>
        <v>Advanced</v>
      </c>
      <c r="F82" s="252">
        <f>'Risk Management and Oversight'!$D$83</f>
        <v>0</v>
      </c>
      <c r="G82" s="252">
        <f>'Risk Management and Oversight'!$N$83</f>
        <v>0</v>
      </c>
      <c r="H82" s="252">
        <f>'Risk Management and Oversight'!$O$83</f>
        <v>0</v>
      </c>
      <c r="I82" s="252">
        <f>'Risk Management and Oversight'!$P$83</f>
        <v>0</v>
      </c>
      <c r="J82" s="252">
        <f>'Risk Management and Oversight'!$Q$83</f>
        <v>0</v>
      </c>
      <c r="K82" t="s">
        <v>125</v>
      </c>
      <c r="L82" t="str">
        <f>IF(combinedMaturityTable[[#This Row],[Maturity Level]]="Baseline",LEFT(combinedMaturityTable[[#This Row],[DS]],FIND("(FFIEC ",combinedMaturityTable[[#This Row],[DS]])-1),"")</f>
        <v/>
      </c>
      <c r="M82" s="293" t="str">
        <f>CLEAN(TRIM(SUBSTITUTE(LEFT(combinedMaturityTable[[#This Row],[DSm]],MIN(250,LEN(combinedMaturityTable[[#This Row],[DSm]]))),CHAR(160)," ")))</f>
        <v/>
      </c>
    </row>
    <row r="83" spans="2:13" hidden="1" x14ac:dyDescent="0.25">
      <c r="B83" s="252" t="str">
        <f>'Risk Management and Oversight'!$M$84</f>
        <v>Cyber Risk Management and Oversight</v>
      </c>
      <c r="C83" s="252" t="str">
        <f>'Risk Management and Oversight'!$A$84</f>
        <v>Risk Management</v>
      </c>
      <c r="D83" s="252" t="str">
        <f>'Risk Management and Oversight'!$B$84</f>
        <v>Risk Management Program</v>
      </c>
      <c r="E83" s="252" t="str">
        <f>'Risk Management and Oversight'!$C$84</f>
        <v>Advanced</v>
      </c>
      <c r="F83" s="252">
        <f>'Risk Management and Oversight'!$D$84</f>
        <v>0</v>
      </c>
      <c r="G83" s="252">
        <f>'Risk Management and Oversight'!$N$84</f>
        <v>0</v>
      </c>
      <c r="H83" s="252">
        <f>'Risk Management and Oversight'!$O$84</f>
        <v>0</v>
      </c>
      <c r="I83" s="252">
        <f>'Risk Management and Oversight'!$P$84</f>
        <v>0</v>
      </c>
      <c r="J83" s="252">
        <f>'Risk Management and Oversight'!$Q$84</f>
        <v>0</v>
      </c>
      <c r="K83" t="s">
        <v>126</v>
      </c>
      <c r="L83" t="str">
        <f>IF(combinedMaturityTable[[#This Row],[Maturity Level]]="Baseline",LEFT(combinedMaturityTable[[#This Row],[DS]],FIND("(FFIEC ",combinedMaturityTable[[#This Row],[DS]])-1),"")</f>
        <v/>
      </c>
      <c r="M83" s="293" t="str">
        <f>CLEAN(TRIM(SUBSTITUTE(LEFT(combinedMaturityTable[[#This Row],[DSm]],MIN(250,LEN(combinedMaturityTable[[#This Row],[DSm]]))),CHAR(160)," ")))</f>
        <v/>
      </c>
    </row>
    <row r="84" spans="2:13" hidden="1" x14ac:dyDescent="0.25">
      <c r="B84" s="252" t="str">
        <f>'Risk Management and Oversight'!$M$85</f>
        <v>Cyber Risk Management and Oversight</v>
      </c>
      <c r="C84" s="252" t="str">
        <f>'Risk Management and Oversight'!$A$85</f>
        <v>Risk Management</v>
      </c>
      <c r="D84" s="252" t="str">
        <f>'Risk Management and Oversight'!$B$85</f>
        <v>Risk Management Program</v>
      </c>
      <c r="E84" s="252" t="str">
        <f>'Risk Management and Oversight'!$C$85</f>
        <v>Innovative</v>
      </c>
      <c r="F84" s="252">
        <f>'Risk Management and Oversight'!$D$85</f>
        <v>0</v>
      </c>
      <c r="G84" s="252">
        <f>'Risk Management and Oversight'!$N$85</f>
        <v>0</v>
      </c>
      <c r="H84" s="252">
        <f>'Risk Management and Oversight'!$O$85</f>
        <v>0</v>
      </c>
      <c r="I84" s="252">
        <f>'Risk Management and Oversight'!$P$85</f>
        <v>0</v>
      </c>
      <c r="J84" s="252">
        <f>'Risk Management and Oversight'!$Q$85</f>
        <v>0</v>
      </c>
      <c r="K84" t="s">
        <v>127</v>
      </c>
      <c r="L84" t="str">
        <f>IF(combinedMaturityTable[[#This Row],[Maturity Level]]="Baseline",LEFT(combinedMaturityTable[[#This Row],[DS]],FIND("(FFIEC ",combinedMaturityTable[[#This Row],[DS]])-1),"")</f>
        <v/>
      </c>
      <c r="M84" s="293" t="str">
        <f>CLEAN(TRIM(SUBSTITUTE(LEFT(combinedMaturityTable[[#This Row],[DSm]],MIN(250,LEN(combinedMaturityTable[[#This Row],[DSm]]))),CHAR(160)," ")))</f>
        <v/>
      </c>
    </row>
    <row r="85" spans="2:13" hidden="1" x14ac:dyDescent="0.25">
      <c r="B85" s="252" t="str">
        <f>'Risk Management and Oversight'!$M$86</f>
        <v>Cyber Risk Management and Oversight</v>
      </c>
      <c r="C85" s="252" t="str">
        <f>'Risk Management and Oversight'!$A$86</f>
        <v>Risk Management</v>
      </c>
      <c r="D85" s="252" t="str">
        <f>'Risk Management and Oversight'!$B$86</f>
        <v>Risk Management Program</v>
      </c>
      <c r="E85" s="252" t="str">
        <f>'Risk Management and Oversight'!$C$86</f>
        <v>Innovative</v>
      </c>
      <c r="F85" s="252">
        <f>'Risk Management and Oversight'!$D$86</f>
        <v>0</v>
      </c>
      <c r="G85" s="252">
        <f>'Risk Management and Oversight'!$N$86</f>
        <v>0</v>
      </c>
      <c r="H85" s="252">
        <f>'Risk Management and Oversight'!$O$86</f>
        <v>0</v>
      </c>
      <c r="I85" s="252">
        <f>'Risk Management and Oversight'!$P$86</f>
        <v>0</v>
      </c>
      <c r="J85" s="252">
        <f>'Risk Management and Oversight'!$Q$86</f>
        <v>0</v>
      </c>
      <c r="K85" t="s">
        <v>128</v>
      </c>
      <c r="L85" t="str">
        <f>IF(combinedMaturityTable[[#This Row],[Maturity Level]]="Baseline",LEFT(combinedMaturityTable[[#This Row],[DS]],FIND("(FFIEC ",combinedMaturityTable[[#This Row],[DS]])-1),"")</f>
        <v/>
      </c>
      <c r="M85" s="293" t="str">
        <f>CLEAN(TRIM(SUBSTITUTE(LEFT(combinedMaturityTable[[#This Row],[DSm]],MIN(250,LEN(combinedMaturityTable[[#This Row],[DSm]]))),CHAR(160)," ")))</f>
        <v/>
      </c>
    </row>
    <row r="86" spans="2:13" x14ac:dyDescent="0.25">
      <c r="B86" s="252" t="str">
        <f>'Risk Management and Oversight'!$M$87</f>
        <v>Cyber Risk Management and Oversight</v>
      </c>
      <c r="C86" s="252" t="str">
        <f>'Risk Management and Oversight'!$A$87</f>
        <v>Risk Management</v>
      </c>
      <c r="D86" s="252" t="str">
        <f>'Risk Management and Oversight'!$B$87</f>
        <v>Risk Assessment</v>
      </c>
      <c r="E86" s="252" t="str">
        <f>'Risk Management and Oversight'!$C$87</f>
        <v>Baseline</v>
      </c>
      <c r="F86" s="252">
        <f>'Risk Management and Oversight'!$D$87</f>
        <v>0</v>
      </c>
      <c r="G86" s="252">
        <f>'Risk Management and Oversight'!$N$87</f>
        <v>0</v>
      </c>
      <c r="H86" s="252">
        <f>'Risk Management and Oversight'!$O$87</f>
        <v>0</v>
      </c>
      <c r="I86" s="252">
        <f>'Risk Management and Oversight'!$P$87</f>
        <v>0</v>
      </c>
      <c r="J86" s="252">
        <f>'Risk Management and Oversight'!$Q$87</f>
        <v>0</v>
      </c>
      <c r="K86" t="s">
        <v>129</v>
      </c>
      <c r="L86" t="str">
        <f>IF(combinedMaturityTable[[#This Row],[Maturity Level]]="Baseline",LEFT(combinedMaturityTable[[#This Row],[DS]],FIND("(FFIEC ",combinedMaturityTable[[#This Row],[DS]])-1),"")</f>
        <v xml:space="preserve">A risk assessment focused on safeguarding customer information identifies reasonable and foreseeable internal and external threats, the likelihood and potential damage of threats, and the sufficiency of policies, procedures, and customer information systems. </v>
      </c>
      <c r="M86" s="293" t="str">
        <f>CLEAN(TRIM(SUBSTITUTE(LEFT(combinedMaturityTable[[#This Row],[DSm]],MIN(250,LEN(combinedMaturityTable[[#This Row],[DSm]]))),CHAR(160)," ")))</f>
        <v>A risk assessment focused on safeguarding customer information identifies reasonable and foreseeable internal and external threats, the likelihood and potential damage of threats, and the sufficiency of policies, procedures, and customer information</v>
      </c>
    </row>
    <row r="87" spans="2:13" x14ac:dyDescent="0.25">
      <c r="B87" s="252" t="str">
        <f>'Risk Management and Oversight'!$M$88</f>
        <v>Cyber Risk Management and Oversight</v>
      </c>
      <c r="C87" s="252" t="str">
        <f>'Risk Management and Oversight'!$A$88</f>
        <v>Risk Management</v>
      </c>
      <c r="D87" s="252" t="str">
        <f>'Risk Management and Oversight'!$B$88</f>
        <v>Risk Assessment</v>
      </c>
      <c r="E87" s="252" t="str">
        <f>'Risk Management and Oversight'!$C$88</f>
        <v>Baseline</v>
      </c>
      <c r="F87" s="252">
        <f>'Risk Management and Oversight'!$D$88</f>
        <v>0</v>
      </c>
      <c r="G87" s="252">
        <f>'Risk Management and Oversight'!$N$88</f>
        <v>0</v>
      </c>
      <c r="H87" s="252">
        <f>'Risk Management and Oversight'!$O$88</f>
        <v>0</v>
      </c>
      <c r="I87" s="252">
        <f>'Risk Management and Oversight'!$P$88</f>
        <v>0</v>
      </c>
      <c r="J87" s="252">
        <f>'Risk Management and Oversight'!$Q$88</f>
        <v>0</v>
      </c>
      <c r="K87" t="s">
        <v>130</v>
      </c>
      <c r="L87" t="str">
        <f>IF(combinedMaturityTable[[#This Row],[Maturity Level]]="Baseline",LEFT(combinedMaturityTable[[#This Row],[DS]],FIND("(FFIEC ",combinedMaturityTable[[#This Row],[DS]])-1),"")</f>
        <v xml:space="preserve">The risk assessment identifies internet-based systems and high-risk transactions that warrant additional authentication controls. </v>
      </c>
      <c r="M87" s="293" t="str">
        <f>CLEAN(TRIM(SUBSTITUTE(LEFT(combinedMaturityTable[[#This Row],[DSm]],MIN(250,LEN(combinedMaturityTable[[#This Row],[DSm]]))),CHAR(160)," ")))</f>
        <v>The risk assessment identifies internet-based systems and high-risk transactions that warrant additional authentication controls.</v>
      </c>
    </row>
    <row r="88" spans="2:13" x14ac:dyDescent="0.25">
      <c r="B88" s="252" t="str">
        <f>'Risk Management and Oversight'!$M$89</f>
        <v>Cyber Risk Management and Oversight</v>
      </c>
      <c r="C88" s="252" t="str">
        <f>'Risk Management and Oversight'!$A$89</f>
        <v>Risk Management</v>
      </c>
      <c r="D88" s="252" t="str">
        <f>'Risk Management and Oversight'!$B$89</f>
        <v>Risk Assessment</v>
      </c>
      <c r="E88" s="252" t="str">
        <f>'Risk Management and Oversight'!$C$89</f>
        <v>Baseline</v>
      </c>
      <c r="F88" s="252">
        <f>'Risk Management and Oversight'!$D$89</f>
        <v>0</v>
      </c>
      <c r="G88" s="252">
        <f>'Risk Management and Oversight'!$N$89</f>
        <v>0</v>
      </c>
      <c r="H88" s="252">
        <f>'Risk Management and Oversight'!$O$89</f>
        <v>0</v>
      </c>
      <c r="I88" s="252">
        <f>'Risk Management and Oversight'!$P$89</f>
        <v>0</v>
      </c>
      <c r="J88" s="252">
        <f>'Risk Management and Oversight'!$Q$89</f>
        <v>0</v>
      </c>
      <c r="K88" t="s">
        <v>131</v>
      </c>
      <c r="L88" t="str">
        <f>IF(combinedMaturityTable[[#This Row],[Maturity Level]]="Baseline",LEFT(combinedMaturityTable[[#This Row],[DS]],FIND("(FFIEC ",combinedMaturityTable[[#This Row],[DS]])-1),"")</f>
        <v xml:space="preserve">The risk assessment is updated to address new technologies, products, services, and connections before deployment. </v>
      </c>
      <c r="M88" s="293" t="str">
        <f>CLEAN(TRIM(SUBSTITUTE(LEFT(combinedMaturityTable[[#This Row],[DSm]],MIN(250,LEN(combinedMaturityTable[[#This Row],[DSm]]))),CHAR(160)," ")))</f>
        <v>The risk assessment is updated to address new technologies, products, services, and connections before deployment.</v>
      </c>
    </row>
    <row r="89" spans="2:13" hidden="1" x14ac:dyDescent="0.25">
      <c r="B89" s="252" t="str">
        <f>'Risk Management and Oversight'!$M$90</f>
        <v>Cyber Risk Management and Oversight</v>
      </c>
      <c r="C89" s="252" t="str">
        <f>'Risk Management and Oversight'!$A$90</f>
        <v>Risk Management</v>
      </c>
      <c r="D89" s="252" t="str">
        <f>'Risk Management and Oversight'!$B$90</f>
        <v>Risk Assessment</v>
      </c>
      <c r="E89" s="252" t="str">
        <f>'Risk Management and Oversight'!$C$90</f>
        <v>Evolving</v>
      </c>
      <c r="F89" s="252">
        <f>'Risk Management and Oversight'!$D$90</f>
        <v>0</v>
      </c>
      <c r="G89" s="252">
        <f>'Risk Management and Oversight'!$N$90</f>
        <v>0</v>
      </c>
      <c r="H89" s="252">
        <f>'Risk Management and Oversight'!$O$90</f>
        <v>0</v>
      </c>
      <c r="I89" s="252">
        <f>'Risk Management and Oversight'!$P$90</f>
        <v>0</v>
      </c>
      <c r="J89" s="252">
        <f>'Risk Management and Oversight'!$Q$90</f>
        <v>0</v>
      </c>
      <c r="K89" t="s">
        <v>132</v>
      </c>
      <c r="L89" t="str">
        <f>IF(combinedMaturityTable[[#This Row],[Maturity Level]]="Baseline",LEFT(combinedMaturityTable[[#This Row],[DS]],FIND("(FFIEC ",combinedMaturityTable[[#This Row],[DS]])-1),"")</f>
        <v/>
      </c>
      <c r="M89" s="293" t="str">
        <f>CLEAN(TRIM(SUBSTITUTE(LEFT(combinedMaturityTable[[#This Row],[DSm]],MIN(250,LEN(combinedMaturityTable[[#This Row],[DSm]]))),CHAR(160)," ")))</f>
        <v/>
      </c>
    </row>
    <row r="90" spans="2:13" hidden="1" x14ac:dyDescent="0.25">
      <c r="B90" s="252" t="str">
        <f>'Risk Management and Oversight'!$M$91</f>
        <v>Cyber Risk Management and Oversight</v>
      </c>
      <c r="C90" s="252" t="str">
        <f>'Risk Management and Oversight'!$A$91</f>
        <v>Risk Management</v>
      </c>
      <c r="D90" s="252" t="str">
        <f>'Risk Management and Oversight'!$B$91</f>
        <v>Risk Assessment</v>
      </c>
      <c r="E90" s="252" t="str">
        <f>'Risk Management and Oversight'!$C$91</f>
        <v>Evolving</v>
      </c>
      <c r="F90" s="252">
        <f>'Risk Management and Oversight'!$D$91</f>
        <v>0</v>
      </c>
      <c r="G90" s="252">
        <f>'Risk Management and Oversight'!$N$91</f>
        <v>0</v>
      </c>
      <c r="H90" s="252">
        <f>'Risk Management and Oversight'!$O$91</f>
        <v>0</v>
      </c>
      <c r="I90" s="252">
        <f>'Risk Management and Oversight'!$P$91</f>
        <v>0</v>
      </c>
      <c r="J90" s="252">
        <f>'Risk Management and Oversight'!$Q$91</f>
        <v>0</v>
      </c>
      <c r="K90" t="s">
        <v>133</v>
      </c>
      <c r="L90" t="str">
        <f>IF(combinedMaturityTable[[#This Row],[Maturity Level]]="Baseline",LEFT(combinedMaturityTable[[#This Row],[DS]],FIND("(FFIEC ",combinedMaturityTable[[#This Row],[DS]])-1),"")</f>
        <v/>
      </c>
      <c r="M90" s="293" t="str">
        <f>CLEAN(TRIM(SUBSTITUTE(LEFT(combinedMaturityTable[[#This Row],[DSm]],MIN(250,LEN(combinedMaturityTable[[#This Row],[DSm]]))),CHAR(160)," ")))</f>
        <v/>
      </c>
    </row>
    <row r="91" spans="2:13" hidden="1" x14ac:dyDescent="0.25">
      <c r="B91" s="252" t="str">
        <f>'Risk Management and Oversight'!$M$92</f>
        <v>Cyber Risk Management and Oversight</v>
      </c>
      <c r="C91" s="252" t="str">
        <f>'Risk Management and Oversight'!$A$92</f>
        <v>Risk Management</v>
      </c>
      <c r="D91" s="252" t="str">
        <f>'Risk Management and Oversight'!$B$92</f>
        <v>Risk Assessment</v>
      </c>
      <c r="E91" s="252" t="str">
        <f>'Risk Management and Oversight'!$C$92</f>
        <v>Evolving</v>
      </c>
      <c r="F91" s="252">
        <f>'Risk Management and Oversight'!$D$92</f>
        <v>0</v>
      </c>
      <c r="G91" s="252">
        <f>'Risk Management and Oversight'!$N$92</f>
        <v>0</v>
      </c>
      <c r="H91" s="252">
        <f>'Risk Management and Oversight'!$O$92</f>
        <v>0</v>
      </c>
      <c r="I91" s="252">
        <f>'Risk Management and Oversight'!$P$92</f>
        <v>0</v>
      </c>
      <c r="J91" s="252">
        <f>'Risk Management and Oversight'!$Q$92</f>
        <v>0</v>
      </c>
      <c r="K91" t="s">
        <v>134</v>
      </c>
      <c r="L91" t="str">
        <f>IF(combinedMaturityTable[[#This Row],[Maturity Level]]="Baseline",LEFT(combinedMaturityTable[[#This Row],[DS]],FIND("(FFIEC ",combinedMaturityTable[[#This Row],[DS]])-1),"")</f>
        <v/>
      </c>
      <c r="M91" s="293" t="str">
        <f>CLEAN(TRIM(SUBSTITUTE(LEFT(combinedMaturityTable[[#This Row],[DSm]],MIN(250,LEN(combinedMaturityTable[[#This Row],[DSm]]))),CHAR(160)," ")))</f>
        <v/>
      </c>
    </row>
    <row r="92" spans="2:13" hidden="1" x14ac:dyDescent="0.25">
      <c r="B92" s="252" t="str">
        <f>'Risk Management and Oversight'!$M$93</f>
        <v>Cyber Risk Management and Oversight</v>
      </c>
      <c r="C92" s="252" t="str">
        <f>'Risk Management and Oversight'!$A$93</f>
        <v>Risk Management</v>
      </c>
      <c r="D92" s="252" t="str">
        <f>'Risk Management and Oversight'!$B$93</f>
        <v>Risk Assessment</v>
      </c>
      <c r="E92" s="252" t="str">
        <f>'Risk Management and Oversight'!$C$93</f>
        <v>Intermediate</v>
      </c>
      <c r="F92" s="252">
        <f>'Risk Management and Oversight'!$D$93</f>
        <v>0</v>
      </c>
      <c r="G92" s="252">
        <f>'Risk Management and Oversight'!$N$93</f>
        <v>0</v>
      </c>
      <c r="H92" s="252">
        <f>'Risk Management and Oversight'!$O$93</f>
        <v>0</v>
      </c>
      <c r="I92" s="252">
        <f>'Risk Management and Oversight'!$P$93</f>
        <v>0</v>
      </c>
      <c r="J92" s="252">
        <f>'Risk Management and Oversight'!$Q$93</f>
        <v>0</v>
      </c>
      <c r="K92" t="s">
        <v>135</v>
      </c>
      <c r="L92" t="str">
        <f>IF(combinedMaturityTable[[#This Row],[Maturity Level]]="Baseline",LEFT(combinedMaturityTable[[#This Row],[DS]],FIND("(FFIEC ",combinedMaturityTable[[#This Row],[DS]])-1),"")</f>
        <v/>
      </c>
      <c r="M92" s="293" t="str">
        <f>CLEAN(TRIM(SUBSTITUTE(LEFT(combinedMaturityTable[[#This Row],[DSm]],MIN(250,LEN(combinedMaturityTable[[#This Row],[DSm]]))),CHAR(160)," ")))</f>
        <v/>
      </c>
    </row>
    <row r="93" spans="2:13" hidden="1" x14ac:dyDescent="0.25">
      <c r="B93" s="252" t="str">
        <f>'Risk Management and Oversight'!$M$94</f>
        <v>Cyber Risk Management and Oversight</v>
      </c>
      <c r="C93" s="252" t="str">
        <f>'Risk Management and Oversight'!$A$94</f>
        <v>Risk Management</v>
      </c>
      <c r="D93" s="252" t="str">
        <f>'Risk Management and Oversight'!$B$94</f>
        <v>Risk Assessment</v>
      </c>
      <c r="E93" s="252" t="str">
        <f>'Risk Management and Oversight'!$C$94</f>
        <v>Advanced</v>
      </c>
      <c r="F93" s="252">
        <f>'Risk Management and Oversight'!$D$94</f>
        <v>0</v>
      </c>
      <c r="G93" s="252">
        <f>'Risk Management and Oversight'!$N$94</f>
        <v>0</v>
      </c>
      <c r="H93" s="252">
        <f>'Risk Management and Oversight'!$O$94</f>
        <v>0</v>
      </c>
      <c r="I93" s="252">
        <f>'Risk Management and Oversight'!$P$94</f>
        <v>0</v>
      </c>
      <c r="J93" s="252">
        <f>'Risk Management and Oversight'!$Q$94</f>
        <v>0</v>
      </c>
      <c r="K93" t="s">
        <v>136</v>
      </c>
      <c r="L93" t="str">
        <f>IF(combinedMaturityTable[[#This Row],[Maturity Level]]="Baseline",LEFT(combinedMaturityTable[[#This Row],[DS]],FIND("(FFIEC ",combinedMaturityTable[[#This Row],[DS]])-1),"")</f>
        <v/>
      </c>
      <c r="M93" s="293" t="str">
        <f>CLEAN(TRIM(SUBSTITUTE(LEFT(combinedMaturityTable[[#This Row],[DSm]],MIN(250,LEN(combinedMaturityTable[[#This Row],[DSm]]))),CHAR(160)," ")))</f>
        <v/>
      </c>
    </row>
    <row r="94" spans="2:13" hidden="1" x14ac:dyDescent="0.25">
      <c r="B94" s="252" t="str">
        <f>'Risk Management and Oversight'!$M$95</f>
        <v>Cyber Risk Management and Oversight</v>
      </c>
      <c r="C94" s="252" t="str">
        <f>'Risk Management and Oversight'!$A$95</f>
        <v>Risk Management</v>
      </c>
      <c r="D94" s="252" t="str">
        <f>'Risk Management and Oversight'!$B$95</f>
        <v>Risk Assessment</v>
      </c>
      <c r="E94" s="252" t="str">
        <f>'Risk Management and Oversight'!$C$95</f>
        <v>Innovative</v>
      </c>
      <c r="F94" s="252">
        <f>'Risk Management and Oversight'!$D$95</f>
        <v>0</v>
      </c>
      <c r="G94" s="252">
        <f>'Risk Management and Oversight'!$N$95</f>
        <v>0</v>
      </c>
      <c r="H94" s="252">
        <f>'Risk Management and Oversight'!$O$95</f>
        <v>0</v>
      </c>
      <c r="I94" s="252">
        <f>'Risk Management and Oversight'!$P$95</f>
        <v>0</v>
      </c>
      <c r="J94" s="252">
        <f>'Risk Management and Oversight'!$Q$95</f>
        <v>0</v>
      </c>
      <c r="K94" t="s">
        <v>137</v>
      </c>
      <c r="L94" t="str">
        <f>IF(combinedMaturityTable[[#This Row],[Maturity Level]]="Baseline",LEFT(combinedMaturityTable[[#This Row],[DS]],FIND("(FFIEC ",combinedMaturityTable[[#This Row],[DS]])-1),"")</f>
        <v/>
      </c>
      <c r="M94" s="293" t="str">
        <f>CLEAN(TRIM(SUBSTITUTE(LEFT(combinedMaturityTable[[#This Row],[DSm]],MIN(250,LEN(combinedMaturityTable[[#This Row],[DSm]]))),CHAR(160)," ")))</f>
        <v/>
      </c>
    </row>
    <row r="95" spans="2:13" hidden="1" x14ac:dyDescent="0.25">
      <c r="B95" s="252" t="str">
        <f>'Risk Management and Oversight'!$M$96</f>
        <v>Cyber Risk Management and Oversight</v>
      </c>
      <c r="C95" s="252" t="str">
        <f>'Risk Management and Oversight'!$A$96</f>
        <v>Risk Management</v>
      </c>
      <c r="D95" s="252" t="str">
        <f>'Risk Management and Oversight'!$B$96</f>
        <v>Risk Assessment</v>
      </c>
      <c r="E95" s="252" t="str">
        <f>'Risk Management and Oversight'!$C$96</f>
        <v>Innovative</v>
      </c>
      <c r="F95" s="252">
        <f>'Risk Management and Oversight'!$D$96</f>
        <v>0</v>
      </c>
      <c r="G95" s="252">
        <f>'Risk Management and Oversight'!$N$96</f>
        <v>0</v>
      </c>
      <c r="H95" s="252">
        <f>'Risk Management and Oversight'!$O$96</f>
        <v>0</v>
      </c>
      <c r="I95" s="252">
        <f>'Risk Management and Oversight'!$P$96</f>
        <v>0</v>
      </c>
      <c r="J95" s="252">
        <f>'Risk Management and Oversight'!$Q$96</f>
        <v>0</v>
      </c>
      <c r="K95" t="s">
        <v>138</v>
      </c>
      <c r="L95" t="str">
        <f>IF(combinedMaturityTable[[#This Row],[Maturity Level]]="Baseline",LEFT(combinedMaturityTable[[#This Row],[DS]],FIND("(FFIEC ",combinedMaturityTable[[#This Row],[DS]])-1),"")</f>
        <v/>
      </c>
      <c r="M95" s="293" t="str">
        <f>CLEAN(TRIM(SUBSTITUTE(LEFT(combinedMaturityTable[[#This Row],[DSm]],MIN(250,LEN(combinedMaturityTable[[#This Row],[DSm]]))),CHAR(160)," ")))</f>
        <v/>
      </c>
    </row>
    <row r="96" spans="2:13" hidden="1" x14ac:dyDescent="0.25">
      <c r="B96" s="252" t="str">
        <f>'Risk Management and Oversight'!$M$97</f>
        <v>Cyber Risk Management and Oversight</v>
      </c>
      <c r="C96" s="252" t="str">
        <f>'Risk Management and Oversight'!$A$97</f>
        <v>Risk Management</v>
      </c>
      <c r="D96" s="252" t="str">
        <f>'Risk Management and Oversight'!$B$97</f>
        <v>Risk Assessment</v>
      </c>
      <c r="E96" s="252" t="str">
        <f>'Risk Management and Oversight'!$C$97</f>
        <v>Innovative</v>
      </c>
      <c r="F96" s="252">
        <f>'Risk Management and Oversight'!$D$97</f>
        <v>0</v>
      </c>
      <c r="G96" s="252">
        <f>'Risk Management and Oversight'!$N$97</f>
        <v>0</v>
      </c>
      <c r="H96" s="252">
        <f>'Risk Management and Oversight'!$O$97</f>
        <v>0</v>
      </c>
      <c r="I96" s="252">
        <f>'Risk Management and Oversight'!$P$97</f>
        <v>0</v>
      </c>
      <c r="J96" s="252">
        <f>'Risk Management and Oversight'!$Q$97</f>
        <v>0</v>
      </c>
      <c r="K96" t="s">
        <v>139</v>
      </c>
      <c r="L96" t="str">
        <f>IF(combinedMaturityTable[[#This Row],[Maturity Level]]="Baseline",LEFT(combinedMaturityTable[[#This Row],[DS]],FIND("(FFIEC ",combinedMaturityTable[[#This Row],[DS]])-1),"")</f>
        <v/>
      </c>
      <c r="M96" s="293" t="str">
        <f>CLEAN(TRIM(SUBSTITUTE(LEFT(combinedMaturityTable[[#This Row],[DSm]],MIN(250,LEN(combinedMaturityTable[[#This Row],[DSm]]))),CHAR(160)," ")))</f>
        <v/>
      </c>
    </row>
    <row r="97" spans="2:13" x14ac:dyDescent="0.25">
      <c r="B97" s="252" t="str">
        <f>'Risk Management and Oversight'!$M$98</f>
        <v>Cyber Risk Management and Oversight</v>
      </c>
      <c r="C97" s="252" t="str">
        <f>'Risk Management and Oversight'!$A$98</f>
        <v>Risk Management</v>
      </c>
      <c r="D97" s="252" t="str">
        <f>'Risk Management and Oversight'!$B$98</f>
        <v>Audit</v>
      </c>
      <c r="E97" s="252" t="str">
        <f>'Risk Management and Oversight'!$C$98</f>
        <v>Baseline</v>
      </c>
      <c r="F97" s="252">
        <f>'Risk Management and Oversight'!$D$98</f>
        <v>0</v>
      </c>
      <c r="G97" s="252">
        <f>'Risk Management and Oversight'!$N$98</f>
        <v>0</v>
      </c>
      <c r="H97" s="252">
        <f>'Risk Management and Oversight'!$O$98</f>
        <v>0</v>
      </c>
      <c r="I97" s="252">
        <f>'Risk Management and Oversight'!$P$98</f>
        <v>0</v>
      </c>
      <c r="J97" s="252">
        <f>'Risk Management and Oversight'!$Q$98</f>
        <v>0</v>
      </c>
      <c r="K97" t="s">
        <v>140</v>
      </c>
      <c r="L97" t="str">
        <f>IF(combinedMaturityTable[[#This Row],[Maturity Level]]="Baseline",LEFT(combinedMaturityTable[[#This Row],[DS]],FIND("(FFIEC ",combinedMaturityTable[[#This Row],[DS]])-1),"")</f>
        <v xml:space="preserve">Independent audit or review evaluates policies, procedures, and controls across the institution for significant risks and control issues associated with the institution's operations, including risks in new products, emerging technologies, and information systems. </v>
      </c>
      <c r="M97" s="293" t="str">
        <f>CLEAN(TRIM(SUBSTITUTE(LEFT(combinedMaturityTable[[#This Row],[DSm]],MIN(250,LEN(combinedMaturityTable[[#This Row],[DSm]]))),CHAR(160)," ")))</f>
        <v>Independent audit or review evaluates policies, procedures, and controls across the institution for significant risks and control issues associated with the institution's operations, including risks in new products, emerging technologies, and informa</v>
      </c>
    </row>
    <row r="98" spans="2:13" x14ac:dyDescent="0.25">
      <c r="B98" s="252" t="str">
        <f>'Risk Management and Oversight'!$M$99</f>
        <v>Cyber Risk Management and Oversight</v>
      </c>
      <c r="C98" s="252" t="str">
        <f>'Risk Management and Oversight'!$A$99</f>
        <v>Risk Management</v>
      </c>
      <c r="D98" s="252" t="str">
        <f>'Risk Management and Oversight'!$B$99</f>
        <v>Audit</v>
      </c>
      <c r="E98" s="252" t="str">
        <f>'Risk Management and Oversight'!$C$99</f>
        <v>Baseline</v>
      </c>
      <c r="F98" s="252">
        <f>'Risk Management and Oversight'!$D$99</f>
        <v>0</v>
      </c>
      <c r="G98" s="252">
        <f>'Risk Management and Oversight'!$N$99</f>
        <v>0</v>
      </c>
      <c r="H98" s="252">
        <f>'Risk Management and Oversight'!$O$99</f>
        <v>0</v>
      </c>
      <c r="I98" s="252">
        <f>'Risk Management and Oversight'!$P$99</f>
        <v>0</v>
      </c>
      <c r="J98" s="252">
        <f>'Risk Management and Oversight'!$Q$99</f>
        <v>0</v>
      </c>
      <c r="K98" t="s">
        <v>141</v>
      </c>
      <c r="L98" t="str">
        <f>IF(combinedMaturityTable[[#This Row],[Maturity Level]]="Baseline",LEFT(combinedMaturityTable[[#This Row],[DS]],FIND("(FFIEC ",combinedMaturityTable[[#This Row],[DS]])-1),"")</f>
        <v xml:space="preserve">The independent audit function validates controls related to the storage or transmission of confidential data. </v>
      </c>
      <c r="M98" s="293" t="str">
        <f>CLEAN(TRIM(SUBSTITUTE(LEFT(combinedMaturityTable[[#This Row],[DSm]],MIN(250,LEN(combinedMaturityTable[[#This Row],[DSm]]))),CHAR(160)," ")))</f>
        <v>The independent audit function validates controls related to the storage or transmission of confidential data.</v>
      </c>
    </row>
    <row r="99" spans="2:13" x14ac:dyDescent="0.25">
      <c r="B99" s="252" t="str">
        <f>'Risk Management and Oversight'!$M$100</f>
        <v>Cyber Risk Management and Oversight</v>
      </c>
      <c r="C99" s="252" t="str">
        <f>'Risk Management and Oversight'!$A$100</f>
        <v>Risk Management</v>
      </c>
      <c r="D99" s="252" t="str">
        <f>'Risk Management and Oversight'!$B$100</f>
        <v>Audit</v>
      </c>
      <c r="E99" s="252" t="str">
        <f>'Risk Management and Oversight'!$C$100</f>
        <v>Baseline</v>
      </c>
      <c r="F99" s="252">
        <f>'Risk Management and Oversight'!$D$100</f>
        <v>0</v>
      </c>
      <c r="G99" s="252">
        <f>'Risk Management and Oversight'!$N$100</f>
        <v>0</v>
      </c>
      <c r="H99" s="252">
        <f>'Risk Management and Oversight'!$O$100</f>
        <v>0</v>
      </c>
      <c r="I99" s="252">
        <f>'Risk Management and Oversight'!$P$100</f>
        <v>0</v>
      </c>
      <c r="J99" s="252">
        <f>'Risk Management and Oversight'!$Q$100</f>
        <v>0</v>
      </c>
      <c r="K99" t="s">
        <v>142</v>
      </c>
      <c r="L99" t="str">
        <f>IF(combinedMaturityTable[[#This Row],[Maturity Level]]="Baseline",LEFT(combinedMaturityTable[[#This Row],[DS]],FIND("(FFIEC ",combinedMaturityTable[[#This Row],[DS]])-1),"")</f>
        <v xml:space="preserve">Logging practices are independently reviewed periodically to ensure appropriate log management (e.g., access controls, retention, and maintenance). </v>
      </c>
      <c r="M99" s="293" t="str">
        <f>CLEAN(TRIM(SUBSTITUTE(LEFT(combinedMaturityTable[[#This Row],[DSm]],MIN(250,LEN(combinedMaturityTable[[#This Row],[DSm]]))),CHAR(160)," ")))</f>
        <v>Logging practices are independently reviewed periodically to ensure appropriate log management (e.g., access controls, retention, and maintenance).</v>
      </c>
    </row>
    <row r="100" spans="2:13" x14ac:dyDescent="0.25">
      <c r="B100" s="252" t="str">
        <f>'Risk Management and Oversight'!$M$101</f>
        <v>Cyber Risk Management and Oversight</v>
      </c>
      <c r="C100" s="252" t="str">
        <f>'Risk Management and Oversight'!$A$101</f>
        <v>Risk Management</v>
      </c>
      <c r="D100" s="252" t="str">
        <f>'Risk Management and Oversight'!$B$101</f>
        <v>Audit</v>
      </c>
      <c r="E100" s="252" t="str">
        <f>'Risk Management and Oversight'!$C$101</f>
        <v>Baseline</v>
      </c>
      <c r="F100" s="252">
        <f>'Risk Management and Oversight'!$D$101</f>
        <v>0</v>
      </c>
      <c r="G100" s="252">
        <f>'Risk Management and Oversight'!$N$101</f>
        <v>0</v>
      </c>
      <c r="H100" s="252">
        <f>'Risk Management and Oversight'!$O$101</f>
        <v>0</v>
      </c>
      <c r="I100" s="252">
        <f>'Risk Management and Oversight'!$P$101</f>
        <v>0</v>
      </c>
      <c r="J100" s="252">
        <f>'Risk Management and Oversight'!$Q$101</f>
        <v>0</v>
      </c>
      <c r="K100" t="s">
        <v>143</v>
      </c>
      <c r="L100" t="str">
        <f>IF(combinedMaturityTable[[#This Row],[Maturity Level]]="Baseline",LEFT(combinedMaturityTable[[#This Row],[DS]],FIND("(FFIEC ",combinedMaturityTable[[#This Row],[DS]])-1),"")</f>
        <v xml:space="preserve">Issues and corrective actions from internal audits and independent testing/assessments are formally tracked to ensure procedures and control lapses are resolved in a timely manner. </v>
      </c>
      <c r="M100" s="293" t="str">
        <f>CLEAN(TRIM(SUBSTITUTE(LEFT(combinedMaturityTable[[#This Row],[DSm]],MIN(250,LEN(combinedMaturityTable[[#This Row],[DSm]]))),CHAR(160)," ")))</f>
        <v>Issues and corrective actions from internal audits and independent testing/assessments are formally tracked to ensure procedures and control lapses are resolved in a timely manner.</v>
      </c>
    </row>
    <row r="101" spans="2:13" hidden="1" x14ac:dyDescent="0.25">
      <c r="B101" s="252" t="str">
        <f>'Risk Management and Oversight'!$M$102</f>
        <v>Cyber Risk Management and Oversight</v>
      </c>
      <c r="C101" s="252" t="str">
        <f>'Risk Management and Oversight'!$A$102</f>
        <v>Risk Management</v>
      </c>
      <c r="D101" s="252" t="str">
        <f>'Risk Management and Oversight'!$B$102</f>
        <v>Audit</v>
      </c>
      <c r="E101" s="252" t="str">
        <f>'Risk Management and Oversight'!$C$102</f>
        <v>Evolving</v>
      </c>
      <c r="F101" s="252">
        <f>'Risk Management and Oversight'!$D$102</f>
        <v>0</v>
      </c>
      <c r="G101" s="252">
        <f>'Risk Management and Oversight'!$N$102</f>
        <v>0</v>
      </c>
      <c r="H101" s="252">
        <f>'Risk Management and Oversight'!$O$102</f>
        <v>0</v>
      </c>
      <c r="I101" s="252">
        <f>'Risk Management and Oversight'!$P$102</f>
        <v>0</v>
      </c>
      <c r="J101" s="252">
        <f>'Risk Management and Oversight'!$Q$102</f>
        <v>0</v>
      </c>
      <c r="K101" t="s">
        <v>144</v>
      </c>
      <c r="L101" t="str">
        <f>IF(combinedMaturityTable[[#This Row],[Maturity Level]]="Baseline",LEFT(combinedMaturityTable[[#This Row],[DS]],FIND("(FFIEC ",combinedMaturityTable[[#This Row],[DS]])-1),"")</f>
        <v/>
      </c>
      <c r="M101" s="293" t="str">
        <f>CLEAN(TRIM(SUBSTITUTE(LEFT(combinedMaturityTable[[#This Row],[DSm]],MIN(250,LEN(combinedMaturityTable[[#This Row],[DSm]]))),CHAR(160)," ")))</f>
        <v/>
      </c>
    </row>
    <row r="102" spans="2:13" hidden="1" x14ac:dyDescent="0.25">
      <c r="B102" s="252" t="str">
        <f>'Risk Management and Oversight'!$M$103</f>
        <v>Cyber Risk Management and Oversight</v>
      </c>
      <c r="C102" s="252" t="str">
        <f>'Risk Management and Oversight'!$A$103</f>
        <v>Risk Management</v>
      </c>
      <c r="D102" s="252" t="str">
        <f>'Risk Management and Oversight'!$B$103</f>
        <v>Audit</v>
      </c>
      <c r="E102" s="252" t="str">
        <f>'Risk Management and Oversight'!$C$103</f>
        <v>Evolving</v>
      </c>
      <c r="F102" s="252">
        <f>'Risk Management and Oversight'!$D$103</f>
        <v>0</v>
      </c>
      <c r="G102" s="252">
        <f>'Risk Management and Oversight'!$N$103</f>
        <v>0</v>
      </c>
      <c r="H102" s="252">
        <f>'Risk Management and Oversight'!$O$103</f>
        <v>0</v>
      </c>
      <c r="I102" s="252">
        <f>'Risk Management and Oversight'!$P$103</f>
        <v>0</v>
      </c>
      <c r="J102" s="252">
        <f>'Risk Management and Oversight'!$Q$103</f>
        <v>0</v>
      </c>
      <c r="K102" t="s">
        <v>145</v>
      </c>
      <c r="L102" t="str">
        <f>IF(combinedMaturityTable[[#This Row],[Maturity Level]]="Baseline",LEFT(combinedMaturityTable[[#This Row],[DS]],FIND("(FFIEC ",combinedMaturityTable[[#This Row],[DS]])-1),"")</f>
        <v/>
      </c>
      <c r="M102" s="293" t="str">
        <f>CLEAN(TRIM(SUBSTITUTE(LEFT(combinedMaturityTable[[#This Row],[DSm]],MIN(250,LEN(combinedMaturityTable[[#This Row],[DSm]]))),CHAR(160)," ")))</f>
        <v/>
      </c>
    </row>
    <row r="103" spans="2:13" hidden="1" x14ac:dyDescent="0.25">
      <c r="B103" s="252" t="str">
        <f>'Risk Management and Oversight'!$M$104</f>
        <v>Cyber Risk Management and Oversight</v>
      </c>
      <c r="C103" s="252" t="str">
        <f>'Risk Management and Oversight'!$A$104</f>
        <v>Risk Management</v>
      </c>
      <c r="D103" s="252" t="str">
        <f>'Risk Management and Oversight'!$B$104</f>
        <v>Audit</v>
      </c>
      <c r="E103" s="252" t="str">
        <f>'Risk Management and Oversight'!$C$104</f>
        <v>Evolving</v>
      </c>
      <c r="F103" s="252">
        <f>'Risk Management and Oversight'!$D$104</f>
        <v>0</v>
      </c>
      <c r="G103" s="252">
        <f>'Risk Management and Oversight'!$N$104</f>
        <v>0</v>
      </c>
      <c r="H103" s="252">
        <f>'Risk Management and Oversight'!$O$104</f>
        <v>0</v>
      </c>
      <c r="I103" s="252">
        <f>'Risk Management and Oversight'!$P$104</f>
        <v>0</v>
      </c>
      <c r="J103" s="252">
        <f>'Risk Management and Oversight'!$Q$104</f>
        <v>0</v>
      </c>
      <c r="K103" t="s">
        <v>146</v>
      </c>
      <c r="L103" t="str">
        <f>IF(combinedMaturityTable[[#This Row],[Maturity Level]]="Baseline",LEFT(combinedMaturityTable[[#This Row],[DS]],FIND("(FFIEC ",combinedMaturityTable[[#This Row],[DS]])-1),"")</f>
        <v/>
      </c>
      <c r="M103" s="293" t="str">
        <f>CLEAN(TRIM(SUBSTITUTE(LEFT(combinedMaturityTable[[#This Row],[DSm]],MIN(250,LEN(combinedMaturityTable[[#This Row],[DSm]]))),CHAR(160)," ")))</f>
        <v/>
      </c>
    </row>
    <row r="104" spans="2:13" hidden="1" x14ac:dyDescent="0.25">
      <c r="B104" s="252" t="str">
        <f>'Risk Management and Oversight'!$M$105</f>
        <v>Cyber Risk Management and Oversight</v>
      </c>
      <c r="C104" s="252" t="str">
        <f>'Risk Management and Oversight'!$A$105</f>
        <v>Risk Management</v>
      </c>
      <c r="D104" s="252" t="str">
        <f>'Risk Management and Oversight'!$B$105</f>
        <v>Audit</v>
      </c>
      <c r="E104" s="252" t="str">
        <f>'Risk Management and Oversight'!$C$105</f>
        <v>Evolving</v>
      </c>
      <c r="F104" s="252">
        <f>'Risk Management and Oversight'!$D$105</f>
        <v>0</v>
      </c>
      <c r="G104" s="252">
        <f>'Risk Management and Oversight'!$N$105</f>
        <v>0</v>
      </c>
      <c r="H104" s="252">
        <f>'Risk Management and Oversight'!$O$105</f>
        <v>0</v>
      </c>
      <c r="I104" s="252">
        <f>'Risk Management and Oversight'!$P$105</f>
        <v>0</v>
      </c>
      <c r="J104" s="252">
        <f>'Risk Management and Oversight'!$Q$105</f>
        <v>0</v>
      </c>
      <c r="K104" t="s">
        <v>147</v>
      </c>
      <c r="L104" t="str">
        <f>IF(combinedMaturityTable[[#This Row],[Maturity Level]]="Baseline",LEFT(combinedMaturityTable[[#This Row],[DS]],FIND("(FFIEC ",combinedMaturityTable[[#This Row],[DS]])-1),"")</f>
        <v/>
      </c>
      <c r="M104" s="293" t="str">
        <f>CLEAN(TRIM(SUBSTITUTE(LEFT(combinedMaturityTable[[#This Row],[DSm]],MIN(250,LEN(combinedMaturityTable[[#This Row],[DSm]]))),CHAR(160)," ")))</f>
        <v/>
      </c>
    </row>
    <row r="105" spans="2:13" hidden="1" x14ac:dyDescent="0.25">
      <c r="B105" s="252" t="str">
        <f>'Risk Management and Oversight'!$M$106</f>
        <v>Cyber Risk Management and Oversight</v>
      </c>
      <c r="C105" s="252" t="str">
        <f>'Risk Management and Oversight'!$A$106</f>
        <v>Risk Management</v>
      </c>
      <c r="D105" s="252" t="str">
        <f>'Risk Management and Oversight'!$B$106</f>
        <v>Audit</v>
      </c>
      <c r="E105" s="252" t="str">
        <f>'Risk Management and Oversight'!$C$106</f>
        <v>Evolving</v>
      </c>
      <c r="F105" s="252">
        <f>'Risk Management and Oversight'!$D$106</f>
        <v>0</v>
      </c>
      <c r="G105" s="252">
        <f>'Risk Management and Oversight'!$N$106</f>
        <v>0</v>
      </c>
      <c r="H105" s="252">
        <f>'Risk Management and Oversight'!$O$106</f>
        <v>0</v>
      </c>
      <c r="I105" s="252">
        <f>'Risk Management and Oversight'!$P$106</f>
        <v>0</v>
      </c>
      <c r="J105" s="252">
        <f>'Risk Management and Oversight'!$Q$106</f>
        <v>0</v>
      </c>
      <c r="K105" t="s">
        <v>148</v>
      </c>
      <c r="L105" t="str">
        <f>IF(combinedMaturityTable[[#This Row],[Maturity Level]]="Baseline",LEFT(combinedMaturityTable[[#This Row],[DS]],FIND("(FFIEC ",combinedMaturityTable[[#This Row],[DS]])-1),"")</f>
        <v/>
      </c>
      <c r="M105" s="293" t="str">
        <f>CLEAN(TRIM(SUBSTITUTE(LEFT(combinedMaturityTable[[#This Row],[DSm]],MIN(250,LEN(combinedMaturityTable[[#This Row],[DSm]]))),CHAR(160)," ")))</f>
        <v/>
      </c>
    </row>
    <row r="106" spans="2:13" hidden="1" x14ac:dyDescent="0.25">
      <c r="B106" s="252" t="str">
        <f>'Risk Management and Oversight'!$M$107</f>
        <v>Cyber Risk Management and Oversight</v>
      </c>
      <c r="C106" s="252" t="str">
        <f>'Risk Management and Oversight'!$A$107</f>
        <v>Risk Management</v>
      </c>
      <c r="D106" s="252" t="str">
        <f>'Risk Management and Oversight'!$B$107</f>
        <v>Audit</v>
      </c>
      <c r="E106" s="252" t="str">
        <f>'Risk Management and Oversight'!$C$107</f>
        <v>Intermediate</v>
      </c>
      <c r="F106" s="252">
        <f>'Risk Management and Oversight'!$D$107</f>
        <v>0</v>
      </c>
      <c r="G106" s="252">
        <f>'Risk Management and Oversight'!$N$107</f>
        <v>0</v>
      </c>
      <c r="H106" s="252">
        <f>'Risk Management and Oversight'!$O$107</f>
        <v>0</v>
      </c>
      <c r="I106" s="252">
        <f>'Risk Management and Oversight'!$P$107</f>
        <v>0</v>
      </c>
      <c r="J106" s="252">
        <f>'Risk Management and Oversight'!$Q$107</f>
        <v>0</v>
      </c>
      <c r="K106" t="s">
        <v>149</v>
      </c>
      <c r="L106" t="str">
        <f>IF(combinedMaturityTable[[#This Row],[Maturity Level]]="Baseline",LEFT(combinedMaturityTable[[#This Row],[DS]],FIND("(FFIEC ",combinedMaturityTable[[#This Row],[DS]])-1),"")</f>
        <v/>
      </c>
      <c r="M106" s="293" t="str">
        <f>CLEAN(TRIM(SUBSTITUTE(LEFT(combinedMaturityTable[[#This Row],[DSm]],MIN(250,LEN(combinedMaturityTable[[#This Row],[DSm]]))),CHAR(160)," ")))</f>
        <v/>
      </c>
    </row>
    <row r="107" spans="2:13" hidden="1" x14ac:dyDescent="0.25">
      <c r="B107" s="252" t="str">
        <f>'Risk Management and Oversight'!$M$108</f>
        <v>Cyber Risk Management and Oversight</v>
      </c>
      <c r="C107" s="252" t="str">
        <f>'Risk Management and Oversight'!$A$108</f>
        <v>Risk Management</v>
      </c>
      <c r="D107" s="252" t="str">
        <f>'Risk Management and Oversight'!$B$108</f>
        <v>Audit</v>
      </c>
      <c r="E107" s="252" t="str">
        <f>'Risk Management and Oversight'!$C$108</f>
        <v>Intermediate</v>
      </c>
      <c r="F107" s="252">
        <f>'Risk Management and Oversight'!$D$108</f>
        <v>0</v>
      </c>
      <c r="G107" s="252">
        <f>'Risk Management and Oversight'!$N$108</f>
        <v>0</v>
      </c>
      <c r="H107" s="252">
        <f>'Risk Management and Oversight'!$O$108</f>
        <v>0</v>
      </c>
      <c r="I107" s="252">
        <f>'Risk Management and Oversight'!$P$108</f>
        <v>0</v>
      </c>
      <c r="J107" s="252">
        <f>'Risk Management and Oversight'!$Q$108</f>
        <v>0</v>
      </c>
      <c r="K107" t="s">
        <v>150</v>
      </c>
      <c r="L107" t="str">
        <f>IF(combinedMaturityTable[[#This Row],[Maturity Level]]="Baseline",LEFT(combinedMaturityTable[[#This Row],[DS]],FIND("(FFIEC ",combinedMaturityTable[[#This Row],[DS]])-1),"")</f>
        <v/>
      </c>
      <c r="M107" s="293" t="str">
        <f>CLEAN(TRIM(SUBSTITUTE(LEFT(combinedMaturityTable[[#This Row],[DSm]],MIN(250,LEN(combinedMaturityTable[[#This Row],[DSm]]))),CHAR(160)," ")))</f>
        <v/>
      </c>
    </row>
    <row r="108" spans="2:13" hidden="1" x14ac:dyDescent="0.25">
      <c r="B108" s="252" t="str">
        <f>'Risk Management and Oversight'!$M$109</f>
        <v>Cyber Risk Management and Oversight</v>
      </c>
      <c r="C108" s="252" t="str">
        <f>'Risk Management and Oversight'!$A$109</f>
        <v>Risk Management</v>
      </c>
      <c r="D108" s="252" t="str">
        <f>'Risk Management and Oversight'!$B$109</f>
        <v>Audit</v>
      </c>
      <c r="E108" s="252" t="str">
        <f>'Risk Management and Oversight'!$C$109</f>
        <v>Intermediate</v>
      </c>
      <c r="F108" s="252">
        <f>'Risk Management and Oversight'!$D$109</f>
        <v>0</v>
      </c>
      <c r="G108" s="252">
        <f>'Risk Management and Oversight'!$N$109</f>
        <v>0</v>
      </c>
      <c r="H108" s="252">
        <f>'Risk Management and Oversight'!$O$109</f>
        <v>0</v>
      </c>
      <c r="I108" s="252">
        <f>'Risk Management and Oversight'!$P$109</f>
        <v>0</v>
      </c>
      <c r="J108" s="252">
        <f>'Risk Management and Oversight'!$Q$109</f>
        <v>0</v>
      </c>
      <c r="K108" t="s">
        <v>151</v>
      </c>
      <c r="L108" t="str">
        <f>IF(combinedMaturityTable[[#This Row],[Maturity Level]]="Baseline",LEFT(combinedMaturityTable[[#This Row],[DS]],FIND("(FFIEC ",combinedMaturityTable[[#This Row],[DS]])-1),"")</f>
        <v/>
      </c>
      <c r="M108" s="293" t="str">
        <f>CLEAN(TRIM(SUBSTITUTE(LEFT(combinedMaturityTable[[#This Row],[DSm]],MIN(250,LEN(combinedMaturityTable[[#This Row],[DSm]]))),CHAR(160)," ")))</f>
        <v/>
      </c>
    </row>
    <row r="109" spans="2:13" hidden="1" x14ac:dyDescent="0.25">
      <c r="B109" s="252" t="str">
        <f>'Risk Management and Oversight'!$M$110</f>
        <v>Cyber Risk Management and Oversight</v>
      </c>
      <c r="C109" s="252" t="str">
        <f>'Risk Management and Oversight'!$A$110</f>
        <v>Risk Management</v>
      </c>
      <c r="D109" s="252" t="str">
        <f>'Risk Management and Oversight'!$B$110</f>
        <v>Audit</v>
      </c>
      <c r="E109" s="252" t="str">
        <f>'Risk Management and Oversight'!$C$110</f>
        <v>Intermediate</v>
      </c>
      <c r="F109" s="252">
        <f>'Risk Management and Oversight'!$D$110</f>
        <v>0</v>
      </c>
      <c r="G109" s="252">
        <f>'Risk Management and Oversight'!$N$110</f>
        <v>0</v>
      </c>
      <c r="H109" s="252">
        <f>'Risk Management and Oversight'!$O$110</f>
        <v>0</v>
      </c>
      <c r="I109" s="252">
        <f>'Risk Management and Oversight'!$P$110</f>
        <v>0</v>
      </c>
      <c r="J109" s="252">
        <f>'Risk Management and Oversight'!$Q$110</f>
        <v>0</v>
      </c>
      <c r="K109" t="s">
        <v>152</v>
      </c>
      <c r="L109" t="str">
        <f>IF(combinedMaturityTable[[#This Row],[Maturity Level]]="Baseline",LEFT(combinedMaturityTable[[#This Row],[DS]],FIND("(FFIEC ",combinedMaturityTable[[#This Row],[DS]])-1),"")</f>
        <v/>
      </c>
      <c r="M109" s="293" t="str">
        <f>CLEAN(TRIM(SUBSTITUTE(LEFT(combinedMaturityTable[[#This Row],[DSm]],MIN(250,LEN(combinedMaturityTable[[#This Row],[DSm]]))),CHAR(160)," ")))</f>
        <v/>
      </c>
    </row>
    <row r="110" spans="2:13" hidden="1" x14ac:dyDescent="0.25">
      <c r="B110" s="252" t="str">
        <f>'Risk Management and Oversight'!$M$111</f>
        <v>Cyber Risk Management and Oversight</v>
      </c>
      <c r="C110" s="252" t="str">
        <f>'Risk Management and Oversight'!$A$111</f>
        <v>Risk Management</v>
      </c>
      <c r="D110" s="252" t="str">
        <f>'Risk Management and Oversight'!$B$111</f>
        <v>Audit</v>
      </c>
      <c r="E110" s="252" t="str">
        <f>'Risk Management and Oversight'!$C$111</f>
        <v>Advanced</v>
      </c>
      <c r="F110" s="252">
        <f>'Risk Management and Oversight'!$D$111</f>
        <v>0</v>
      </c>
      <c r="G110" s="252">
        <f>'Risk Management and Oversight'!$N$111</f>
        <v>0</v>
      </c>
      <c r="H110" s="252">
        <f>'Risk Management and Oversight'!$O$111</f>
        <v>0</v>
      </c>
      <c r="I110" s="252">
        <f>'Risk Management and Oversight'!$P$111</f>
        <v>0</v>
      </c>
      <c r="J110" s="252">
        <f>'Risk Management and Oversight'!$Q$111</f>
        <v>0</v>
      </c>
      <c r="K110" t="s">
        <v>153</v>
      </c>
      <c r="L110" t="str">
        <f>IF(combinedMaturityTable[[#This Row],[Maturity Level]]="Baseline",LEFT(combinedMaturityTable[[#This Row],[DS]],FIND("(FFIEC ",combinedMaturityTable[[#This Row],[DS]])-1),"")</f>
        <v/>
      </c>
      <c r="M110" s="293" t="str">
        <f>CLEAN(TRIM(SUBSTITUTE(LEFT(combinedMaturityTable[[#This Row],[DSm]],MIN(250,LEN(combinedMaturityTable[[#This Row],[DSm]]))),CHAR(160)," ")))</f>
        <v/>
      </c>
    </row>
    <row r="111" spans="2:13" hidden="1" x14ac:dyDescent="0.25">
      <c r="B111" s="252" t="str">
        <f>'Risk Management and Oversight'!$M$112</f>
        <v>Cyber Risk Management and Oversight</v>
      </c>
      <c r="C111" s="252" t="str">
        <f>'Risk Management and Oversight'!$A$112</f>
        <v>Risk Management</v>
      </c>
      <c r="D111" s="252" t="str">
        <f>'Risk Management and Oversight'!$B$112</f>
        <v>Audit</v>
      </c>
      <c r="E111" s="252" t="str">
        <f>'Risk Management and Oversight'!$C$112</f>
        <v>Advanced</v>
      </c>
      <c r="F111" s="252">
        <f>'Risk Management and Oversight'!$D$112</f>
        <v>0</v>
      </c>
      <c r="G111" s="252">
        <f>'Risk Management and Oversight'!$N$112</f>
        <v>0</v>
      </c>
      <c r="H111" s="252">
        <f>'Risk Management and Oversight'!$O$112</f>
        <v>0</v>
      </c>
      <c r="I111" s="252">
        <f>'Risk Management and Oversight'!$P$112</f>
        <v>0</v>
      </c>
      <c r="J111" s="252">
        <f>'Risk Management and Oversight'!$Q$112</f>
        <v>0</v>
      </c>
      <c r="K111" t="s">
        <v>154</v>
      </c>
      <c r="L111" t="str">
        <f>IF(combinedMaturityTable[[#This Row],[Maturity Level]]="Baseline",LEFT(combinedMaturityTable[[#This Row],[DS]],FIND("(FFIEC ",combinedMaturityTable[[#This Row],[DS]])-1),"")</f>
        <v/>
      </c>
      <c r="M111" s="293" t="str">
        <f>CLEAN(TRIM(SUBSTITUTE(LEFT(combinedMaturityTable[[#This Row],[DSm]],MIN(250,LEN(combinedMaturityTable[[#This Row],[DSm]]))),CHAR(160)," ")))</f>
        <v/>
      </c>
    </row>
    <row r="112" spans="2:13" hidden="1" x14ac:dyDescent="0.25">
      <c r="B112" s="252" t="str">
        <f>'Risk Management and Oversight'!$M$113</f>
        <v>Cyber Risk Management and Oversight</v>
      </c>
      <c r="C112" s="252" t="str">
        <f>'Risk Management and Oversight'!$A$113</f>
        <v>Risk Management</v>
      </c>
      <c r="D112" s="252" t="str">
        <f>'Risk Management and Oversight'!$B$113</f>
        <v>Audit</v>
      </c>
      <c r="E112" s="252" t="str">
        <f>'Risk Management and Oversight'!$C$113</f>
        <v>Advanced</v>
      </c>
      <c r="F112" s="252">
        <f>'Risk Management and Oversight'!$D$113</f>
        <v>0</v>
      </c>
      <c r="G112" s="252">
        <f>'Risk Management and Oversight'!$N$113</f>
        <v>0</v>
      </c>
      <c r="H112" s="252">
        <f>'Risk Management and Oversight'!$O$113</f>
        <v>0</v>
      </c>
      <c r="I112" s="252">
        <f>'Risk Management and Oversight'!$P$113</f>
        <v>0</v>
      </c>
      <c r="J112" s="252">
        <f>'Risk Management and Oversight'!$Q$113</f>
        <v>0</v>
      </c>
      <c r="K112" t="s">
        <v>155</v>
      </c>
      <c r="L112" t="str">
        <f>IF(combinedMaturityTable[[#This Row],[Maturity Level]]="Baseline",LEFT(combinedMaturityTable[[#This Row],[DS]],FIND("(FFIEC ",combinedMaturityTable[[#This Row],[DS]])-1),"")</f>
        <v/>
      </c>
      <c r="M112" s="293" t="str">
        <f>CLEAN(TRIM(SUBSTITUTE(LEFT(combinedMaturityTable[[#This Row],[DSm]],MIN(250,LEN(combinedMaturityTable[[#This Row],[DSm]]))),CHAR(160)," ")))</f>
        <v/>
      </c>
    </row>
    <row r="113" spans="2:13" hidden="1" x14ac:dyDescent="0.25">
      <c r="B113" s="252" t="str">
        <f>'Risk Management and Oversight'!$M$114</f>
        <v>Cyber Risk Management and Oversight</v>
      </c>
      <c r="C113" s="252" t="str">
        <f>'Risk Management and Oversight'!$A$114</f>
        <v>Risk Management</v>
      </c>
      <c r="D113" s="252" t="str">
        <f>'Risk Management and Oversight'!$B$114</f>
        <v>Audit</v>
      </c>
      <c r="E113" s="252" t="str">
        <f>'Risk Management and Oversight'!$C$114</f>
        <v>Innovative</v>
      </c>
      <c r="F113" s="252">
        <f>'Risk Management and Oversight'!$D$114</f>
        <v>0</v>
      </c>
      <c r="G113" s="252">
        <f>'Risk Management and Oversight'!$N$114</f>
        <v>0</v>
      </c>
      <c r="H113" s="252">
        <f>'Risk Management and Oversight'!$O$114</f>
        <v>0</v>
      </c>
      <c r="I113" s="252">
        <f>'Risk Management and Oversight'!$P$114</f>
        <v>0</v>
      </c>
      <c r="J113" s="252">
        <f>'Risk Management and Oversight'!$Q$114</f>
        <v>0</v>
      </c>
      <c r="K113" t="s">
        <v>156</v>
      </c>
      <c r="L113" t="str">
        <f>IF(combinedMaturityTable[[#This Row],[Maturity Level]]="Baseline",LEFT(combinedMaturityTable[[#This Row],[DS]],FIND("(FFIEC ",combinedMaturityTable[[#This Row],[DS]])-1),"")</f>
        <v/>
      </c>
      <c r="M113" s="293" t="str">
        <f>CLEAN(TRIM(SUBSTITUTE(LEFT(combinedMaturityTable[[#This Row],[DSm]],MIN(250,LEN(combinedMaturityTable[[#This Row],[DSm]]))),CHAR(160)," ")))</f>
        <v/>
      </c>
    </row>
    <row r="114" spans="2:13" hidden="1" x14ac:dyDescent="0.25">
      <c r="B114" s="252" t="str">
        <f>'Risk Management and Oversight'!$M$115</f>
        <v>Cyber Risk Management and Oversight</v>
      </c>
      <c r="C114" s="252" t="str">
        <f>'Risk Management and Oversight'!$A$115</f>
        <v>Risk Management</v>
      </c>
      <c r="D114" s="252" t="str">
        <f>'Risk Management and Oversight'!$B$115</f>
        <v>Audit</v>
      </c>
      <c r="E114" s="252" t="str">
        <f>'Risk Management and Oversight'!$C$115</f>
        <v>Innovative</v>
      </c>
      <c r="F114" s="252">
        <f>'Risk Management and Oversight'!$D$115</f>
        <v>0</v>
      </c>
      <c r="G114" s="252">
        <f>'Risk Management and Oversight'!$N$115</f>
        <v>0</v>
      </c>
      <c r="H114" s="252">
        <f>'Risk Management and Oversight'!$O$115</f>
        <v>0</v>
      </c>
      <c r="I114" s="252">
        <f>'Risk Management and Oversight'!$P$115</f>
        <v>0</v>
      </c>
      <c r="J114" s="252">
        <f>'Risk Management and Oversight'!$Q$115</f>
        <v>0</v>
      </c>
      <c r="K114" t="s">
        <v>157</v>
      </c>
      <c r="L114" t="str">
        <f>IF(combinedMaturityTable[[#This Row],[Maturity Level]]="Baseline",LEFT(combinedMaturityTable[[#This Row],[DS]],FIND("(FFIEC ",combinedMaturityTable[[#This Row],[DS]])-1),"")</f>
        <v/>
      </c>
      <c r="M114" s="293" t="str">
        <f>CLEAN(TRIM(SUBSTITUTE(LEFT(combinedMaturityTable[[#This Row],[DSm]],MIN(250,LEN(combinedMaturityTable[[#This Row],[DSm]]))),CHAR(160)," ")))</f>
        <v/>
      </c>
    </row>
    <row r="115" spans="2:13" x14ac:dyDescent="0.25">
      <c r="B115" s="252" t="str">
        <f>'Risk Management and Oversight'!$M$116</f>
        <v>Cyber Risk Management and Oversight</v>
      </c>
      <c r="C115" s="252" t="str">
        <f>'Risk Management and Oversight'!$A$116</f>
        <v>Resources</v>
      </c>
      <c r="D115" s="252" t="str">
        <f>'Risk Management and Oversight'!$B$116</f>
        <v>Staffing</v>
      </c>
      <c r="E115" s="252" t="str">
        <f>'Risk Management and Oversight'!$C$116</f>
        <v>Baseline</v>
      </c>
      <c r="F115" s="252">
        <f>'Risk Management and Oversight'!$D$116</f>
        <v>0</v>
      </c>
      <c r="G115" s="252">
        <f>'Risk Management and Oversight'!$N$116</f>
        <v>0</v>
      </c>
      <c r="H115" s="252">
        <f>'Risk Management and Oversight'!$O$116</f>
        <v>0</v>
      </c>
      <c r="I115" s="252">
        <f>'Risk Management and Oversight'!$P$116</f>
        <v>0</v>
      </c>
      <c r="J115" s="252">
        <f>'Risk Management and Oversight'!$Q$116</f>
        <v>0</v>
      </c>
      <c r="K115" t="s">
        <v>158</v>
      </c>
      <c r="L115" t="str">
        <f>IF(combinedMaturityTable[[#This Row],[Maturity Level]]="Baseline",LEFT(combinedMaturityTable[[#This Row],[DS]],FIND("(FFIEC ",combinedMaturityTable[[#This Row],[DS]])-1),"")</f>
        <v>Information security roles and responsibilities have been identified.</v>
      </c>
      <c r="M115" s="293" t="str">
        <f>CLEAN(TRIM(SUBSTITUTE(LEFT(combinedMaturityTable[[#This Row],[DSm]],MIN(250,LEN(combinedMaturityTable[[#This Row],[DSm]]))),CHAR(160)," ")))</f>
        <v>Information security roles and responsibilities have been identified.</v>
      </c>
    </row>
    <row r="116" spans="2:13" x14ac:dyDescent="0.25">
      <c r="B116" s="252" t="str">
        <f>'Risk Management and Oversight'!$M$117</f>
        <v>Cyber Risk Management and Oversight</v>
      </c>
      <c r="C116" s="252" t="str">
        <f>'Risk Management and Oversight'!$A$117</f>
        <v>Resources</v>
      </c>
      <c r="D116" s="252" t="str">
        <f>'Risk Management and Oversight'!$B$117</f>
        <v>Staffing</v>
      </c>
      <c r="E116" s="252" t="str">
        <f>'Risk Management and Oversight'!$C$117</f>
        <v>Baseline</v>
      </c>
      <c r="F116" s="252">
        <f>'Risk Management and Oversight'!$D$117</f>
        <v>0</v>
      </c>
      <c r="G116" s="252">
        <f>'Risk Management and Oversight'!$N$117</f>
        <v>0</v>
      </c>
      <c r="H116" s="252">
        <f>'Risk Management and Oversight'!$O$117</f>
        <v>0</v>
      </c>
      <c r="I116" s="252">
        <f>'Risk Management and Oversight'!$P$117</f>
        <v>0</v>
      </c>
      <c r="J116" s="252">
        <f>'Risk Management and Oversight'!$Q$117</f>
        <v>0</v>
      </c>
      <c r="K116" t="s">
        <v>159</v>
      </c>
      <c r="L116" t="str">
        <f>IF(combinedMaturityTable[[#This Row],[Maturity Level]]="Baseline",LEFT(combinedMaturityTable[[#This Row],[DS]],FIND("(FFIEC ",combinedMaturityTable[[#This Row],[DS]])-1),"")</f>
        <v xml:space="preserve">Processes are in place to identify additional expertise needed to improve information security defenses. </v>
      </c>
      <c r="M116" s="293" t="str">
        <f>CLEAN(TRIM(SUBSTITUTE(LEFT(combinedMaturityTable[[#This Row],[DSm]],MIN(250,LEN(combinedMaturityTable[[#This Row],[DSm]]))),CHAR(160)," ")))</f>
        <v>Processes are in place to identify additional expertise needed to improve information security defenses.</v>
      </c>
    </row>
    <row r="117" spans="2:13" hidden="1" x14ac:dyDescent="0.25">
      <c r="B117" s="252" t="str">
        <f>'Risk Management and Oversight'!$M$118</f>
        <v>Cyber Risk Management and Oversight</v>
      </c>
      <c r="C117" s="252" t="str">
        <f>'Risk Management and Oversight'!$A$118</f>
        <v>Resources</v>
      </c>
      <c r="D117" s="252" t="str">
        <f>'Risk Management and Oversight'!$B$118</f>
        <v>Staffing</v>
      </c>
      <c r="E117" s="252" t="str">
        <f>'Risk Management and Oversight'!$C$118</f>
        <v>Evolving</v>
      </c>
      <c r="F117" s="252">
        <f>'Risk Management and Oversight'!$D$118</f>
        <v>0</v>
      </c>
      <c r="G117" s="252">
        <f>'Risk Management and Oversight'!$N$118</f>
        <v>0</v>
      </c>
      <c r="H117" s="252">
        <f>'Risk Management and Oversight'!$O$118</f>
        <v>0</v>
      </c>
      <c r="I117" s="252">
        <f>'Risk Management and Oversight'!$P$118</f>
        <v>0</v>
      </c>
      <c r="J117" s="252">
        <f>'Risk Management and Oversight'!$Q$118</f>
        <v>0</v>
      </c>
      <c r="K117" t="s">
        <v>161</v>
      </c>
      <c r="L117" t="str">
        <f>IF(combinedMaturityTable[[#This Row],[Maturity Level]]="Baseline",LEFT(combinedMaturityTable[[#This Row],[DS]],FIND("(FFIEC ",combinedMaturityTable[[#This Row],[DS]])-1),"")</f>
        <v/>
      </c>
      <c r="M117" s="293" t="str">
        <f>CLEAN(TRIM(SUBSTITUTE(LEFT(combinedMaturityTable[[#This Row],[DSm]],MIN(250,LEN(combinedMaturityTable[[#This Row],[DSm]]))),CHAR(160)," ")))</f>
        <v/>
      </c>
    </row>
    <row r="118" spans="2:13" hidden="1" x14ac:dyDescent="0.25">
      <c r="B118" s="252" t="str">
        <f>'Risk Management and Oversight'!$M$119</f>
        <v>Cyber Risk Management and Oversight</v>
      </c>
      <c r="C118" s="252" t="str">
        <f>'Risk Management and Oversight'!$A$119</f>
        <v>Resources</v>
      </c>
      <c r="D118" s="252" t="str">
        <f>'Risk Management and Oversight'!$B$119</f>
        <v>Staffing</v>
      </c>
      <c r="E118" s="252" t="str">
        <f>'Risk Management and Oversight'!$C$119</f>
        <v>Evolving</v>
      </c>
      <c r="F118" s="252">
        <f>'Risk Management and Oversight'!$D$119</f>
        <v>0</v>
      </c>
      <c r="G118" s="252">
        <f>'Risk Management and Oversight'!$N$119</f>
        <v>0</v>
      </c>
      <c r="H118" s="252">
        <f>'Risk Management and Oversight'!$O$119</f>
        <v>0</v>
      </c>
      <c r="I118" s="252">
        <f>'Risk Management and Oversight'!$P$119</f>
        <v>0</v>
      </c>
      <c r="J118" s="252">
        <f>'Risk Management and Oversight'!$Q$119</f>
        <v>0</v>
      </c>
      <c r="K118" t="s">
        <v>162</v>
      </c>
      <c r="L118" t="str">
        <f>IF(combinedMaturityTable[[#This Row],[Maturity Level]]="Baseline",LEFT(combinedMaturityTable[[#This Row],[DS]],FIND("(FFIEC ",combinedMaturityTable[[#This Row],[DS]])-1),"")</f>
        <v/>
      </c>
      <c r="M118" s="293" t="str">
        <f>CLEAN(TRIM(SUBSTITUTE(LEFT(combinedMaturityTable[[#This Row],[DSm]],MIN(250,LEN(combinedMaturityTable[[#This Row],[DSm]]))),CHAR(160)," ")))</f>
        <v/>
      </c>
    </row>
    <row r="119" spans="2:13" hidden="1" x14ac:dyDescent="0.25">
      <c r="B119" s="252" t="str">
        <f>'Risk Management and Oversight'!$M$120</f>
        <v>Cyber Risk Management and Oversight</v>
      </c>
      <c r="C119" s="252" t="str">
        <f>'Risk Management and Oversight'!$A$120</f>
        <v>Resources</v>
      </c>
      <c r="D119" s="252" t="str">
        <f>'Risk Management and Oversight'!$B$120</f>
        <v>Staffing</v>
      </c>
      <c r="E119" s="252" t="str">
        <f>'Risk Management and Oversight'!$C$120</f>
        <v>Evolving</v>
      </c>
      <c r="F119" s="252">
        <f>'Risk Management and Oversight'!$D$120</f>
        <v>0</v>
      </c>
      <c r="G119" s="252">
        <f>'Risk Management and Oversight'!$N$120</f>
        <v>0</v>
      </c>
      <c r="H119" s="252">
        <f>'Risk Management and Oversight'!$O$120</f>
        <v>0</v>
      </c>
      <c r="I119" s="252">
        <f>'Risk Management and Oversight'!$P$120</f>
        <v>0</v>
      </c>
      <c r="J119" s="252">
        <f>'Risk Management and Oversight'!$Q$120</f>
        <v>0</v>
      </c>
      <c r="K119" t="s">
        <v>163</v>
      </c>
      <c r="L119" t="str">
        <f>IF(combinedMaturityTable[[#This Row],[Maturity Level]]="Baseline",LEFT(combinedMaturityTable[[#This Row],[DS]],FIND("(FFIEC ",combinedMaturityTable[[#This Row],[DS]])-1),"")</f>
        <v/>
      </c>
      <c r="M119" s="293" t="str">
        <f>CLEAN(TRIM(SUBSTITUTE(LEFT(combinedMaturityTable[[#This Row],[DSm]],MIN(250,LEN(combinedMaturityTable[[#This Row],[DSm]]))),CHAR(160)," ")))</f>
        <v/>
      </c>
    </row>
    <row r="120" spans="2:13" hidden="1" x14ac:dyDescent="0.25">
      <c r="B120" s="252" t="str">
        <f>'Risk Management and Oversight'!$M$121</f>
        <v>Cyber Risk Management and Oversight</v>
      </c>
      <c r="C120" s="252" t="str">
        <f>'Risk Management and Oversight'!$A$121</f>
        <v>Resources</v>
      </c>
      <c r="D120" s="252" t="str">
        <f>'Risk Management and Oversight'!$B$121</f>
        <v>Staffing</v>
      </c>
      <c r="E120" s="252" t="str">
        <f>'Risk Management and Oversight'!$C$121</f>
        <v>Evolving</v>
      </c>
      <c r="F120" s="252">
        <f>'Risk Management and Oversight'!$D$121</f>
        <v>0</v>
      </c>
      <c r="G120" s="252">
        <f>'Risk Management and Oversight'!$N$121</f>
        <v>0</v>
      </c>
      <c r="H120" s="252">
        <f>'Risk Management and Oversight'!$O$121</f>
        <v>0</v>
      </c>
      <c r="I120" s="252">
        <f>'Risk Management and Oversight'!$P$121</f>
        <v>0</v>
      </c>
      <c r="J120" s="252">
        <f>'Risk Management and Oversight'!$Q$121</f>
        <v>0</v>
      </c>
      <c r="K120" t="s">
        <v>164</v>
      </c>
      <c r="L120" t="str">
        <f>IF(combinedMaturityTable[[#This Row],[Maturity Level]]="Baseline",LEFT(combinedMaturityTable[[#This Row],[DS]],FIND("(FFIEC ",combinedMaturityTable[[#This Row],[DS]])-1),"")</f>
        <v/>
      </c>
      <c r="M120" s="293" t="str">
        <f>CLEAN(TRIM(SUBSTITUTE(LEFT(combinedMaturityTable[[#This Row],[DSm]],MIN(250,LEN(combinedMaturityTable[[#This Row],[DSm]]))),CHAR(160)," ")))</f>
        <v/>
      </c>
    </row>
    <row r="121" spans="2:13" hidden="1" x14ac:dyDescent="0.25">
      <c r="B121" s="252" t="str">
        <f>'Risk Management and Oversight'!$M$122</f>
        <v>Cyber Risk Management and Oversight</v>
      </c>
      <c r="C121" s="252" t="str">
        <f>'Risk Management and Oversight'!$A$122</f>
        <v>Resources</v>
      </c>
      <c r="D121" s="252" t="str">
        <f>'Risk Management and Oversight'!$B$122</f>
        <v>Staffing</v>
      </c>
      <c r="E121" s="252" t="str">
        <f>'Risk Management and Oversight'!$C$122</f>
        <v>Intermediate</v>
      </c>
      <c r="F121" s="252">
        <f>'Risk Management and Oversight'!$D$122</f>
        <v>0</v>
      </c>
      <c r="G121" s="252">
        <f>'Risk Management and Oversight'!$N$122</f>
        <v>0</v>
      </c>
      <c r="H121" s="252">
        <f>'Risk Management and Oversight'!$O$122</f>
        <v>0</v>
      </c>
      <c r="I121" s="252">
        <f>'Risk Management and Oversight'!$P$122</f>
        <v>0</v>
      </c>
      <c r="J121" s="252">
        <f>'Risk Management and Oversight'!$Q$122</f>
        <v>0</v>
      </c>
      <c r="K121" t="s">
        <v>165</v>
      </c>
      <c r="L121" t="str">
        <f>IF(combinedMaturityTable[[#This Row],[Maturity Level]]="Baseline",LEFT(combinedMaturityTable[[#This Row],[DS]],FIND("(FFIEC ",combinedMaturityTable[[#This Row],[DS]])-1),"")</f>
        <v/>
      </c>
      <c r="M121" s="293" t="str">
        <f>CLEAN(TRIM(SUBSTITUTE(LEFT(combinedMaturityTable[[#This Row],[DSm]],MIN(250,LEN(combinedMaturityTable[[#This Row],[DSm]]))),CHAR(160)," ")))</f>
        <v/>
      </c>
    </row>
    <row r="122" spans="2:13" hidden="1" x14ac:dyDescent="0.25">
      <c r="B122" s="252" t="str">
        <f>'Risk Management and Oversight'!$M$123</f>
        <v>Cyber Risk Management and Oversight</v>
      </c>
      <c r="C122" s="252" t="str">
        <f>'Risk Management and Oversight'!$A$123</f>
        <v>Resources</v>
      </c>
      <c r="D122" s="252" t="str">
        <f>'Risk Management and Oversight'!$B$123</f>
        <v>Staffing</v>
      </c>
      <c r="E122" s="252" t="str">
        <f>'Risk Management and Oversight'!$C$123</f>
        <v>Advanced</v>
      </c>
      <c r="F122" s="252">
        <f>'Risk Management and Oversight'!$D$123</f>
        <v>0</v>
      </c>
      <c r="G122" s="252">
        <f>'Risk Management and Oversight'!$N$123</f>
        <v>0</v>
      </c>
      <c r="H122" s="252">
        <f>'Risk Management and Oversight'!$O$123</f>
        <v>0</v>
      </c>
      <c r="I122" s="252">
        <f>'Risk Management and Oversight'!$P$123</f>
        <v>0</v>
      </c>
      <c r="J122" s="252">
        <f>'Risk Management and Oversight'!$Q$123</f>
        <v>0</v>
      </c>
      <c r="K122" t="s">
        <v>166</v>
      </c>
      <c r="L122" t="str">
        <f>IF(combinedMaturityTable[[#This Row],[Maturity Level]]="Baseline",LEFT(combinedMaturityTable[[#This Row],[DS]],FIND("(FFIEC ",combinedMaturityTable[[#This Row],[DS]])-1),"")</f>
        <v/>
      </c>
      <c r="M122" s="293" t="str">
        <f>CLEAN(TRIM(SUBSTITUTE(LEFT(combinedMaturityTable[[#This Row],[DSm]],MIN(250,LEN(combinedMaturityTable[[#This Row],[DSm]]))),CHAR(160)," ")))</f>
        <v/>
      </c>
    </row>
    <row r="123" spans="2:13" hidden="1" x14ac:dyDescent="0.25">
      <c r="B123" s="252" t="str">
        <f>'Risk Management and Oversight'!$M$124</f>
        <v>Cyber Risk Management and Oversight</v>
      </c>
      <c r="C123" s="252" t="str">
        <f>'Risk Management and Oversight'!$A$124</f>
        <v>Resources</v>
      </c>
      <c r="D123" s="252" t="str">
        <f>'Risk Management and Oversight'!$B$124</f>
        <v>Staffing</v>
      </c>
      <c r="E123" s="252" t="str">
        <f>'Risk Management and Oversight'!$C$124</f>
        <v>Advanced</v>
      </c>
      <c r="F123" s="252">
        <f>'Risk Management and Oversight'!$D$124</f>
        <v>0</v>
      </c>
      <c r="G123" s="252">
        <f>'Risk Management and Oversight'!$N$124</f>
        <v>0</v>
      </c>
      <c r="H123" s="252">
        <f>'Risk Management and Oversight'!$O$124</f>
        <v>0</v>
      </c>
      <c r="I123" s="252">
        <f>'Risk Management and Oversight'!$P$124</f>
        <v>0</v>
      </c>
      <c r="J123" s="252">
        <f>'Risk Management and Oversight'!$Q$124</f>
        <v>0</v>
      </c>
      <c r="K123" t="s">
        <v>167</v>
      </c>
      <c r="L123" t="str">
        <f>IF(combinedMaturityTable[[#This Row],[Maturity Level]]="Baseline",LEFT(combinedMaturityTable[[#This Row],[DS]],FIND("(FFIEC ",combinedMaturityTable[[#This Row],[DS]])-1),"")</f>
        <v/>
      </c>
      <c r="M123" s="293" t="str">
        <f>CLEAN(TRIM(SUBSTITUTE(LEFT(combinedMaturityTable[[#This Row],[DSm]],MIN(250,LEN(combinedMaturityTable[[#This Row],[DSm]]))),CHAR(160)," ")))</f>
        <v/>
      </c>
    </row>
    <row r="124" spans="2:13" hidden="1" x14ac:dyDescent="0.25">
      <c r="B124" s="252" t="str">
        <f>'Risk Management and Oversight'!$M$125</f>
        <v>Cyber Risk Management and Oversight</v>
      </c>
      <c r="C124" s="252" t="str">
        <f>'Risk Management and Oversight'!$A$125</f>
        <v>Resources</v>
      </c>
      <c r="D124" s="252" t="str">
        <f>'Risk Management and Oversight'!$B$125</f>
        <v>Staffing</v>
      </c>
      <c r="E124" s="252" t="str">
        <f>'Risk Management and Oversight'!$C$125</f>
        <v>Innovative</v>
      </c>
      <c r="F124" s="252">
        <f>'Risk Management and Oversight'!$D$125</f>
        <v>0</v>
      </c>
      <c r="G124" s="252">
        <f>'Risk Management and Oversight'!$N$125</f>
        <v>0</v>
      </c>
      <c r="H124" s="252">
        <f>'Risk Management and Oversight'!$O$125</f>
        <v>0</v>
      </c>
      <c r="I124" s="252">
        <f>'Risk Management and Oversight'!$P$125</f>
        <v>0</v>
      </c>
      <c r="J124" s="252">
        <f>'Risk Management and Oversight'!$Q$125</f>
        <v>0</v>
      </c>
      <c r="K124" t="s">
        <v>168</v>
      </c>
      <c r="L124" t="str">
        <f>IF(combinedMaturityTable[[#This Row],[Maturity Level]]="Baseline",LEFT(combinedMaturityTable[[#This Row],[DS]],FIND("(FFIEC ",combinedMaturityTable[[#This Row],[DS]])-1),"")</f>
        <v/>
      </c>
      <c r="M124" s="293" t="str">
        <f>CLEAN(TRIM(SUBSTITUTE(LEFT(combinedMaturityTable[[#This Row],[DSm]],MIN(250,LEN(combinedMaturityTable[[#This Row],[DSm]]))),CHAR(160)," ")))</f>
        <v/>
      </c>
    </row>
    <row r="125" spans="2:13" x14ac:dyDescent="0.25">
      <c r="B125" s="252" t="str">
        <f>'Risk Management and Oversight'!$M$126</f>
        <v>Cyber Risk Management and Oversight</v>
      </c>
      <c r="C125" s="252" t="str">
        <f>'Risk Management and Oversight'!$A$126</f>
        <v>Training and Culture</v>
      </c>
      <c r="D125" s="252" t="str">
        <f>'Risk Management and Oversight'!$B$126</f>
        <v>Training</v>
      </c>
      <c r="E125" s="252" t="str">
        <f>'Risk Management and Oversight'!$C$126</f>
        <v>Baseline</v>
      </c>
      <c r="F125" s="252">
        <f>'Risk Management and Oversight'!$D$126</f>
        <v>0</v>
      </c>
      <c r="G125" s="252">
        <f>'Risk Management and Oversight'!$N$126</f>
        <v>0</v>
      </c>
      <c r="H125" s="252">
        <f>'Risk Management and Oversight'!$O$126</f>
        <v>0</v>
      </c>
      <c r="I125" s="252">
        <f>'Risk Management and Oversight'!$P$126</f>
        <v>0</v>
      </c>
      <c r="J125" s="252">
        <f>'Risk Management and Oversight'!$Q$126</f>
        <v>0</v>
      </c>
      <c r="K125" t="s">
        <v>867</v>
      </c>
      <c r="L125" t="str">
        <f>IF(combinedMaturityTable[[#This Row],[Maturity Level]]="Baseline",LEFT(combinedMaturityTable[[#This Row],[DS]],FIND("(FFIEC ",combinedMaturityTable[[#This Row],[DS]])-1),"")</f>
        <v xml:space="preserve">Annual information security training is provided. </v>
      </c>
      <c r="M125" s="293" t="str">
        <f>CLEAN(TRIM(SUBSTITUTE(LEFT(combinedMaturityTable[[#This Row],[DSm]],MIN(250,LEN(combinedMaturityTable[[#This Row],[DSm]]))),CHAR(160)," ")))</f>
        <v>Annual information security training is provided.</v>
      </c>
    </row>
    <row r="126" spans="2:13" x14ac:dyDescent="0.25">
      <c r="B126" s="252" t="str">
        <f>'Risk Management and Oversight'!$M$127</f>
        <v>Cyber Risk Management and Oversight</v>
      </c>
      <c r="C126" s="252" t="str">
        <f>'Risk Management and Oversight'!$A$127</f>
        <v>Training and Culture</v>
      </c>
      <c r="D126" s="252" t="str">
        <f>'Risk Management and Oversight'!$B$127</f>
        <v>Training</v>
      </c>
      <c r="E126" s="252" t="str">
        <f>'Risk Management and Oversight'!$C$127</f>
        <v>Baseline</v>
      </c>
      <c r="F126" s="252">
        <f>'Risk Management and Oversight'!$D$127</f>
        <v>0</v>
      </c>
      <c r="G126" s="252">
        <f>'Risk Management and Oversight'!$N$127</f>
        <v>0</v>
      </c>
      <c r="H126" s="252">
        <f>'Risk Management and Oversight'!$O$127</f>
        <v>0</v>
      </c>
      <c r="I126" s="252">
        <f>'Risk Management and Oversight'!$P$127</f>
        <v>0</v>
      </c>
      <c r="J126" s="252">
        <f>'Risk Management and Oversight'!$Q$127</f>
        <v>0</v>
      </c>
      <c r="K126" t="s">
        <v>169</v>
      </c>
      <c r="L126" t="str">
        <f>IF(combinedMaturityTable[[#This Row],[Maturity Level]]="Baseline",LEFT(combinedMaturityTable[[#This Row],[DS]],FIND("(FFIEC ",combinedMaturityTable[[#This Row],[DS]])-1),"")</f>
        <v xml:space="preserve">Annual information security training includes incident response, current cyber threats (e.g., phishing, spear phishing, social engineering, and mobile security), and emerging issues. </v>
      </c>
      <c r="M126" s="293" t="str">
        <f>CLEAN(TRIM(SUBSTITUTE(LEFT(combinedMaturityTable[[#This Row],[DSm]],MIN(250,LEN(combinedMaturityTable[[#This Row],[DSm]]))),CHAR(160)," ")))</f>
        <v>Annual information security training includes incident response, current cyber threats (e.g., phishing, spear phishing, social engineering, and mobile security), and emerging issues.</v>
      </c>
    </row>
    <row r="127" spans="2:13" x14ac:dyDescent="0.25">
      <c r="B127" s="252" t="str">
        <f>'Risk Management and Oversight'!$M$128</f>
        <v>Cyber Risk Management and Oversight</v>
      </c>
      <c r="C127" s="252" t="str">
        <f>'Risk Management and Oversight'!$A$128</f>
        <v>Training and Culture</v>
      </c>
      <c r="D127" s="252" t="str">
        <f>'Risk Management and Oversight'!$B$128</f>
        <v>Training</v>
      </c>
      <c r="E127" s="252" t="str">
        <f>'Risk Management and Oversight'!$C$128</f>
        <v>Baseline</v>
      </c>
      <c r="F127" s="252">
        <f>'Risk Management and Oversight'!$D$128</f>
        <v>0</v>
      </c>
      <c r="G127" s="252">
        <f>'Risk Management and Oversight'!$N$128</f>
        <v>0</v>
      </c>
      <c r="H127" s="252">
        <f>'Risk Management and Oversight'!$O$128</f>
        <v>0</v>
      </c>
      <c r="I127" s="252">
        <f>'Risk Management and Oversight'!$P$128</f>
        <v>0</v>
      </c>
      <c r="J127" s="252">
        <f>'Risk Management and Oversight'!$Q$128</f>
        <v>0</v>
      </c>
      <c r="K127" t="s">
        <v>170</v>
      </c>
      <c r="L127" t="str">
        <f>IF(combinedMaturityTable[[#This Row],[Maturity Level]]="Baseline",LEFT(combinedMaturityTable[[#This Row],[DS]],FIND("(FFIEC ",combinedMaturityTable[[#This Row],[DS]])-1),"")</f>
        <v xml:space="preserve">Situational awareness materials are made available to employees when prompted by highly visible cyber events or by regulatory alerts. </v>
      </c>
      <c r="M127" s="293" t="str">
        <f>CLEAN(TRIM(SUBSTITUTE(LEFT(combinedMaturityTable[[#This Row],[DSm]],MIN(250,LEN(combinedMaturityTable[[#This Row],[DSm]]))),CHAR(160)," ")))</f>
        <v>Situational awareness materials are made available to employees when prompted by highly visible cyber events or by regulatory alerts.</v>
      </c>
    </row>
    <row r="128" spans="2:13" x14ac:dyDescent="0.25">
      <c r="B128" s="252" t="str">
        <f>'Risk Management and Oversight'!$M$129</f>
        <v>Cyber Risk Management and Oversight</v>
      </c>
      <c r="C128" s="252" t="str">
        <f>'Risk Management and Oversight'!$A$129</f>
        <v>Training and Culture</v>
      </c>
      <c r="D128" s="252" t="str">
        <f>'Risk Management and Oversight'!$B$129</f>
        <v>Training</v>
      </c>
      <c r="E128" s="252" t="str">
        <f>'Risk Management and Oversight'!$C$129</f>
        <v>Baseline</v>
      </c>
      <c r="F128" s="252">
        <f>'Risk Management and Oversight'!$D$129</f>
        <v>0</v>
      </c>
      <c r="G128" s="252">
        <f>'Risk Management and Oversight'!$N$129</f>
        <v>0</v>
      </c>
      <c r="H128" s="252">
        <f>'Risk Management and Oversight'!$O$129</f>
        <v>0</v>
      </c>
      <c r="I128" s="252">
        <f>'Risk Management and Oversight'!$P$129</f>
        <v>0</v>
      </c>
      <c r="J128" s="252">
        <f>'Risk Management and Oversight'!$Q$129</f>
        <v>0</v>
      </c>
      <c r="K128" t="s">
        <v>171</v>
      </c>
      <c r="L128" t="str">
        <f>IF(combinedMaturityTable[[#This Row],[Maturity Level]]="Baseline",LEFT(combinedMaturityTable[[#This Row],[DS]],FIND("(FFIEC ",combinedMaturityTable[[#This Row],[DS]])-1),"")</f>
        <v xml:space="preserve">Customer awareness materials are readily available (e.g., DHS’ Cybersecurity Awareness Month materials). </v>
      </c>
      <c r="M128" s="293" t="str">
        <f>CLEAN(TRIM(SUBSTITUTE(LEFT(combinedMaturityTable[[#This Row],[DSm]],MIN(250,LEN(combinedMaturityTable[[#This Row],[DSm]]))),CHAR(160)," ")))</f>
        <v>Customer awareness materials are readily available (e.g., DHS’ Cybersecurity Awareness Month materials).</v>
      </c>
    </row>
    <row r="129" spans="2:13" hidden="1" x14ac:dyDescent="0.25">
      <c r="B129" s="252" t="str">
        <f>'Risk Management and Oversight'!$M$130</f>
        <v>Cyber Risk Management and Oversight</v>
      </c>
      <c r="C129" s="252" t="str">
        <f>'Risk Management and Oversight'!$A$130</f>
        <v>Training and Culture</v>
      </c>
      <c r="D129" s="252" t="str">
        <f>'Risk Management and Oversight'!$B$130</f>
        <v>Training</v>
      </c>
      <c r="E129" s="252" t="str">
        <f>'Risk Management and Oversight'!$C$130</f>
        <v>Evolving</v>
      </c>
      <c r="F129" s="252">
        <f>'Risk Management and Oversight'!$D$130</f>
        <v>0</v>
      </c>
      <c r="G129" s="252">
        <f>'Risk Management and Oversight'!$N$130</f>
        <v>0</v>
      </c>
      <c r="H129" s="252">
        <f>'Risk Management and Oversight'!$O$130</f>
        <v>0</v>
      </c>
      <c r="I129" s="252">
        <f>'Risk Management and Oversight'!$P$130</f>
        <v>0</v>
      </c>
      <c r="J129" s="252">
        <f>'Risk Management and Oversight'!$Q$130</f>
        <v>0</v>
      </c>
      <c r="K129" t="s">
        <v>172</v>
      </c>
      <c r="L129" t="str">
        <f>IF(combinedMaturityTable[[#This Row],[Maturity Level]]="Baseline",LEFT(combinedMaturityTable[[#This Row],[DS]],FIND("(FFIEC ",combinedMaturityTable[[#This Row],[DS]])-1),"")</f>
        <v/>
      </c>
      <c r="M129" s="293" t="str">
        <f>CLEAN(TRIM(SUBSTITUTE(LEFT(combinedMaturityTable[[#This Row],[DSm]],MIN(250,LEN(combinedMaturityTable[[#This Row],[DSm]]))),CHAR(160)," ")))</f>
        <v/>
      </c>
    </row>
    <row r="130" spans="2:13" hidden="1" x14ac:dyDescent="0.25">
      <c r="B130" s="252" t="str">
        <f>'Risk Management and Oversight'!$M$131</f>
        <v>Cyber Risk Management and Oversight</v>
      </c>
      <c r="C130" s="252" t="str">
        <f>'Risk Management and Oversight'!$A$131</f>
        <v>Training and Culture</v>
      </c>
      <c r="D130" s="252" t="str">
        <f>'Risk Management and Oversight'!$B$131</f>
        <v>Training</v>
      </c>
      <c r="E130" s="252" t="str">
        <f>'Risk Management and Oversight'!$C$131</f>
        <v>Evolving</v>
      </c>
      <c r="F130" s="252">
        <f>'Risk Management and Oversight'!$D$131</f>
        <v>0</v>
      </c>
      <c r="G130" s="252">
        <f>'Risk Management and Oversight'!$N$131</f>
        <v>0</v>
      </c>
      <c r="H130" s="252">
        <f>'Risk Management and Oversight'!$O$131</f>
        <v>0</v>
      </c>
      <c r="I130" s="252">
        <f>'Risk Management and Oversight'!$P$131</f>
        <v>0</v>
      </c>
      <c r="J130" s="252">
        <f>'Risk Management and Oversight'!$Q$131</f>
        <v>0</v>
      </c>
      <c r="K130" t="s">
        <v>173</v>
      </c>
      <c r="L130" t="str">
        <f>IF(combinedMaturityTable[[#This Row],[Maturity Level]]="Baseline",LEFT(combinedMaturityTable[[#This Row],[DS]],FIND("(FFIEC ",combinedMaturityTable[[#This Row],[DS]])-1),"")</f>
        <v/>
      </c>
      <c r="M130" s="293" t="str">
        <f>CLEAN(TRIM(SUBSTITUTE(LEFT(combinedMaturityTable[[#This Row],[DSm]],MIN(250,LEN(combinedMaturityTable[[#This Row],[DSm]]))),CHAR(160)," ")))</f>
        <v/>
      </c>
    </row>
    <row r="131" spans="2:13" hidden="1" x14ac:dyDescent="0.25">
      <c r="B131" s="252" t="str">
        <f>'Risk Management and Oversight'!$M$132</f>
        <v>Cyber Risk Management and Oversight</v>
      </c>
      <c r="C131" s="252" t="str">
        <f>'Risk Management and Oversight'!$A$132</f>
        <v>Training and Culture</v>
      </c>
      <c r="D131" s="252" t="str">
        <f>'Risk Management and Oversight'!$B$132</f>
        <v>Training</v>
      </c>
      <c r="E131" s="252" t="str">
        <f>'Risk Management and Oversight'!$C$132</f>
        <v>Evolving</v>
      </c>
      <c r="F131" s="252">
        <f>'Risk Management and Oversight'!$D$132</f>
        <v>0</v>
      </c>
      <c r="G131" s="252">
        <f>'Risk Management and Oversight'!$N$132</f>
        <v>0</v>
      </c>
      <c r="H131" s="252">
        <f>'Risk Management and Oversight'!$O$132</f>
        <v>0</v>
      </c>
      <c r="I131" s="252">
        <f>'Risk Management and Oversight'!$P$132</f>
        <v>0</v>
      </c>
      <c r="J131" s="252">
        <f>'Risk Management and Oversight'!$Q$132</f>
        <v>0</v>
      </c>
      <c r="K131" t="s">
        <v>174</v>
      </c>
      <c r="L131" t="str">
        <f>IF(combinedMaturityTable[[#This Row],[Maturity Level]]="Baseline",LEFT(combinedMaturityTable[[#This Row],[DS]],FIND("(FFIEC ",combinedMaturityTable[[#This Row],[DS]])-1),"")</f>
        <v/>
      </c>
      <c r="M131" s="293" t="str">
        <f>CLEAN(TRIM(SUBSTITUTE(LEFT(combinedMaturityTable[[#This Row],[DSm]],MIN(250,LEN(combinedMaturityTable[[#This Row],[DSm]]))),CHAR(160)," ")))</f>
        <v/>
      </c>
    </row>
    <row r="132" spans="2:13" hidden="1" x14ac:dyDescent="0.25">
      <c r="B132" s="252" t="str">
        <f>'Risk Management and Oversight'!$M$133</f>
        <v>Cyber Risk Management and Oversight</v>
      </c>
      <c r="C132" s="252" t="str">
        <f>'Risk Management and Oversight'!$A$133</f>
        <v>Training and Culture</v>
      </c>
      <c r="D132" s="252" t="str">
        <f>'Risk Management and Oversight'!$B$133</f>
        <v>Training</v>
      </c>
      <c r="E132" s="252" t="str">
        <f>'Risk Management and Oversight'!$C$133</f>
        <v>Evolving</v>
      </c>
      <c r="F132" s="252">
        <f>'Risk Management and Oversight'!$D$133</f>
        <v>0</v>
      </c>
      <c r="G132" s="252">
        <f>'Risk Management and Oversight'!$N$133</f>
        <v>0</v>
      </c>
      <c r="H132" s="252">
        <f>'Risk Management and Oversight'!$O$133</f>
        <v>0</v>
      </c>
      <c r="I132" s="252">
        <f>'Risk Management and Oversight'!$P$133</f>
        <v>0</v>
      </c>
      <c r="J132" s="252">
        <f>'Risk Management and Oversight'!$Q$133</f>
        <v>0</v>
      </c>
      <c r="K132" t="s">
        <v>175</v>
      </c>
      <c r="L132" t="str">
        <f>IF(combinedMaturityTable[[#This Row],[Maturity Level]]="Baseline",LEFT(combinedMaturityTable[[#This Row],[DS]],FIND("(FFIEC ",combinedMaturityTable[[#This Row],[DS]])-1),"")</f>
        <v/>
      </c>
      <c r="M132" s="293" t="str">
        <f>CLEAN(TRIM(SUBSTITUTE(LEFT(combinedMaturityTable[[#This Row],[DSm]],MIN(250,LEN(combinedMaturityTable[[#This Row],[DSm]]))),CHAR(160)," ")))</f>
        <v/>
      </c>
    </row>
    <row r="133" spans="2:13" hidden="1" x14ac:dyDescent="0.25">
      <c r="B133" s="252" t="str">
        <f>'Risk Management and Oversight'!$M$134</f>
        <v>Cyber Risk Management and Oversight</v>
      </c>
      <c r="C133" s="252" t="str">
        <f>'Risk Management and Oversight'!$A$134</f>
        <v>Training and Culture</v>
      </c>
      <c r="D133" s="252" t="str">
        <f>'Risk Management and Oversight'!$B$134</f>
        <v>Training</v>
      </c>
      <c r="E133" s="252" t="str">
        <f>'Risk Management and Oversight'!$C$134</f>
        <v>Evolving</v>
      </c>
      <c r="F133" s="252">
        <f>'Risk Management and Oversight'!$D$134</f>
        <v>0</v>
      </c>
      <c r="G133" s="252">
        <f>'Risk Management and Oversight'!$N$134</f>
        <v>0</v>
      </c>
      <c r="H133" s="252">
        <f>'Risk Management and Oversight'!$O$134</f>
        <v>0</v>
      </c>
      <c r="I133" s="252">
        <f>'Risk Management and Oversight'!$P$134</f>
        <v>0</v>
      </c>
      <c r="J133" s="252">
        <f>'Risk Management and Oversight'!$Q$134</f>
        <v>0</v>
      </c>
      <c r="K133" t="s">
        <v>176</v>
      </c>
      <c r="L133" t="str">
        <f>IF(combinedMaturityTable[[#This Row],[Maturity Level]]="Baseline",LEFT(combinedMaturityTable[[#This Row],[DS]],FIND("(FFIEC ",combinedMaturityTable[[#This Row],[DS]])-1),"")</f>
        <v/>
      </c>
      <c r="M133" s="293" t="str">
        <f>CLEAN(TRIM(SUBSTITUTE(LEFT(combinedMaturityTable[[#This Row],[DSm]],MIN(250,LEN(combinedMaturityTable[[#This Row],[DSm]]))),CHAR(160)," ")))</f>
        <v/>
      </c>
    </row>
    <row r="134" spans="2:13" hidden="1" x14ac:dyDescent="0.25">
      <c r="B134" s="252" t="str">
        <f>'Risk Management and Oversight'!$M$135</f>
        <v>Cyber Risk Management and Oversight</v>
      </c>
      <c r="C134" s="252" t="str">
        <f>'Risk Management and Oversight'!$A$135</f>
        <v>Training and Culture</v>
      </c>
      <c r="D134" s="252" t="str">
        <f>'Risk Management and Oversight'!$B$135</f>
        <v>Training</v>
      </c>
      <c r="E134" s="252" t="str">
        <f>'Risk Management and Oversight'!$C$135</f>
        <v>Intermediate</v>
      </c>
      <c r="F134" s="252">
        <f>'Risk Management and Oversight'!$D$135</f>
        <v>0</v>
      </c>
      <c r="G134" s="252">
        <f>'Risk Management and Oversight'!$N$135</f>
        <v>0</v>
      </c>
      <c r="H134" s="252">
        <f>'Risk Management and Oversight'!$O$135</f>
        <v>0</v>
      </c>
      <c r="I134" s="252">
        <f>'Risk Management and Oversight'!$P$135</f>
        <v>0</v>
      </c>
      <c r="J134" s="252">
        <f>'Risk Management and Oversight'!$Q$135</f>
        <v>0</v>
      </c>
      <c r="K134" t="s">
        <v>177</v>
      </c>
      <c r="L134" t="str">
        <f>IF(combinedMaturityTable[[#This Row],[Maturity Level]]="Baseline",LEFT(combinedMaturityTable[[#This Row],[DS]],FIND("(FFIEC ",combinedMaturityTable[[#This Row],[DS]])-1),"")</f>
        <v/>
      </c>
      <c r="M134" s="293" t="str">
        <f>CLEAN(TRIM(SUBSTITUTE(LEFT(combinedMaturityTable[[#This Row],[DSm]],MIN(250,LEN(combinedMaturityTable[[#This Row],[DSm]]))),CHAR(160)," ")))</f>
        <v/>
      </c>
    </row>
    <row r="135" spans="2:13" hidden="1" x14ac:dyDescent="0.25">
      <c r="B135" s="252" t="str">
        <f>'Risk Management and Oversight'!$M$136</f>
        <v>Cyber Risk Management and Oversight</v>
      </c>
      <c r="C135" s="252" t="str">
        <f>'Risk Management and Oversight'!$A$136</f>
        <v>Training and Culture</v>
      </c>
      <c r="D135" s="252" t="str">
        <f>'Risk Management and Oversight'!$B$136</f>
        <v>Training</v>
      </c>
      <c r="E135" s="252" t="str">
        <f>'Risk Management and Oversight'!$C$136</f>
        <v>Intermediate</v>
      </c>
      <c r="F135" s="252">
        <f>'Risk Management and Oversight'!$D$136</f>
        <v>0</v>
      </c>
      <c r="G135" s="252">
        <f>'Risk Management and Oversight'!$N$136</f>
        <v>0</v>
      </c>
      <c r="H135" s="252">
        <f>'Risk Management and Oversight'!$O$136</f>
        <v>0</v>
      </c>
      <c r="I135" s="252">
        <f>'Risk Management and Oversight'!$P$136</f>
        <v>0</v>
      </c>
      <c r="J135" s="252">
        <f>'Risk Management and Oversight'!$Q$136</f>
        <v>0</v>
      </c>
      <c r="K135" t="s">
        <v>178</v>
      </c>
      <c r="L135" t="str">
        <f>IF(combinedMaturityTable[[#This Row],[Maturity Level]]="Baseline",LEFT(combinedMaturityTable[[#This Row],[DS]],FIND("(FFIEC ",combinedMaturityTable[[#This Row],[DS]])-1),"")</f>
        <v/>
      </c>
      <c r="M135" s="293" t="str">
        <f>CLEAN(TRIM(SUBSTITUTE(LEFT(combinedMaturityTable[[#This Row],[DSm]],MIN(250,LEN(combinedMaturityTable[[#This Row],[DSm]]))),CHAR(160)," ")))</f>
        <v/>
      </c>
    </row>
    <row r="136" spans="2:13" hidden="1" x14ac:dyDescent="0.25">
      <c r="B136" s="252" t="str">
        <f>'Risk Management and Oversight'!$M$137</f>
        <v>Cyber Risk Management and Oversight</v>
      </c>
      <c r="C136" s="252" t="str">
        <f>'Risk Management and Oversight'!$A$137</f>
        <v>Training and Culture</v>
      </c>
      <c r="D136" s="252" t="str">
        <f>'Risk Management and Oversight'!$B$137</f>
        <v>Training</v>
      </c>
      <c r="E136" s="252" t="str">
        <f>'Risk Management and Oversight'!$C$137</f>
        <v>Intermediate</v>
      </c>
      <c r="F136" s="252">
        <f>'Risk Management and Oversight'!$D$137</f>
        <v>0</v>
      </c>
      <c r="G136" s="252">
        <f>'Risk Management and Oversight'!$N$137</f>
        <v>0</v>
      </c>
      <c r="H136" s="252">
        <f>'Risk Management and Oversight'!$O$137</f>
        <v>0</v>
      </c>
      <c r="I136" s="252">
        <f>'Risk Management and Oversight'!$P$137</f>
        <v>0</v>
      </c>
      <c r="J136" s="252">
        <f>'Risk Management and Oversight'!$Q$137</f>
        <v>0</v>
      </c>
      <c r="K136" t="s">
        <v>179</v>
      </c>
      <c r="L136" t="str">
        <f>IF(combinedMaturityTable[[#This Row],[Maturity Level]]="Baseline",LEFT(combinedMaturityTable[[#This Row],[DS]],FIND("(FFIEC ",combinedMaturityTable[[#This Row],[DS]])-1),"")</f>
        <v/>
      </c>
      <c r="M136" s="293" t="str">
        <f>CLEAN(TRIM(SUBSTITUTE(LEFT(combinedMaturityTable[[#This Row],[DSm]],MIN(250,LEN(combinedMaturityTable[[#This Row],[DSm]]))),CHAR(160)," ")))</f>
        <v/>
      </c>
    </row>
    <row r="137" spans="2:13" hidden="1" x14ac:dyDescent="0.25">
      <c r="B137" s="252" t="str">
        <f>'Risk Management and Oversight'!$M$138</f>
        <v>Cyber Risk Management and Oversight</v>
      </c>
      <c r="C137" s="252" t="str">
        <f>'Risk Management and Oversight'!$A$138</f>
        <v>Training and Culture</v>
      </c>
      <c r="D137" s="252" t="str">
        <f>'Risk Management and Oversight'!$B$138</f>
        <v>Training</v>
      </c>
      <c r="E137" s="252" t="str">
        <f>'Risk Management and Oversight'!$C$138</f>
        <v>Intermediate</v>
      </c>
      <c r="F137" s="252">
        <f>'Risk Management and Oversight'!$D$138</f>
        <v>0</v>
      </c>
      <c r="G137" s="252">
        <f>'Risk Management and Oversight'!$N$138</f>
        <v>0</v>
      </c>
      <c r="H137" s="252">
        <f>'Risk Management and Oversight'!$O$138</f>
        <v>0</v>
      </c>
      <c r="I137" s="252">
        <f>'Risk Management and Oversight'!$P$138</f>
        <v>0</v>
      </c>
      <c r="J137" s="252">
        <f>'Risk Management and Oversight'!$Q$138</f>
        <v>0</v>
      </c>
      <c r="K137" t="s">
        <v>180</v>
      </c>
      <c r="L137" t="str">
        <f>IF(combinedMaturityTable[[#This Row],[Maturity Level]]="Baseline",LEFT(combinedMaturityTable[[#This Row],[DS]],FIND("(FFIEC ",combinedMaturityTable[[#This Row],[DS]])-1),"")</f>
        <v/>
      </c>
      <c r="M137" s="293" t="str">
        <f>CLEAN(TRIM(SUBSTITUTE(LEFT(combinedMaturityTable[[#This Row],[DSm]],MIN(250,LEN(combinedMaturityTable[[#This Row],[DSm]]))),CHAR(160)," ")))</f>
        <v/>
      </c>
    </row>
    <row r="138" spans="2:13" hidden="1" x14ac:dyDescent="0.25">
      <c r="B138" s="252" t="str">
        <f>'Risk Management and Oversight'!$M$139</f>
        <v>Cyber Risk Management and Oversight</v>
      </c>
      <c r="C138" s="252" t="str">
        <f>'Risk Management and Oversight'!$A$139</f>
        <v>Training and Culture</v>
      </c>
      <c r="D138" s="252" t="str">
        <f>'Risk Management and Oversight'!$B$139</f>
        <v>Training</v>
      </c>
      <c r="E138" s="252" t="str">
        <f>'Risk Management and Oversight'!$C$139</f>
        <v>Advanced</v>
      </c>
      <c r="F138" s="252">
        <f>'Risk Management and Oversight'!$D$139</f>
        <v>0</v>
      </c>
      <c r="G138" s="252">
        <f>'Risk Management and Oversight'!$N$139</f>
        <v>0</v>
      </c>
      <c r="H138" s="252">
        <f>'Risk Management and Oversight'!$O$139</f>
        <v>0</v>
      </c>
      <c r="I138" s="252">
        <f>'Risk Management and Oversight'!$P$139</f>
        <v>0</v>
      </c>
      <c r="J138" s="252">
        <f>'Risk Management and Oversight'!$Q$139</f>
        <v>0</v>
      </c>
      <c r="K138" t="s">
        <v>181</v>
      </c>
      <c r="L138" t="str">
        <f>IF(combinedMaturityTable[[#This Row],[Maturity Level]]="Baseline",LEFT(combinedMaturityTable[[#This Row],[DS]],FIND("(FFIEC ",combinedMaturityTable[[#This Row],[DS]])-1),"")</f>
        <v/>
      </c>
      <c r="M138" s="293" t="str">
        <f>CLEAN(TRIM(SUBSTITUTE(LEFT(combinedMaturityTable[[#This Row],[DSm]],MIN(250,LEN(combinedMaturityTable[[#This Row],[DSm]]))),CHAR(160)," ")))</f>
        <v/>
      </c>
    </row>
    <row r="139" spans="2:13" hidden="1" x14ac:dyDescent="0.25">
      <c r="B139" s="252" t="str">
        <f>'Risk Management and Oversight'!$M$140</f>
        <v>Cyber Risk Management and Oversight</v>
      </c>
      <c r="C139" s="252" t="str">
        <f>'Risk Management and Oversight'!$A$140</f>
        <v>Training and Culture</v>
      </c>
      <c r="D139" s="252" t="str">
        <f>'Risk Management and Oversight'!$B$140</f>
        <v>Training</v>
      </c>
      <c r="E139" s="252" t="str">
        <f>'Risk Management and Oversight'!$C$140</f>
        <v>Innovative</v>
      </c>
      <c r="F139" s="252">
        <f>'Risk Management and Oversight'!$D$140</f>
        <v>0</v>
      </c>
      <c r="G139" s="252">
        <f>'Risk Management and Oversight'!$N$140</f>
        <v>0</v>
      </c>
      <c r="H139" s="252">
        <f>'Risk Management and Oversight'!$O$140</f>
        <v>0</v>
      </c>
      <c r="I139" s="252">
        <f>'Risk Management and Oversight'!$P$140</f>
        <v>0</v>
      </c>
      <c r="J139" s="252">
        <f>'Risk Management and Oversight'!$Q$140</f>
        <v>0</v>
      </c>
      <c r="K139" t="s">
        <v>182</v>
      </c>
      <c r="L139" t="str">
        <f>IF(combinedMaturityTable[[#This Row],[Maturity Level]]="Baseline",LEFT(combinedMaturityTable[[#This Row],[DS]],FIND("(FFIEC ",combinedMaturityTable[[#This Row],[DS]])-1),"")</f>
        <v/>
      </c>
      <c r="M139" s="293" t="str">
        <f>CLEAN(TRIM(SUBSTITUTE(LEFT(combinedMaturityTable[[#This Row],[DSm]],MIN(250,LEN(combinedMaturityTable[[#This Row],[DSm]]))),CHAR(160)," ")))</f>
        <v/>
      </c>
    </row>
    <row r="140" spans="2:13" x14ac:dyDescent="0.25">
      <c r="B140" s="252" t="str">
        <f>'Risk Management and Oversight'!$M$141</f>
        <v>Cyber Risk Management and Oversight</v>
      </c>
      <c r="C140" s="252" t="str">
        <f>'Risk Management and Oversight'!$A$141</f>
        <v>Training and Culture</v>
      </c>
      <c r="D140" s="252" t="str">
        <f>'Risk Management and Oversight'!$B$141</f>
        <v>Culture</v>
      </c>
      <c r="E140" s="252" t="str">
        <f>'Risk Management and Oversight'!$C$141</f>
        <v>Baseline</v>
      </c>
      <c r="F140" s="252">
        <f>'Risk Management and Oversight'!$D$141</f>
        <v>0</v>
      </c>
      <c r="G140" s="252">
        <f>'Risk Management and Oversight'!$N$141</f>
        <v>0</v>
      </c>
      <c r="H140" s="252">
        <f>'Risk Management and Oversight'!$O$141</f>
        <v>0</v>
      </c>
      <c r="I140" s="252">
        <f>'Risk Management and Oversight'!$P$141</f>
        <v>0</v>
      </c>
      <c r="J140" s="252">
        <f>'Risk Management and Oversight'!$Q$141</f>
        <v>0</v>
      </c>
      <c r="K140" t="s">
        <v>183</v>
      </c>
      <c r="L140" t="str">
        <f>IF(combinedMaturityTable[[#This Row],[Maturity Level]]="Baseline",LEFT(combinedMaturityTable[[#This Row],[DS]],FIND("(FFIEC ",combinedMaturityTable[[#This Row],[DS]])-1),"")</f>
        <v xml:space="preserve">Management holds employees accountable for complying with the information security program. </v>
      </c>
      <c r="M140" s="293" t="str">
        <f>CLEAN(TRIM(SUBSTITUTE(LEFT(combinedMaturityTable[[#This Row],[DSm]],MIN(250,LEN(combinedMaturityTable[[#This Row],[DSm]]))),CHAR(160)," ")))</f>
        <v>Management holds employees accountable for complying with the information security program.</v>
      </c>
    </row>
    <row r="141" spans="2:13" hidden="1" x14ac:dyDescent="0.25">
      <c r="B141" s="252" t="str">
        <f>'Risk Management and Oversight'!$M$142</f>
        <v>Cyber Risk Management and Oversight</v>
      </c>
      <c r="C141" s="252" t="str">
        <f>'Risk Management and Oversight'!$A$142</f>
        <v>Training and Culture</v>
      </c>
      <c r="D141" s="252" t="str">
        <f>'Risk Management and Oversight'!$B$142</f>
        <v>Culture</v>
      </c>
      <c r="E141" s="252" t="str">
        <f>'Risk Management and Oversight'!$C$142</f>
        <v>Evolving</v>
      </c>
      <c r="F141" s="252">
        <f>'Risk Management and Oversight'!$D$142</f>
        <v>0</v>
      </c>
      <c r="G141" s="252">
        <f>'Risk Management and Oversight'!$N$142</f>
        <v>0</v>
      </c>
      <c r="H141" s="252">
        <f>'Risk Management and Oversight'!$O$142</f>
        <v>0</v>
      </c>
      <c r="I141" s="252">
        <f>'Risk Management and Oversight'!$P$142</f>
        <v>0</v>
      </c>
      <c r="J141" s="252">
        <f>'Risk Management and Oversight'!$Q$142</f>
        <v>0</v>
      </c>
      <c r="K141" t="s">
        <v>868</v>
      </c>
      <c r="L141" t="str">
        <f>IF(combinedMaturityTable[[#This Row],[Maturity Level]]="Baseline",LEFT(combinedMaturityTable[[#This Row],[DS]],FIND("(FFIEC ",combinedMaturityTable[[#This Row],[DS]])-1),"")</f>
        <v/>
      </c>
      <c r="M141" s="293" t="str">
        <f>CLEAN(TRIM(SUBSTITUTE(LEFT(combinedMaturityTable[[#This Row],[DSm]],MIN(250,LEN(combinedMaturityTable[[#This Row],[DSm]]))),CHAR(160)," ")))</f>
        <v/>
      </c>
    </row>
    <row r="142" spans="2:13" hidden="1" x14ac:dyDescent="0.25">
      <c r="B142" s="252" t="str">
        <f>'Risk Management and Oversight'!$M$143</f>
        <v>Cyber Risk Management and Oversight</v>
      </c>
      <c r="C142" s="252" t="str">
        <f>'Risk Management and Oversight'!$A$143</f>
        <v>Training and Culture</v>
      </c>
      <c r="D142" s="252" t="str">
        <f>'Risk Management and Oversight'!$B$143</f>
        <v>Culture</v>
      </c>
      <c r="E142" s="252" t="str">
        <f>'Risk Management and Oversight'!$C$143</f>
        <v>Evolving</v>
      </c>
      <c r="F142" s="252">
        <f>'Risk Management and Oversight'!$D$143</f>
        <v>0</v>
      </c>
      <c r="G142" s="252">
        <f>'Risk Management and Oversight'!$N$143</f>
        <v>0</v>
      </c>
      <c r="H142" s="252">
        <f>'Risk Management and Oversight'!$O$143</f>
        <v>0</v>
      </c>
      <c r="I142" s="252">
        <f>'Risk Management and Oversight'!$P$143</f>
        <v>0</v>
      </c>
      <c r="J142" s="252">
        <f>'Risk Management and Oversight'!$Q$143</f>
        <v>0</v>
      </c>
      <c r="K142" t="s">
        <v>869</v>
      </c>
      <c r="L142" t="str">
        <f>IF(combinedMaturityTable[[#This Row],[Maturity Level]]="Baseline",LEFT(combinedMaturityTable[[#This Row],[DS]],FIND("(FFIEC ",combinedMaturityTable[[#This Row],[DS]])-1),"")</f>
        <v/>
      </c>
      <c r="M142" s="293" t="str">
        <f>CLEAN(TRIM(SUBSTITUTE(LEFT(combinedMaturityTable[[#This Row],[DSm]],MIN(250,LEN(combinedMaturityTable[[#This Row],[DSm]]))),CHAR(160)," ")))</f>
        <v/>
      </c>
    </row>
    <row r="143" spans="2:13" hidden="1" x14ac:dyDescent="0.25">
      <c r="B143" s="252" t="str">
        <f>'Risk Management and Oversight'!$M$144</f>
        <v>Cyber Risk Management and Oversight</v>
      </c>
      <c r="C143" s="252" t="str">
        <f>'Risk Management and Oversight'!$A$144</f>
        <v>Training and Culture</v>
      </c>
      <c r="D143" s="252" t="str">
        <f>'Risk Management and Oversight'!$B$144</f>
        <v>Culture</v>
      </c>
      <c r="E143" s="252" t="str">
        <f>'Risk Management and Oversight'!$C$144</f>
        <v>Evolving</v>
      </c>
      <c r="F143" s="252">
        <f>'Risk Management and Oversight'!$D$144</f>
        <v>0</v>
      </c>
      <c r="G143" s="252">
        <f>'Risk Management and Oversight'!$N$144</f>
        <v>0</v>
      </c>
      <c r="H143" s="252">
        <f>'Risk Management and Oversight'!$O$144</f>
        <v>0</v>
      </c>
      <c r="I143" s="252">
        <f>'Risk Management and Oversight'!$P$144</f>
        <v>0</v>
      </c>
      <c r="J143" s="252">
        <f>'Risk Management and Oversight'!$Q$144</f>
        <v>0</v>
      </c>
      <c r="K143" t="s">
        <v>870</v>
      </c>
      <c r="L143" t="str">
        <f>IF(combinedMaturityTable[[#This Row],[Maturity Level]]="Baseline",LEFT(combinedMaturityTable[[#This Row],[DS]],FIND("(FFIEC ",combinedMaturityTable[[#This Row],[DS]])-1),"")</f>
        <v/>
      </c>
      <c r="M143" s="293" t="str">
        <f>CLEAN(TRIM(SUBSTITUTE(LEFT(combinedMaturityTable[[#This Row],[DSm]],MIN(250,LEN(combinedMaturityTable[[#This Row],[DSm]]))),CHAR(160)," ")))</f>
        <v/>
      </c>
    </row>
    <row r="144" spans="2:13" hidden="1" x14ac:dyDescent="0.25">
      <c r="B144" s="252" t="str">
        <f>'Risk Management and Oversight'!$M$145</f>
        <v>Cyber Risk Management and Oversight</v>
      </c>
      <c r="C144" s="252" t="str">
        <f>'Risk Management and Oversight'!$A$145</f>
        <v>Training and Culture</v>
      </c>
      <c r="D144" s="252" t="str">
        <f>'Risk Management and Oversight'!$B$145</f>
        <v>Culture</v>
      </c>
      <c r="E144" s="252" t="str">
        <f>'Risk Management and Oversight'!$C$145</f>
        <v>Intermediate</v>
      </c>
      <c r="F144" s="252">
        <f>'Risk Management and Oversight'!$D$145</f>
        <v>0</v>
      </c>
      <c r="G144" s="252">
        <f>'Risk Management and Oversight'!$N$145</f>
        <v>0</v>
      </c>
      <c r="H144" s="252">
        <f>'Risk Management and Oversight'!$O$145</f>
        <v>0</v>
      </c>
      <c r="I144" s="252">
        <f>'Risk Management and Oversight'!$P$145</f>
        <v>0</v>
      </c>
      <c r="J144" s="252">
        <f>'Risk Management and Oversight'!$Q$145</f>
        <v>0</v>
      </c>
      <c r="K144" t="s">
        <v>184</v>
      </c>
      <c r="L144" t="str">
        <f>IF(combinedMaturityTable[[#This Row],[Maturity Level]]="Baseline",LEFT(combinedMaturityTable[[#This Row],[DS]],FIND("(FFIEC ",combinedMaturityTable[[#This Row],[DS]])-1),"")</f>
        <v/>
      </c>
      <c r="M144" s="293" t="str">
        <f>CLEAN(TRIM(SUBSTITUTE(LEFT(combinedMaturityTable[[#This Row],[DSm]],MIN(250,LEN(combinedMaturityTable[[#This Row],[DSm]]))),CHAR(160)," ")))</f>
        <v/>
      </c>
    </row>
    <row r="145" spans="2:13" hidden="1" x14ac:dyDescent="0.25">
      <c r="B145" s="252" t="str">
        <f>'Risk Management and Oversight'!$M$146</f>
        <v>Cyber Risk Management and Oversight</v>
      </c>
      <c r="C145" s="252" t="str">
        <f>'Risk Management and Oversight'!$A$146</f>
        <v>Training and Culture</v>
      </c>
      <c r="D145" s="252" t="str">
        <f>'Risk Management and Oversight'!$B$146</f>
        <v>Culture</v>
      </c>
      <c r="E145" s="252" t="str">
        <f>'Risk Management and Oversight'!$C$146</f>
        <v>Intermediate</v>
      </c>
      <c r="F145" s="252">
        <f>'Risk Management and Oversight'!$D$146</f>
        <v>0</v>
      </c>
      <c r="G145" s="252">
        <f>'Risk Management and Oversight'!$N$146</f>
        <v>0</v>
      </c>
      <c r="H145" s="252">
        <f>'Risk Management and Oversight'!$O$146</f>
        <v>0</v>
      </c>
      <c r="I145" s="252">
        <f>'Risk Management and Oversight'!$P$146</f>
        <v>0</v>
      </c>
      <c r="J145" s="252">
        <f>'Risk Management and Oversight'!$Q$146</f>
        <v>0</v>
      </c>
      <c r="K145" t="s">
        <v>185</v>
      </c>
      <c r="L145" t="str">
        <f>IF(combinedMaturityTable[[#This Row],[Maturity Level]]="Baseline",LEFT(combinedMaturityTable[[#This Row],[DS]],FIND("(FFIEC ",combinedMaturityTable[[#This Row],[DS]])-1),"")</f>
        <v/>
      </c>
      <c r="M145" s="293" t="str">
        <f>CLEAN(TRIM(SUBSTITUTE(LEFT(combinedMaturityTable[[#This Row],[DSm]],MIN(250,LEN(combinedMaturityTable[[#This Row],[DSm]]))),CHAR(160)," ")))</f>
        <v/>
      </c>
    </row>
    <row r="146" spans="2:13" hidden="1" x14ac:dyDescent="0.25">
      <c r="B146" s="252" t="str">
        <f>'Risk Management and Oversight'!$M$147</f>
        <v>Cyber Risk Management and Oversight</v>
      </c>
      <c r="C146" s="252" t="str">
        <f>'Risk Management and Oversight'!$A$147</f>
        <v>Training and Culture</v>
      </c>
      <c r="D146" s="252" t="str">
        <f>'Risk Management and Oversight'!$B$147</f>
        <v>Culture</v>
      </c>
      <c r="E146" s="252" t="str">
        <f>'Risk Management and Oversight'!$C$147</f>
        <v>Intermediate</v>
      </c>
      <c r="F146" s="252">
        <f>'Risk Management and Oversight'!$D$147</f>
        <v>0</v>
      </c>
      <c r="G146" s="252">
        <f>'Risk Management and Oversight'!$N$147</f>
        <v>0</v>
      </c>
      <c r="H146" s="252">
        <f>'Risk Management and Oversight'!$O$147</f>
        <v>0</v>
      </c>
      <c r="I146" s="252">
        <f>'Risk Management and Oversight'!$P$147</f>
        <v>0</v>
      </c>
      <c r="J146" s="252">
        <f>'Risk Management and Oversight'!$Q$147</f>
        <v>0</v>
      </c>
      <c r="K146" t="s">
        <v>186</v>
      </c>
      <c r="L146" t="str">
        <f>IF(combinedMaturityTable[[#This Row],[Maturity Level]]="Baseline",LEFT(combinedMaturityTable[[#This Row],[DS]],FIND("(FFIEC ",combinedMaturityTable[[#This Row],[DS]])-1),"")</f>
        <v/>
      </c>
      <c r="M146" s="293" t="str">
        <f>CLEAN(TRIM(SUBSTITUTE(LEFT(combinedMaturityTable[[#This Row],[DSm]],MIN(250,LEN(combinedMaturityTable[[#This Row],[DSm]]))),CHAR(160)," ")))</f>
        <v/>
      </c>
    </row>
    <row r="147" spans="2:13" hidden="1" x14ac:dyDescent="0.25">
      <c r="B147" s="252" t="str">
        <f>'Risk Management and Oversight'!$M$148</f>
        <v>Cyber Risk Management and Oversight</v>
      </c>
      <c r="C147" s="252" t="str">
        <f>'Risk Management and Oversight'!$A$148</f>
        <v>Training and Culture</v>
      </c>
      <c r="D147" s="252" t="str">
        <f>'Risk Management and Oversight'!$B$148</f>
        <v>Culture</v>
      </c>
      <c r="E147" s="252" t="str">
        <f>'Risk Management and Oversight'!$C$148</f>
        <v>Advanced</v>
      </c>
      <c r="F147" s="252">
        <f>'Risk Management and Oversight'!$D$148</f>
        <v>0</v>
      </c>
      <c r="G147" s="252">
        <f>'Risk Management and Oversight'!$N$148</f>
        <v>0</v>
      </c>
      <c r="H147" s="252">
        <f>'Risk Management and Oversight'!$O$148</f>
        <v>0</v>
      </c>
      <c r="I147" s="252">
        <f>'Risk Management and Oversight'!$P$148</f>
        <v>0</v>
      </c>
      <c r="J147" s="252">
        <f>'Risk Management and Oversight'!$Q$148</f>
        <v>0</v>
      </c>
      <c r="K147" t="s">
        <v>187</v>
      </c>
      <c r="L147" t="str">
        <f>IF(combinedMaturityTable[[#This Row],[Maturity Level]]="Baseline",LEFT(combinedMaturityTable[[#This Row],[DS]],FIND("(FFIEC ",combinedMaturityTable[[#This Row],[DS]])-1),"")</f>
        <v/>
      </c>
      <c r="M147" s="293" t="str">
        <f>CLEAN(TRIM(SUBSTITUTE(LEFT(combinedMaturityTable[[#This Row],[DSm]],MIN(250,LEN(combinedMaturityTable[[#This Row],[DSm]]))),CHAR(160)," ")))</f>
        <v/>
      </c>
    </row>
    <row r="148" spans="2:13" hidden="1" x14ac:dyDescent="0.25">
      <c r="B148" s="252" t="str">
        <f>'Risk Management and Oversight'!$M$149</f>
        <v>Cyber Risk Management and Oversight</v>
      </c>
      <c r="C148" s="252" t="str">
        <f>'Risk Management and Oversight'!$A$149</f>
        <v>Training and Culture</v>
      </c>
      <c r="D148" s="252" t="str">
        <f>'Risk Management and Oversight'!$B$149</f>
        <v>Culture</v>
      </c>
      <c r="E148" s="252" t="str">
        <f>'Risk Management and Oversight'!$C$149</f>
        <v>Innovative</v>
      </c>
      <c r="F148" s="252">
        <f>'Risk Management and Oversight'!$D$149</f>
        <v>0</v>
      </c>
      <c r="G148" s="252">
        <f>'Risk Management and Oversight'!$N$149</f>
        <v>0</v>
      </c>
      <c r="H148" s="252">
        <f>'Risk Management and Oversight'!$O$149</f>
        <v>0</v>
      </c>
      <c r="I148" s="252">
        <f>'Risk Management and Oversight'!$P$149</f>
        <v>0</v>
      </c>
      <c r="J148" s="252">
        <f>'Risk Management and Oversight'!$Q$149</f>
        <v>0</v>
      </c>
      <c r="K148" t="s">
        <v>188</v>
      </c>
      <c r="L148" t="str">
        <f>IF(combinedMaturityTable[[#This Row],[Maturity Level]]="Baseline",LEFT(combinedMaturityTable[[#This Row],[DS]],FIND("(FFIEC ",combinedMaturityTable[[#This Row],[DS]])-1),"")</f>
        <v/>
      </c>
      <c r="M148" s="293" t="str">
        <f>CLEAN(TRIM(SUBSTITUTE(LEFT(combinedMaturityTable[[#This Row],[DSm]],MIN(250,LEN(combinedMaturityTable[[#This Row],[DSm]]))),CHAR(160)," ")))</f>
        <v/>
      </c>
    </row>
    <row r="149" spans="2:13" x14ac:dyDescent="0.25">
      <c r="B149" s="252" t="str">
        <f>'Threat Intel and Collaboration'!$M$9</f>
        <v>Threat Intelligence and Collaboration</v>
      </c>
      <c r="C149" s="252" t="str">
        <f>'Threat Intel and Collaboration'!$A$9</f>
        <v>Threat Intelligence</v>
      </c>
      <c r="D149" s="252" t="str">
        <f>'Threat Intel and Collaboration'!$B$9</f>
        <v>Threat Intelligence and Information</v>
      </c>
      <c r="E149" s="252" t="str">
        <f>'Threat Intel and Collaboration'!$C$9</f>
        <v>Baseline</v>
      </c>
      <c r="F149" s="252">
        <f>'Threat Intel and Collaboration'!$D$9</f>
        <v>0</v>
      </c>
      <c r="G149" s="252">
        <f>'Threat Intel and Collaboration'!$N$9</f>
        <v>0</v>
      </c>
      <c r="H149" s="252">
        <f>'Threat Intel and Collaboration'!$O$9</f>
        <v>0</v>
      </c>
      <c r="I149" s="252">
        <f>'Threat Intel and Collaboration'!$P$9</f>
        <v>0</v>
      </c>
      <c r="J149" s="252">
        <f>'Threat Intel and Collaboration'!$Q$9</f>
        <v>0</v>
      </c>
      <c r="K149" t="s">
        <v>192</v>
      </c>
      <c r="L149" t="str">
        <f>IF(combinedMaturityTable[[#This Row],[Maturity Level]]="Baseline",LEFT(combinedMaturityTable[[#This Row],[DS]],FIND("(FFIEC ",combinedMaturityTable[[#This Row],[DS]])-1),"")</f>
        <v xml:space="preserve">The institution belongs or subscribes to a threat and vulnerability information sharing source(s) that provides information on threats (e.g., Financial Services Information Sharing and Analysis Center [FS-ISAC], U.S. Computer Emergency Readiness Team [US-CERT]). </v>
      </c>
      <c r="M149" s="293" t="str">
        <f>CLEAN(TRIM(SUBSTITUTE(LEFT(combinedMaturityTable[[#This Row],[DSm]],MIN(250,LEN(combinedMaturityTable[[#This Row],[DSm]]))),CHAR(160)," ")))</f>
        <v>The institution belongs or subscribes to a threat and vulnerability information sharing source(s) that provides information on threats (e.g., Financial Services Information Sharing and Analysis Center [FS-ISAC], U.S. Computer Emergency Readiness Team</v>
      </c>
    </row>
    <row r="150" spans="2:13" x14ac:dyDescent="0.25">
      <c r="B150" s="252" t="str">
        <f>'Threat Intel and Collaboration'!$M$10</f>
        <v>Threat Intelligence and Collaboration</v>
      </c>
      <c r="C150" s="252" t="str">
        <f>'Threat Intel and Collaboration'!$A$10</f>
        <v>Threat Intelligence</v>
      </c>
      <c r="D150" s="252" t="str">
        <f>'Threat Intel and Collaboration'!$B$10</f>
        <v>Threat Intelligence and Information</v>
      </c>
      <c r="E150" s="252" t="str">
        <f>'Threat Intel and Collaboration'!$C$10</f>
        <v>Baseline</v>
      </c>
      <c r="F150" s="252">
        <f>'Threat Intel and Collaboration'!$D$10</f>
        <v>0</v>
      </c>
      <c r="G150" s="252">
        <f>'Threat Intel and Collaboration'!$N$10</f>
        <v>0</v>
      </c>
      <c r="H150" s="252">
        <f>'Threat Intel and Collaboration'!$O$10</f>
        <v>0</v>
      </c>
      <c r="I150" s="252">
        <f>'Threat Intel and Collaboration'!$P$10</f>
        <v>0</v>
      </c>
      <c r="J150" s="252">
        <f>'Threat Intel and Collaboration'!$Q$10</f>
        <v>0</v>
      </c>
      <c r="K150" t="s">
        <v>193</v>
      </c>
      <c r="L150" t="str">
        <f>IF(combinedMaturityTable[[#This Row],[Maturity Level]]="Baseline",LEFT(combinedMaturityTable[[#This Row],[DS]],FIND("(FFIEC ",combinedMaturityTable[[#This Row],[DS]])-1),"")</f>
        <v xml:space="preserve">Threat information is used to monitor threats and vulnerabilities. </v>
      </c>
      <c r="M150" s="293" t="str">
        <f>CLEAN(TRIM(SUBSTITUTE(LEFT(combinedMaturityTable[[#This Row],[DSm]],MIN(250,LEN(combinedMaturityTable[[#This Row],[DSm]]))),CHAR(160)," ")))</f>
        <v>Threat information is used to monitor threats and vulnerabilities.</v>
      </c>
    </row>
    <row r="151" spans="2:13" x14ac:dyDescent="0.25">
      <c r="B151" s="252" t="str">
        <f>'Threat Intel and Collaboration'!$M$11</f>
        <v>Threat Intelligence and Collaboration</v>
      </c>
      <c r="C151" s="252" t="str">
        <f>'Threat Intel and Collaboration'!$A$11</f>
        <v>Threat Intelligence</v>
      </c>
      <c r="D151" s="252" t="str">
        <f>'Threat Intel and Collaboration'!$B$11</f>
        <v>Threat Intelligence and Information</v>
      </c>
      <c r="E151" s="252" t="str">
        <f>'Threat Intel and Collaboration'!$C$11</f>
        <v>Baseline</v>
      </c>
      <c r="F151" s="252">
        <f>'Threat Intel and Collaboration'!$D$11</f>
        <v>0</v>
      </c>
      <c r="G151" s="252">
        <f>'Threat Intel and Collaboration'!$N$11</f>
        <v>0</v>
      </c>
      <c r="H151" s="252">
        <f>'Threat Intel and Collaboration'!$O$11</f>
        <v>0</v>
      </c>
      <c r="I151" s="252">
        <f>'Threat Intel and Collaboration'!$P$11</f>
        <v>0</v>
      </c>
      <c r="J151" s="252">
        <f>'Threat Intel and Collaboration'!$Q$11</f>
        <v>0</v>
      </c>
      <c r="K151" t="s">
        <v>194</v>
      </c>
      <c r="L151" t="str">
        <f>IF(combinedMaturityTable[[#This Row],[Maturity Level]]="Baseline",LEFT(combinedMaturityTable[[#This Row],[DS]],FIND("(FFIEC ",combinedMaturityTable[[#This Row],[DS]])-1),"")</f>
        <v xml:space="preserve">Threat information is used to enhance internal risk management and controls. </v>
      </c>
      <c r="M151" s="293" t="str">
        <f>CLEAN(TRIM(SUBSTITUTE(LEFT(combinedMaturityTable[[#This Row],[DSm]],MIN(250,LEN(combinedMaturityTable[[#This Row],[DSm]]))),CHAR(160)," ")))</f>
        <v>Threat information is used to enhance internal risk management and controls.</v>
      </c>
    </row>
    <row r="152" spans="2:13" hidden="1" x14ac:dyDescent="0.25">
      <c r="B152" s="252" t="str">
        <f>'Threat Intel and Collaboration'!$M$12</f>
        <v>Threat Intelligence and Collaboration</v>
      </c>
      <c r="C152" s="252" t="str">
        <f>'Threat Intel and Collaboration'!$A$12</f>
        <v>Threat Intelligence</v>
      </c>
      <c r="D152" s="252" t="str">
        <f>'Threat Intel and Collaboration'!$B$12</f>
        <v>Threat Intelligence and Information</v>
      </c>
      <c r="E152" s="252" t="str">
        <f>'Threat Intel and Collaboration'!$C$12</f>
        <v>Evolving</v>
      </c>
      <c r="F152" s="252">
        <f>'Threat Intel and Collaboration'!$D$12</f>
        <v>0</v>
      </c>
      <c r="G152" s="252">
        <f>'Threat Intel and Collaboration'!$N$12</f>
        <v>0</v>
      </c>
      <c r="H152" s="252">
        <f>'Threat Intel and Collaboration'!$O$12</f>
        <v>0</v>
      </c>
      <c r="I152" s="252">
        <f>'Threat Intel and Collaboration'!$P$12</f>
        <v>0</v>
      </c>
      <c r="J152" s="252">
        <f>'Threat Intel and Collaboration'!$Q$12</f>
        <v>0</v>
      </c>
      <c r="K152" t="s">
        <v>195</v>
      </c>
      <c r="L152" t="str">
        <f>IF(combinedMaturityTable[[#This Row],[Maturity Level]]="Baseline",LEFT(combinedMaturityTable[[#This Row],[DS]],FIND("(FFIEC ",combinedMaturityTable[[#This Row],[DS]])-1),"")</f>
        <v/>
      </c>
      <c r="M152" s="293" t="str">
        <f>CLEAN(TRIM(SUBSTITUTE(LEFT(combinedMaturityTable[[#This Row],[DSm]],MIN(250,LEN(combinedMaturityTable[[#This Row],[DSm]]))),CHAR(160)," ")))</f>
        <v/>
      </c>
    </row>
    <row r="153" spans="2:13" hidden="1" x14ac:dyDescent="0.25">
      <c r="B153" s="252" t="str">
        <f>'Threat Intel and Collaboration'!$M$13</f>
        <v>Threat Intelligence and Collaboration</v>
      </c>
      <c r="C153" s="252" t="str">
        <f>'Threat Intel and Collaboration'!$A$13</f>
        <v>Threat Intelligence</v>
      </c>
      <c r="D153" s="252" t="str">
        <f>'Threat Intel and Collaboration'!$B$13</f>
        <v>Threat Intelligence and Information</v>
      </c>
      <c r="E153" s="252" t="str">
        <f>'Threat Intel and Collaboration'!$C$13</f>
        <v>Intermediate</v>
      </c>
      <c r="F153" s="252">
        <f>'Threat Intel and Collaboration'!$D$13</f>
        <v>0</v>
      </c>
      <c r="G153" s="252">
        <f>'Threat Intel and Collaboration'!$N$13</f>
        <v>0</v>
      </c>
      <c r="H153" s="252">
        <f>'Threat Intel and Collaboration'!$O$13</f>
        <v>0</v>
      </c>
      <c r="I153" s="252">
        <f>'Threat Intel and Collaboration'!$P$13</f>
        <v>0</v>
      </c>
      <c r="J153" s="252">
        <f>'Threat Intel and Collaboration'!$Q$13</f>
        <v>0</v>
      </c>
      <c r="K153" t="s">
        <v>196</v>
      </c>
      <c r="L153" t="str">
        <f>IF(combinedMaturityTable[[#This Row],[Maturity Level]]="Baseline",LEFT(combinedMaturityTable[[#This Row],[DS]],FIND("(FFIEC ",combinedMaturityTable[[#This Row],[DS]])-1),"")</f>
        <v/>
      </c>
      <c r="M153" s="293" t="str">
        <f>CLEAN(TRIM(SUBSTITUTE(LEFT(combinedMaturityTable[[#This Row],[DSm]],MIN(250,LEN(combinedMaturityTable[[#This Row],[DSm]]))),CHAR(160)," ")))</f>
        <v/>
      </c>
    </row>
    <row r="154" spans="2:13" hidden="1" x14ac:dyDescent="0.25">
      <c r="B154" s="252" t="str">
        <f>'Threat Intel and Collaboration'!$M$14</f>
        <v>Threat Intelligence and Collaboration</v>
      </c>
      <c r="C154" s="252" t="str">
        <f>'Threat Intel and Collaboration'!$A$14</f>
        <v>Threat Intelligence</v>
      </c>
      <c r="D154" s="252" t="str">
        <f>'Threat Intel and Collaboration'!$B$14</f>
        <v>Threat Intelligence and Information</v>
      </c>
      <c r="E154" s="252" t="str">
        <f>'Threat Intel and Collaboration'!$C$14</f>
        <v>Intermediate</v>
      </c>
      <c r="F154" s="252">
        <f>'Threat Intel and Collaboration'!$D$14</f>
        <v>0</v>
      </c>
      <c r="G154" s="252">
        <f>'Threat Intel and Collaboration'!$N$14</f>
        <v>0</v>
      </c>
      <c r="H154" s="252">
        <f>'Threat Intel and Collaboration'!$O$14</f>
        <v>0</v>
      </c>
      <c r="I154" s="252">
        <f>'Threat Intel and Collaboration'!$P$14</f>
        <v>0</v>
      </c>
      <c r="J154" s="252">
        <f>'Threat Intel and Collaboration'!$Q$14</f>
        <v>0</v>
      </c>
      <c r="K154" t="s">
        <v>197</v>
      </c>
      <c r="L154" t="str">
        <f>IF(combinedMaturityTable[[#This Row],[Maturity Level]]="Baseline",LEFT(combinedMaturityTable[[#This Row],[DS]],FIND("(FFIEC ",combinedMaturityTable[[#This Row],[DS]])-1),"")</f>
        <v/>
      </c>
      <c r="M154" s="293" t="str">
        <f>CLEAN(TRIM(SUBSTITUTE(LEFT(combinedMaturityTable[[#This Row],[DSm]],MIN(250,LEN(combinedMaturityTable[[#This Row],[DSm]]))),CHAR(160)," ")))</f>
        <v/>
      </c>
    </row>
    <row r="155" spans="2:13" hidden="1" x14ac:dyDescent="0.25">
      <c r="B155" s="252" t="str">
        <f>'Threat Intel and Collaboration'!$M$15</f>
        <v>Threat Intelligence and Collaboration</v>
      </c>
      <c r="C155" s="252" t="str">
        <f>'Threat Intel and Collaboration'!$A$15</f>
        <v>Threat Intelligence</v>
      </c>
      <c r="D155" s="252" t="str">
        <f>'Threat Intel and Collaboration'!$B$15</f>
        <v>Threat Intelligence and Information</v>
      </c>
      <c r="E155" s="252" t="str">
        <f>'Threat Intel and Collaboration'!$C$15</f>
        <v>Intermediate</v>
      </c>
      <c r="F155" s="252">
        <f>'Threat Intel and Collaboration'!$D$15</f>
        <v>0</v>
      </c>
      <c r="G155" s="252">
        <f>'Threat Intel and Collaboration'!$N$15</f>
        <v>0</v>
      </c>
      <c r="H155" s="252">
        <f>'Threat Intel and Collaboration'!$O$15</f>
        <v>0</v>
      </c>
      <c r="I155" s="252">
        <f>'Threat Intel and Collaboration'!$P$15</f>
        <v>0</v>
      </c>
      <c r="J155" s="252">
        <f>'Threat Intel and Collaboration'!$Q$15</f>
        <v>0</v>
      </c>
      <c r="K155" t="s">
        <v>198</v>
      </c>
      <c r="L155" t="str">
        <f>IF(combinedMaturityTable[[#This Row],[Maturity Level]]="Baseline",LEFT(combinedMaturityTable[[#This Row],[DS]],FIND("(FFIEC ",combinedMaturityTable[[#This Row],[DS]])-1),"")</f>
        <v/>
      </c>
      <c r="M155" s="293" t="str">
        <f>CLEAN(TRIM(SUBSTITUTE(LEFT(combinedMaturityTable[[#This Row],[DSm]],MIN(250,LEN(combinedMaturityTable[[#This Row],[DSm]]))),CHAR(160)," ")))</f>
        <v/>
      </c>
    </row>
    <row r="156" spans="2:13" hidden="1" x14ac:dyDescent="0.25">
      <c r="B156" s="252" t="str">
        <f>'Threat Intel and Collaboration'!$M$16</f>
        <v>Threat Intelligence and Collaboration</v>
      </c>
      <c r="C156" s="252" t="str">
        <f>'Threat Intel and Collaboration'!$A$16</f>
        <v>Threat Intelligence</v>
      </c>
      <c r="D156" s="252" t="str">
        <f>'Threat Intel and Collaboration'!$B$16</f>
        <v>Threat Intelligence and Information</v>
      </c>
      <c r="E156" s="252" t="str">
        <f>'Threat Intel and Collaboration'!$C$16</f>
        <v>Advanced</v>
      </c>
      <c r="F156" s="252">
        <f>'Threat Intel and Collaboration'!$D$16</f>
        <v>0</v>
      </c>
      <c r="G156" s="252">
        <f>'Threat Intel and Collaboration'!$N$16</f>
        <v>0</v>
      </c>
      <c r="H156" s="252">
        <f>'Threat Intel and Collaboration'!$O$16</f>
        <v>0</v>
      </c>
      <c r="I156" s="252">
        <f>'Threat Intel and Collaboration'!$P$16</f>
        <v>0</v>
      </c>
      <c r="J156" s="252">
        <f>'Threat Intel and Collaboration'!$Q$16</f>
        <v>0</v>
      </c>
      <c r="K156" t="s">
        <v>199</v>
      </c>
      <c r="L156" t="str">
        <f>IF(combinedMaturityTable[[#This Row],[Maturity Level]]="Baseline",LEFT(combinedMaturityTable[[#This Row],[DS]],FIND("(FFIEC ",combinedMaturityTable[[#This Row],[DS]])-1),"")</f>
        <v/>
      </c>
      <c r="M156" s="293" t="str">
        <f>CLEAN(TRIM(SUBSTITUTE(LEFT(combinedMaturityTable[[#This Row],[DSm]],MIN(250,LEN(combinedMaturityTable[[#This Row],[DSm]]))),CHAR(160)," ")))</f>
        <v/>
      </c>
    </row>
    <row r="157" spans="2:13" hidden="1" x14ac:dyDescent="0.25">
      <c r="B157" s="252" t="str">
        <f>'Threat Intel and Collaboration'!$M$17</f>
        <v>Threat Intelligence and Collaboration</v>
      </c>
      <c r="C157" s="252" t="str">
        <f>'Threat Intel and Collaboration'!$A$17</f>
        <v>Threat Intelligence</v>
      </c>
      <c r="D157" s="252" t="str">
        <f>'Threat Intel and Collaboration'!$B$17</f>
        <v>Threat Intelligence and Information</v>
      </c>
      <c r="E157" s="252" t="str">
        <f>'Threat Intel and Collaboration'!$C$17</f>
        <v>Advanced</v>
      </c>
      <c r="F157" s="252">
        <f>'Threat Intel and Collaboration'!$D$17</f>
        <v>0</v>
      </c>
      <c r="G157" s="252">
        <f>'Threat Intel and Collaboration'!$N$17</f>
        <v>0</v>
      </c>
      <c r="H157" s="252">
        <f>'Threat Intel and Collaboration'!$O$17</f>
        <v>0</v>
      </c>
      <c r="I157" s="252">
        <f>'Threat Intel and Collaboration'!$P$17</f>
        <v>0</v>
      </c>
      <c r="J157" s="252">
        <f>'Threat Intel and Collaboration'!$Q$17</f>
        <v>0</v>
      </c>
      <c r="K157" t="s">
        <v>200</v>
      </c>
      <c r="L157" t="str">
        <f>IF(combinedMaturityTable[[#This Row],[Maturity Level]]="Baseline",LEFT(combinedMaturityTable[[#This Row],[DS]],FIND("(FFIEC ",combinedMaturityTable[[#This Row],[DS]])-1),"")</f>
        <v/>
      </c>
      <c r="M157" s="293" t="str">
        <f>CLEAN(TRIM(SUBSTITUTE(LEFT(combinedMaturityTable[[#This Row],[DSm]],MIN(250,LEN(combinedMaturityTable[[#This Row],[DSm]]))),CHAR(160)," ")))</f>
        <v/>
      </c>
    </row>
    <row r="158" spans="2:13" hidden="1" x14ac:dyDescent="0.25">
      <c r="B158" s="252" t="str">
        <f>'Threat Intel and Collaboration'!$M$18</f>
        <v>Threat Intelligence and Collaboration</v>
      </c>
      <c r="C158" s="252" t="str">
        <f>'Threat Intel and Collaboration'!$A$18</f>
        <v>Threat Intelligence</v>
      </c>
      <c r="D158" s="252" t="str">
        <f>'Threat Intel and Collaboration'!$B$18</f>
        <v>Threat Intelligence and Information</v>
      </c>
      <c r="E158" s="252" t="str">
        <f>'Threat Intel and Collaboration'!$C$18</f>
        <v>Advanced</v>
      </c>
      <c r="F158" s="252">
        <f>'Threat Intel and Collaboration'!$D$18</f>
        <v>0</v>
      </c>
      <c r="G158" s="252">
        <f>'Threat Intel and Collaboration'!$N$18</f>
        <v>0</v>
      </c>
      <c r="H158" s="252">
        <f>'Threat Intel and Collaboration'!$O$18</f>
        <v>0</v>
      </c>
      <c r="I158" s="252">
        <f>'Threat Intel and Collaboration'!$P$18</f>
        <v>0</v>
      </c>
      <c r="J158" s="252">
        <f>'Threat Intel and Collaboration'!$Q$18</f>
        <v>0</v>
      </c>
      <c r="K158" t="s">
        <v>201</v>
      </c>
      <c r="L158" t="str">
        <f>IF(combinedMaturityTable[[#This Row],[Maturity Level]]="Baseline",LEFT(combinedMaturityTable[[#This Row],[DS]],FIND("(FFIEC ",combinedMaturityTable[[#This Row],[DS]])-1),"")</f>
        <v/>
      </c>
      <c r="M158" s="293" t="str">
        <f>CLEAN(TRIM(SUBSTITUTE(LEFT(combinedMaturityTable[[#This Row],[DSm]],MIN(250,LEN(combinedMaturityTable[[#This Row],[DSm]]))),CHAR(160)," ")))</f>
        <v/>
      </c>
    </row>
    <row r="159" spans="2:13" hidden="1" x14ac:dyDescent="0.25">
      <c r="B159" s="252" t="str">
        <f>'Threat Intel and Collaboration'!$M$19</f>
        <v>Threat Intelligence and Collaboration</v>
      </c>
      <c r="C159" s="252" t="str">
        <f>'Threat Intel and Collaboration'!$A$19</f>
        <v>Threat Intelligence</v>
      </c>
      <c r="D159" s="252" t="str">
        <f>'Threat Intel and Collaboration'!$B$19</f>
        <v>Threat Intelligence and Information</v>
      </c>
      <c r="E159" s="252" t="str">
        <f>'Threat Intel and Collaboration'!$C$19</f>
        <v>Innovative</v>
      </c>
      <c r="F159" s="252">
        <f>'Threat Intel and Collaboration'!$D$19</f>
        <v>0</v>
      </c>
      <c r="G159" s="252">
        <f>'Threat Intel and Collaboration'!$N$19</f>
        <v>0</v>
      </c>
      <c r="H159" s="252">
        <f>'Threat Intel and Collaboration'!$O$19</f>
        <v>0</v>
      </c>
      <c r="I159" s="252">
        <f>'Threat Intel and Collaboration'!$P$19</f>
        <v>0</v>
      </c>
      <c r="J159" s="252">
        <f>'Threat Intel and Collaboration'!$Q$19</f>
        <v>0</v>
      </c>
      <c r="K159" t="s">
        <v>202</v>
      </c>
      <c r="L159" t="str">
        <f>IF(combinedMaturityTable[[#This Row],[Maturity Level]]="Baseline",LEFT(combinedMaturityTable[[#This Row],[DS]],FIND("(FFIEC ",combinedMaturityTable[[#This Row],[DS]])-1),"")</f>
        <v/>
      </c>
      <c r="M159" s="293" t="str">
        <f>CLEAN(TRIM(SUBSTITUTE(LEFT(combinedMaturityTable[[#This Row],[DSm]],MIN(250,LEN(combinedMaturityTable[[#This Row],[DSm]]))),CHAR(160)," ")))</f>
        <v/>
      </c>
    </row>
    <row r="160" spans="2:13" hidden="1" x14ac:dyDescent="0.25">
      <c r="B160" s="252" t="str">
        <f>'Threat Intel and Collaboration'!$M$20</f>
        <v>Threat Intelligence and Collaboration</v>
      </c>
      <c r="C160" s="252" t="str">
        <f>'Threat Intel and Collaboration'!$A$20</f>
        <v>Threat Intelligence</v>
      </c>
      <c r="D160" s="252" t="str">
        <f>'Threat Intel and Collaboration'!$B$20</f>
        <v>Threat Intelligence and Information</v>
      </c>
      <c r="E160" s="252" t="str">
        <f>'Threat Intel and Collaboration'!$C$20</f>
        <v>Innovative</v>
      </c>
      <c r="F160" s="252">
        <f>'Threat Intel and Collaboration'!$D$20</f>
        <v>0</v>
      </c>
      <c r="G160" s="252">
        <f>'Threat Intel and Collaboration'!$N$20</f>
        <v>0</v>
      </c>
      <c r="H160" s="252">
        <f>'Threat Intel and Collaboration'!$O$20</f>
        <v>0</v>
      </c>
      <c r="I160" s="252">
        <f>'Threat Intel and Collaboration'!$P$20</f>
        <v>0</v>
      </c>
      <c r="J160" s="252">
        <f>'Threat Intel and Collaboration'!$Q$20</f>
        <v>0</v>
      </c>
      <c r="K160" t="s">
        <v>203</v>
      </c>
      <c r="L160" t="str">
        <f>IF(combinedMaturityTable[[#This Row],[Maturity Level]]="Baseline",LEFT(combinedMaturityTable[[#This Row],[DS]],FIND("(FFIEC ",combinedMaturityTable[[#This Row],[DS]])-1),"")</f>
        <v/>
      </c>
      <c r="M160" s="293" t="str">
        <f>CLEAN(TRIM(SUBSTITUTE(LEFT(combinedMaturityTable[[#This Row],[DSm]],MIN(250,LEN(combinedMaturityTable[[#This Row],[DSm]]))),CHAR(160)," ")))</f>
        <v/>
      </c>
    </row>
    <row r="161" spans="2:13" x14ac:dyDescent="0.25">
      <c r="B161" s="252" t="str">
        <f>'Threat Intel and Collaboration'!$M$21</f>
        <v>Threat Intelligence and Collaboration</v>
      </c>
      <c r="C161" s="252" t="str">
        <f>'Threat Intel and Collaboration'!$A$21</f>
        <v>Monitoring and Analyzing</v>
      </c>
      <c r="D161" s="252" t="str">
        <f>'Threat Intel and Collaboration'!$B$21</f>
        <v>Monitoring and Analyzing</v>
      </c>
      <c r="E161" s="252" t="str">
        <f>'Threat Intel and Collaboration'!$C$21</f>
        <v>Baseline</v>
      </c>
      <c r="F161" s="252">
        <f>'Threat Intel and Collaboration'!$D$21</f>
        <v>0</v>
      </c>
      <c r="G161" s="252">
        <f>'Threat Intel and Collaboration'!$N$21</f>
        <v>0</v>
      </c>
      <c r="H161" s="252">
        <f>'Threat Intel and Collaboration'!$O$21</f>
        <v>0</v>
      </c>
      <c r="I161" s="252">
        <f>'Threat Intel and Collaboration'!$P$21</f>
        <v>0</v>
      </c>
      <c r="J161" s="252">
        <f>'Threat Intel and Collaboration'!$Q$21</f>
        <v>0</v>
      </c>
      <c r="K161" t="s">
        <v>204</v>
      </c>
      <c r="L161" t="str">
        <f>IF(combinedMaturityTable[[#This Row],[Maturity Level]]="Baseline",LEFT(combinedMaturityTable[[#This Row],[DS]],FIND("(FFIEC ",combinedMaturityTable[[#This Row],[DS]])-1),"")</f>
        <v xml:space="preserve">Audit log records and other security event logs are reviewed and retained in a secure manner. </v>
      </c>
      <c r="M161" s="293" t="str">
        <f>CLEAN(TRIM(SUBSTITUTE(LEFT(combinedMaturityTable[[#This Row],[DSm]],MIN(250,LEN(combinedMaturityTable[[#This Row],[DSm]]))),CHAR(160)," ")))</f>
        <v>Audit log records and other security event logs are reviewed and retained in a secure manner.</v>
      </c>
    </row>
    <row r="162" spans="2:13" x14ac:dyDescent="0.25">
      <c r="B162" s="252" t="str">
        <f>'Threat Intel and Collaboration'!$M$22</f>
        <v>Threat Intelligence and Collaboration</v>
      </c>
      <c r="C162" s="252" t="str">
        <f>'Threat Intel and Collaboration'!$A$22</f>
        <v>Monitoring and Analyzing</v>
      </c>
      <c r="D162" s="252" t="str">
        <f>'Threat Intel and Collaboration'!$B$22</f>
        <v>Monitoring and Analyzing</v>
      </c>
      <c r="E162" s="252" t="str">
        <f>'Threat Intel and Collaboration'!$C$22</f>
        <v>Baseline</v>
      </c>
      <c r="F162" s="252">
        <f>'Threat Intel and Collaboration'!$D$22</f>
        <v>0</v>
      </c>
      <c r="G162" s="252">
        <f>'Threat Intel and Collaboration'!$N$22</f>
        <v>0</v>
      </c>
      <c r="H162" s="252">
        <f>'Threat Intel and Collaboration'!$O$22</f>
        <v>0</v>
      </c>
      <c r="I162" s="252">
        <f>'Threat Intel and Collaboration'!$P$22</f>
        <v>0</v>
      </c>
      <c r="J162" s="252">
        <f>'Threat Intel and Collaboration'!$Q$22</f>
        <v>0</v>
      </c>
      <c r="K162" t="s">
        <v>205</v>
      </c>
      <c r="L162" t="str">
        <f>IF(combinedMaturityTable[[#This Row],[Maturity Level]]="Baseline",LEFT(combinedMaturityTable[[#This Row],[DS]],FIND("(FFIEC ",combinedMaturityTable[[#This Row],[DS]])-1),"")</f>
        <v xml:space="preserve">Computer event logs are used for investigations once an event has occurred. </v>
      </c>
      <c r="M162" s="293" t="str">
        <f>CLEAN(TRIM(SUBSTITUTE(LEFT(combinedMaturityTable[[#This Row],[DSm]],MIN(250,LEN(combinedMaturityTable[[#This Row],[DSm]]))),CHAR(160)," ")))</f>
        <v>Computer event logs are used for investigations once an event has occurred.</v>
      </c>
    </row>
    <row r="163" spans="2:13" hidden="1" x14ac:dyDescent="0.25">
      <c r="B163" s="252" t="str">
        <f>'Threat Intel and Collaboration'!$M$23</f>
        <v>Threat Intelligence and Collaboration</v>
      </c>
      <c r="C163" s="252" t="str">
        <f>'Threat Intel and Collaboration'!$A$23</f>
        <v>Monitoring and Analyzing</v>
      </c>
      <c r="D163" s="252" t="str">
        <f>'Threat Intel and Collaboration'!$B$23</f>
        <v>Monitoring and Analyzing</v>
      </c>
      <c r="E163" s="252" t="str">
        <f>'Threat Intel and Collaboration'!$C$23</f>
        <v>Evolving</v>
      </c>
      <c r="F163" s="252">
        <f>'Threat Intel and Collaboration'!$D$23</f>
        <v>0</v>
      </c>
      <c r="G163" s="252">
        <f>'Threat Intel and Collaboration'!$N$23</f>
        <v>0</v>
      </c>
      <c r="H163" s="252">
        <f>'Threat Intel and Collaboration'!$O$23</f>
        <v>0</v>
      </c>
      <c r="I163" s="252">
        <f>'Threat Intel and Collaboration'!$P$23</f>
        <v>0</v>
      </c>
      <c r="J163" s="252">
        <f>'Threat Intel and Collaboration'!$Q$23</f>
        <v>0</v>
      </c>
      <c r="K163" t="s">
        <v>231</v>
      </c>
      <c r="L163" t="str">
        <f>IF(combinedMaturityTable[[#This Row],[Maturity Level]]="Baseline",LEFT(combinedMaturityTable[[#This Row],[DS]],FIND("(FFIEC ",combinedMaturityTable[[#This Row],[DS]])-1),"")</f>
        <v/>
      </c>
      <c r="M163" s="293" t="str">
        <f>CLEAN(TRIM(SUBSTITUTE(LEFT(combinedMaturityTable[[#This Row],[DSm]],MIN(250,LEN(combinedMaturityTable[[#This Row],[DSm]]))),CHAR(160)," ")))</f>
        <v/>
      </c>
    </row>
    <row r="164" spans="2:13" hidden="1" x14ac:dyDescent="0.25">
      <c r="B164" s="252" t="str">
        <f>'Threat Intel and Collaboration'!$M$24</f>
        <v>Threat Intelligence and Collaboration</v>
      </c>
      <c r="C164" s="252" t="str">
        <f>'Threat Intel and Collaboration'!$A$24</f>
        <v>Monitoring and Analyzing</v>
      </c>
      <c r="D164" s="252" t="str">
        <f>'Threat Intel and Collaboration'!$B$24</f>
        <v>Monitoring and Analyzing</v>
      </c>
      <c r="E164" s="252" t="str">
        <f>'Threat Intel and Collaboration'!$C$24</f>
        <v>Evolving</v>
      </c>
      <c r="F164" s="252">
        <f>'Threat Intel and Collaboration'!$D$24</f>
        <v>0</v>
      </c>
      <c r="G164" s="252">
        <f>'Threat Intel and Collaboration'!$N$24</f>
        <v>0</v>
      </c>
      <c r="H164" s="252">
        <f>'Threat Intel and Collaboration'!$O$24</f>
        <v>0</v>
      </c>
      <c r="I164" s="252">
        <f>'Threat Intel and Collaboration'!$P$24</f>
        <v>0</v>
      </c>
      <c r="J164" s="252">
        <f>'Threat Intel and Collaboration'!$Q$24</f>
        <v>0</v>
      </c>
      <c r="K164" t="s">
        <v>232</v>
      </c>
      <c r="L164" t="str">
        <f>IF(combinedMaturityTable[[#This Row],[Maturity Level]]="Baseline",LEFT(combinedMaturityTable[[#This Row],[DS]],FIND("(FFIEC ",combinedMaturityTable[[#This Row],[DS]])-1),"")</f>
        <v/>
      </c>
      <c r="M164" s="293" t="str">
        <f>CLEAN(TRIM(SUBSTITUTE(LEFT(combinedMaturityTable[[#This Row],[DSm]],MIN(250,LEN(combinedMaturityTable[[#This Row],[DSm]]))),CHAR(160)," ")))</f>
        <v/>
      </c>
    </row>
    <row r="165" spans="2:13" hidden="1" x14ac:dyDescent="0.25">
      <c r="B165" s="252" t="str">
        <f>'Threat Intel and Collaboration'!$M$25</f>
        <v>Threat Intelligence and Collaboration</v>
      </c>
      <c r="C165" s="252" t="str">
        <f>'Threat Intel and Collaboration'!$A$25</f>
        <v>Monitoring and Analyzing</v>
      </c>
      <c r="D165" s="252" t="str">
        <f>'Threat Intel and Collaboration'!$B$25</f>
        <v>Monitoring and Analyzing</v>
      </c>
      <c r="E165" s="252" t="str">
        <f>'Threat Intel and Collaboration'!$C$25</f>
        <v>Evolving</v>
      </c>
      <c r="F165" s="252">
        <f>'Threat Intel and Collaboration'!$D$25</f>
        <v>0</v>
      </c>
      <c r="G165" s="252">
        <f>'Threat Intel and Collaboration'!$N$25</f>
        <v>0</v>
      </c>
      <c r="H165" s="252">
        <f>'Threat Intel and Collaboration'!$O$25</f>
        <v>0</v>
      </c>
      <c r="I165" s="252">
        <f>'Threat Intel and Collaboration'!$P$25</f>
        <v>0</v>
      </c>
      <c r="J165" s="252">
        <f>'Threat Intel and Collaboration'!$Q$25</f>
        <v>0</v>
      </c>
      <c r="K165" t="s">
        <v>877</v>
      </c>
      <c r="L165" t="str">
        <f>IF(combinedMaturityTable[[#This Row],[Maturity Level]]="Baseline",LEFT(combinedMaturityTable[[#This Row],[DS]],FIND("(FFIEC ",combinedMaturityTable[[#This Row],[DS]])-1),"")</f>
        <v/>
      </c>
      <c r="M165" s="293" t="str">
        <f>CLEAN(TRIM(SUBSTITUTE(LEFT(combinedMaturityTable[[#This Row],[DSm]],MIN(250,LEN(combinedMaturityTable[[#This Row],[DSm]]))),CHAR(160)," ")))</f>
        <v/>
      </c>
    </row>
    <row r="166" spans="2:13" hidden="1" x14ac:dyDescent="0.25">
      <c r="B166" s="252" t="str">
        <f>'Threat Intel and Collaboration'!$M$26</f>
        <v>Threat Intelligence and Collaboration</v>
      </c>
      <c r="C166" s="252" t="str">
        <f>'Threat Intel and Collaboration'!$A$26</f>
        <v>Monitoring and Analyzing</v>
      </c>
      <c r="D166" s="252" t="str">
        <f>'Threat Intel and Collaboration'!$B$26</f>
        <v>Monitoring and Analyzing</v>
      </c>
      <c r="E166" s="252" t="str">
        <f>'Threat Intel and Collaboration'!$C$26</f>
        <v>Evolving</v>
      </c>
      <c r="F166" s="252">
        <f>'Threat Intel and Collaboration'!$D$26</f>
        <v>0</v>
      </c>
      <c r="G166" s="252">
        <f>'Threat Intel and Collaboration'!$N$26</f>
        <v>0</v>
      </c>
      <c r="H166" s="252">
        <f>'Threat Intel and Collaboration'!$O$26</f>
        <v>0</v>
      </c>
      <c r="I166" s="252">
        <f>'Threat Intel and Collaboration'!$P$26</f>
        <v>0</v>
      </c>
      <c r="J166" s="252">
        <f>'Threat Intel and Collaboration'!$Q$26</f>
        <v>0</v>
      </c>
      <c r="K166" t="s">
        <v>233</v>
      </c>
      <c r="L166" t="str">
        <f>IF(combinedMaturityTable[[#This Row],[Maturity Level]]="Baseline",LEFT(combinedMaturityTable[[#This Row],[DS]],FIND("(FFIEC ",combinedMaturityTable[[#This Row],[DS]])-1),"")</f>
        <v/>
      </c>
      <c r="M166" s="293" t="str">
        <f>CLEAN(TRIM(SUBSTITUTE(LEFT(combinedMaturityTable[[#This Row],[DSm]],MIN(250,LEN(combinedMaturityTable[[#This Row],[DSm]]))),CHAR(160)," ")))</f>
        <v/>
      </c>
    </row>
    <row r="167" spans="2:13" hidden="1" x14ac:dyDescent="0.25">
      <c r="B167" s="252" t="str">
        <f>'Threat Intel and Collaboration'!$M$27</f>
        <v>Threat Intelligence and Collaboration</v>
      </c>
      <c r="C167" s="252" t="str">
        <f>'Threat Intel and Collaboration'!$A$27</f>
        <v>Monitoring and Analyzing</v>
      </c>
      <c r="D167" s="252" t="str">
        <f>'Threat Intel and Collaboration'!$B$27</f>
        <v>Monitoring and Analyzing</v>
      </c>
      <c r="E167" s="252" t="str">
        <f>'Threat Intel and Collaboration'!$C$27</f>
        <v>Intermediate</v>
      </c>
      <c r="F167" s="252">
        <f>'Threat Intel and Collaboration'!$D$27</f>
        <v>0</v>
      </c>
      <c r="G167" s="252">
        <f>'Threat Intel and Collaboration'!$N$27</f>
        <v>0</v>
      </c>
      <c r="H167" s="252">
        <f>'Threat Intel and Collaboration'!$O$27</f>
        <v>0</v>
      </c>
      <c r="I167" s="252">
        <f>'Threat Intel and Collaboration'!$P$27</f>
        <v>0</v>
      </c>
      <c r="J167" s="252">
        <f>'Threat Intel and Collaboration'!$Q$27</f>
        <v>0</v>
      </c>
      <c r="K167" t="s">
        <v>234</v>
      </c>
      <c r="L167" t="str">
        <f>IF(combinedMaturityTable[[#This Row],[Maturity Level]]="Baseline",LEFT(combinedMaturityTable[[#This Row],[DS]],FIND("(FFIEC ",combinedMaturityTable[[#This Row],[DS]])-1),"")</f>
        <v/>
      </c>
      <c r="M167" s="293" t="str">
        <f>CLEAN(TRIM(SUBSTITUTE(LEFT(combinedMaturityTable[[#This Row],[DSm]],MIN(250,LEN(combinedMaturityTable[[#This Row],[DSm]]))),CHAR(160)," ")))</f>
        <v/>
      </c>
    </row>
    <row r="168" spans="2:13" hidden="1" x14ac:dyDescent="0.25">
      <c r="B168" s="252" t="str">
        <f>'Threat Intel and Collaboration'!$M$28</f>
        <v>Threat Intelligence and Collaboration</v>
      </c>
      <c r="C168" s="252" t="str">
        <f>'Threat Intel and Collaboration'!$A$28</f>
        <v>Monitoring and Analyzing</v>
      </c>
      <c r="D168" s="252" t="str">
        <f>'Threat Intel and Collaboration'!$B$28</f>
        <v>Monitoring and Analyzing</v>
      </c>
      <c r="E168" s="252" t="str">
        <f>'Threat Intel and Collaboration'!$C$28</f>
        <v>Intermediate</v>
      </c>
      <c r="F168" s="252">
        <f>'Threat Intel and Collaboration'!$D$28</f>
        <v>0</v>
      </c>
      <c r="G168" s="252">
        <f>'Threat Intel and Collaboration'!$N$28</f>
        <v>0</v>
      </c>
      <c r="H168" s="252">
        <f>'Threat Intel and Collaboration'!$O$28</f>
        <v>0</v>
      </c>
      <c r="I168" s="252">
        <f>'Threat Intel and Collaboration'!$P$28</f>
        <v>0</v>
      </c>
      <c r="J168" s="252">
        <f>'Threat Intel and Collaboration'!$Q$28</f>
        <v>0</v>
      </c>
      <c r="K168" t="s">
        <v>235</v>
      </c>
      <c r="L168" t="str">
        <f>IF(combinedMaturityTable[[#This Row],[Maturity Level]]="Baseline",LEFT(combinedMaturityTable[[#This Row],[DS]],FIND("(FFIEC ",combinedMaturityTable[[#This Row],[DS]])-1),"")</f>
        <v/>
      </c>
      <c r="M168" s="293" t="str">
        <f>CLEAN(TRIM(SUBSTITUTE(LEFT(combinedMaturityTable[[#This Row],[DSm]],MIN(250,LEN(combinedMaturityTable[[#This Row],[DSm]]))),CHAR(160)," ")))</f>
        <v/>
      </c>
    </row>
    <row r="169" spans="2:13" hidden="1" x14ac:dyDescent="0.25">
      <c r="B169" s="252" t="str">
        <f>'Threat Intel and Collaboration'!$M$29</f>
        <v>Threat Intelligence and Collaboration</v>
      </c>
      <c r="C169" s="252" t="str">
        <f>'Threat Intel and Collaboration'!$A$29</f>
        <v>Monitoring and Analyzing</v>
      </c>
      <c r="D169" s="252" t="str">
        <f>'Threat Intel and Collaboration'!$B$29</f>
        <v>Monitoring and Analyzing</v>
      </c>
      <c r="E169" s="252" t="str">
        <f>'Threat Intel and Collaboration'!$C$29</f>
        <v>Intermediate</v>
      </c>
      <c r="F169" s="252">
        <f>'Threat Intel and Collaboration'!$D$29</f>
        <v>0</v>
      </c>
      <c r="G169" s="252">
        <f>'Threat Intel and Collaboration'!$N$29</f>
        <v>0</v>
      </c>
      <c r="H169" s="252">
        <f>'Threat Intel and Collaboration'!$O$29</f>
        <v>0</v>
      </c>
      <c r="I169" s="252">
        <f>'Threat Intel and Collaboration'!$P$29</f>
        <v>0</v>
      </c>
      <c r="J169" s="252">
        <f>'Threat Intel and Collaboration'!$Q$29</f>
        <v>0</v>
      </c>
      <c r="K169" t="s">
        <v>236</v>
      </c>
      <c r="L169" t="str">
        <f>IF(combinedMaturityTable[[#This Row],[Maturity Level]]="Baseline",LEFT(combinedMaturityTable[[#This Row],[DS]],FIND("(FFIEC ",combinedMaturityTable[[#This Row],[DS]])-1),"")</f>
        <v/>
      </c>
      <c r="M169" s="293" t="str">
        <f>CLEAN(TRIM(SUBSTITUTE(LEFT(combinedMaturityTable[[#This Row],[DSm]],MIN(250,LEN(combinedMaturityTable[[#This Row],[DSm]]))),CHAR(160)," ")))</f>
        <v/>
      </c>
    </row>
    <row r="170" spans="2:13" hidden="1" x14ac:dyDescent="0.25">
      <c r="B170" s="252" t="str">
        <f>'Threat Intel and Collaboration'!$M$30</f>
        <v>Threat Intelligence and Collaboration</v>
      </c>
      <c r="C170" s="252" t="str">
        <f>'Threat Intel and Collaboration'!$A$30</f>
        <v>Monitoring and Analyzing</v>
      </c>
      <c r="D170" s="252" t="str">
        <f>'Threat Intel and Collaboration'!$B$30</f>
        <v>Monitoring and Analyzing</v>
      </c>
      <c r="E170" s="252" t="str">
        <f>'Threat Intel and Collaboration'!$C$30</f>
        <v>Intermediate</v>
      </c>
      <c r="F170" s="252">
        <f>'Threat Intel and Collaboration'!$D$30</f>
        <v>0</v>
      </c>
      <c r="G170" s="252">
        <f>'Threat Intel and Collaboration'!$N$30</f>
        <v>0</v>
      </c>
      <c r="H170" s="252">
        <f>'Threat Intel and Collaboration'!$O$30</f>
        <v>0</v>
      </c>
      <c r="I170" s="252">
        <f>'Threat Intel and Collaboration'!$P$30</f>
        <v>0</v>
      </c>
      <c r="J170" s="252">
        <f>'Threat Intel and Collaboration'!$Q$30</f>
        <v>0</v>
      </c>
      <c r="K170" t="s">
        <v>237</v>
      </c>
      <c r="L170" t="str">
        <f>IF(combinedMaturityTable[[#This Row],[Maturity Level]]="Baseline",LEFT(combinedMaturityTable[[#This Row],[DS]],FIND("(FFIEC ",combinedMaturityTable[[#This Row],[DS]])-1),"")</f>
        <v/>
      </c>
      <c r="M170" s="293" t="str">
        <f>CLEAN(TRIM(SUBSTITUTE(LEFT(combinedMaturityTable[[#This Row],[DSm]],MIN(250,LEN(combinedMaturityTable[[#This Row],[DSm]]))),CHAR(160)," ")))</f>
        <v/>
      </c>
    </row>
    <row r="171" spans="2:13" hidden="1" x14ac:dyDescent="0.25">
      <c r="B171" s="252" t="str">
        <f>'Threat Intel and Collaboration'!$M$31</f>
        <v>Threat Intelligence and Collaboration</v>
      </c>
      <c r="C171" s="252" t="str">
        <f>'Threat Intel and Collaboration'!$A$31</f>
        <v>Monitoring and Analyzing</v>
      </c>
      <c r="D171" s="252" t="str">
        <f>'Threat Intel and Collaboration'!$B$31</f>
        <v>Monitoring and Analyzing</v>
      </c>
      <c r="E171" s="252" t="str">
        <f>'Threat Intel and Collaboration'!$C$31</f>
        <v>Advanced</v>
      </c>
      <c r="F171" s="252">
        <f>'Threat Intel and Collaboration'!$D$31</f>
        <v>0</v>
      </c>
      <c r="G171" s="252">
        <f>'Threat Intel and Collaboration'!$N$31</f>
        <v>0</v>
      </c>
      <c r="H171" s="252">
        <f>'Threat Intel and Collaboration'!$O$31</f>
        <v>0</v>
      </c>
      <c r="I171" s="252">
        <f>'Threat Intel and Collaboration'!$P$31</f>
        <v>0</v>
      </c>
      <c r="J171" s="252">
        <f>'Threat Intel and Collaboration'!$Q$31</f>
        <v>0</v>
      </c>
      <c r="K171" t="s">
        <v>238</v>
      </c>
      <c r="L171" t="str">
        <f>IF(combinedMaturityTable[[#This Row],[Maturity Level]]="Baseline",LEFT(combinedMaturityTable[[#This Row],[DS]],FIND("(FFIEC ",combinedMaturityTable[[#This Row],[DS]])-1),"")</f>
        <v/>
      </c>
      <c r="M171" s="293" t="str">
        <f>CLEAN(TRIM(SUBSTITUTE(LEFT(combinedMaturityTable[[#This Row],[DSm]],MIN(250,LEN(combinedMaturityTable[[#This Row],[DSm]]))),CHAR(160)," ")))</f>
        <v/>
      </c>
    </row>
    <row r="172" spans="2:13" hidden="1" x14ac:dyDescent="0.25">
      <c r="B172" s="252" t="str">
        <f>'Threat Intel and Collaboration'!$M$32</f>
        <v>Threat Intelligence and Collaboration</v>
      </c>
      <c r="C172" s="252" t="str">
        <f>'Threat Intel and Collaboration'!$A$32</f>
        <v>Monitoring and Analyzing</v>
      </c>
      <c r="D172" s="252" t="str">
        <f>'Threat Intel and Collaboration'!$B$32</f>
        <v>Monitoring and Analyzing</v>
      </c>
      <c r="E172" s="252" t="str">
        <f>'Threat Intel and Collaboration'!$C$32</f>
        <v>Advanced</v>
      </c>
      <c r="F172" s="252">
        <f>'Threat Intel and Collaboration'!$D$32</f>
        <v>0</v>
      </c>
      <c r="G172" s="252">
        <f>'Threat Intel and Collaboration'!$N$32</f>
        <v>0</v>
      </c>
      <c r="H172" s="252">
        <f>'Threat Intel and Collaboration'!$O$32</f>
        <v>0</v>
      </c>
      <c r="I172" s="252">
        <f>'Threat Intel and Collaboration'!$P$32</f>
        <v>0</v>
      </c>
      <c r="J172" s="252">
        <f>'Threat Intel and Collaboration'!$Q$32</f>
        <v>0</v>
      </c>
      <c r="K172" t="s">
        <v>239</v>
      </c>
      <c r="L172" t="str">
        <f>IF(combinedMaturityTable[[#This Row],[Maturity Level]]="Baseline",LEFT(combinedMaturityTable[[#This Row],[DS]],FIND("(FFIEC ",combinedMaturityTable[[#This Row],[DS]])-1),"")</f>
        <v/>
      </c>
      <c r="M172" s="293" t="str">
        <f>CLEAN(TRIM(SUBSTITUTE(LEFT(combinedMaturityTable[[#This Row],[DSm]],MIN(250,LEN(combinedMaturityTable[[#This Row],[DSm]]))),CHAR(160)," ")))</f>
        <v/>
      </c>
    </row>
    <row r="173" spans="2:13" hidden="1" x14ac:dyDescent="0.25">
      <c r="B173" s="252" t="str">
        <f>'Threat Intel and Collaboration'!$M$33</f>
        <v>Threat Intelligence and Collaboration</v>
      </c>
      <c r="C173" s="252" t="str">
        <f>'Threat Intel and Collaboration'!$A$33</f>
        <v>Monitoring and Analyzing</v>
      </c>
      <c r="D173" s="252" t="str">
        <f>'Threat Intel and Collaboration'!$B$33</f>
        <v>Monitoring and Analyzing</v>
      </c>
      <c r="E173" s="252" t="str">
        <f>'Threat Intel and Collaboration'!$C$33</f>
        <v>Advanced</v>
      </c>
      <c r="F173" s="252">
        <f>'Threat Intel and Collaboration'!$D$33</f>
        <v>0</v>
      </c>
      <c r="G173" s="252">
        <f>'Threat Intel and Collaboration'!$N$33</f>
        <v>0</v>
      </c>
      <c r="H173" s="252">
        <f>'Threat Intel and Collaboration'!$O$33</f>
        <v>0</v>
      </c>
      <c r="I173" s="252">
        <f>'Threat Intel and Collaboration'!$P$33</f>
        <v>0</v>
      </c>
      <c r="J173" s="252">
        <f>'Threat Intel and Collaboration'!$Q$33</f>
        <v>0</v>
      </c>
      <c r="K173" t="s">
        <v>240</v>
      </c>
      <c r="L173" t="str">
        <f>IF(combinedMaturityTable[[#This Row],[Maturity Level]]="Baseline",LEFT(combinedMaturityTable[[#This Row],[DS]],FIND("(FFIEC ",combinedMaturityTable[[#This Row],[DS]])-1),"")</f>
        <v/>
      </c>
      <c r="M173" s="293" t="str">
        <f>CLEAN(TRIM(SUBSTITUTE(LEFT(combinedMaturityTable[[#This Row],[DSm]],MIN(250,LEN(combinedMaturityTable[[#This Row],[DSm]]))),CHAR(160)," ")))</f>
        <v/>
      </c>
    </row>
    <row r="174" spans="2:13" hidden="1" x14ac:dyDescent="0.25">
      <c r="B174" s="252" t="str">
        <f>'Threat Intel and Collaboration'!$M$34</f>
        <v>Threat Intelligence and Collaboration</v>
      </c>
      <c r="C174" s="252" t="str">
        <f>'Threat Intel and Collaboration'!$A$34</f>
        <v>Monitoring and Analyzing</v>
      </c>
      <c r="D174" s="252" t="str">
        <f>'Threat Intel and Collaboration'!$B$34</f>
        <v>Monitoring and Analyzing</v>
      </c>
      <c r="E174" s="252" t="str">
        <f>'Threat Intel and Collaboration'!$C$34</f>
        <v>Advanced</v>
      </c>
      <c r="F174" s="252">
        <f>'Threat Intel and Collaboration'!$D$34</f>
        <v>0</v>
      </c>
      <c r="G174" s="252">
        <f>'Threat Intel and Collaboration'!$N$34</f>
        <v>0</v>
      </c>
      <c r="H174" s="252">
        <f>'Threat Intel and Collaboration'!$O$34</f>
        <v>0</v>
      </c>
      <c r="I174" s="252">
        <f>'Threat Intel and Collaboration'!$P$34</f>
        <v>0</v>
      </c>
      <c r="J174" s="252">
        <f>'Threat Intel and Collaboration'!$Q$34</f>
        <v>0</v>
      </c>
      <c r="K174" t="s">
        <v>241</v>
      </c>
      <c r="L174" t="str">
        <f>IF(combinedMaturityTable[[#This Row],[Maturity Level]]="Baseline",LEFT(combinedMaturityTable[[#This Row],[DS]],FIND("(FFIEC ",combinedMaturityTable[[#This Row],[DS]])-1),"")</f>
        <v/>
      </c>
      <c r="M174" s="293" t="str">
        <f>CLEAN(TRIM(SUBSTITUTE(LEFT(combinedMaturityTable[[#This Row],[DSm]],MIN(250,LEN(combinedMaturityTable[[#This Row],[DSm]]))),CHAR(160)," ")))</f>
        <v/>
      </c>
    </row>
    <row r="175" spans="2:13" hidden="1" x14ac:dyDescent="0.25">
      <c r="B175" s="252" t="str">
        <f>'Threat Intel and Collaboration'!$M$35</f>
        <v>Threat Intelligence and Collaboration</v>
      </c>
      <c r="C175" s="252" t="str">
        <f>'Threat Intel and Collaboration'!$A$35</f>
        <v>Monitoring and Analyzing</v>
      </c>
      <c r="D175" s="252" t="str">
        <f>'Threat Intel and Collaboration'!$B$35</f>
        <v>Monitoring and Analyzing</v>
      </c>
      <c r="E175" s="252" t="str">
        <f>'Threat Intel and Collaboration'!$C$35</f>
        <v>Advanced</v>
      </c>
      <c r="F175" s="252">
        <f>'Threat Intel and Collaboration'!$D$35</f>
        <v>0</v>
      </c>
      <c r="G175" s="252">
        <f>'Threat Intel and Collaboration'!$N$35</f>
        <v>0</v>
      </c>
      <c r="H175" s="252">
        <f>'Threat Intel and Collaboration'!$O$35</f>
        <v>0</v>
      </c>
      <c r="I175" s="252">
        <f>'Threat Intel and Collaboration'!$P$35</f>
        <v>0</v>
      </c>
      <c r="J175" s="252">
        <f>'Threat Intel and Collaboration'!$Q$35</f>
        <v>0</v>
      </c>
      <c r="K175" t="s">
        <v>242</v>
      </c>
      <c r="L175" t="str">
        <f>IF(combinedMaturityTable[[#This Row],[Maturity Level]]="Baseline",LEFT(combinedMaturityTable[[#This Row],[DS]],FIND("(FFIEC ",combinedMaturityTable[[#This Row],[DS]])-1),"")</f>
        <v/>
      </c>
      <c r="M175" s="293" t="str">
        <f>CLEAN(TRIM(SUBSTITUTE(LEFT(combinedMaturityTable[[#This Row],[DSm]],MIN(250,LEN(combinedMaturityTable[[#This Row],[DSm]]))),CHAR(160)," ")))</f>
        <v/>
      </c>
    </row>
    <row r="176" spans="2:13" hidden="1" x14ac:dyDescent="0.25">
      <c r="B176" s="252" t="str">
        <f>'Threat Intel and Collaboration'!$M$36</f>
        <v>Threat Intelligence and Collaboration</v>
      </c>
      <c r="C176" s="252" t="str">
        <f>'Threat Intel and Collaboration'!$A$36</f>
        <v>Monitoring and Analyzing</v>
      </c>
      <c r="D176" s="252" t="str">
        <f>'Threat Intel and Collaboration'!$B$36</f>
        <v>Monitoring and Analyzing</v>
      </c>
      <c r="E176" s="252" t="str">
        <f>'Threat Intel and Collaboration'!$C$36</f>
        <v>Innovative</v>
      </c>
      <c r="F176" s="252">
        <f>'Threat Intel and Collaboration'!$D$36</f>
        <v>0</v>
      </c>
      <c r="G176" s="252">
        <f>'Threat Intel and Collaboration'!$N$36</f>
        <v>0</v>
      </c>
      <c r="H176" s="252">
        <f>'Threat Intel and Collaboration'!$O$36</f>
        <v>0</v>
      </c>
      <c r="I176" s="252">
        <f>'Threat Intel and Collaboration'!$P$36</f>
        <v>0</v>
      </c>
      <c r="J176" s="252">
        <f>'Threat Intel and Collaboration'!$Q$36</f>
        <v>0</v>
      </c>
      <c r="K176" t="s">
        <v>243</v>
      </c>
      <c r="L176" t="str">
        <f>IF(combinedMaturityTable[[#This Row],[Maturity Level]]="Baseline",LEFT(combinedMaturityTable[[#This Row],[DS]],FIND("(FFIEC ",combinedMaturityTable[[#This Row],[DS]])-1),"")</f>
        <v/>
      </c>
      <c r="M176" s="293" t="str">
        <f>CLEAN(TRIM(SUBSTITUTE(LEFT(combinedMaturityTable[[#This Row],[DSm]],MIN(250,LEN(combinedMaturityTable[[#This Row],[DSm]]))),CHAR(160)," ")))</f>
        <v/>
      </c>
    </row>
    <row r="177" spans="2:13" hidden="1" x14ac:dyDescent="0.25">
      <c r="B177" s="252" t="str">
        <f>'Threat Intel and Collaboration'!$M$37</f>
        <v>Threat Intelligence and Collaboration</v>
      </c>
      <c r="C177" s="252" t="str">
        <f>'Threat Intel and Collaboration'!$A$37</f>
        <v>Monitoring and Analyzing</v>
      </c>
      <c r="D177" s="252" t="str">
        <f>'Threat Intel and Collaboration'!$B$37</f>
        <v>Monitoring and Analyzing</v>
      </c>
      <c r="E177" s="252" t="str">
        <f>'Threat Intel and Collaboration'!$C$37</f>
        <v>Innovative</v>
      </c>
      <c r="F177" s="252">
        <f>'Threat Intel and Collaboration'!$D$37</f>
        <v>0</v>
      </c>
      <c r="G177" s="252">
        <f>'Threat Intel and Collaboration'!$N$37</f>
        <v>0</v>
      </c>
      <c r="H177" s="252">
        <f>'Threat Intel and Collaboration'!$O$37</f>
        <v>0</v>
      </c>
      <c r="I177" s="252">
        <f>'Threat Intel and Collaboration'!$P$37</f>
        <v>0</v>
      </c>
      <c r="J177" s="252">
        <f>'Threat Intel and Collaboration'!$Q$37</f>
        <v>0</v>
      </c>
      <c r="K177" t="s">
        <v>244</v>
      </c>
      <c r="L177" t="str">
        <f>IF(combinedMaturityTable[[#This Row],[Maturity Level]]="Baseline",LEFT(combinedMaturityTable[[#This Row],[DS]],FIND("(FFIEC ",combinedMaturityTable[[#This Row],[DS]])-1),"")</f>
        <v/>
      </c>
      <c r="M177" s="293" t="str">
        <f>CLEAN(TRIM(SUBSTITUTE(LEFT(combinedMaturityTable[[#This Row],[DSm]],MIN(250,LEN(combinedMaturityTable[[#This Row],[DSm]]))),CHAR(160)," ")))</f>
        <v/>
      </c>
    </row>
    <row r="178" spans="2:13" hidden="1" x14ac:dyDescent="0.25">
      <c r="B178" s="252" t="str">
        <f>'Threat Intel and Collaboration'!$M$38</f>
        <v>Threat Intelligence and Collaboration</v>
      </c>
      <c r="C178" s="252" t="str">
        <f>'Threat Intel and Collaboration'!$A$38</f>
        <v>Monitoring and Analyzing</v>
      </c>
      <c r="D178" s="252" t="str">
        <f>'Threat Intel and Collaboration'!$B$38</f>
        <v>Monitoring and Analyzing</v>
      </c>
      <c r="E178" s="252" t="str">
        <f>'Threat Intel and Collaboration'!$C$38</f>
        <v>Innovative</v>
      </c>
      <c r="F178" s="252">
        <f>'Threat Intel and Collaboration'!$D$38</f>
        <v>0</v>
      </c>
      <c r="G178" s="252">
        <f>'Threat Intel and Collaboration'!$N$38</f>
        <v>0</v>
      </c>
      <c r="H178" s="252">
        <f>'Threat Intel and Collaboration'!$O$38</f>
        <v>0</v>
      </c>
      <c r="I178" s="252">
        <f>'Threat Intel and Collaboration'!$P$38</f>
        <v>0</v>
      </c>
      <c r="J178" s="252">
        <f>'Threat Intel and Collaboration'!$Q$38</f>
        <v>0</v>
      </c>
      <c r="K178" t="s">
        <v>245</v>
      </c>
      <c r="L178" t="str">
        <f>IF(combinedMaturityTable[[#This Row],[Maturity Level]]="Baseline",LEFT(combinedMaturityTable[[#This Row],[DS]],FIND("(FFIEC ",combinedMaturityTable[[#This Row],[DS]])-1),"")</f>
        <v/>
      </c>
      <c r="M178" s="293" t="str">
        <f>CLEAN(TRIM(SUBSTITUTE(LEFT(combinedMaturityTable[[#This Row],[DSm]],MIN(250,LEN(combinedMaturityTable[[#This Row],[DSm]]))),CHAR(160)," ")))</f>
        <v/>
      </c>
    </row>
    <row r="179" spans="2:13" x14ac:dyDescent="0.25">
      <c r="B179" s="252" t="str">
        <f>'Threat Intel and Collaboration'!$M$39</f>
        <v>Threat Intelligence and Collaboration</v>
      </c>
      <c r="C179" s="252" t="str">
        <f>'Threat Intel and Collaboration'!$A$39</f>
        <v>Information Sharing</v>
      </c>
      <c r="D179" s="252" t="str">
        <f>'Threat Intel and Collaboration'!$B$39</f>
        <v>Information Sharing</v>
      </c>
      <c r="E179" s="252" t="str">
        <f>'Threat Intel and Collaboration'!$C$39</f>
        <v>Baseline</v>
      </c>
      <c r="F179" s="252">
        <f>'Threat Intel and Collaboration'!$D$39</f>
        <v>0</v>
      </c>
      <c r="G179" s="252">
        <f>'Threat Intel and Collaboration'!$N$39</f>
        <v>0</v>
      </c>
      <c r="H179" s="252">
        <f>'Threat Intel and Collaboration'!$O$39</f>
        <v>0</v>
      </c>
      <c r="I179" s="252">
        <f>'Threat Intel and Collaboration'!$P$39</f>
        <v>0</v>
      </c>
      <c r="J179" s="252">
        <f>'Threat Intel and Collaboration'!$Q$39</f>
        <v>0</v>
      </c>
      <c r="K179" t="s">
        <v>872</v>
      </c>
      <c r="L179" t="str">
        <f>IF(combinedMaturityTable[[#This Row],[Maturity Level]]="Baseline",LEFT(combinedMaturityTable[[#This Row],[DS]],FIND("(FFIEC ",combinedMaturityTable[[#This Row],[DS]])-1),"")</f>
        <v xml:space="preserve">Information security threats are gathered and shared with applicable internal employees. </v>
      </c>
      <c r="M179" s="293" t="str">
        <f>CLEAN(TRIM(SUBSTITUTE(LEFT(combinedMaturityTable[[#This Row],[DSm]],MIN(250,LEN(combinedMaturityTable[[#This Row],[DSm]]))),CHAR(160)," ")))</f>
        <v>Information security threats are gathered and shared with applicable internal employees.</v>
      </c>
    </row>
    <row r="180" spans="2:13" x14ac:dyDescent="0.25">
      <c r="B180" s="252" t="str">
        <f>'Threat Intel and Collaboration'!$M$40</f>
        <v>Threat Intelligence and Collaboration</v>
      </c>
      <c r="C180" s="252" t="str">
        <f>'Threat Intel and Collaboration'!$A$40</f>
        <v>Information Sharing</v>
      </c>
      <c r="D180" s="252" t="str">
        <f>'Threat Intel and Collaboration'!$B$40</f>
        <v>Information Sharing</v>
      </c>
      <c r="E180" s="252" t="str">
        <f>'Threat Intel and Collaboration'!$C$40</f>
        <v>Baseline</v>
      </c>
      <c r="F180" s="252">
        <f>'Threat Intel and Collaboration'!$D$40</f>
        <v>0</v>
      </c>
      <c r="G180" s="252">
        <f>'Threat Intel and Collaboration'!$N$40</f>
        <v>0</v>
      </c>
      <c r="H180" s="252">
        <f>'Threat Intel and Collaboration'!$O$40</f>
        <v>0</v>
      </c>
      <c r="I180" s="252">
        <f>'Threat Intel and Collaboration'!$P$40</f>
        <v>0</v>
      </c>
      <c r="J180" s="252">
        <f>'Threat Intel and Collaboration'!$Q$40</f>
        <v>0</v>
      </c>
      <c r="K180" t="s">
        <v>873</v>
      </c>
      <c r="L180" t="str">
        <f>IF(combinedMaturityTable[[#This Row],[Maturity Level]]="Baseline",LEFT(combinedMaturityTable[[#This Row],[DS]],FIND("(FFIEC ",combinedMaturityTable[[#This Row],[DS]])-1),"")</f>
        <v xml:space="preserve">Contact information for law enforcement and the regulator(s) is maintained and updated regularly. </v>
      </c>
      <c r="M180" s="293" t="str">
        <f>CLEAN(TRIM(SUBSTITUTE(LEFT(combinedMaturityTable[[#This Row],[DSm]],MIN(250,LEN(combinedMaturityTable[[#This Row],[DSm]]))),CHAR(160)," ")))</f>
        <v>Contact information for law enforcement and the regulator(s) is maintained and updated regularly.</v>
      </c>
    </row>
    <row r="181" spans="2:13" x14ac:dyDescent="0.25">
      <c r="B181" s="252" t="str">
        <f>'Threat Intel and Collaboration'!$M$41</f>
        <v>Threat Intelligence and Collaboration</v>
      </c>
      <c r="C181" s="252" t="str">
        <f>'Threat Intel and Collaboration'!$A$41</f>
        <v>Information Sharing</v>
      </c>
      <c r="D181" s="252" t="str">
        <f>'Threat Intel and Collaboration'!$B$41</f>
        <v>Information Sharing</v>
      </c>
      <c r="E181" s="252" t="str">
        <f>'Threat Intel and Collaboration'!$C$41</f>
        <v>Baseline</v>
      </c>
      <c r="F181" s="252">
        <f>'Threat Intel and Collaboration'!$D$41</f>
        <v>0</v>
      </c>
      <c r="G181" s="252">
        <f>'Threat Intel and Collaboration'!$N$41</f>
        <v>0</v>
      </c>
      <c r="H181" s="252">
        <f>'Threat Intel and Collaboration'!$O$41</f>
        <v>0</v>
      </c>
      <c r="I181" s="252">
        <f>'Threat Intel and Collaboration'!$P$41</f>
        <v>0</v>
      </c>
      <c r="J181" s="252">
        <f>'Threat Intel and Collaboration'!$Q$41</f>
        <v>0</v>
      </c>
      <c r="K181" t="s">
        <v>874</v>
      </c>
      <c r="L181" t="str">
        <f>IF(combinedMaturityTable[[#This Row],[Maturity Level]]="Baseline",LEFT(combinedMaturityTable[[#This Row],[DS]],FIND("(FFIEC ",combinedMaturityTable[[#This Row],[DS]])-1),"")</f>
        <v xml:space="preserve">Information about threats is shared with law enforcement and regulators when required or prompted. </v>
      </c>
      <c r="M181" s="293" t="str">
        <f>CLEAN(TRIM(SUBSTITUTE(LEFT(combinedMaturityTable[[#This Row],[DSm]],MIN(250,LEN(combinedMaturityTable[[#This Row],[DSm]]))),CHAR(160)," ")))</f>
        <v>Information about threats is shared with law enforcement and regulators when required or prompted.</v>
      </c>
    </row>
    <row r="182" spans="2:13" hidden="1" x14ac:dyDescent="0.25">
      <c r="B182" s="252" t="str">
        <f>'Threat Intel and Collaboration'!$M$42</f>
        <v>Threat Intelligence and Collaboration</v>
      </c>
      <c r="C182" s="252" t="str">
        <f>'Threat Intel and Collaboration'!$A$42</f>
        <v>Information Sharing</v>
      </c>
      <c r="D182" s="252" t="str">
        <f>'Threat Intel and Collaboration'!$B$42</f>
        <v>Information Sharing</v>
      </c>
      <c r="E182" s="252" t="str">
        <f>'Threat Intel and Collaboration'!$C$42</f>
        <v>Evolving</v>
      </c>
      <c r="F182" s="252">
        <f>'Threat Intel and Collaboration'!$D$42</f>
        <v>0</v>
      </c>
      <c r="G182" s="252">
        <f>'Threat Intel and Collaboration'!$N$42</f>
        <v>0</v>
      </c>
      <c r="H182" s="252">
        <f>'Threat Intel and Collaboration'!$O$42</f>
        <v>0</v>
      </c>
      <c r="I182" s="252">
        <f>'Threat Intel and Collaboration'!$P$42</f>
        <v>0</v>
      </c>
      <c r="J182" s="252">
        <f>'Threat Intel and Collaboration'!$Q$42</f>
        <v>0</v>
      </c>
      <c r="K182" t="s">
        <v>875</v>
      </c>
      <c r="L182" t="str">
        <f>IF(combinedMaturityTable[[#This Row],[Maturity Level]]="Baseline",LEFT(combinedMaturityTable[[#This Row],[DS]],FIND("(FFIEC ",combinedMaturityTable[[#This Row],[DS]])-1),"")</f>
        <v/>
      </c>
      <c r="M182" s="293" t="str">
        <f>CLEAN(TRIM(SUBSTITUTE(LEFT(combinedMaturityTable[[#This Row],[DSm]],MIN(250,LEN(combinedMaturityTable[[#This Row],[DSm]]))),CHAR(160)," ")))</f>
        <v/>
      </c>
    </row>
    <row r="183" spans="2:13" hidden="1" x14ac:dyDescent="0.25">
      <c r="B183" s="252" t="str">
        <f>'Threat Intel and Collaboration'!$M$43</f>
        <v>Threat Intelligence and Collaboration</v>
      </c>
      <c r="C183" s="252" t="str">
        <f>'Threat Intel and Collaboration'!$A$43</f>
        <v>Information Sharing</v>
      </c>
      <c r="D183" s="252" t="str">
        <f>'Threat Intel and Collaboration'!$B$43</f>
        <v>Information Sharing</v>
      </c>
      <c r="E183" s="252" t="str">
        <f>'Threat Intel and Collaboration'!$C$43</f>
        <v>Evolving</v>
      </c>
      <c r="F183" s="252">
        <f>'Threat Intel and Collaboration'!$D$43</f>
        <v>0</v>
      </c>
      <c r="G183" s="252">
        <f>'Threat Intel and Collaboration'!$N$43</f>
        <v>0</v>
      </c>
      <c r="H183" s="252">
        <f>'Threat Intel and Collaboration'!$O$43</f>
        <v>0</v>
      </c>
      <c r="I183" s="252">
        <f>'Threat Intel and Collaboration'!$P$43</f>
        <v>0</v>
      </c>
      <c r="J183" s="252">
        <f>'Threat Intel and Collaboration'!$Q$43</f>
        <v>0</v>
      </c>
      <c r="K183" t="s">
        <v>876</v>
      </c>
      <c r="L183" t="str">
        <f>IF(combinedMaturityTable[[#This Row],[Maturity Level]]="Baseline",LEFT(combinedMaturityTable[[#This Row],[DS]],FIND("(FFIEC ",combinedMaturityTable[[#This Row],[DS]])-1),"")</f>
        <v/>
      </c>
      <c r="M183" s="293" t="str">
        <f>CLEAN(TRIM(SUBSTITUTE(LEFT(combinedMaturityTable[[#This Row],[DSm]],MIN(250,LEN(combinedMaturityTable[[#This Row],[DSm]]))),CHAR(160)," ")))</f>
        <v/>
      </c>
    </row>
    <row r="184" spans="2:13" hidden="1" x14ac:dyDescent="0.25">
      <c r="B184" s="252" t="str">
        <f>'Threat Intel and Collaboration'!$M$44</f>
        <v>Threat Intelligence and Collaboration</v>
      </c>
      <c r="C184" s="252" t="str">
        <f>'Threat Intel and Collaboration'!$A$44</f>
        <v>Information Sharing</v>
      </c>
      <c r="D184" s="252" t="str">
        <f>'Threat Intel and Collaboration'!$B$44</f>
        <v>Information Sharing</v>
      </c>
      <c r="E184" s="252" t="str">
        <f>'Threat Intel and Collaboration'!$C$44</f>
        <v>Intermediate</v>
      </c>
      <c r="F184" s="252">
        <f>'Threat Intel and Collaboration'!$D$44</f>
        <v>0</v>
      </c>
      <c r="G184" s="252">
        <f>'Threat Intel and Collaboration'!$N$44</f>
        <v>0</v>
      </c>
      <c r="H184" s="252">
        <f>'Threat Intel and Collaboration'!$O$44</f>
        <v>0</v>
      </c>
      <c r="I184" s="252">
        <f>'Threat Intel and Collaboration'!$P$44</f>
        <v>0</v>
      </c>
      <c r="J184" s="252">
        <f>'Threat Intel and Collaboration'!$Q$44</f>
        <v>0</v>
      </c>
      <c r="K184" t="s">
        <v>247</v>
      </c>
      <c r="L184" t="str">
        <f>IF(combinedMaturityTable[[#This Row],[Maturity Level]]="Baseline",LEFT(combinedMaturityTable[[#This Row],[DS]],FIND("(FFIEC ",combinedMaturityTable[[#This Row],[DS]])-1),"")</f>
        <v/>
      </c>
      <c r="M184" s="293" t="str">
        <f>CLEAN(TRIM(SUBSTITUTE(LEFT(combinedMaturityTable[[#This Row],[DSm]],MIN(250,LEN(combinedMaturityTable[[#This Row],[DSm]]))),CHAR(160)," ")))</f>
        <v/>
      </c>
    </row>
    <row r="185" spans="2:13" hidden="1" x14ac:dyDescent="0.25">
      <c r="B185" s="252" t="str">
        <f>'Threat Intel and Collaboration'!$M$45</f>
        <v>Threat Intelligence and Collaboration</v>
      </c>
      <c r="C185" s="252" t="str">
        <f>'Threat Intel and Collaboration'!$A$45</f>
        <v>Information Sharing</v>
      </c>
      <c r="D185" s="252" t="str">
        <f>'Threat Intel and Collaboration'!$B$45</f>
        <v>Information Sharing</v>
      </c>
      <c r="E185" s="252" t="str">
        <f>'Threat Intel and Collaboration'!$C$45</f>
        <v>Intermediate</v>
      </c>
      <c r="F185" s="252">
        <f>'Threat Intel and Collaboration'!$D$45</f>
        <v>0</v>
      </c>
      <c r="G185" s="252">
        <f>'Threat Intel and Collaboration'!$N$45</f>
        <v>0</v>
      </c>
      <c r="H185" s="252">
        <f>'Threat Intel and Collaboration'!$O$45</f>
        <v>0</v>
      </c>
      <c r="I185" s="252">
        <f>'Threat Intel and Collaboration'!$P$45</f>
        <v>0</v>
      </c>
      <c r="J185" s="252">
        <f>'Threat Intel and Collaboration'!$Q$45</f>
        <v>0</v>
      </c>
      <c r="K185" t="s">
        <v>248</v>
      </c>
      <c r="L185" t="str">
        <f>IF(combinedMaturityTable[[#This Row],[Maturity Level]]="Baseline",LEFT(combinedMaturityTable[[#This Row],[DS]],FIND("(FFIEC ",combinedMaturityTable[[#This Row],[DS]])-1),"")</f>
        <v/>
      </c>
      <c r="M185" s="293" t="str">
        <f>CLEAN(TRIM(SUBSTITUTE(LEFT(combinedMaturityTable[[#This Row],[DSm]],MIN(250,LEN(combinedMaturityTable[[#This Row],[DSm]]))),CHAR(160)," ")))</f>
        <v/>
      </c>
    </row>
    <row r="186" spans="2:13" hidden="1" x14ac:dyDescent="0.25">
      <c r="B186" s="252" t="str">
        <f>'Threat Intel and Collaboration'!$M$46</f>
        <v>Threat Intelligence and Collaboration</v>
      </c>
      <c r="C186" s="252" t="str">
        <f>'Threat Intel and Collaboration'!$A$46</f>
        <v>Information Sharing</v>
      </c>
      <c r="D186" s="252" t="str">
        <f>'Threat Intel and Collaboration'!$B$46</f>
        <v>Information Sharing</v>
      </c>
      <c r="E186" s="252" t="str">
        <f>'Threat Intel and Collaboration'!$C$46</f>
        <v>Intermediate</v>
      </c>
      <c r="F186" s="252">
        <f>'Threat Intel and Collaboration'!$D$46</f>
        <v>0</v>
      </c>
      <c r="G186" s="252">
        <f>'Threat Intel and Collaboration'!$N$46</f>
        <v>0</v>
      </c>
      <c r="H186" s="252">
        <f>'Threat Intel and Collaboration'!$O$46</f>
        <v>0</v>
      </c>
      <c r="I186" s="252">
        <f>'Threat Intel and Collaboration'!$P$46</f>
        <v>0</v>
      </c>
      <c r="J186" s="252">
        <f>'Threat Intel and Collaboration'!$Q$46</f>
        <v>0</v>
      </c>
      <c r="K186" t="s">
        <v>249</v>
      </c>
      <c r="L186" t="str">
        <f>IF(combinedMaturityTable[[#This Row],[Maturity Level]]="Baseline",LEFT(combinedMaturityTable[[#This Row],[DS]],FIND("(FFIEC ",combinedMaturityTable[[#This Row],[DS]])-1),"")</f>
        <v/>
      </c>
      <c r="M186" s="293" t="str">
        <f>CLEAN(TRIM(SUBSTITUTE(LEFT(combinedMaturityTable[[#This Row],[DSm]],MIN(250,LEN(combinedMaturityTable[[#This Row],[DSm]]))),CHAR(160)," ")))</f>
        <v/>
      </c>
    </row>
    <row r="187" spans="2:13" hidden="1" x14ac:dyDescent="0.25">
      <c r="B187" s="252" t="str">
        <f>'Threat Intel and Collaboration'!$M$47</f>
        <v>Threat Intelligence and Collaboration</v>
      </c>
      <c r="C187" s="252" t="str">
        <f>'Threat Intel and Collaboration'!$A$47</f>
        <v>Information Sharing</v>
      </c>
      <c r="D187" s="252" t="str">
        <f>'Threat Intel and Collaboration'!$B$47</f>
        <v>Information Sharing</v>
      </c>
      <c r="E187" s="252" t="str">
        <f>'Threat Intel and Collaboration'!$C$47</f>
        <v>Intermediate</v>
      </c>
      <c r="F187" s="252">
        <f>'Threat Intel and Collaboration'!$D$47</f>
        <v>0</v>
      </c>
      <c r="G187" s="252">
        <f>'Threat Intel and Collaboration'!$N$47</f>
        <v>0</v>
      </c>
      <c r="H187" s="252">
        <f>'Threat Intel and Collaboration'!$O$47</f>
        <v>0</v>
      </c>
      <c r="I187" s="252">
        <f>'Threat Intel and Collaboration'!$P$47</f>
        <v>0</v>
      </c>
      <c r="J187" s="252">
        <f>'Threat Intel and Collaboration'!$Q$47</f>
        <v>0</v>
      </c>
      <c r="K187" t="s">
        <v>250</v>
      </c>
      <c r="L187" t="str">
        <f>IF(combinedMaturityTable[[#This Row],[Maturity Level]]="Baseline",LEFT(combinedMaturityTable[[#This Row],[DS]],FIND("(FFIEC ",combinedMaturityTable[[#This Row],[DS]])-1),"")</f>
        <v/>
      </c>
      <c r="M187" s="293" t="str">
        <f>CLEAN(TRIM(SUBSTITUTE(LEFT(combinedMaturityTable[[#This Row],[DSm]],MIN(250,LEN(combinedMaturityTable[[#This Row],[DSm]]))),CHAR(160)," ")))</f>
        <v/>
      </c>
    </row>
    <row r="188" spans="2:13" hidden="1" x14ac:dyDescent="0.25">
      <c r="B188" s="252" t="str">
        <f>'Threat Intel and Collaboration'!$M$48</f>
        <v>Threat Intelligence and Collaboration</v>
      </c>
      <c r="C188" s="252" t="str">
        <f>'Threat Intel and Collaboration'!$A$48</f>
        <v>Information Sharing</v>
      </c>
      <c r="D188" s="252" t="str">
        <f>'Threat Intel and Collaboration'!$B$48</f>
        <v>Information Sharing</v>
      </c>
      <c r="E188" s="252" t="str">
        <f>'Threat Intel and Collaboration'!$C$48</f>
        <v>Advanced</v>
      </c>
      <c r="F188" s="252">
        <f>'Threat Intel and Collaboration'!$D$48</f>
        <v>0</v>
      </c>
      <c r="G188" s="252">
        <f>'Threat Intel and Collaboration'!$N$48</f>
        <v>0</v>
      </c>
      <c r="H188" s="252">
        <f>'Threat Intel and Collaboration'!$O$48</f>
        <v>0</v>
      </c>
      <c r="I188" s="252">
        <f>'Threat Intel and Collaboration'!$P$48</f>
        <v>0</v>
      </c>
      <c r="J188" s="252">
        <f>'Threat Intel and Collaboration'!$Q$48</f>
        <v>0</v>
      </c>
      <c r="K188" t="s">
        <v>251</v>
      </c>
      <c r="L188" t="str">
        <f>IF(combinedMaturityTable[[#This Row],[Maturity Level]]="Baseline",LEFT(combinedMaturityTable[[#This Row],[DS]],FIND("(FFIEC ",combinedMaturityTable[[#This Row],[DS]])-1),"")</f>
        <v/>
      </c>
      <c r="M188" s="293" t="str">
        <f>CLEAN(TRIM(SUBSTITUTE(LEFT(combinedMaturityTable[[#This Row],[DSm]],MIN(250,LEN(combinedMaturityTable[[#This Row],[DSm]]))),CHAR(160)," ")))</f>
        <v/>
      </c>
    </row>
    <row r="189" spans="2:13" hidden="1" x14ac:dyDescent="0.25">
      <c r="B189" s="252" t="str">
        <f>'Threat Intel and Collaboration'!$M$49</f>
        <v>Threat Intelligence and Collaboration</v>
      </c>
      <c r="C189" s="252" t="str">
        <f>'Threat Intel and Collaboration'!$A$49</f>
        <v>Information Sharing</v>
      </c>
      <c r="D189" s="252" t="str">
        <f>'Threat Intel and Collaboration'!$B$49</f>
        <v>Information Sharing</v>
      </c>
      <c r="E189" s="252" t="str">
        <f>'Threat Intel and Collaboration'!$C$49</f>
        <v>Advanced</v>
      </c>
      <c r="F189" s="252">
        <f>'Threat Intel and Collaboration'!$D$49</f>
        <v>0</v>
      </c>
      <c r="G189" s="252">
        <f>'Threat Intel and Collaboration'!$N$49</f>
        <v>0</v>
      </c>
      <c r="H189" s="252">
        <f>'Threat Intel and Collaboration'!$O$49</f>
        <v>0</v>
      </c>
      <c r="I189" s="252">
        <f>'Threat Intel and Collaboration'!$P$49</f>
        <v>0</v>
      </c>
      <c r="J189" s="252">
        <f>'Threat Intel and Collaboration'!$Q$49</f>
        <v>0</v>
      </c>
      <c r="K189" t="s">
        <v>252</v>
      </c>
      <c r="L189" t="str">
        <f>IF(combinedMaturityTable[[#This Row],[Maturity Level]]="Baseline",LEFT(combinedMaturityTable[[#This Row],[DS]],FIND("(FFIEC ",combinedMaturityTable[[#This Row],[DS]])-1),"")</f>
        <v/>
      </c>
      <c r="M189" s="293" t="str">
        <f>CLEAN(TRIM(SUBSTITUTE(LEFT(combinedMaturityTable[[#This Row],[DSm]],MIN(250,LEN(combinedMaturityTable[[#This Row],[DSm]]))),CHAR(160)," ")))</f>
        <v/>
      </c>
    </row>
    <row r="190" spans="2:13" hidden="1" x14ac:dyDescent="0.25">
      <c r="B190" s="252" t="str">
        <f>'Threat Intel and Collaboration'!$M$50</f>
        <v>Threat Intelligence and Collaboration</v>
      </c>
      <c r="C190" s="252" t="str">
        <f>'Threat Intel and Collaboration'!$A$50</f>
        <v>Information Sharing</v>
      </c>
      <c r="D190" s="252" t="str">
        <f>'Threat Intel and Collaboration'!$B$50</f>
        <v>Information Sharing</v>
      </c>
      <c r="E190" s="252" t="str">
        <f>'Threat Intel and Collaboration'!$C$50</f>
        <v>Advanced</v>
      </c>
      <c r="F190" s="252">
        <f>'Threat Intel and Collaboration'!$D$50</f>
        <v>0</v>
      </c>
      <c r="G190" s="252">
        <f>'Threat Intel and Collaboration'!$N$50</f>
        <v>0</v>
      </c>
      <c r="H190" s="252">
        <f>'Threat Intel and Collaboration'!$O$50</f>
        <v>0</v>
      </c>
      <c r="I190" s="252">
        <f>'Threat Intel and Collaboration'!$P$50</f>
        <v>0</v>
      </c>
      <c r="J190" s="252">
        <f>'Threat Intel and Collaboration'!$Q$50</f>
        <v>0</v>
      </c>
      <c r="K190" t="s">
        <v>253</v>
      </c>
      <c r="L190" t="str">
        <f>IF(combinedMaturityTable[[#This Row],[Maturity Level]]="Baseline",LEFT(combinedMaturityTable[[#This Row],[DS]],FIND("(FFIEC ",combinedMaturityTable[[#This Row],[DS]])-1),"")</f>
        <v/>
      </c>
      <c r="M190" s="293" t="str">
        <f>CLEAN(TRIM(SUBSTITUTE(LEFT(combinedMaturityTable[[#This Row],[DSm]],MIN(250,LEN(combinedMaturityTable[[#This Row],[DSm]]))),CHAR(160)," ")))</f>
        <v/>
      </c>
    </row>
    <row r="191" spans="2:13" hidden="1" x14ac:dyDescent="0.25">
      <c r="B191" s="252" t="str">
        <f>'Threat Intel and Collaboration'!$M$51</f>
        <v>Threat Intelligence and Collaboration</v>
      </c>
      <c r="C191" s="252" t="str">
        <f>'Threat Intel and Collaboration'!$A$51</f>
        <v>Information Sharing</v>
      </c>
      <c r="D191" s="252" t="str">
        <f>'Threat Intel and Collaboration'!$B$51</f>
        <v>Information Sharing</v>
      </c>
      <c r="E191" s="252" t="str">
        <f>'Threat Intel and Collaboration'!$C$51</f>
        <v>Innovative</v>
      </c>
      <c r="F191" s="252">
        <f>'Threat Intel and Collaboration'!$D$51</f>
        <v>0</v>
      </c>
      <c r="G191" s="252">
        <f>'Threat Intel and Collaboration'!$N$51</f>
        <v>0</v>
      </c>
      <c r="H191" s="252">
        <f>'Threat Intel and Collaboration'!$O$51</f>
        <v>0</v>
      </c>
      <c r="I191" s="252">
        <f>'Threat Intel and Collaboration'!$P$51</f>
        <v>0</v>
      </c>
      <c r="J191" s="252">
        <f>'Threat Intel and Collaboration'!$Q$51</f>
        <v>0</v>
      </c>
      <c r="K191" t="s">
        <v>254</v>
      </c>
      <c r="L191" t="str">
        <f>IF(combinedMaturityTable[[#This Row],[Maturity Level]]="Baseline",LEFT(combinedMaturityTable[[#This Row],[DS]],FIND("(FFIEC ",combinedMaturityTable[[#This Row],[DS]])-1),"")</f>
        <v/>
      </c>
      <c r="M191" s="293" t="str">
        <f>CLEAN(TRIM(SUBSTITUTE(LEFT(combinedMaturityTable[[#This Row],[DSm]],MIN(250,LEN(combinedMaturityTable[[#This Row],[DSm]]))),CHAR(160)," ")))</f>
        <v/>
      </c>
    </row>
    <row r="192" spans="2:13" hidden="1" x14ac:dyDescent="0.25">
      <c r="B192" s="252" t="str">
        <f>'Threat Intel and Collaboration'!$M$52</f>
        <v>Threat Intelligence and Collaboration</v>
      </c>
      <c r="C192" s="252" t="str">
        <f>'Threat Intel and Collaboration'!$A$52</f>
        <v>Information Sharing</v>
      </c>
      <c r="D192" s="252" t="str">
        <f>'Threat Intel and Collaboration'!$B$52</f>
        <v>Information Sharing</v>
      </c>
      <c r="E192" s="252" t="str">
        <f>'Threat Intel and Collaboration'!$C$52</f>
        <v>Innovative</v>
      </c>
      <c r="F192" s="252">
        <f>'Threat Intel and Collaboration'!$D$52</f>
        <v>0</v>
      </c>
      <c r="G192" s="252">
        <f>'Threat Intel and Collaboration'!$N$52</f>
        <v>0</v>
      </c>
      <c r="H192" s="252">
        <f>'Threat Intel and Collaboration'!$O$52</f>
        <v>0</v>
      </c>
      <c r="I192" s="252">
        <f>'Threat Intel and Collaboration'!$P$52</f>
        <v>0</v>
      </c>
      <c r="J192" s="252">
        <f>'Threat Intel and Collaboration'!$Q$52</f>
        <v>0</v>
      </c>
      <c r="K192" t="s">
        <v>255</v>
      </c>
      <c r="L192" t="str">
        <f>IF(combinedMaturityTable[[#This Row],[Maturity Level]]="Baseline",LEFT(combinedMaturityTable[[#This Row],[DS]],FIND("(FFIEC ",combinedMaturityTable[[#This Row],[DS]])-1),"")</f>
        <v/>
      </c>
      <c r="M192" s="293" t="str">
        <f>CLEAN(TRIM(SUBSTITUTE(LEFT(combinedMaturityTable[[#This Row],[DSm]],MIN(250,LEN(combinedMaturityTable[[#This Row],[DSm]]))),CHAR(160)," ")))</f>
        <v/>
      </c>
    </row>
    <row r="193" spans="2:13" hidden="1" x14ac:dyDescent="0.25">
      <c r="B193" s="252" t="str">
        <f>'Threat Intel and Collaboration'!$M$53</f>
        <v>Threat Intelligence and Collaboration</v>
      </c>
      <c r="C193" s="252" t="str">
        <f>'Threat Intel and Collaboration'!$A$53</f>
        <v>Information Sharing</v>
      </c>
      <c r="D193" s="252" t="str">
        <f>'Threat Intel and Collaboration'!$B$53</f>
        <v>Information Sharing</v>
      </c>
      <c r="E193" s="252" t="str">
        <f>'Threat Intel and Collaboration'!$C$53</f>
        <v>Innovative</v>
      </c>
      <c r="F193" s="252">
        <f>'Threat Intel and Collaboration'!$D$53</f>
        <v>0</v>
      </c>
      <c r="G193" s="252">
        <f>'Threat Intel and Collaboration'!$N$53</f>
        <v>0</v>
      </c>
      <c r="H193" s="252">
        <f>'Threat Intel and Collaboration'!$O$53</f>
        <v>0</v>
      </c>
      <c r="I193" s="252">
        <f>'Threat Intel and Collaboration'!$P$53</f>
        <v>0</v>
      </c>
      <c r="J193" s="252">
        <f>'Threat Intel and Collaboration'!$Q$53</f>
        <v>0</v>
      </c>
      <c r="K193" t="s">
        <v>256</v>
      </c>
      <c r="L193" t="str">
        <f>IF(combinedMaturityTable[[#This Row],[Maturity Level]]="Baseline",LEFT(combinedMaturityTable[[#This Row],[DS]],FIND("(FFIEC ",combinedMaturityTable[[#This Row],[DS]])-1),"")</f>
        <v/>
      </c>
      <c r="M193" s="293" t="str">
        <f>CLEAN(TRIM(SUBSTITUTE(LEFT(combinedMaturityTable[[#This Row],[DSm]],MIN(250,LEN(combinedMaturityTable[[#This Row],[DSm]]))),CHAR(160)," ")))</f>
        <v/>
      </c>
    </row>
    <row r="194" spans="2:13" x14ac:dyDescent="0.25">
      <c r="B194" s="252" t="str">
        <f>'Cybersecurity Controls'!$M$9</f>
        <v>Cybersecurity Controls</v>
      </c>
      <c r="C194" s="252" t="str">
        <f>'Cybersecurity Controls'!$A$9</f>
        <v>Preventative Controls</v>
      </c>
      <c r="D194" s="252" t="str">
        <f>'Cybersecurity Controls'!$B$9</f>
        <v>Infrastructure Management</v>
      </c>
      <c r="E194" s="252" t="str">
        <f>'Cybersecurity Controls'!$C$9</f>
        <v>Baseline</v>
      </c>
      <c r="F194" s="252">
        <f>'Cybersecurity Controls'!$D$9</f>
        <v>0</v>
      </c>
      <c r="G194" s="252">
        <f>'Cybersecurity Controls'!$N$9</f>
        <v>0</v>
      </c>
      <c r="H194" s="252">
        <f>'Cybersecurity Controls'!$O$9</f>
        <v>0</v>
      </c>
      <c r="I194" s="252">
        <f>'Cybersecurity Controls'!$P$9</f>
        <v>0</v>
      </c>
      <c r="J194" s="252">
        <f>'Cybersecurity Controls'!$Q$9</f>
        <v>0</v>
      </c>
      <c r="K194" t="s">
        <v>265</v>
      </c>
      <c r="L194" t="str">
        <f>IF(combinedMaturityTable[[#This Row],[Maturity Level]]="Baseline",LEFT(combinedMaturityTable[[#This Row],[DS]],FIND("(FFIEC ",combinedMaturityTable[[#This Row],[DS]])-1),"")</f>
        <v xml:space="preserve">Network perimeter defense tools (e.g., border router and firewall) are used. </v>
      </c>
      <c r="M194" s="293" t="str">
        <f>CLEAN(TRIM(SUBSTITUTE(LEFT(combinedMaturityTable[[#This Row],[DSm]],MIN(250,LEN(combinedMaturityTable[[#This Row],[DSm]]))),CHAR(160)," ")))</f>
        <v>Network perimeter defense tools (e.g., border router and firewall) are used.</v>
      </c>
    </row>
    <row r="195" spans="2:13" x14ac:dyDescent="0.25">
      <c r="B195" s="252" t="str">
        <f>'Cybersecurity Controls'!$M$10</f>
        <v>Cybersecurity Controls</v>
      </c>
      <c r="C195" s="252" t="str">
        <f>'Cybersecurity Controls'!$A$10</f>
        <v>Preventative Controls</v>
      </c>
      <c r="D195" s="252" t="str">
        <f>'Cybersecurity Controls'!$B$10</f>
        <v>Infrastructure Management</v>
      </c>
      <c r="E195" s="252" t="str">
        <f>'Cybersecurity Controls'!$C$10</f>
        <v>Baseline</v>
      </c>
      <c r="F195" s="252">
        <f>'Cybersecurity Controls'!$D$10</f>
        <v>0</v>
      </c>
      <c r="G195" s="252">
        <f>'Cybersecurity Controls'!$N$10</f>
        <v>0</v>
      </c>
      <c r="H195" s="252">
        <f>'Cybersecurity Controls'!$O$10</f>
        <v>0</v>
      </c>
      <c r="I195" s="252">
        <f>'Cybersecurity Controls'!$P$10</f>
        <v>0</v>
      </c>
      <c r="J195" s="252">
        <f>'Cybersecurity Controls'!$Q$10</f>
        <v>0</v>
      </c>
      <c r="K195" t="s">
        <v>266</v>
      </c>
      <c r="L195" t="str">
        <f>IF(combinedMaturityTable[[#This Row],[Maturity Level]]="Baseline",LEFT(combinedMaturityTable[[#This Row],[DS]],FIND("(FFIEC ",combinedMaturityTable[[#This Row],[DS]])-1),"")</f>
        <v xml:space="preserve">Systems that are accessed from the Internet or by external parties are protected by firewalls or other similar devices. </v>
      </c>
      <c r="M195" s="293" t="str">
        <f>CLEAN(TRIM(SUBSTITUTE(LEFT(combinedMaturityTable[[#This Row],[DSm]],MIN(250,LEN(combinedMaturityTable[[#This Row],[DSm]]))),CHAR(160)," ")))</f>
        <v>Systems that are accessed from the Internet or by external parties are protected by firewalls or other similar devices.</v>
      </c>
    </row>
    <row r="196" spans="2:13" x14ac:dyDescent="0.25">
      <c r="B196" s="252" t="str">
        <f>'Cybersecurity Controls'!$M$11</f>
        <v>Cybersecurity Controls</v>
      </c>
      <c r="C196" s="252" t="str">
        <f>'Cybersecurity Controls'!$A$11</f>
        <v>Preventative Controls</v>
      </c>
      <c r="D196" s="252" t="str">
        <f>'Cybersecurity Controls'!$B$11</f>
        <v>Infrastructure Management</v>
      </c>
      <c r="E196" s="252" t="str">
        <f>'Cybersecurity Controls'!$C$11</f>
        <v>Baseline</v>
      </c>
      <c r="F196" s="252">
        <f>'Cybersecurity Controls'!$D$11</f>
        <v>0</v>
      </c>
      <c r="G196" s="252">
        <f>'Cybersecurity Controls'!$N$11</f>
        <v>0</v>
      </c>
      <c r="H196" s="252">
        <f>'Cybersecurity Controls'!$O$11</f>
        <v>0</v>
      </c>
      <c r="I196" s="252">
        <f>'Cybersecurity Controls'!$P$11</f>
        <v>0</v>
      </c>
      <c r="J196" s="252">
        <f>'Cybersecurity Controls'!$Q$11</f>
        <v>0</v>
      </c>
      <c r="K196" t="s">
        <v>267</v>
      </c>
      <c r="L196" t="str">
        <f>IF(combinedMaturityTable[[#This Row],[Maturity Level]]="Baseline",LEFT(combinedMaturityTable[[#This Row],[DS]],FIND("(FFIEC ",combinedMaturityTable[[#This Row],[DS]])-1),"")</f>
        <v xml:space="preserve">All ports are monitored. </v>
      </c>
      <c r="M196" s="293" t="str">
        <f>CLEAN(TRIM(SUBSTITUTE(LEFT(combinedMaturityTable[[#This Row],[DSm]],MIN(250,LEN(combinedMaturityTable[[#This Row],[DSm]]))),CHAR(160)," ")))</f>
        <v>All ports are monitored.</v>
      </c>
    </row>
    <row r="197" spans="2:13" x14ac:dyDescent="0.25">
      <c r="B197" s="252" t="str">
        <f>'Cybersecurity Controls'!$M$12</f>
        <v>Cybersecurity Controls</v>
      </c>
      <c r="C197" s="252" t="str">
        <f>'Cybersecurity Controls'!$A$12</f>
        <v>Preventative Controls</v>
      </c>
      <c r="D197" s="252" t="str">
        <f>'Cybersecurity Controls'!$B$12</f>
        <v>Infrastructure Management</v>
      </c>
      <c r="E197" s="252" t="str">
        <f>'Cybersecurity Controls'!$C$12</f>
        <v>Baseline</v>
      </c>
      <c r="F197" s="252">
        <f>'Cybersecurity Controls'!$D$12</f>
        <v>0</v>
      </c>
      <c r="G197" s="252">
        <f>'Cybersecurity Controls'!$N$12</f>
        <v>0</v>
      </c>
      <c r="H197" s="252">
        <f>'Cybersecurity Controls'!$O$12</f>
        <v>0</v>
      </c>
      <c r="I197" s="252">
        <f>'Cybersecurity Controls'!$P$12</f>
        <v>0</v>
      </c>
      <c r="J197" s="252">
        <f>'Cybersecurity Controls'!$Q$12</f>
        <v>0</v>
      </c>
      <c r="K197" t="s">
        <v>268</v>
      </c>
      <c r="L197" t="str">
        <f>IF(combinedMaturityTable[[#This Row],[Maturity Level]]="Baseline",LEFT(combinedMaturityTable[[#This Row],[DS]],FIND("(FFIEC ",combinedMaturityTable[[#This Row],[DS]])-1),"")</f>
        <v xml:space="preserve">Up to date antivirus and anti-malware tools are used. </v>
      </c>
      <c r="M197" s="293" t="str">
        <f>CLEAN(TRIM(SUBSTITUTE(LEFT(combinedMaturityTable[[#This Row],[DSm]],MIN(250,LEN(combinedMaturityTable[[#This Row],[DSm]]))),CHAR(160)," ")))</f>
        <v>Up to date antivirus and anti-malware tools are used.</v>
      </c>
    </row>
    <row r="198" spans="2:13" x14ac:dyDescent="0.25">
      <c r="B198" s="252" t="str">
        <f>'Cybersecurity Controls'!$M$13</f>
        <v>Cybersecurity Controls</v>
      </c>
      <c r="C198" s="252" t="str">
        <f>'Cybersecurity Controls'!$A$13</f>
        <v>Preventative Controls</v>
      </c>
      <c r="D198" s="252" t="str">
        <f>'Cybersecurity Controls'!$B$13</f>
        <v>Infrastructure Management</v>
      </c>
      <c r="E198" s="252" t="str">
        <f>'Cybersecurity Controls'!$C$13</f>
        <v>Baseline</v>
      </c>
      <c r="F198" s="252">
        <f>'Cybersecurity Controls'!$D$13</f>
        <v>0</v>
      </c>
      <c r="G198" s="252">
        <f>'Cybersecurity Controls'!$N$13</f>
        <v>0</v>
      </c>
      <c r="H198" s="252">
        <f>'Cybersecurity Controls'!$O$13</f>
        <v>0</v>
      </c>
      <c r="I198" s="252">
        <f>'Cybersecurity Controls'!$P$13</f>
        <v>0</v>
      </c>
      <c r="J198" s="252">
        <f>'Cybersecurity Controls'!$Q$13</f>
        <v>0</v>
      </c>
      <c r="K198" t="s">
        <v>269</v>
      </c>
      <c r="L198" t="str">
        <f>IF(combinedMaturityTable[[#This Row],[Maturity Level]]="Baseline",LEFT(combinedMaturityTable[[#This Row],[DS]],FIND("(FFIEC ",combinedMaturityTable[[#This Row],[DS]])-1),"")</f>
        <v xml:space="preserve">Systems configurations (for servers, desktops, routers, etc.) follow industry standards and are enforced. </v>
      </c>
      <c r="M198" s="293" t="str">
        <f>CLEAN(TRIM(SUBSTITUTE(LEFT(combinedMaturityTable[[#This Row],[DSm]],MIN(250,LEN(combinedMaturityTable[[#This Row],[DSm]]))),CHAR(160)," ")))</f>
        <v>Systems configurations (for servers, desktops, routers, etc.) follow industry standards and are enforced.</v>
      </c>
    </row>
    <row r="199" spans="2:13" x14ac:dyDescent="0.25">
      <c r="B199" s="252" t="str">
        <f>'Cybersecurity Controls'!$M$14</f>
        <v>Cybersecurity Controls</v>
      </c>
      <c r="C199" s="252" t="str">
        <f>'Cybersecurity Controls'!$A$14</f>
        <v>Preventative Controls</v>
      </c>
      <c r="D199" s="252" t="str">
        <f>'Cybersecurity Controls'!$B$14</f>
        <v>Infrastructure Management</v>
      </c>
      <c r="E199" s="252" t="str">
        <f>'Cybersecurity Controls'!$C$14</f>
        <v>Baseline</v>
      </c>
      <c r="F199" s="252">
        <f>'Cybersecurity Controls'!$D$14</f>
        <v>0</v>
      </c>
      <c r="G199" s="252">
        <f>'Cybersecurity Controls'!$N$14</f>
        <v>0</v>
      </c>
      <c r="H199" s="252">
        <f>'Cybersecurity Controls'!$O$14</f>
        <v>0</v>
      </c>
      <c r="I199" s="252">
        <f>'Cybersecurity Controls'!$P$14</f>
        <v>0</v>
      </c>
      <c r="J199" s="252">
        <f>'Cybersecurity Controls'!$Q$14</f>
        <v>0</v>
      </c>
      <c r="K199" t="s">
        <v>270</v>
      </c>
      <c r="L199" t="str">
        <f>IF(combinedMaturityTable[[#This Row],[Maturity Level]]="Baseline",LEFT(combinedMaturityTable[[#This Row],[DS]],FIND("(FFIEC ",combinedMaturityTable[[#This Row],[DS]])-1),"")</f>
        <v xml:space="preserve">Ports, functions, protocols and services are prohibited if no longer needed for business purposes. </v>
      </c>
      <c r="M199" s="293" t="str">
        <f>CLEAN(TRIM(SUBSTITUTE(LEFT(combinedMaturityTable[[#This Row],[DSm]],MIN(250,LEN(combinedMaturityTable[[#This Row],[DSm]]))),CHAR(160)," ")))</f>
        <v>Ports, functions, protocols and services are prohibited if no longer needed for business purposes.</v>
      </c>
    </row>
    <row r="200" spans="2:13" x14ac:dyDescent="0.25">
      <c r="B200" s="252" t="str">
        <f>'Cybersecurity Controls'!$M$15</f>
        <v>Cybersecurity Controls</v>
      </c>
      <c r="C200" s="252" t="str">
        <f>'Cybersecurity Controls'!$A$15</f>
        <v>Preventative Controls</v>
      </c>
      <c r="D200" s="252" t="str">
        <f>'Cybersecurity Controls'!$B$15</f>
        <v>Infrastructure Management</v>
      </c>
      <c r="E200" s="252" t="str">
        <f>'Cybersecurity Controls'!$C$15</f>
        <v>Baseline</v>
      </c>
      <c r="F200" s="252">
        <f>'Cybersecurity Controls'!$D$15</f>
        <v>0</v>
      </c>
      <c r="G200" s="252">
        <f>'Cybersecurity Controls'!$N$15</f>
        <v>0</v>
      </c>
      <c r="H200" s="252">
        <f>'Cybersecurity Controls'!$O$15</f>
        <v>0</v>
      </c>
      <c r="I200" s="252">
        <f>'Cybersecurity Controls'!$P$15</f>
        <v>0</v>
      </c>
      <c r="J200" s="252">
        <f>'Cybersecurity Controls'!$Q$15</f>
        <v>0</v>
      </c>
      <c r="K200" t="s">
        <v>271</v>
      </c>
      <c r="L200" t="str">
        <f>IF(combinedMaturityTable[[#This Row],[Maturity Level]]="Baseline",LEFT(combinedMaturityTable[[#This Row],[DS]],FIND("(FFIEC ",combinedMaturityTable[[#This Row],[DS]])-1),"")</f>
        <v xml:space="preserve">Access to make changes to systems configurations (including virtual machines and hypervisors) is controlled and monitored. </v>
      </c>
      <c r="M200" s="293" t="str">
        <f>CLEAN(TRIM(SUBSTITUTE(LEFT(combinedMaturityTable[[#This Row],[DSm]],MIN(250,LEN(combinedMaturityTable[[#This Row],[DSm]]))),CHAR(160)," ")))</f>
        <v>Access to make changes to systems configurations (including virtual machines and hypervisors) is controlled and monitored.</v>
      </c>
    </row>
    <row r="201" spans="2:13" x14ac:dyDescent="0.25">
      <c r="B201" s="252" t="str">
        <f>'Cybersecurity Controls'!$M$16</f>
        <v>Cybersecurity Controls</v>
      </c>
      <c r="C201" s="252" t="str">
        <f>'Cybersecurity Controls'!$A$16</f>
        <v>Preventative Controls</v>
      </c>
      <c r="D201" s="252" t="str">
        <f>'Cybersecurity Controls'!$B$16</f>
        <v>Infrastructure Management</v>
      </c>
      <c r="E201" s="252" t="str">
        <f>'Cybersecurity Controls'!$C$16</f>
        <v>Baseline</v>
      </c>
      <c r="F201" s="252">
        <f>'Cybersecurity Controls'!$D$16</f>
        <v>0</v>
      </c>
      <c r="G201" s="252">
        <f>'Cybersecurity Controls'!$N$16</f>
        <v>0</v>
      </c>
      <c r="H201" s="252">
        <f>'Cybersecurity Controls'!$O$16</f>
        <v>0</v>
      </c>
      <c r="I201" s="252">
        <f>'Cybersecurity Controls'!$P$16</f>
        <v>0</v>
      </c>
      <c r="J201" s="252">
        <f>'Cybersecurity Controls'!$Q$16</f>
        <v>0</v>
      </c>
      <c r="K201" t="s">
        <v>272</v>
      </c>
      <c r="L201" t="str">
        <f>IF(combinedMaturityTable[[#This Row],[Maturity Level]]="Baseline",LEFT(combinedMaturityTable[[#This Row],[DS]],FIND("(FFIEC ",combinedMaturityTable[[#This Row],[DS]])-1),"")</f>
        <v xml:space="preserve">Programs that can override system, object, network, virtual machine, and application controls are restricted. </v>
      </c>
      <c r="M201" s="293" t="str">
        <f>CLEAN(TRIM(SUBSTITUTE(LEFT(combinedMaturityTable[[#This Row],[DSm]],MIN(250,LEN(combinedMaturityTable[[#This Row],[DSm]]))),CHAR(160)," ")))</f>
        <v>Programs that can override system, object, network, virtual machine, and application controls are restricted.</v>
      </c>
    </row>
    <row r="202" spans="2:13" x14ac:dyDescent="0.25">
      <c r="B202" s="252" t="str">
        <f>'Cybersecurity Controls'!$M$17</f>
        <v>Cybersecurity Controls</v>
      </c>
      <c r="C202" s="252" t="str">
        <f>'Cybersecurity Controls'!$A$17</f>
        <v>Preventative Controls</v>
      </c>
      <c r="D202" s="252" t="str">
        <f>'Cybersecurity Controls'!$B$17</f>
        <v>Infrastructure Management</v>
      </c>
      <c r="E202" s="252" t="str">
        <f>'Cybersecurity Controls'!$C$17</f>
        <v>Baseline</v>
      </c>
      <c r="F202" s="252">
        <f>'Cybersecurity Controls'!$D$17</f>
        <v>0</v>
      </c>
      <c r="G202" s="252">
        <f>'Cybersecurity Controls'!$N$17</f>
        <v>0</v>
      </c>
      <c r="H202" s="252">
        <f>'Cybersecurity Controls'!$O$17</f>
        <v>0</v>
      </c>
      <c r="I202" s="252">
        <f>'Cybersecurity Controls'!$P$17</f>
        <v>0</v>
      </c>
      <c r="J202" s="252">
        <f>'Cybersecurity Controls'!$Q$17</f>
        <v>0</v>
      </c>
      <c r="K202" t="s">
        <v>273</v>
      </c>
      <c r="L202" t="str">
        <f>IF(combinedMaturityTable[[#This Row],[Maturity Level]]="Baseline",LEFT(combinedMaturityTable[[#This Row],[DS]],FIND("(FFIEC ",combinedMaturityTable[[#This Row],[DS]])-1),"")</f>
        <v xml:space="preserve">System sessions are locked after a pre-defined period of inactivity and are terminated after pre-defined conditions are met. </v>
      </c>
      <c r="M202" s="293" t="str">
        <f>CLEAN(TRIM(SUBSTITUTE(LEFT(combinedMaturityTable[[#This Row],[DSm]],MIN(250,LEN(combinedMaturityTable[[#This Row],[DSm]]))),CHAR(160)," ")))</f>
        <v>System sessions are locked after a pre-defined period of inactivity and are terminated after pre-defined conditions are met.</v>
      </c>
    </row>
    <row r="203" spans="2:13" x14ac:dyDescent="0.25">
      <c r="B203" s="252" t="str">
        <f>'Cybersecurity Controls'!$M$18</f>
        <v>Cybersecurity Controls</v>
      </c>
      <c r="C203" s="252" t="str">
        <f>'Cybersecurity Controls'!$A$18</f>
        <v>Preventative Controls</v>
      </c>
      <c r="D203" s="252" t="str">
        <f>'Cybersecurity Controls'!$B$18</f>
        <v>Infrastructure Management</v>
      </c>
      <c r="E203" s="252" t="str">
        <f>'Cybersecurity Controls'!$C$18</f>
        <v>Baseline</v>
      </c>
      <c r="F203" s="252">
        <f>'Cybersecurity Controls'!$D$18</f>
        <v>0</v>
      </c>
      <c r="G203" s="252">
        <f>'Cybersecurity Controls'!$N$18</f>
        <v>0</v>
      </c>
      <c r="H203" s="252">
        <f>'Cybersecurity Controls'!$O$18</f>
        <v>0</v>
      </c>
      <c r="I203" s="252">
        <f>'Cybersecurity Controls'!$P$18</f>
        <v>0</v>
      </c>
      <c r="J203" s="252">
        <f>'Cybersecurity Controls'!$Q$18</f>
        <v>0</v>
      </c>
      <c r="K203" t="s">
        <v>274</v>
      </c>
      <c r="L203" t="str">
        <f>IF(combinedMaturityTable[[#This Row],[Maturity Level]]="Baseline",LEFT(combinedMaturityTable[[#This Row],[DS]],FIND("(FFIEC ",combinedMaturityTable[[#This Row],[DS]])-1),"")</f>
        <v xml:space="preserve">Wireless network environments require security settings with strong encryption for authentication and transmission. (*N/A if there are no wireless networks.) </v>
      </c>
      <c r="M203" s="293" t="str">
        <f>CLEAN(TRIM(SUBSTITUTE(LEFT(combinedMaturityTable[[#This Row],[DSm]],MIN(250,LEN(combinedMaturityTable[[#This Row],[DSm]]))),CHAR(160)," ")))</f>
        <v>Wireless network environments require security settings with strong encryption for authentication and transmission. (*N/A if there are no wireless networks.)</v>
      </c>
    </row>
    <row r="204" spans="2:13" hidden="1" x14ac:dyDescent="0.25">
      <c r="B204" s="252" t="str">
        <f>'Cybersecurity Controls'!$M$19</f>
        <v>Cybersecurity Controls</v>
      </c>
      <c r="C204" s="252" t="str">
        <f>'Cybersecurity Controls'!$A$19</f>
        <v>Preventative Controls</v>
      </c>
      <c r="D204" s="252" t="str">
        <f>'Cybersecurity Controls'!$B$19</f>
        <v>Infrastructure Management</v>
      </c>
      <c r="E204" s="252" t="str">
        <f>'Cybersecurity Controls'!$C$19</f>
        <v>Evolving</v>
      </c>
      <c r="F204" s="252">
        <f>'Cybersecurity Controls'!$D$19</f>
        <v>0</v>
      </c>
      <c r="G204" s="252">
        <f>'Cybersecurity Controls'!$N$19</f>
        <v>0</v>
      </c>
      <c r="H204" s="252">
        <f>'Cybersecurity Controls'!$O$19</f>
        <v>0</v>
      </c>
      <c r="I204" s="252">
        <f>'Cybersecurity Controls'!$P$19</f>
        <v>0</v>
      </c>
      <c r="J204" s="252">
        <f>'Cybersecurity Controls'!$Q$19</f>
        <v>0</v>
      </c>
      <c r="K204" t="s">
        <v>275</v>
      </c>
      <c r="L204" t="str">
        <f>IF(combinedMaturityTable[[#This Row],[Maturity Level]]="Baseline",LEFT(combinedMaturityTable[[#This Row],[DS]],FIND("(FFIEC ",combinedMaturityTable[[#This Row],[DS]])-1),"")</f>
        <v/>
      </c>
      <c r="M204" s="293" t="str">
        <f>CLEAN(TRIM(SUBSTITUTE(LEFT(combinedMaturityTable[[#This Row],[DSm]],MIN(250,LEN(combinedMaturityTable[[#This Row],[DSm]]))),CHAR(160)," ")))</f>
        <v/>
      </c>
    </row>
    <row r="205" spans="2:13" hidden="1" x14ac:dyDescent="0.25">
      <c r="B205" s="252" t="str">
        <f>'Cybersecurity Controls'!$M$20</f>
        <v>Cybersecurity Controls</v>
      </c>
      <c r="C205" s="252" t="str">
        <f>'Cybersecurity Controls'!$A$20</f>
        <v>Preventative Controls</v>
      </c>
      <c r="D205" s="252" t="str">
        <f>'Cybersecurity Controls'!$B$20</f>
        <v>Infrastructure Management</v>
      </c>
      <c r="E205" s="252" t="str">
        <f>'Cybersecurity Controls'!$C$20</f>
        <v>Evolving</v>
      </c>
      <c r="F205" s="252">
        <f>'Cybersecurity Controls'!$D$20</f>
        <v>0</v>
      </c>
      <c r="G205" s="252">
        <f>'Cybersecurity Controls'!$N$20</f>
        <v>0</v>
      </c>
      <c r="H205" s="252">
        <f>'Cybersecurity Controls'!$O$20</f>
        <v>0</v>
      </c>
      <c r="I205" s="252">
        <f>'Cybersecurity Controls'!$P$20</f>
        <v>0</v>
      </c>
      <c r="J205" s="252">
        <f>'Cybersecurity Controls'!$Q$20</f>
        <v>0</v>
      </c>
      <c r="K205" t="s">
        <v>276</v>
      </c>
      <c r="L205" t="str">
        <f>IF(combinedMaturityTable[[#This Row],[Maturity Level]]="Baseline",LEFT(combinedMaturityTable[[#This Row],[DS]],FIND("(FFIEC ",combinedMaturityTable[[#This Row],[DS]])-1),"")</f>
        <v/>
      </c>
      <c r="M205" s="293" t="str">
        <f>CLEAN(TRIM(SUBSTITUTE(LEFT(combinedMaturityTable[[#This Row],[DSm]],MIN(250,LEN(combinedMaturityTable[[#This Row],[DSm]]))),CHAR(160)," ")))</f>
        <v/>
      </c>
    </row>
    <row r="206" spans="2:13" hidden="1" x14ac:dyDescent="0.25">
      <c r="B206" s="252" t="str">
        <f>'Cybersecurity Controls'!$M$21</f>
        <v>Cybersecurity Controls</v>
      </c>
      <c r="C206" s="252" t="str">
        <f>'Cybersecurity Controls'!$A$21</f>
        <v>Preventative Controls</v>
      </c>
      <c r="D206" s="252" t="str">
        <f>'Cybersecurity Controls'!$B$21</f>
        <v>Infrastructure Management</v>
      </c>
      <c r="E206" s="252" t="str">
        <f>'Cybersecurity Controls'!$C$21</f>
        <v>Evolving</v>
      </c>
      <c r="F206" s="252">
        <f>'Cybersecurity Controls'!$D$21</f>
        <v>0</v>
      </c>
      <c r="G206" s="252">
        <f>'Cybersecurity Controls'!$N$21</f>
        <v>0</v>
      </c>
      <c r="H206" s="252">
        <f>'Cybersecurity Controls'!$O$21</f>
        <v>0</v>
      </c>
      <c r="I206" s="252">
        <f>'Cybersecurity Controls'!$P$21</f>
        <v>0</v>
      </c>
      <c r="J206" s="252">
        <f>'Cybersecurity Controls'!$Q$21</f>
        <v>0</v>
      </c>
      <c r="K206" t="s">
        <v>277</v>
      </c>
      <c r="L206" t="str">
        <f>IF(combinedMaturityTable[[#This Row],[Maturity Level]]="Baseline",LEFT(combinedMaturityTable[[#This Row],[DS]],FIND("(FFIEC ",combinedMaturityTable[[#This Row],[DS]])-1),"")</f>
        <v/>
      </c>
      <c r="M206" s="293" t="str">
        <f>CLEAN(TRIM(SUBSTITUTE(LEFT(combinedMaturityTable[[#This Row],[DSm]],MIN(250,LEN(combinedMaturityTable[[#This Row],[DSm]]))),CHAR(160)," ")))</f>
        <v/>
      </c>
    </row>
    <row r="207" spans="2:13" hidden="1" x14ac:dyDescent="0.25">
      <c r="B207" s="252" t="str">
        <f>'Cybersecurity Controls'!$M$22</f>
        <v>Cybersecurity Controls</v>
      </c>
      <c r="C207" s="252" t="str">
        <f>'Cybersecurity Controls'!$A$22</f>
        <v>Preventative Controls</v>
      </c>
      <c r="D207" s="252" t="str">
        <f>'Cybersecurity Controls'!$B$22</f>
        <v>Infrastructure Management</v>
      </c>
      <c r="E207" s="252" t="str">
        <f>'Cybersecurity Controls'!$C$22</f>
        <v>Evolving</v>
      </c>
      <c r="F207" s="252">
        <f>'Cybersecurity Controls'!$D$22</f>
        <v>0</v>
      </c>
      <c r="G207" s="252">
        <f>'Cybersecurity Controls'!$N$22</f>
        <v>0</v>
      </c>
      <c r="H207" s="252">
        <f>'Cybersecurity Controls'!$O$22</f>
        <v>0</v>
      </c>
      <c r="I207" s="252">
        <f>'Cybersecurity Controls'!$P$22</f>
        <v>0</v>
      </c>
      <c r="J207" s="252">
        <f>'Cybersecurity Controls'!$Q$22</f>
        <v>0</v>
      </c>
      <c r="K207" t="s">
        <v>278</v>
      </c>
      <c r="L207" t="str">
        <f>IF(combinedMaturityTable[[#This Row],[Maturity Level]]="Baseline",LEFT(combinedMaturityTable[[#This Row],[DS]],FIND("(FFIEC ",combinedMaturityTable[[#This Row],[DS]])-1),"")</f>
        <v/>
      </c>
      <c r="M207" s="293" t="str">
        <f>CLEAN(TRIM(SUBSTITUTE(LEFT(combinedMaturityTable[[#This Row],[DSm]],MIN(250,LEN(combinedMaturityTable[[#This Row],[DSm]]))),CHAR(160)," ")))</f>
        <v/>
      </c>
    </row>
    <row r="208" spans="2:13" hidden="1" x14ac:dyDescent="0.25">
      <c r="B208" s="252" t="str">
        <f>'Cybersecurity Controls'!$M$23</f>
        <v>Cybersecurity Controls</v>
      </c>
      <c r="C208" s="252" t="str">
        <f>'Cybersecurity Controls'!$A$23</f>
        <v>Preventative Controls</v>
      </c>
      <c r="D208" s="252" t="str">
        <f>'Cybersecurity Controls'!$B$23</f>
        <v>Infrastructure Management</v>
      </c>
      <c r="E208" s="252" t="str">
        <f>'Cybersecurity Controls'!$C$23</f>
        <v>Evolving</v>
      </c>
      <c r="F208" s="252">
        <f>'Cybersecurity Controls'!$D$23</f>
        <v>0</v>
      </c>
      <c r="G208" s="252">
        <f>'Cybersecurity Controls'!$N$23</f>
        <v>0</v>
      </c>
      <c r="H208" s="252">
        <f>'Cybersecurity Controls'!$O$23</f>
        <v>0</v>
      </c>
      <c r="I208" s="252">
        <f>'Cybersecurity Controls'!$P$23</f>
        <v>0</v>
      </c>
      <c r="J208" s="252">
        <f>'Cybersecurity Controls'!$Q$23</f>
        <v>0</v>
      </c>
      <c r="K208" t="s">
        <v>279</v>
      </c>
      <c r="L208" t="str">
        <f>IF(combinedMaturityTable[[#This Row],[Maturity Level]]="Baseline",LEFT(combinedMaturityTable[[#This Row],[DS]],FIND("(FFIEC ",combinedMaturityTable[[#This Row],[DS]])-1),"")</f>
        <v/>
      </c>
      <c r="M208" s="293" t="str">
        <f>CLEAN(TRIM(SUBSTITUTE(LEFT(combinedMaturityTable[[#This Row],[DSm]],MIN(250,LEN(combinedMaturityTable[[#This Row],[DSm]]))),CHAR(160)," ")))</f>
        <v/>
      </c>
    </row>
    <row r="209" spans="2:13" hidden="1" x14ac:dyDescent="0.25">
      <c r="B209" s="252" t="str">
        <f>'Cybersecurity Controls'!$M$24</f>
        <v>Cybersecurity Controls</v>
      </c>
      <c r="C209" s="252" t="str">
        <f>'Cybersecurity Controls'!$A$24</f>
        <v>Preventative Controls</v>
      </c>
      <c r="D209" s="252" t="str">
        <f>'Cybersecurity Controls'!$B$24</f>
        <v>Infrastructure Management</v>
      </c>
      <c r="E209" s="252" t="str">
        <f>'Cybersecurity Controls'!$C$24</f>
        <v>Evolving</v>
      </c>
      <c r="F209" s="252">
        <f>'Cybersecurity Controls'!$D$24</f>
        <v>0</v>
      </c>
      <c r="G209" s="252">
        <f>'Cybersecurity Controls'!$N$24</f>
        <v>0</v>
      </c>
      <c r="H209" s="252">
        <f>'Cybersecurity Controls'!$O$24</f>
        <v>0</v>
      </c>
      <c r="I209" s="252">
        <f>'Cybersecurity Controls'!$P$24</f>
        <v>0</v>
      </c>
      <c r="J209" s="252">
        <f>'Cybersecurity Controls'!$Q$24</f>
        <v>0</v>
      </c>
      <c r="K209" t="s">
        <v>280</v>
      </c>
      <c r="L209" t="str">
        <f>IF(combinedMaturityTable[[#This Row],[Maturity Level]]="Baseline",LEFT(combinedMaturityTable[[#This Row],[DS]],FIND("(FFIEC ",combinedMaturityTable[[#This Row],[DS]])-1),"")</f>
        <v/>
      </c>
      <c r="M209" s="293" t="str">
        <f>CLEAN(TRIM(SUBSTITUTE(LEFT(combinedMaturityTable[[#This Row],[DSm]],MIN(250,LEN(combinedMaturityTable[[#This Row],[DSm]]))),CHAR(160)," ")))</f>
        <v/>
      </c>
    </row>
    <row r="210" spans="2:13" hidden="1" x14ac:dyDescent="0.25">
      <c r="B210" s="252" t="str">
        <f>'Cybersecurity Controls'!$M$25</f>
        <v>Cybersecurity Controls</v>
      </c>
      <c r="C210" s="252" t="str">
        <f>'Cybersecurity Controls'!$A$25</f>
        <v>Preventative Controls</v>
      </c>
      <c r="D210" s="252" t="str">
        <f>'Cybersecurity Controls'!$B$25</f>
        <v>Infrastructure Management</v>
      </c>
      <c r="E210" s="252" t="str">
        <f>'Cybersecurity Controls'!$C$25</f>
        <v>Evolving</v>
      </c>
      <c r="F210" s="252">
        <f>'Cybersecurity Controls'!$D$25</f>
        <v>0</v>
      </c>
      <c r="G210" s="252">
        <f>'Cybersecurity Controls'!$N$25</f>
        <v>0</v>
      </c>
      <c r="H210" s="252">
        <f>'Cybersecurity Controls'!$O$25</f>
        <v>0</v>
      </c>
      <c r="I210" s="252">
        <f>'Cybersecurity Controls'!$P$25</f>
        <v>0</v>
      </c>
      <c r="J210" s="252">
        <f>'Cybersecurity Controls'!$Q$25</f>
        <v>0</v>
      </c>
      <c r="K210" t="s">
        <v>281</v>
      </c>
      <c r="L210" t="str">
        <f>IF(combinedMaturityTable[[#This Row],[Maturity Level]]="Baseline",LEFT(combinedMaturityTable[[#This Row],[DS]],FIND("(FFIEC ",combinedMaturityTable[[#This Row],[DS]])-1),"")</f>
        <v/>
      </c>
      <c r="M210" s="293" t="str">
        <f>CLEAN(TRIM(SUBSTITUTE(LEFT(combinedMaturityTable[[#This Row],[DSm]],MIN(250,LEN(combinedMaturityTable[[#This Row],[DSm]]))),CHAR(160)," ")))</f>
        <v/>
      </c>
    </row>
    <row r="211" spans="2:13" hidden="1" x14ac:dyDescent="0.25">
      <c r="B211" s="252" t="str">
        <f>'Cybersecurity Controls'!$M$26</f>
        <v>Cybersecurity Controls</v>
      </c>
      <c r="C211" s="252" t="str">
        <f>'Cybersecurity Controls'!$A$26</f>
        <v>Preventative Controls</v>
      </c>
      <c r="D211" s="252" t="str">
        <f>'Cybersecurity Controls'!$B$26</f>
        <v>Infrastructure Management</v>
      </c>
      <c r="E211" s="252" t="str">
        <f>'Cybersecurity Controls'!$C$26</f>
        <v>Evolving</v>
      </c>
      <c r="F211" s="252">
        <f>'Cybersecurity Controls'!$D$26</f>
        <v>0</v>
      </c>
      <c r="G211" s="252">
        <f>'Cybersecurity Controls'!$N$26</f>
        <v>0</v>
      </c>
      <c r="H211" s="252">
        <f>'Cybersecurity Controls'!$O$26</f>
        <v>0</v>
      </c>
      <c r="I211" s="252">
        <f>'Cybersecurity Controls'!$P$26</f>
        <v>0</v>
      </c>
      <c r="J211" s="252">
        <f>'Cybersecurity Controls'!$Q$26</f>
        <v>0</v>
      </c>
      <c r="K211" t="s">
        <v>282</v>
      </c>
      <c r="L211" t="str">
        <f>IF(combinedMaturityTable[[#This Row],[Maturity Level]]="Baseline",LEFT(combinedMaturityTable[[#This Row],[DS]],FIND("(FFIEC ",combinedMaturityTable[[#This Row],[DS]])-1),"")</f>
        <v/>
      </c>
      <c r="M211" s="293" t="str">
        <f>CLEAN(TRIM(SUBSTITUTE(LEFT(combinedMaturityTable[[#This Row],[DSm]],MIN(250,LEN(combinedMaturityTable[[#This Row],[DSm]]))),CHAR(160)," ")))</f>
        <v/>
      </c>
    </row>
    <row r="212" spans="2:13" hidden="1" x14ac:dyDescent="0.25">
      <c r="B212" s="252" t="str">
        <f>'Cybersecurity Controls'!$M$27</f>
        <v>Cybersecurity Controls</v>
      </c>
      <c r="C212" s="252" t="str">
        <f>'Cybersecurity Controls'!$A$27</f>
        <v>Preventative Controls</v>
      </c>
      <c r="D212" s="252" t="str">
        <f>'Cybersecurity Controls'!$B$27</f>
        <v>Infrastructure Management</v>
      </c>
      <c r="E212" s="252" t="str">
        <f>'Cybersecurity Controls'!$C$27</f>
        <v>Intermediate</v>
      </c>
      <c r="F212" s="252">
        <f>'Cybersecurity Controls'!$D$27</f>
        <v>0</v>
      </c>
      <c r="G212" s="252">
        <f>'Cybersecurity Controls'!$N$27</f>
        <v>0</v>
      </c>
      <c r="H212" s="252">
        <f>'Cybersecurity Controls'!$O$27</f>
        <v>0</v>
      </c>
      <c r="I212" s="252">
        <f>'Cybersecurity Controls'!$P$27</f>
        <v>0</v>
      </c>
      <c r="J212" s="252">
        <f>'Cybersecurity Controls'!$Q$27</f>
        <v>0</v>
      </c>
      <c r="K212" t="s">
        <v>283</v>
      </c>
      <c r="L212" t="str">
        <f>IF(combinedMaturityTable[[#This Row],[Maturity Level]]="Baseline",LEFT(combinedMaturityTable[[#This Row],[DS]],FIND("(FFIEC ",combinedMaturityTable[[#This Row],[DS]])-1),"")</f>
        <v/>
      </c>
      <c r="M212" s="293" t="str">
        <f>CLEAN(TRIM(SUBSTITUTE(LEFT(combinedMaturityTable[[#This Row],[DSm]],MIN(250,LEN(combinedMaturityTable[[#This Row],[DSm]]))),CHAR(160)," ")))</f>
        <v/>
      </c>
    </row>
    <row r="213" spans="2:13" hidden="1" x14ac:dyDescent="0.25">
      <c r="B213" s="252" t="str">
        <f>'Cybersecurity Controls'!$M$28</f>
        <v>Cybersecurity Controls</v>
      </c>
      <c r="C213" s="252" t="str">
        <f>'Cybersecurity Controls'!$A$28</f>
        <v>Preventative Controls</v>
      </c>
      <c r="D213" s="252" t="str">
        <f>'Cybersecurity Controls'!$B$28</f>
        <v>Infrastructure Management</v>
      </c>
      <c r="E213" s="252" t="str">
        <f>'Cybersecurity Controls'!$C$28</f>
        <v>Intermediate</v>
      </c>
      <c r="F213" s="252">
        <f>'Cybersecurity Controls'!$D$28</f>
        <v>0</v>
      </c>
      <c r="G213" s="252">
        <f>'Cybersecurity Controls'!$N$28</f>
        <v>0</v>
      </c>
      <c r="H213" s="252">
        <f>'Cybersecurity Controls'!$O$28</f>
        <v>0</v>
      </c>
      <c r="I213" s="252">
        <f>'Cybersecurity Controls'!$P$28</f>
        <v>0</v>
      </c>
      <c r="J213" s="252">
        <f>'Cybersecurity Controls'!$Q$28</f>
        <v>0</v>
      </c>
      <c r="K213" t="s">
        <v>284</v>
      </c>
      <c r="L213" t="str">
        <f>IF(combinedMaturityTable[[#This Row],[Maturity Level]]="Baseline",LEFT(combinedMaturityTable[[#This Row],[DS]],FIND("(FFIEC ",combinedMaturityTable[[#This Row],[DS]])-1),"")</f>
        <v/>
      </c>
      <c r="M213" s="293" t="str">
        <f>CLEAN(TRIM(SUBSTITUTE(LEFT(combinedMaturityTable[[#This Row],[DSm]],MIN(250,LEN(combinedMaturityTable[[#This Row],[DSm]]))),CHAR(160)," ")))</f>
        <v/>
      </c>
    </row>
    <row r="214" spans="2:13" hidden="1" x14ac:dyDescent="0.25">
      <c r="B214" s="252" t="str">
        <f>'Cybersecurity Controls'!$M$29</f>
        <v>Cybersecurity Controls</v>
      </c>
      <c r="C214" s="252" t="str">
        <f>'Cybersecurity Controls'!$A$29</f>
        <v>Preventative Controls</v>
      </c>
      <c r="D214" s="252" t="str">
        <f>'Cybersecurity Controls'!$B$29</f>
        <v>Infrastructure Management</v>
      </c>
      <c r="E214" s="252" t="str">
        <f>'Cybersecurity Controls'!$C$29</f>
        <v>Intermediate</v>
      </c>
      <c r="F214" s="252">
        <f>'Cybersecurity Controls'!$D$29</f>
        <v>0</v>
      </c>
      <c r="G214" s="252">
        <f>'Cybersecurity Controls'!$N$29</f>
        <v>0</v>
      </c>
      <c r="H214" s="252">
        <f>'Cybersecurity Controls'!$O$29</f>
        <v>0</v>
      </c>
      <c r="I214" s="252">
        <f>'Cybersecurity Controls'!$P$29</f>
        <v>0</v>
      </c>
      <c r="J214" s="252">
        <f>'Cybersecurity Controls'!$Q$29</f>
        <v>0</v>
      </c>
      <c r="K214" t="s">
        <v>285</v>
      </c>
      <c r="L214" t="str">
        <f>IF(combinedMaturityTable[[#This Row],[Maturity Level]]="Baseline",LEFT(combinedMaturityTable[[#This Row],[DS]],FIND("(FFIEC ",combinedMaturityTable[[#This Row],[DS]])-1),"")</f>
        <v/>
      </c>
      <c r="M214" s="293" t="str">
        <f>CLEAN(TRIM(SUBSTITUTE(LEFT(combinedMaturityTable[[#This Row],[DSm]],MIN(250,LEN(combinedMaturityTable[[#This Row],[DSm]]))),CHAR(160)," ")))</f>
        <v/>
      </c>
    </row>
    <row r="215" spans="2:13" hidden="1" x14ac:dyDescent="0.25">
      <c r="B215" s="252" t="str">
        <f>'Cybersecurity Controls'!$M$30</f>
        <v>Cybersecurity Controls</v>
      </c>
      <c r="C215" s="252" t="str">
        <f>'Cybersecurity Controls'!$A$30</f>
        <v>Preventative Controls</v>
      </c>
      <c r="D215" s="252" t="str">
        <f>'Cybersecurity Controls'!$B$30</f>
        <v>Infrastructure Management</v>
      </c>
      <c r="E215" s="252" t="str">
        <f>'Cybersecurity Controls'!$C$30</f>
        <v>Intermediate</v>
      </c>
      <c r="F215" s="252">
        <f>'Cybersecurity Controls'!$D$30</f>
        <v>0</v>
      </c>
      <c r="G215" s="252">
        <f>'Cybersecurity Controls'!$N$30</f>
        <v>0</v>
      </c>
      <c r="H215" s="252">
        <f>'Cybersecurity Controls'!$O$30</f>
        <v>0</v>
      </c>
      <c r="I215" s="252">
        <f>'Cybersecurity Controls'!$P$30</f>
        <v>0</v>
      </c>
      <c r="J215" s="252">
        <f>'Cybersecurity Controls'!$Q$30</f>
        <v>0</v>
      </c>
      <c r="K215" t="s">
        <v>286</v>
      </c>
      <c r="L215" t="str">
        <f>IF(combinedMaturityTable[[#This Row],[Maturity Level]]="Baseline",LEFT(combinedMaturityTable[[#This Row],[DS]],FIND("(FFIEC ",combinedMaturityTable[[#This Row],[DS]])-1),"")</f>
        <v/>
      </c>
      <c r="M215" s="293" t="str">
        <f>CLEAN(TRIM(SUBSTITUTE(LEFT(combinedMaturityTable[[#This Row],[DSm]],MIN(250,LEN(combinedMaturityTable[[#This Row],[DSm]]))),CHAR(160)," ")))</f>
        <v/>
      </c>
    </row>
    <row r="216" spans="2:13" hidden="1" x14ac:dyDescent="0.25">
      <c r="B216" s="252" t="str">
        <f>'Cybersecurity Controls'!$M$31</f>
        <v>Cybersecurity Controls</v>
      </c>
      <c r="C216" s="252" t="str">
        <f>'Cybersecurity Controls'!$A$31</f>
        <v>Preventative Controls</v>
      </c>
      <c r="D216" s="252" t="str">
        <f>'Cybersecurity Controls'!$B$31</f>
        <v>Infrastructure Management</v>
      </c>
      <c r="E216" s="252" t="str">
        <f>'Cybersecurity Controls'!$C$31</f>
        <v>Intermediate</v>
      </c>
      <c r="F216" s="252">
        <f>'Cybersecurity Controls'!$D$31</f>
        <v>0</v>
      </c>
      <c r="G216" s="252">
        <f>'Cybersecurity Controls'!$N$31</f>
        <v>0</v>
      </c>
      <c r="H216" s="252">
        <f>'Cybersecurity Controls'!$O$31</f>
        <v>0</v>
      </c>
      <c r="I216" s="252">
        <f>'Cybersecurity Controls'!$P$31</f>
        <v>0</v>
      </c>
      <c r="J216" s="252">
        <f>'Cybersecurity Controls'!$Q$31</f>
        <v>0</v>
      </c>
      <c r="K216" t="s">
        <v>287</v>
      </c>
      <c r="L216" t="str">
        <f>IF(combinedMaturityTable[[#This Row],[Maturity Level]]="Baseline",LEFT(combinedMaturityTable[[#This Row],[DS]],FIND("(FFIEC ",combinedMaturityTable[[#This Row],[DS]])-1),"")</f>
        <v/>
      </c>
      <c r="M216" s="293" t="str">
        <f>CLEAN(TRIM(SUBSTITUTE(LEFT(combinedMaturityTable[[#This Row],[DSm]],MIN(250,LEN(combinedMaturityTable[[#This Row],[DSm]]))),CHAR(160)," ")))</f>
        <v/>
      </c>
    </row>
    <row r="217" spans="2:13" hidden="1" x14ac:dyDescent="0.25">
      <c r="B217" s="252" t="str">
        <f>'Cybersecurity Controls'!$M$32</f>
        <v>Cybersecurity Controls</v>
      </c>
      <c r="C217" s="252" t="str">
        <f>'Cybersecurity Controls'!$A$32</f>
        <v>Preventative Controls</v>
      </c>
      <c r="D217" s="252" t="str">
        <f>'Cybersecurity Controls'!$B$32</f>
        <v>Infrastructure Management</v>
      </c>
      <c r="E217" s="252" t="str">
        <f>'Cybersecurity Controls'!$C$32</f>
        <v>Intermediate</v>
      </c>
      <c r="F217" s="252">
        <f>'Cybersecurity Controls'!$D$32</f>
        <v>0</v>
      </c>
      <c r="G217" s="252">
        <f>'Cybersecurity Controls'!$N$32</f>
        <v>0</v>
      </c>
      <c r="H217" s="252">
        <f>'Cybersecurity Controls'!$O$32</f>
        <v>0</v>
      </c>
      <c r="I217" s="252">
        <f>'Cybersecurity Controls'!$P$32</f>
        <v>0</v>
      </c>
      <c r="J217" s="252">
        <f>'Cybersecurity Controls'!$Q$32</f>
        <v>0</v>
      </c>
      <c r="K217" t="s">
        <v>288</v>
      </c>
      <c r="L217" t="str">
        <f>IF(combinedMaturityTable[[#This Row],[Maturity Level]]="Baseline",LEFT(combinedMaturityTable[[#This Row],[DS]],FIND("(FFIEC ",combinedMaturityTable[[#This Row],[DS]])-1),"")</f>
        <v/>
      </c>
      <c r="M217" s="293" t="str">
        <f>CLEAN(TRIM(SUBSTITUTE(LEFT(combinedMaturityTable[[#This Row],[DSm]],MIN(250,LEN(combinedMaturityTable[[#This Row],[DSm]]))),CHAR(160)," ")))</f>
        <v/>
      </c>
    </row>
    <row r="218" spans="2:13" hidden="1" x14ac:dyDescent="0.25">
      <c r="B218" s="252" t="str">
        <f>'Cybersecurity Controls'!$M$33</f>
        <v>Cybersecurity Controls</v>
      </c>
      <c r="C218" s="252" t="str">
        <f>'Cybersecurity Controls'!$A$33</f>
        <v>Preventative Controls</v>
      </c>
      <c r="D218" s="252" t="str">
        <f>'Cybersecurity Controls'!$B$33</f>
        <v>Infrastructure Management</v>
      </c>
      <c r="E218" s="252" t="str">
        <f>'Cybersecurity Controls'!$C$33</f>
        <v>Advanced</v>
      </c>
      <c r="F218" s="252">
        <f>'Cybersecurity Controls'!$D$33</f>
        <v>0</v>
      </c>
      <c r="G218" s="252">
        <f>'Cybersecurity Controls'!$N$33</f>
        <v>0</v>
      </c>
      <c r="H218" s="252">
        <f>'Cybersecurity Controls'!$O$33</f>
        <v>0</v>
      </c>
      <c r="I218" s="252">
        <f>'Cybersecurity Controls'!$P$33</f>
        <v>0</v>
      </c>
      <c r="J218" s="252">
        <f>'Cybersecurity Controls'!$Q$33</f>
        <v>0</v>
      </c>
      <c r="K218" t="s">
        <v>289</v>
      </c>
      <c r="L218" t="str">
        <f>IF(combinedMaturityTable[[#This Row],[Maturity Level]]="Baseline",LEFT(combinedMaturityTable[[#This Row],[DS]],FIND("(FFIEC ",combinedMaturityTable[[#This Row],[DS]])-1),"")</f>
        <v/>
      </c>
      <c r="M218" s="293" t="str">
        <f>CLEAN(TRIM(SUBSTITUTE(LEFT(combinedMaturityTable[[#This Row],[DSm]],MIN(250,LEN(combinedMaturityTable[[#This Row],[DSm]]))),CHAR(160)," ")))</f>
        <v/>
      </c>
    </row>
    <row r="219" spans="2:13" hidden="1" x14ac:dyDescent="0.25">
      <c r="B219" s="252" t="str">
        <f>'Cybersecurity Controls'!$M$34</f>
        <v>Cybersecurity Controls</v>
      </c>
      <c r="C219" s="252" t="str">
        <f>'Cybersecurity Controls'!$A$34</f>
        <v>Preventative Controls</v>
      </c>
      <c r="D219" s="252" t="str">
        <f>'Cybersecurity Controls'!$B$34</f>
        <v>Infrastructure Management</v>
      </c>
      <c r="E219" s="252" t="str">
        <f>'Cybersecurity Controls'!$C$34</f>
        <v>Advanced</v>
      </c>
      <c r="F219" s="252">
        <f>'Cybersecurity Controls'!$D$34</f>
        <v>0</v>
      </c>
      <c r="G219" s="252">
        <f>'Cybersecurity Controls'!$N$34</f>
        <v>0</v>
      </c>
      <c r="H219" s="252">
        <f>'Cybersecurity Controls'!$O$34</f>
        <v>0</v>
      </c>
      <c r="I219" s="252">
        <f>'Cybersecurity Controls'!$P$34</f>
        <v>0</v>
      </c>
      <c r="J219" s="252">
        <f>'Cybersecurity Controls'!$Q$34</f>
        <v>0</v>
      </c>
      <c r="K219" t="s">
        <v>290</v>
      </c>
      <c r="L219" t="str">
        <f>IF(combinedMaturityTable[[#This Row],[Maturity Level]]="Baseline",LEFT(combinedMaturityTable[[#This Row],[DS]],FIND("(FFIEC ",combinedMaturityTable[[#This Row],[DS]])-1),"")</f>
        <v/>
      </c>
      <c r="M219" s="293" t="str">
        <f>CLEAN(TRIM(SUBSTITUTE(LEFT(combinedMaturityTable[[#This Row],[DSm]],MIN(250,LEN(combinedMaturityTable[[#This Row],[DSm]]))),CHAR(160)," ")))</f>
        <v/>
      </c>
    </row>
    <row r="220" spans="2:13" hidden="1" x14ac:dyDescent="0.25">
      <c r="B220" s="252" t="str">
        <f>'Cybersecurity Controls'!$M$35</f>
        <v>Cybersecurity Controls</v>
      </c>
      <c r="C220" s="252" t="str">
        <f>'Cybersecurity Controls'!$A$35</f>
        <v>Preventative Controls</v>
      </c>
      <c r="D220" s="252" t="str">
        <f>'Cybersecurity Controls'!$B$35</f>
        <v>Infrastructure Management</v>
      </c>
      <c r="E220" s="252" t="str">
        <f>'Cybersecurity Controls'!$C$35</f>
        <v>Advanced</v>
      </c>
      <c r="F220" s="252">
        <f>'Cybersecurity Controls'!$D$35</f>
        <v>0</v>
      </c>
      <c r="G220" s="252">
        <f>'Cybersecurity Controls'!$N$35</f>
        <v>0</v>
      </c>
      <c r="H220" s="252">
        <f>'Cybersecurity Controls'!$O$35</f>
        <v>0</v>
      </c>
      <c r="I220" s="252">
        <f>'Cybersecurity Controls'!$P$35</f>
        <v>0</v>
      </c>
      <c r="J220" s="252">
        <f>'Cybersecurity Controls'!$Q$35</f>
        <v>0</v>
      </c>
      <c r="K220" t="s">
        <v>291</v>
      </c>
      <c r="L220" t="str">
        <f>IF(combinedMaturityTable[[#This Row],[Maturity Level]]="Baseline",LEFT(combinedMaturityTable[[#This Row],[DS]],FIND("(FFIEC ",combinedMaturityTable[[#This Row],[DS]])-1),"")</f>
        <v/>
      </c>
      <c r="M220" s="293" t="str">
        <f>CLEAN(TRIM(SUBSTITUTE(LEFT(combinedMaturityTable[[#This Row],[DSm]],MIN(250,LEN(combinedMaturityTable[[#This Row],[DSm]]))),CHAR(160)," ")))</f>
        <v/>
      </c>
    </row>
    <row r="221" spans="2:13" hidden="1" x14ac:dyDescent="0.25">
      <c r="B221" s="252" t="str">
        <f>'Cybersecurity Controls'!$M$36</f>
        <v>Cybersecurity Controls</v>
      </c>
      <c r="C221" s="252" t="str">
        <f>'Cybersecurity Controls'!$A$36</f>
        <v>Preventative Controls</v>
      </c>
      <c r="D221" s="252" t="str">
        <f>'Cybersecurity Controls'!$B$36</f>
        <v>Infrastructure Management</v>
      </c>
      <c r="E221" s="252" t="str">
        <f>'Cybersecurity Controls'!$C$36</f>
        <v>Innovative</v>
      </c>
      <c r="F221" s="252">
        <f>'Cybersecurity Controls'!$D$36</f>
        <v>0</v>
      </c>
      <c r="G221" s="252">
        <f>'Cybersecurity Controls'!$N$36</f>
        <v>0</v>
      </c>
      <c r="H221" s="252">
        <f>'Cybersecurity Controls'!$O$36</f>
        <v>0</v>
      </c>
      <c r="I221" s="252">
        <f>'Cybersecurity Controls'!$P$36</f>
        <v>0</v>
      </c>
      <c r="J221" s="252">
        <f>'Cybersecurity Controls'!$Q$36</f>
        <v>0</v>
      </c>
      <c r="K221" t="s">
        <v>292</v>
      </c>
      <c r="L221" t="str">
        <f>IF(combinedMaturityTable[[#This Row],[Maturity Level]]="Baseline",LEFT(combinedMaturityTable[[#This Row],[DS]],FIND("(FFIEC ",combinedMaturityTable[[#This Row],[DS]])-1),"")</f>
        <v/>
      </c>
      <c r="M221" s="293" t="str">
        <f>CLEAN(TRIM(SUBSTITUTE(LEFT(combinedMaturityTable[[#This Row],[DSm]],MIN(250,LEN(combinedMaturityTable[[#This Row],[DSm]]))),CHAR(160)," ")))</f>
        <v/>
      </c>
    </row>
    <row r="222" spans="2:13" hidden="1" x14ac:dyDescent="0.25">
      <c r="B222" s="252" t="str">
        <f>'Cybersecurity Controls'!$M$37</f>
        <v>Cybersecurity Controls</v>
      </c>
      <c r="C222" s="252" t="str">
        <f>'Cybersecurity Controls'!$A$37</f>
        <v>Preventative Controls</v>
      </c>
      <c r="D222" s="252" t="str">
        <f>'Cybersecurity Controls'!$B$37</f>
        <v>Infrastructure Management</v>
      </c>
      <c r="E222" s="252" t="str">
        <f>'Cybersecurity Controls'!$C$37</f>
        <v>Innovative</v>
      </c>
      <c r="F222" s="252">
        <f>'Cybersecurity Controls'!$D$37</f>
        <v>0</v>
      </c>
      <c r="G222" s="252">
        <f>'Cybersecurity Controls'!$N$37</f>
        <v>0</v>
      </c>
      <c r="H222" s="252">
        <f>'Cybersecurity Controls'!$O$37</f>
        <v>0</v>
      </c>
      <c r="I222" s="252">
        <f>'Cybersecurity Controls'!$P$37</f>
        <v>0</v>
      </c>
      <c r="J222" s="252">
        <f>'Cybersecurity Controls'!$Q$37</f>
        <v>0</v>
      </c>
      <c r="K222" t="s">
        <v>293</v>
      </c>
      <c r="L222" t="str">
        <f>IF(combinedMaturityTable[[#This Row],[Maturity Level]]="Baseline",LEFT(combinedMaturityTable[[#This Row],[DS]],FIND("(FFIEC ",combinedMaturityTable[[#This Row],[DS]])-1),"")</f>
        <v/>
      </c>
      <c r="M222" s="293" t="str">
        <f>CLEAN(TRIM(SUBSTITUTE(LEFT(combinedMaturityTable[[#This Row],[DSm]],MIN(250,LEN(combinedMaturityTable[[#This Row],[DSm]]))),CHAR(160)," ")))</f>
        <v/>
      </c>
    </row>
    <row r="223" spans="2:13" hidden="1" x14ac:dyDescent="0.25">
      <c r="B223" s="252" t="str">
        <f>'Cybersecurity Controls'!$M$38</f>
        <v>Cybersecurity Controls</v>
      </c>
      <c r="C223" s="252" t="str">
        <f>'Cybersecurity Controls'!$A$38</f>
        <v>Preventative Controls</v>
      </c>
      <c r="D223" s="252" t="str">
        <f>'Cybersecurity Controls'!$B$38</f>
        <v>Infrastructure Management</v>
      </c>
      <c r="E223" s="252" t="str">
        <f>'Cybersecurity Controls'!$C$38</f>
        <v>Innovative</v>
      </c>
      <c r="F223" s="252">
        <f>'Cybersecurity Controls'!$D$38</f>
        <v>0</v>
      </c>
      <c r="G223" s="252">
        <f>'Cybersecurity Controls'!$N$38</f>
        <v>0</v>
      </c>
      <c r="H223" s="252">
        <f>'Cybersecurity Controls'!$O$38</f>
        <v>0</v>
      </c>
      <c r="I223" s="252">
        <f>'Cybersecurity Controls'!$P$38</f>
        <v>0</v>
      </c>
      <c r="J223" s="252">
        <f>'Cybersecurity Controls'!$Q$38</f>
        <v>0</v>
      </c>
      <c r="K223" t="s">
        <v>294</v>
      </c>
      <c r="L223" t="str">
        <f>IF(combinedMaturityTable[[#This Row],[Maturity Level]]="Baseline",LEFT(combinedMaturityTable[[#This Row],[DS]],FIND("(FFIEC ",combinedMaturityTable[[#This Row],[DS]])-1),"")</f>
        <v/>
      </c>
      <c r="M223" s="293" t="str">
        <f>CLEAN(TRIM(SUBSTITUTE(LEFT(combinedMaturityTable[[#This Row],[DSm]],MIN(250,LEN(combinedMaturityTable[[#This Row],[DSm]]))),CHAR(160)," ")))</f>
        <v/>
      </c>
    </row>
    <row r="224" spans="2:13" hidden="1" x14ac:dyDescent="0.25">
      <c r="B224" s="252" t="str">
        <f>'Cybersecurity Controls'!$M$39</f>
        <v>Cybersecurity Controls</v>
      </c>
      <c r="C224" s="252" t="str">
        <f>'Cybersecurity Controls'!$A$39</f>
        <v>Preventative Controls</v>
      </c>
      <c r="D224" s="252" t="str">
        <f>'Cybersecurity Controls'!$B$39</f>
        <v>Infrastructure Management</v>
      </c>
      <c r="E224" s="252" t="str">
        <f>'Cybersecurity Controls'!$C$39</f>
        <v>Innovative</v>
      </c>
      <c r="F224" s="252">
        <f>'Cybersecurity Controls'!$D$39</f>
        <v>0</v>
      </c>
      <c r="G224" s="252">
        <f>'Cybersecurity Controls'!$N$39</f>
        <v>0</v>
      </c>
      <c r="H224" s="252">
        <f>'Cybersecurity Controls'!$O$39</f>
        <v>0</v>
      </c>
      <c r="I224" s="252">
        <f>'Cybersecurity Controls'!$P$39</f>
        <v>0</v>
      </c>
      <c r="J224" s="252">
        <f>'Cybersecurity Controls'!$Q$39</f>
        <v>0</v>
      </c>
      <c r="K224" t="s">
        <v>295</v>
      </c>
      <c r="L224" t="str">
        <f>IF(combinedMaturityTable[[#This Row],[Maturity Level]]="Baseline",LEFT(combinedMaturityTable[[#This Row],[DS]],FIND("(FFIEC ",combinedMaturityTable[[#This Row],[DS]])-1),"")</f>
        <v/>
      </c>
      <c r="M224" s="293" t="str">
        <f>CLEAN(TRIM(SUBSTITUTE(LEFT(combinedMaturityTable[[#This Row],[DSm]],MIN(250,LEN(combinedMaturityTable[[#This Row],[DSm]]))),CHAR(160)," ")))</f>
        <v/>
      </c>
    </row>
    <row r="225" spans="2:13" x14ac:dyDescent="0.25">
      <c r="B225" s="252" t="str">
        <f>'Cybersecurity Controls'!$M$40</f>
        <v>Cybersecurity Controls</v>
      </c>
      <c r="C225" s="252" t="str">
        <f>'Cybersecurity Controls'!$A$40</f>
        <v>Preventative Controls</v>
      </c>
      <c r="D225" s="252" t="str">
        <f>'Cybersecurity Controls'!$B$40</f>
        <v>Access and Data Management</v>
      </c>
      <c r="E225" s="252" t="str">
        <f>'Cybersecurity Controls'!$C$40</f>
        <v>Baseline</v>
      </c>
      <c r="F225" s="252">
        <f>'Cybersecurity Controls'!$D$40</f>
        <v>0</v>
      </c>
      <c r="G225" s="252">
        <f>'Cybersecurity Controls'!$N$40</f>
        <v>0</v>
      </c>
      <c r="H225" s="252">
        <f>'Cybersecurity Controls'!$O$40</f>
        <v>0</v>
      </c>
      <c r="I225" s="252">
        <f>'Cybersecurity Controls'!$P$40</f>
        <v>0</v>
      </c>
      <c r="J225" s="252">
        <f>'Cybersecurity Controls'!$Q$40</f>
        <v>0</v>
      </c>
      <c r="K225" t="s">
        <v>297</v>
      </c>
      <c r="L225" t="str">
        <f>IF(combinedMaturityTable[[#This Row],[Maturity Level]]="Baseline",LEFT(combinedMaturityTable[[#This Row],[DS]],FIND("(FFIEC ",combinedMaturityTable[[#This Row],[DS]])-1),"")</f>
        <v xml:space="preserve">Employee access is granted to systems and confidential data based on job responsibilities and the principles of least privilege. </v>
      </c>
      <c r="M225" s="293" t="str">
        <f>CLEAN(TRIM(SUBSTITUTE(LEFT(combinedMaturityTable[[#This Row],[DSm]],MIN(250,LEN(combinedMaturityTable[[#This Row],[DSm]]))),CHAR(160)," ")))</f>
        <v>Employee access is granted to systems and confidential data based on job responsibilities and the principles of least privilege.</v>
      </c>
    </row>
    <row r="226" spans="2:13" x14ac:dyDescent="0.25">
      <c r="B226" s="252" t="str">
        <f>'Cybersecurity Controls'!$M$41</f>
        <v>Cybersecurity Controls</v>
      </c>
      <c r="C226" s="252" t="str">
        <f>'Cybersecurity Controls'!$A$41</f>
        <v>Preventative Controls</v>
      </c>
      <c r="D226" s="252" t="str">
        <f>'Cybersecurity Controls'!$B$41</f>
        <v>Access and Data Management</v>
      </c>
      <c r="E226" s="252" t="str">
        <f>'Cybersecurity Controls'!$C$41</f>
        <v>Baseline</v>
      </c>
      <c r="F226" s="252">
        <f>'Cybersecurity Controls'!$D$41</f>
        <v>0</v>
      </c>
      <c r="G226" s="252">
        <f>'Cybersecurity Controls'!$N$41</f>
        <v>0</v>
      </c>
      <c r="H226" s="252">
        <f>'Cybersecurity Controls'!$O$41</f>
        <v>0</v>
      </c>
      <c r="I226" s="252">
        <f>'Cybersecurity Controls'!$P$41</f>
        <v>0</v>
      </c>
      <c r="J226" s="252">
        <f>'Cybersecurity Controls'!$Q$41</f>
        <v>0</v>
      </c>
      <c r="K226" t="s">
        <v>298</v>
      </c>
      <c r="L226" t="str">
        <f>IF(combinedMaturityTable[[#This Row],[Maturity Level]]="Baseline",LEFT(combinedMaturityTable[[#This Row],[DS]],FIND("(FFIEC ",combinedMaturityTable[[#This Row],[DS]])-1),"")</f>
        <v xml:space="preserve">Employee access to systems and confidential data provides for separation of duties. </v>
      </c>
      <c r="M226" s="293" t="str">
        <f>CLEAN(TRIM(SUBSTITUTE(LEFT(combinedMaturityTable[[#This Row],[DSm]],MIN(250,LEN(combinedMaturityTable[[#This Row],[DSm]]))),CHAR(160)," ")))</f>
        <v>Employee access to systems and confidential data provides for separation of duties.</v>
      </c>
    </row>
    <row r="227" spans="2:13" x14ac:dyDescent="0.25">
      <c r="B227" s="252" t="str">
        <f>'Cybersecurity Controls'!$M$42</f>
        <v>Cybersecurity Controls</v>
      </c>
      <c r="C227" s="252" t="str">
        <f>'Cybersecurity Controls'!$A$42</f>
        <v>Preventative Controls</v>
      </c>
      <c r="D227" s="252" t="str">
        <f>'Cybersecurity Controls'!$B$42</f>
        <v>Access and Data Management</v>
      </c>
      <c r="E227" s="252" t="str">
        <f>'Cybersecurity Controls'!$C$42</f>
        <v>Baseline</v>
      </c>
      <c r="F227" s="252">
        <f>'Cybersecurity Controls'!$D$42</f>
        <v>0</v>
      </c>
      <c r="G227" s="252">
        <f>'Cybersecurity Controls'!$N$42</f>
        <v>0</v>
      </c>
      <c r="H227" s="252">
        <f>'Cybersecurity Controls'!$O$42</f>
        <v>0</v>
      </c>
      <c r="I227" s="252">
        <f>'Cybersecurity Controls'!$P$42</f>
        <v>0</v>
      </c>
      <c r="J227" s="252">
        <f>'Cybersecurity Controls'!$Q$42</f>
        <v>0</v>
      </c>
      <c r="K227" t="s">
        <v>299</v>
      </c>
      <c r="L227" t="str">
        <f>IF(combinedMaturityTable[[#This Row],[Maturity Level]]="Baseline",LEFT(combinedMaturityTable[[#This Row],[DS]],FIND("(FFIEC ",combinedMaturityTable[[#This Row],[DS]])-1),"")</f>
        <v xml:space="preserve">Elevated privileges (e.g., administrator privileges) are limited and tightly controlled (e.g., assigned to individuals, not shared, and require stronger password controls). </v>
      </c>
      <c r="M227" s="293" t="str">
        <f>CLEAN(TRIM(SUBSTITUTE(LEFT(combinedMaturityTable[[#This Row],[DSm]],MIN(250,LEN(combinedMaturityTable[[#This Row],[DSm]]))),CHAR(160)," ")))</f>
        <v>Elevated privileges (e.g., administrator privileges) are limited and tightly controlled (e.g., assigned to individuals, not shared, and require stronger password controls).</v>
      </c>
    </row>
    <row r="228" spans="2:13" x14ac:dyDescent="0.25">
      <c r="B228" s="252" t="str">
        <f>'Cybersecurity Controls'!$M$43</f>
        <v>Cybersecurity Controls</v>
      </c>
      <c r="C228" s="252" t="str">
        <f>'Cybersecurity Controls'!$A$43</f>
        <v>Preventative Controls</v>
      </c>
      <c r="D228" s="252" t="str">
        <f>'Cybersecurity Controls'!$B$43</f>
        <v>Access and Data Management</v>
      </c>
      <c r="E228" s="252" t="str">
        <f>'Cybersecurity Controls'!$C$43</f>
        <v>Baseline</v>
      </c>
      <c r="F228" s="252">
        <f>'Cybersecurity Controls'!$D$43</f>
        <v>0</v>
      </c>
      <c r="G228" s="252">
        <f>'Cybersecurity Controls'!$N$43</f>
        <v>0</v>
      </c>
      <c r="H228" s="252">
        <f>'Cybersecurity Controls'!$O$43</f>
        <v>0</v>
      </c>
      <c r="I228" s="252">
        <f>'Cybersecurity Controls'!$P$43</f>
        <v>0</v>
      </c>
      <c r="J228" s="252">
        <f>'Cybersecurity Controls'!$Q$43</f>
        <v>0</v>
      </c>
      <c r="K228" t="s">
        <v>300</v>
      </c>
      <c r="L228" t="str">
        <f>IF(combinedMaturityTable[[#This Row],[Maturity Level]]="Baseline",LEFT(combinedMaturityTable[[#This Row],[DS]],FIND("(FFIEC ",combinedMaturityTable[[#This Row],[DS]])-1),"")</f>
        <v xml:space="preserve">User access reviews are performed periodically for all systems and applications based on the risk to the application or system. </v>
      </c>
      <c r="M228" s="293" t="str">
        <f>CLEAN(TRIM(SUBSTITUTE(LEFT(combinedMaturityTable[[#This Row],[DSm]],MIN(250,LEN(combinedMaturityTable[[#This Row],[DSm]]))),CHAR(160)," ")))</f>
        <v>User access reviews are performed periodically for all systems and applications based on the risk to the application or system.</v>
      </c>
    </row>
    <row r="229" spans="2:13" x14ac:dyDescent="0.25">
      <c r="B229" s="252" t="str">
        <f>'Cybersecurity Controls'!$M$44</f>
        <v>Cybersecurity Controls</v>
      </c>
      <c r="C229" s="252" t="str">
        <f>'Cybersecurity Controls'!$A$44</f>
        <v>Preventative Controls</v>
      </c>
      <c r="D229" s="252" t="str">
        <f>'Cybersecurity Controls'!$B$44</f>
        <v>Access and Data Management</v>
      </c>
      <c r="E229" s="252" t="str">
        <f>'Cybersecurity Controls'!$C$44</f>
        <v>Baseline</v>
      </c>
      <c r="F229" s="252">
        <f>'Cybersecurity Controls'!$D$44</f>
        <v>0</v>
      </c>
      <c r="G229" s="252">
        <f>'Cybersecurity Controls'!$N$44</f>
        <v>0</v>
      </c>
      <c r="H229" s="252">
        <f>'Cybersecurity Controls'!$O$44</f>
        <v>0</v>
      </c>
      <c r="I229" s="252">
        <f>'Cybersecurity Controls'!$P$44</f>
        <v>0</v>
      </c>
      <c r="J229" s="252">
        <f>'Cybersecurity Controls'!$Q$44</f>
        <v>0</v>
      </c>
      <c r="K229" t="s">
        <v>301</v>
      </c>
      <c r="L229" t="str">
        <f>IF(combinedMaturityTable[[#This Row],[Maturity Level]]="Baseline",LEFT(combinedMaturityTable[[#This Row],[DS]],FIND("(FFIEC ",combinedMaturityTable[[#This Row],[DS]])-1),"")</f>
        <v xml:space="preserve">Changes to physical and logical user access, including those that result from voluntary and involuntary terminations, are submitted to and approved by appropriate personnel. </v>
      </c>
      <c r="M229" s="293" t="str">
        <f>CLEAN(TRIM(SUBSTITUTE(LEFT(combinedMaturityTable[[#This Row],[DSm]],MIN(250,LEN(combinedMaturityTable[[#This Row],[DSm]]))),CHAR(160)," ")))</f>
        <v>Changes to physical and logical user access, including those that result from voluntary and involuntary terminations, are submitted to and approved by appropriate personnel.</v>
      </c>
    </row>
    <row r="230" spans="2:13" x14ac:dyDescent="0.25">
      <c r="B230" s="252" t="str">
        <f>'Cybersecurity Controls'!$M$45</f>
        <v>Cybersecurity Controls</v>
      </c>
      <c r="C230" s="252" t="str">
        <f>'Cybersecurity Controls'!$A$45</f>
        <v>Preventative Controls</v>
      </c>
      <c r="D230" s="252" t="str">
        <f>'Cybersecurity Controls'!$B$45</f>
        <v>Access and Data Management</v>
      </c>
      <c r="E230" s="252" t="str">
        <f>'Cybersecurity Controls'!$C$45</f>
        <v>Baseline</v>
      </c>
      <c r="F230" s="252">
        <f>'Cybersecurity Controls'!$D$45</f>
        <v>0</v>
      </c>
      <c r="G230" s="252">
        <f>'Cybersecurity Controls'!$N$45</f>
        <v>0</v>
      </c>
      <c r="H230" s="252">
        <f>'Cybersecurity Controls'!$O$45</f>
        <v>0</v>
      </c>
      <c r="I230" s="252">
        <f>'Cybersecurity Controls'!$P$45</f>
        <v>0</v>
      </c>
      <c r="J230" s="252">
        <f>'Cybersecurity Controls'!$Q$45</f>
        <v>0</v>
      </c>
      <c r="K230" t="s">
        <v>302</v>
      </c>
      <c r="L230" t="str">
        <f>IF(combinedMaturityTable[[#This Row],[Maturity Level]]="Baseline",LEFT(combinedMaturityTable[[#This Row],[DS]],FIND("(FFIEC ",combinedMaturityTable[[#This Row],[DS]])-1),"")</f>
        <v xml:space="preserve">Identification and authentication are required and managed for access to systems, applications, and hardware. </v>
      </c>
      <c r="M230" s="293" t="str">
        <f>CLEAN(TRIM(SUBSTITUTE(LEFT(combinedMaturityTable[[#This Row],[DSm]],MIN(250,LEN(combinedMaturityTable[[#This Row],[DSm]]))),CHAR(160)," ")))</f>
        <v>Identification and authentication are required and managed for access to systems, applications, and hardware.</v>
      </c>
    </row>
    <row r="231" spans="2:13" x14ac:dyDescent="0.25">
      <c r="B231" s="252" t="str">
        <f>'Cybersecurity Controls'!$M$46</f>
        <v>Cybersecurity Controls</v>
      </c>
      <c r="C231" s="252" t="str">
        <f>'Cybersecurity Controls'!$A$46</f>
        <v>Preventative Controls</v>
      </c>
      <c r="D231" s="252" t="str">
        <f>'Cybersecurity Controls'!$B$46</f>
        <v>Access and Data Management</v>
      </c>
      <c r="E231" s="252" t="str">
        <f>'Cybersecurity Controls'!$C$46</f>
        <v>Baseline</v>
      </c>
      <c r="F231" s="252">
        <f>'Cybersecurity Controls'!$D$46</f>
        <v>0</v>
      </c>
      <c r="G231" s="252">
        <f>'Cybersecurity Controls'!$N$46</f>
        <v>0</v>
      </c>
      <c r="H231" s="252">
        <f>'Cybersecurity Controls'!$O$46</f>
        <v>0</v>
      </c>
      <c r="I231" s="252">
        <f>'Cybersecurity Controls'!$P$46</f>
        <v>0</v>
      </c>
      <c r="J231" s="252">
        <f>'Cybersecurity Controls'!$Q$46</f>
        <v>0</v>
      </c>
      <c r="K231" t="s">
        <v>303</v>
      </c>
      <c r="L231" t="str">
        <f>IF(combinedMaturityTable[[#This Row],[Maturity Level]]="Baseline",LEFT(combinedMaturityTable[[#This Row],[DS]],FIND("(FFIEC ",combinedMaturityTable[[#This Row],[DS]])-1),"")</f>
        <v xml:space="preserve">Access controls include password complexity and limits to password attempts and reuse. </v>
      </c>
      <c r="M231" s="293" t="str">
        <f>CLEAN(TRIM(SUBSTITUTE(LEFT(combinedMaturityTable[[#This Row],[DSm]],MIN(250,LEN(combinedMaturityTable[[#This Row],[DSm]]))),CHAR(160)," ")))</f>
        <v>Access controls include password complexity and limits to password attempts and reuse.</v>
      </c>
    </row>
    <row r="232" spans="2:13" x14ac:dyDescent="0.25">
      <c r="B232" s="252" t="str">
        <f>'Cybersecurity Controls'!$M$47</f>
        <v>Cybersecurity Controls</v>
      </c>
      <c r="C232" s="252" t="str">
        <f>'Cybersecurity Controls'!$A$47</f>
        <v>Preventative Controls</v>
      </c>
      <c r="D232" s="252" t="str">
        <f>'Cybersecurity Controls'!$B$47</f>
        <v>Access and Data Management</v>
      </c>
      <c r="E232" s="252" t="str">
        <f>'Cybersecurity Controls'!$C$47</f>
        <v>Baseline</v>
      </c>
      <c r="F232" s="252">
        <f>'Cybersecurity Controls'!$D$47</f>
        <v>0</v>
      </c>
      <c r="G232" s="252">
        <f>'Cybersecurity Controls'!$N$47</f>
        <v>0</v>
      </c>
      <c r="H232" s="252">
        <f>'Cybersecurity Controls'!$O$47</f>
        <v>0</v>
      </c>
      <c r="I232" s="252">
        <f>'Cybersecurity Controls'!$P$47</f>
        <v>0</v>
      </c>
      <c r="J232" s="252">
        <f>'Cybersecurity Controls'!$Q$47</f>
        <v>0</v>
      </c>
      <c r="K232" t="s">
        <v>304</v>
      </c>
      <c r="L232" t="str">
        <f>IF(combinedMaturityTable[[#This Row],[Maturity Level]]="Baseline",LEFT(combinedMaturityTable[[#This Row],[DS]],FIND("(FFIEC ",combinedMaturityTable[[#This Row],[DS]])-1),"")</f>
        <v xml:space="preserve">All default passwords and unnecessary default accounts are changed before system implementation. </v>
      </c>
      <c r="M232" s="293" t="str">
        <f>CLEAN(TRIM(SUBSTITUTE(LEFT(combinedMaturityTable[[#This Row],[DSm]],MIN(250,LEN(combinedMaturityTable[[#This Row],[DSm]]))),CHAR(160)," ")))</f>
        <v>All default passwords and unnecessary default accounts are changed before system implementation.</v>
      </c>
    </row>
    <row r="233" spans="2:13" x14ac:dyDescent="0.25">
      <c r="B233" s="252" t="str">
        <f>'Cybersecurity Controls'!$M$48</f>
        <v>Cybersecurity Controls</v>
      </c>
      <c r="C233" s="252" t="str">
        <f>'Cybersecurity Controls'!$A$48</f>
        <v>Preventative Controls</v>
      </c>
      <c r="D233" s="252" t="str">
        <f>'Cybersecurity Controls'!$B$48</f>
        <v>Access and Data Management</v>
      </c>
      <c r="E233" s="252" t="str">
        <f>'Cybersecurity Controls'!$C$48</f>
        <v>Baseline</v>
      </c>
      <c r="F233" s="252">
        <f>'Cybersecurity Controls'!$D$48</f>
        <v>0</v>
      </c>
      <c r="G233" s="252">
        <f>'Cybersecurity Controls'!$N$48</f>
        <v>0</v>
      </c>
      <c r="H233" s="252">
        <f>'Cybersecurity Controls'!$O$48</f>
        <v>0</v>
      </c>
      <c r="I233" s="252">
        <f>'Cybersecurity Controls'!$P$48</f>
        <v>0</v>
      </c>
      <c r="J233" s="252">
        <f>'Cybersecurity Controls'!$Q$48</f>
        <v>0</v>
      </c>
      <c r="K233" t="s">
        <v>305</v>
      </c>
      <c r="L233" t="str">
        <f>IF(combinedMaturityTable[[#This Row],[Maturity Level]]="Baseline",LEFT(combinedMaturityTable[[#This Row],[DS]],FIND("(FFIEC ",combinedMaturityTable[[#This Row],[DS]])-1),"")</f>
        <v xml:space="preserve">Customer access to Internet-based products or services requires authentication controls (e.g., layered controls, multifactor) that are commensurate with the risk. </v>
      </c>
      <c r="M233" s="293" t="str">
        <f>CLEAN(TRIM(SUBSTITUTE(LEFT(combinedMaturityTable[[#This Row],[DSm]],MIN(250,LEN(combinedMaturityTable[[#This Row],[DSm]]))),CHAR(160)," ")))</f>
        <v>Customer access to Internet-based products or services requires authentication controls (e.g., layered controls, multifactor) that are commensurate with the risk.</v>
      </c>
    </row>
    <row r="234" spans="2:13" x14ac:dyDescent="0.25">
      <c r="B234" s="252" t="str">
        <f>'Cybersecurity Controls'!$M$49</f>
        <v>Cybersecurity Controls</v>
      </c>
      <c r="C234" s="252" t="str">
        <f>'Cybersecurity Controls'!$A$49</f>
        <v>Preventative Controls</v>
      </c>
      <c r="D234" s="252" t="str">
        <f>'Cybersecurity Controls'!$B$49</f>
        <v>Access and Data Management</v>
      </c>
      <c r="E234" s="252" t="str">
        <f>'Cybersecurity Controls'!$C$49</f>
        <v>Baseline</v>
      </c>
      <c r="F234" s="252">
        <f>'Cybersecurity Controls'!$D$49</f>
        <v>0</v>
      </c>
      <c r="G234" s="252">
        <f>'Cybersecurity Controls'!$N$49</f>
        <v>0</v>
      </c>
      <c r="H234" s="252">
        <f>'Cybersecurity Controls'!$O$49</f>
        <v>0</v>
      </c>
      <c r="I234" s="252">
        <f>'Cybersecurity Controls'!$P$49</f>
        <v>0</v>
      </c>
      <c r="J234" s="252">
        <f>'Cybersecurity Controls'!$Q$49</f>
        <v>0</v>
      </c>
      <c r="K234" t="s">
        <v>306</v>
      </c>
      <c r="L234" t="str">
        <f>IF(combinedMaturityTable[[#This Row],[Maturity Level]]="Baseline",LEFT(combinedMaturityTable[[#This Row],[DS]],FIND("(FFIEC ",combinedMaturityTable[[#This Row],[DS]])-1),"")</f>
        <v xml:space="preserve">Production and non-production environments are segregated to prevent unauthorized access or changes to information assets. (*N/A if no production environment exists at the institution or the institution’s third party.) </v>
      </c>
      <c r="M234" s="293" t="str">
        <f>CLEAN(TRIM(SUBSTITUTE(LEFT(combinedMaturityTable[[#This Row],[DSm]],MIN(250,LEN(combinedMaturityTable[[#This Row],[DSm]]))),CHAR(160)," ")))</f>
        <v>Production and non-production environments are segregated to prevent unauthorized access or changes to information assets. (*N/A if no production environment exists at the institution or the institution’s third party.)</v>
      </c>
    </row>
    <row r="235" spans="2:13" x14ac:dyDescent="0.25">
      <c r="B235" s="252" t="str">
        <f>'Cybersecurity Controls'!$M$50</f>
        <v>Cybersecurity Controls</v>
      </c>
      <c r="C235" s="252" t="str">
        <f>'Cybersecurity Controls'!$A$50</f>
        <v>Preventative Controls</v>
      </c>
      <c r="D235" s="252" t="str">
        <f>'Cybersecurity Controls'!$B$50</f>
        <v>Access and Data Management</v>
      </c>
      <c r="E235" s="252" t="str">
        <f>'Cybersecurity Controls'!$C$50</f>
        <v>Baseline</v>
      </c>
      <c r="F235" s="252">
        <f>'Cybersecurity Controls'!$D$50</f>
        <v>0</v>
      </c>
      <c r="G235" s="252">
        <f>'Cybersecurity Controls'!$N$50</f>
        <v>0</v>
      </c>
      <c r="H235" s="252">
        <f>'Cybersecurity Controls'!$O$50</f>
        <v>0</v>
      </c>
      <c r="I235" s="252">
        <f>'Cybersecurity Controls'!$P$50</f>
        <v>0</v>
      </c>
      <c r="J235" s="252">
        <f>'Cybersecurity Controls'!$Q$50</f>
        <v>0</v>
      </c>
      <c r="K235" t="s">
        <v>307</v>
      </c>
      <c r="L235" t="str">
        <f>IF(combinedMaturityTable[[#This Row],[Maturity Level]]="Baseline",LEFT(combinedMaturityTable[[#This Row],[DS]],FIND("(FFIEC ",combinedMaturityTable[[#This Row],[DS]])-1),"")</f>
        <v xml:space="preserve">Physical security controls are used to prevent unauthorized access to information systems and telecommunication systems. </v>
      </c>
      <c r="M235" s="293" t="str">
        <f>CLEAN(TRIM(SUBSTITUTE(LEFT(combinedMaturityTable[[#This Row],[DSm]],MIN(250,LEN(combinedMaturityTable[[#This Row],[DSm]]))),CHAR(160)," ")))</f>
        <v>Physical security controls are used to prevent unauthorized access to information systems and telecommunication systems.</v>
      </c>
    </row>
    <row r="236" spans="2:13" x14ac:dyDescent="0.25">
      <c r="B236" s="252" t="str">
        <f>'Cybersecurity Controls'!$M$51</f>
        <v>Cybersecurity Controls</v>
      </c>
      <c r="C236" s="252" t="str">
        <f>'Cybersecurity Controls'!$A$51</f>
        <v>Preventative Controls</v>
      </c>
      <c r="D236" s="252" t="str">
        <f>'Cybersecurity Controls'!$B$51</f>
        <v>Access and Data Management</v>
      </c>
      <c r="E236" s="252" t="str">
        <f>'Cybersecurity Controls'!$C$51</f>
        <v>Baseline</v>
      </c>
      <c r="F236" s="252">
        <f>'Cybersecurity Controls'!$D$51</f>
        <v>0</v>
      </c>
      <c r="G236" s="252">
        <f>'Cybersecurity Controls'!$N$51</f>
        <v>0</v>
      </c>
      <c r="H236" s="252">
        <f>'Cybersecurity Controls'!$O$51</f>
        <v>0</v>
      </c>
      <c r="I236" s="252">
        <f>'Cybersecurity Controls'!$P$51</f>
        <v>0</v>
      </c>
      <c r="J236" s="252">
        <f>'Cybersecurity Controls'!$Q$51</f>
        <v>0</v>
      </c>
      <c r="K236" t="s">
        <v>308</v>
      </c>
      <c r="L236" t="str">
        <f>IF(combinedMaturityTable[[#This Row],[Maturity Level]]="Baseline",LEFT(combinedMaturityTable[[#This Row],[DS]],FIND("(FFIEC ",combinedMaturityTable[[#This Row],[DS]])-1),"")</f>
        <v xml:space="preserve">All passwords are encrypted in storage and in transit. </v>
      </c>
      <c r="M236" s="293" t="str">
        <f>CLEAN(TRIM(SUBSTITUTE(LEFT(combinedMaturityTable[[#This Row],[DSm]],MIN(250,LEN(combinedMaturityTable[[#This Row],[DSm]]))),CHAR(160)," ")))</f>
        <v>All passwords are encrypted in storage and in transit.</v>
      </c>
    </row>
    <row r="237" spans="2:13" x14ac:dyDescent="0.25">
      <c r="B237" s="252" t="str">
        <f>'Cybersecurity Controls'!$M$52</f>
        <v>Cybersecurity Controls</v>
      </c>
      <c r="C237" s="252" t="str">
        <f>'Cybersecurity Controls'!$A$52</f>
        <v>Preventative Controls</v>
      </c>
      <c r="D237" s="252" t="str">
        <f>'Cybersecurity Controls'!$B$52</f>
        <v>Access and Data Management</v>
      </c>
      <c r="E237" s="252" t="str">
        <f>'Cybersecurity Controls'!$C$52</f>
        <v>Baseline</v>
      </c>
      <c r="F237" s="252">
        <f>'Cybersecurity Controls'!$D$52</f>
        <v>0</v>
      </c>
      <c r="G237" s="252">
        <f>'Cybersecurity Controls'!$N$52</f>
        <v>0</v>
      </c>
      <c r="H237" s="252">
        <f>'Cybersecurity Controls'!$O$52</f>
        <v>0</v>
      </c>
      <c r="I237" s="252">
        <f>'Cybersecurity Controls'!$P$52</f>
        <v>0</v>
      </c>
      <c r="J237" s="252">
        <f>'Cybersecurity Controls'!$Q$52</f>
        <v>0</v>
      </c>
      <c r="K237" t="s">
        <v>309</v>
      </c>
      <c r="L237" t="str">
        <f>IF(combinedMaturityTable[[#This Row],[Maturity Level]]="Baseline",LEFT(combinedMaturityTable[[#This Row],[DS]],FIND("(FFIEC ",combinedMaturityTable[[#This Row],[DS]])-1),"")</f>
        <v xml:space="preserve">Confidential data are encrypted when transmitted across public or untrusted networks (e.g., Internet). </v>
      </c>
      <c r="M237" s="293" t="str">
        <f>CLEAN(TRIM(SUBSTITUTE(LEFT(combinedMaturityTable[[#This Row],[DSm]],MIN(250,LEN(combinedMaturityTable[[#This Row],[DSm]]))),CHAR(160)," ")))</f>
        <v>Confidential data are encrypted when transmitted across public or untrusted networks (e.g., Internet).</v>
      </c>
    </row>
    <row r="238" spans="2:13" x14ac:dyDescent="0.25">
      <c r="B238" s="252" t="str">
        <f>'Cybersecurity Controls'!$M$53</f>
        <v>Cybersecurity Controls</v>
      </c>
      <c r="C238" s="252" t="str">
        <f>'Cybersecurity Controls'!$A$53</f>
        <v>Preventative Controls</v>
      </c>
      <c r="D238" s="252" t="str">
        <f>'Cybersecurity Controls'!$B$53</f>
        <v>Access and Data Management</v>
      </c>
      <c r="E238" s="252" t="str">
        <f>'Cybersecurity Controls'!$C$53</f>
        <v>Baseline</v>
      </c>
      <c r="F238" s="252">
        <f>'Cybersecurity Controls'!$D$53</f>
        <v>0</v>
      </c>
      <c r="G238" s="252">
        <f>'Cybersecurity Controls'!$N$53</f>
        <v>0</v>
      </c>
      <c r="H238" s="252">
        <f>'Cybersecurity Controls'!$O$53</f>
        <v>0</v>
      </c>
      <c r="I238" s="252">
        <f>'Cybersecurity Controls'!$P$53</f>
        <v>0</v>
      </c>
      <c r="J238" s="252">
        <f>'Cybersecurity Controls'!$Q$53</f>
        <v>0</v>
      </c>
      <c r="K238" t="s">
        <v>310</v>
      </c>
      <c r="L238" t="str">
        <f>IF(combinedMaturityTable[[#This Row],[Maturity Level]]="Baseline",LEFT(combinedMaturityTable[[#This Row],[DS]],FIND("(FFIEC ",combinedMaturityTable[[#This Row],[DS]])-1),"")</f>
        <v xml:space="preserve">Mobile devices (e.g., laptops, tablets, and removable media) are encrypted if used to store confidential data. (*N/A if mobile devices are not used.) </v>
      </c>
      <c r="M238" s="293" t="str">
        <f>CLEAN(TRIM(SUBSTITUTE(LEFT(combinedMaturityTable[[#This Row],[DSm]],MIN(250,LEN(combinedMaturityTable[[#This Row],[DSm]]))),CHAR(160)," ")))</f>
        <v>Mobile devices (e.g., laptops, tablets, and removable media) are encrypted if used to store confidential data. (*N/A if mobile devices are not used.)</v>
      </c>
    </row>
    <row r="239" spans="2:13" x14ac:dyDescent="0.25">
      <c r="B239" s="252" t="str">
        <f>'Cybersecurity Controls'!$M$54</f>
        <v>Cybersecurity Controls</v>
      </c>
      <c r="C239" s="252" t="str">
        <f>'Cybersecurity Controls'!$A$54</f>
        <v>Preventative Controls</v>
      </c>
      <c r="D239" s="252" t="str">
        <f>'Cybersecurity Controls'!$B$54</f>
        <v>Access and Data Management</v>
      </c>
      <c r="E239" s="252" t="str">
        <f>'Cybersecurity Controls'!$C$54</f>
        <v>Baseline</v>
      </c>
      <c r="F239" s="252">
        <f>'Cybersecurity Controls'!$D$54</f>
        <v>0</v>
      </c>
      <c r="G239" s="252">
        <f>'Cybersecurity Controls'!$N$54</f>
        <v>0</v>
      </c>
      <c r="H239" s="252">
        <f>'Cybersecurity Controls'!$O$54</f>
        <v>0</v>
      </c>
      <c r="I239" s="252">
        <f>'Cybersecurity Controls'!$P$54</f>
        <v>0</v>
      </c>
      <c r="J239" s="252">
        <f>'Cybersecurity Controls'!$Q$54</f>
        <v>0</v>
      </c>
      <c r="K239" t="s">
        <v>311</v>
      </c>
      <c r="L239" t="str">
        <f>IF(combinedMaturityTable[[#This Row],[Maturity Level]]="Baseline",LEFT(combinedMaturityTable[[#This Row],[DS]],FIND("(FFIEC ",combinedMaturityTable[[#This Row],[DS]])-1),"")</f>
        <v xml:space="preserve">Remote access to critical systems by employees, contractors, and third parties uses encrypted connections and multifactor authentication. </v>
      </c>
      <c r="M239" s="293" t="str">
        <f>CLEAN(TRIM(SUBSTITUTE(LEFT(combinedMaturityTable[[#This Row],[DSm]],MIN(250,LEN(combinedMaturityTable[[#This Row],[DSm]]))),CHAR(160)," ")))</f>
        <v>Remote access to critical systems by employees, contractors, and third parties uses encrypted connections and multifactor authentication.</v>
      </c>
    </row>
    <row r="240" spans="2:13" x14ac:dyDescent="0.25">
      <c r="B240" s="252" t="str">
        <f>'Cybersecurity Controls'!$M$55</f>
        <v>Cybersecurity Controls</v>
      </c>
      <c r="C240" s="252" t="str">
        <f>'Cybersecurity Controls'!$A$55</f>
        <v>Preventative Controls</v>
      </c>
      <c r="D240" s="252" t="str">
        <f>'Cybersecurity Controls'!$B$55</f>
        <v>Access and Data Management</v>
      </c>
      <c r="E240" s="252" t="str">
        <f>'Cybersecurity Controls'!$C$55</f>
        <v>Baseline</v>
      </c>
      <c r="F240" s="252">
        <f>'Cybersecurity Controls'!$D$55</f>
        <v>0</v>
      </c>
      <c r="G240" s="252">
        <f>'Cybersecurity Controls'!$N$55</f>
        <v>0</v>
      </c>
      <c r="H240" s="252">
        <f>'Cybersecurity Controls'!$O$55</f>
        <v>0</v>
      </c>
      <c r="I240" s="252">
        <f>'Cybersecurity Controls'!$P$55</f>
        <v>0</v>
      </c>
      <c r="J240" s="252">
        <f>'Cybersecurity Controls'!$Q$55</f>
        <v>0</v>
      </c>
      <c r="K240" t="s">
        <v>312</v>
      </c>
      <c r="L240" t="str">
        <f>IF(combinedMaturityTable[[#This Row],[Maturity Level]]="Baseline",LEFT(combinedMaturityTable[[#This Row],[DS]],FIND("(FFIEC ",combinedMaturityTable[[#This Row],[DS]])-1),"")</f>
        <v xml:space="preserve">Administrative, physical, or technical controls are in place to prevent users without administrative responsibilities from installing unauthorized software. </v>
      </c>
      <c r="M240" s="293" t="str">
        <f>CLEAN(TRIM(SUBSTITUTE(LEFT(combinedMaturityTable[[#This Row],[DSm]],MIN(250,LEN(combinedMaturityTable[[#This Row],[DSm]]))),CHAR(160)," ")))</f>
        <v>Administrative, physical, or technical controls are in place to prevent users without administrative responsibilities from installing unauthorized software.</v>
      </c>
    </row>
    <row r="241" spans="2:13" x14ac:dyDescent="0.25">
      <c r="B241" s="252" t="str">
        <f>'Cybersecurity Controls'!$M$56</f>
        <v>Cybersecurity Controls</v>
      </c>
      <c r="C241" s="252" t="str">
        <f>'Cybersecurity Controls'!$A$56</f>
        <v>Preventative Controls</v>
      </c>
      <c r="D241" s="252" t="str">
        <f>'Cybersecurity Controls'!$B$56</f>
        <v>Access and Data Management</v>
      </c>
      <c r="E241" s="252" t="str">
        <f>'Cybersecurity Controls'!$C$56</f>
        <v>Baseline</v>
      </c>
      <c r="F241" s="252">
        <f>'Cybersecurity Controls'!$D$56</f>
        <v>0</v>
      </c>
      <c r="G241" s="252">
        <f>'Cybersecurity Controls'!$N$56</f>
        <v>0</v>
      </c>
      <c r="H241" s="252">
        <f>'Cybersecurity Controls'!$O$56</f>
        <v>0</v>
      </c>
      <c r="I241" s="252">
        <f>'Cybersecurity Controls'!$P$56</f>
        <v>0</v>
      </c>
      <c r="J241" s="252">
        <f>'Cybersecurity Controls'!$Q$56</f>
        <v>0</v>
      </c>
      <c r="K241" t="s">
        <v>313</v>
      </c>
      <c r="L241" t="str">
        <f>IF(combinedMaturityTable[[#This Row],[Maturity Level]]="Baseline",LEFT(combinedMaturityTable[[#This Row],[DS]],FIND("(FFIEC ",combinedMaturityTable[[#This Row],[DS]])-1),"")</f>
        <v xml:space="preserve">Customer service (e.g., the call center) utilizes formal procedures to authenticate customers commensurate with the risk of the transaction or request. </v>
      </c>
      <c r="M241" s="293" t="str">
        <f>CLEAN(TRIM(SUBSTITUTE(LEFT(combinedMaturityTable[[#This Row],[DSm]],MIN(250,LEN(combinedMaturityTable[[#This Row],[DSm]]))),CHAR(160)," ")))</f>
        <v>Customer service (e.g., the call center) utilizes formal procedures to authenticate customers commensurate with the risk of the transaction or request.</v>
      </c>
    </row>
    <row r="242" spans="2:13" x14ac:dyDescent="0.25">
      <c r="B242" s="252" t="str">
        <f>'Cybersecurity Controls'!$M$57</f>
        <v>Cybersecurity Controls</v>
      </c>
      <c r="C242" s="252" t="str">
        <f>'Cybersecurity Controls'!$A$57</f>
        <v>Preventative Controls</v>
      </c>
      <c r="D242" s="252" t="str">
        <f>'Cybersecurity Controls'!$B$57</f>
        <v>Access and Data Management</v>
      </c>
      <c r="E242" s="252" t="str">
        <f>'Cybersecurity Controls'!$C$57</f>
        <v>Baseline</v>
      </c>
      <c r="F242" s="252">
        <f>'Cybersecurity Controls'!$D$57</f>
        <v>0</v>
      </c>
      <c r="G242" s="252">
        <f>'Cybersecurity Controls'!$N$57</f>
        <v>0</v>
      </c>
      <c r="H242" s="252">
        <f>'Cybersecurity Controls'!$O$57</f>
        <v>0</v>
      </c>
      <c r="I242" s="252">
        <f>'Cybersecurity Controls'!$P$57</f>
        <v>0</v>
      </c>
      <c r="J242" s="252">
        <f>'Cybersecurity Controls'!$Q$57</f>
        <v>0</v>
      </c>
      <c r="K242" t="s">
        <v>314</v>
      </c>
      <c r="L242" t="str">
        <f>IF(combinedMaturityTable[[#This Row],[Maturity Level]]="Baseline",LEFT(combinedMaturityTable[[#This Row],[DS]],FIND("(FFIEC ",combinedMaturityTable[[#This Row],[DS]])-1),"")</f>
        <v xml:space="preserve">Data is disposed of or destroyed according to documented requirements and within expected time frames. </v>
      </c>
      <c r="M242" s="293" t="str">
        <f>CLEAN(TRIM(SUBSTITUTE(LEFT(combinedMaturityTable[[#This Row],[DSm]],MIN(250,LEN(combinedMaturityTable[[#This Row],[DSm]]))),CHAR(160)," ")))</f>
        <v>Data is disposed of or destroyed according to documented requirements and within expected time frames.</v>
      </c>
    </row>
    <row r="243" spans="2:13" hidden="1" x14ac:dyDescent="0.25">
      <c r="B243" s="252" t="str">
        <f>'Cybersecurity Controls'!$M$58</f>
        <v>Cybersecurity Controls</v>
      </c>
      <c r="C243" s="252" t="str">
        <f>'Cybersecurity Controls'!$A$58</f>
        <v>Preventative Controls</v>
      </c>
      <c r="D243" s="252" t="str">
        <f>'Cybersecurity Controls'!$B$58</f>
        <v>Access and Data Management</v>
      </c>
      <c r="E243" s="252" t="str">
        <f>'Cybersecurity Controls'!$C$58</f>
        <v>Evolving</v>
      </c>
      <c r="F243" s="252">
        <f>'Cybersecurity Controls'!$D$58</f>
        <v>0</v>
      </c>
      <c r="G243" s="252">
        <f>'Cybersecurity Controls'!$N$58</f>
        <v>0</v>
      </c>
      <c r="H243" s="252">
        <f>'Cybersecurity Controls'!$O$58</f>
        <v>0</v>
      </c>
      <c r="I243" s="252">
        <f>'Cybersecurity Controls'!$P$58</f>
        <v>0</v>
      </c>
      <c r="J243" s="252">
        <f>'Cybersecurity Controls'!$Q$58</f>
        <v>0</v>
      </c>
      <c r="K243" t="s">
        <v>315</v>
      </c>
      <c r="L243" t="str">
        <f>IF(combinedMaturityTable[[#This Row],[Maturity Level]]="Baseline",LEFT(combinedMaturityTable[[#This Row],[DS]],FIND("(FFIEC ",combinedMaturityTable[[#This Row],[DS]])-1),"")</f>
        <v/>
      </c>
      <c r="M243" s="293" t="str">
        <f>CLEAN(TRIM(SUBSTITUTE(LEFT(combinedMaturityTable[[#This Row],[DSm]],MIN(250,LEN(combinedMaturityTable[[#This Row],[DSm]]))),CHAR(160)," ")))</f>
        <v/>
      </c>
    </row>
    <row r="244" spans="2:13" hidden="1" x14ac:dyDescent="0.25">
      <c r="B244" s="252" t="str">
        <f>'Cybersecurity Controls'!$M$59</f>
        <v>Cybersecurity Controls</v>
      </c>
      <c r="C244" s="252" t="str">
        <f>'Cybersecurity Controls'!$A$59</f>
        <v>Preventative Controls</v>
      </c>
      <c r="D244" s="252" t="str">
        <f>'Cybersecurity Controls'!$B$59</f>
        <v>Access and Data Management</v>
      </c>
      <c r="E244" s="252" t="str">
        <f>'Cybersecurity Controls'!$C$59</f>
        <v>Evolving</v>
      </c>
      <c r="F244" s="252">
        <f>'Cybersecurity Controls'!$D$59</f>
        <v>0</v>
      </c>
      <c r="G244" s="252">
        <f>'Cybersecurity Controls'!$N$59</f>
        <v>0</v>
      </c>
      <c r="H244" s="252">
        <f>'Cybersecurity Controls'!$O$59</f>
        <v>0</v>
      </c>
      <c r="I244" s="252">
        <f>'Cybersecurity Controls'!$P$59</f>
        <v>0</v>
      </c>
      <c r="J244" s="252">
        <f>'Cybersecurity Controls'!$Q$59</f>
        <v>0</v>
      </c>
      <c r="K244" t="s">
        <v>316</v>
      </c>
      <c r="L244" t="str">
        <f>IF(combinedMaturityTable[[#This Row],[Maturity Level]]="Baseline",LEFT(combinedMaturityTable[[#This Row],[DS]],FIND("(FFIEC ",combinedMaturityTable[[#This Row],[DS]])-1),"")</f>
        <v/>
      </c>
      <c r="M244" s="293" t="str">
        <f>CLEAN(TRIM(SUBSTITUTE(LEFT(combinedMaturityTable[[#This Row],[DSm]],MIN(250,LEN(combinedMaturityTable[[#This Row],[DSm]]))),CHAR(160)," ")))</f>
        <v/>
      </c>
    </row>
    <row r="245" spans="2:13" hidden="1" x14ac:dyDescent="0.25">
      <c r="B245" s="252" t="str">
        <f>'Cybersecurity Controls'!$M$60</f>
        <v>Cybersecurity Controls</v>
      </c>
      <c r="C245" s="252" t="str">
        <f>'Cybersecurity Controls'!$A$60</f>
        <v>Preventative Controls</v>
      </c>
      <c r="D245" s="252" t="str">
        <f>'Cybersecurity Controls'!$B$60</f>
        <v>Access and Data Management</v>
      </c>
      <c r="E245" s="252" t="str">
        <f>'Cybersecurity Controls'!$C$60</f>
        <v>Evolving</v>
      </c>
      <c r="F245" s="252">
        <f>'Cybersecurity Controls'!$D$60</f>
        <v>0</v>
      </c>
      <c r="G245" s="252">
        <f>'Cybersecurity Controls'!$N$60</f>
        <v>0</v>
      </c>
      <c r="H245" s="252">
        <f>'Cybersecurity Controls'!$O$60</f>
        <v>0</v>
      </c>
      <c r="I245" s="252">
        <f>'Cybersecurity Controls'!$P$60</f>
        <v>0</v>
      </c>
      <c r="J245" s="252">
        <f>'Cybersecurity Controls'!$Q$60</f>
        <v>0</v>
      </c>
      <c r="K245" t="s">
        <v>317</v>
      </c>
      <c r="L245" t="str">
        <f>IF(combinedMaturityTable[[#This Row],[Maturity Level]]="Baseline",LEFT(combinedMaturityTable[[#This Row],[DS]],FIND("(FFIEC ",combinedMaturityTable[[#This Row],[DS]])-1),"")</f>
        <v/>
      </c>
      <c r="M245" s="293" t="str">
        <f>CLEAN(TRIM(SUBSTITUTE(LEFT(combinedMaturityTable[[#This Row],[DSm]],MIN(250,LEN(combinedMaturityTable[[#This Row],[DSm]]))),CHAR(160)," ")))</f>
        <v/>
      </c>
    </row>
    <row r="246" spans="2:13" hidden="1" x14ac:dyDescent="0.25">
      <c r="B246" s="252" t="str">
        <f>'Cybersecurity Controls'!$M$61</f>
        <v>Cybersecurity Controls</v>
      </c>
      <c r="C246" s="252" t="str">
        <f>'Cybersecurity Controls'!$A$61</f>
        <v>Preventative Controls</v>
      </c>
      <c r="D246" s="252" t="str">
        <f>'Cybersecurity Controls'!$B$61</f>
        <v>Access and Data Management</v>
      </c>
      <c r="E246" s="252" t="str">
        <f>'Cybersecurity Controls'!$C$61</f>
        <v>Evolving</v>
      </c>
      <c r="F246" s="252">
        <f>'Cybersecurity Controls'!$D$61</f>
        <v>0</v>
      </c>
      <c r="G246" s="252">
        <f>'Cybersecurity Controls'!$N$61</f>
        <v>0</v>
      </c>
      <c r="H246" s="252">
        <f>'Cybersecurity Controls'!$O$61</f>
        <v>0</v>
      </c>
      <c r="I246" s="252">
        <f>'Cybersecurity Controls'!$P$61</f>
        <v>0</v>
      </c>
      <c r="J246" s="252">
        <f>'Cybersecurity Controls'!$Q$61</f>
        <v>0</v>
      </c>
      <c r="K246" t="s">
        <v>318</v>
      </c>
      <c r="L246" t="str">
        <f>IF(combinedMaturityTable[[#This Row],[Maturity Level]]="Baseline",LEFT(combinedMaturityTable[[#This Row],[DS]],FIND("(FFIEC ",combinedMaturityTable[[#This Row],[DS]])-1),"")</f>
        <v/>
      </c>
      <c r="M246" s="293" t="str">
        <f>CLEAN(TRIM(SUBSTITUTE(LEFT(combinedMaturityTable[[#This Row],[DSm]],MIN(250,LEN(combinedMaturityTable[[#This Row],[DSm]]))),CHAR(160)," ")))</f>
        <v/>
      </c>
    </row>
    <row r="247" spans="2:13" hidden="1" x14ac:dyDescent="0.25">
      <c r="B247" s="252" t="str">
        <f>'Cybersecurity Controls'!$M$62</f>
        <v>Cybersecurity Controls</v>
      </c>
      <c r="C247" s="252" t="str">
        <f>'Cybersecurity Controls'!$A$62</f>
        <v>Preventative Controls</v>
      </c>
      <c r="D247" s="252" t="str">
        <f>'Cybersecurity Controls'!$B$62</f>
        <v>Access and Data Management</v>
      </c>
      <c r="E247" s="252" t="str">
        <f>'Cybersecurity Controls'!$C$62</f>
        <v>Evolving</v>
      </c>
      <c r="F247" s="252">
        <f>'Cybersecurity Controls'!$D$62</f>
        <v>0</v>
      </c>
      <c r="G247" s="252">
        <f>'Cybersecurity Controls'!$N$62</f>
        <v>0</v>
      </c>
      <c r="H247" s="252">
        <f>'Cybersecurity Controls'!$O$62</f>
        <v>0</v>
      </c>
      <c r="I247" s="252">
        <f>'Cybersecurity Controls'!$P$62</f>
        <v>0</v>
      </c>
      <c r="J247" s="252">
        <f>'Cybersecurity Controls'!$Q$62</f>
        <v>0</v>
      </c>
      <c r="K247" t="s">
        <v>319</v>
      </c>
      <c r="L247" t="str">
        <f>IF(combinedMaturityTable[[#This Row],[Maturity Level]]="Baseline",LEFT(combinedMaturityTable[[#This Row],[DS]],FIND("(FFIEC ",combinedMaturityTable[[#This Row],[DS]])-1),"")</f>
        <v/>
      </c>
      <c r="M247" s="293" t="str">
        <f>CLEAN(TRIM(SUBSTITUTE(LEFT(combinedMaturityTable[[#This Row],[DSm]],MIN(250,LEN(combinedMaturityTable[[#This Row],[DSm]]))),CHAR(160)," ")))</f>
        <v/>
      </c>
    </row>
    <row r="248" spans="2:13" hidden="1" x14ac:dyDescent="0.25">
      <c r="B248" s="252" t="str">
        <f>'Cybersecurity Controls'!$M$63</f>
        <v>Cybersecurity Controls</v>
      </c>
      <c r="C248" s="252" t="str">
        <f>'Cybersecurity Controls'!$A$63</f>
        <v>Preventative Controls</v>
      </c>
      <c r="D248" s="252" t="str">
        <f>'Cybersecurity Controls'!$B$63</f>
        <v>Access and Data Management</v>
      </c>
      <c r="E248" s="252" t="str">
        <f>'Cybersecurity Controls'!$C$63</f>
        <v>Intermediate</v>
      </c>
      <c r="F248" s="252">
        <f>'Cybersecurity Controls'!$D$63</f>
        <v>0</v>
      </c>
      <c r="G248" s="252">
        <f>'Cybersecurity Controls'!$N$63</f>
        <v>0</v>
      </c>
      <c r="H248" s="252">
        <f>'Cybersecurity Controls'!$O$63</f>
        <v>0</v>
      </c>
      <c r="I248" s="252">
        <f>'Cybersecurity Controls'!$P$63</f>
        <v>0</v>
      </c>
      <c r="J248" s="252">
        <f>'Cybersecurity Controls'!$Q$63</f>
        <v>0</v>
      </c>
      <c r="K248" t="s">
        <v>320</v>
      </c>
      <c r="L248" t="str">
        <f>IF(combinedMaturityTable[[#This Row],[Maturity Level]]="Baseline",LEFT(combinedMaturityTable[[#This Row],[DS]],FIND("(FFIEC ",combinedMaturityTable[[#This Row],[DS]])-1),"")</f>
        <v/>
      </c>
      <c r="M248" s="293" t="str">
        <f>CLEAN(TRIM(SUBSTITUTE(LEFT(combinedMaturityTable[[#This Row],[DSm]],MIN(250,LEN(combinedMaturityTable[[#This Row],[DSm]]))),CHAR(160)," ")))</f>
        <v/>
      </c>
    </row>
    <row r="249" spans="2:13" hidden="1" x14ac:dyDescent="0.25">
      <c r="B249" s="252" t="str">
        <f>'Cybersecurity Controls'!$M$64</f>
        <v>Cybersecurity Controls</v>
      </c>
      <c r="C249" s="252" t="str">
        <f>'Cybersecurity Controls'!$A$64</f>
        <v>Preventative Controls</v>
      </c>
      <c r="D249" s="252" t="str">
        <f>'Cybersecurity Controls'!$B$64</f>
        <v>Access and Data Management</v>
      </c>
      <c r="E249" s="252" t="str">
        <f>'Cybersecurity Controls'!$C$64</f>
        <v>Intermediate</v>
      </c>
      <c r="F249" s="252">
        <f>'Cybersecurity Controls'!$D$64</f>
        <v>0</v>
      </c>
      <c r="G249" s="252">
        <f>'Cybersecurity Controls'!$N$64</f>
        <v>0</v>
      </c>
      <c r="H249" s="252">
        <f>'Cybersecurity Controls'!$O$64</f>
        <v>0</v>
      </c>
      <c r="I249" s="252">
        <f>'Cybersecurity Controls'!$P$64</f>
        <v>0</v>
      </c>
      <c r="J249" s="252">
        <f>'Cybersecurity Controls'!$Q$64</f>
        <v>0</v>
      </c>
      <c r="K249" t="s">
        <v>321</v>
      </c>
      <c r="L249" t="str">
        <f>IF(combinedMaturityTable[[#This Row],[Maturity Level]]="Baseline",LEFT(combinedMaturityTable[[#This Row],[DS]],FIND("(FFIEC ",combinedMaturityTable[[#This Row],[DS]])-1),"")</f>
        <v/>
      </c>
      <c r="M249" s="293" t="str">
        <f>CLEAN(TRIM(SUBSTITUTE(LEFT(combinedMaturityTable[[#This Row],[DSm]],MIN(250,LEN(combinedMaturityTable[[#This Row],[DSm]]))),CHAR(160)," ")))</f>
        <v/>
      </c>
    </row>
    <row r="250" spans="2:13" hidden="1" x14ac:dyDescent="0.25">
      <c r="B250" s="252" t="str">
        <f>'Cybersecurity Controls'!$M$65</f>
        <v>Cybersecurity Controls</v>
      </c>
      <c r="C250" s="252" t="str">
        <f>'Cybersecurity Controls'!$A$65</f>
        <v>Preventative Controls</v>
      </c>
      <c r="D250" s="252" t="str">
        <f>'Cybersecurity Controls'!$B$65</f>
        <v>Access and Data Management</v>
      </c>
      <c r="E250" s="252" t="str">
        <f>'Cybersecurity Controls'!$C$65</f>
        <v>Intermediate</v>
      </c>
      <c r="F250" s="252">
        <f>'Cybersecurity Controls'!$D$65</f>
        <v>0</v>
      </c>
      <c r="G250" s="252">
        <f>'Cybersecurity Controls'!$N$65</f>
        <v>0</v>
      </c>
      <c r="H250" s="252">
        <f>'Cybersecurity Controls'!$O$65</f>
        <v>0</v>
      </c>
      <c r="I250" s="252">
        <f>'Cybersecurity Controls'!$P$65</f>
        <v>0</v>
      </c>
      <c r="J250" s="252">
        <f>'Cybersecurity Controls'!$Q$65</f>
        <v>0</v>
      </c>
      <c r="K250" t="s">
        <v>322</v>
      </c>
      <c r="L250" t="str">
        <f>IF(combinedMaturityTable[[#This Row],[Maturity Level]]="Baseline",LEFT(combinedMaturityTable[[#This Row],[DS]],FIND("(FFIEC ",combinedMaturityTable[[#This Row],[DS]])-1),"")</f>
        <v/>
      </c>
      <c r="M250" s="293" t="str">
        <f>CLEAN(TRIM(SUBSTITUTE(LEFT(combinedMaturityTable[[#This Row],[DSm]],MIN(250,LEN(combinedMaturityTable[[#This Row],[DSm]]))),CHAR(160)," ")))</f>
        <v/>
      </c>
    </row>
    <row r="251" spans="2:13" hidden="1" x14ac:dyDescent="0.25">
      <c r="B251" s="252" t="str">
        <f>'Cybersecurity Controls'!$M$66</f>
        <v>Cybersecurity Controls</v>
      </c>
      <c r="C251" s="252" t="str">
        <f>'Cybersecurity Controls'!$A$66</f>
        <v>Preventative Controls</v>
      </c>
      <c r="D251" s="252" t="str">
        <f>'Cybersecurity Controls'!$B$66</f>
        <v>Access and Data Management</v>
      </c>
      <c r="E251" s="252" t="str">
        <f>'Cybersecurity Controls'!$C$66</f>
        <v>Intermediate</v>
      </c>
      <c r="F251" s="252">
        <f>'Cybersecurity Controls'!$D$66</f>
        <v>0</v>
      </c>
      <c r="G251" s="252">
        <f>'Cybersecurity Controls'!$N$66</f>
        <v>0</v>
      </c>
      <c r="H251" s="252">
        <f>'Cybersecurity Controls'!$O$66</f>
        <v>0</v>
      </c>
      <c r="I251" s="252">
        <f>'Cybersecurity Controls'!$P$66</f>
        <v>0</v>
      </c>
      <c r="J251" s="252">
        <f>'Cybersecurity Controls'!$Q$66</f>
        <v>0</v>
      </c>
      <c r="K251" t="s">
        <v>323</v>
      </c>
      <c r="L251" t="str">
        <f>IF(combinedMaturityTable[[#This Row],[Maturity Level]]="Baseline",LEFT(combinedMaturityTable[[#This Row],[DS]],FIND("(FFIEC ",combinedMaturityTable[[#This Row],[DS]])-1),"")</f>
        <v/>
      </c>
      <c r="M251" s="293" t="str">
        <f>CLEAN(TRIM(SUBSTITUTE(LEFT(combinedMaturityTable[[#This Row],[DSm]],MIN(250,LEN(combinedMaturityTable[[#This Row],[DSm]]))),CHAR(160)," ")))</f>
        <v/>
      </c>
    </row>
    <row r="252" spans="2:13" hidden="1" x14ac:dyDescent="0.25">
      <c r="B252" s="252" t="str">
        <f>'Cybersecurity Controls'!$M$67</f>
        <v>Cybersecurity Controls</v>
      </c>
      <c r="C252" s="252" t="str">
        <f>'Cybersecurity Controls'!$A$67</f>
        <v>Preventative Controls</v>
      </c>
      <c r="D252" s="252" t="str">
        <f>'Cybersecurity Controls'!$B$67</f>
        <v>Access and Data Management</v>
      </c>
      <c r="E252" s="252" t="str">
        <f>'Cybersecurity Controls'!$C$67</f>
        <v>Intermediate</v>
      </c>
      <c r="F252" s="252">
        <f>'Cybersecurity Controls'!$D$67</f>
        <v>0</v>
      </c>
      <c r="G252" s="252">
        <f>'Cybersecurity Controls'!$N$67</f>
        <v>0</v>
      </c>
      <c r="H252" s="252">
        <f>'Cybersecurity Controls'!$O$67</f>
        <v>0</v>
      </c>
      <c r="I252" s="252">
        <f>'Cybersecurity Controls'!$P$67</f>
        <v>0</v>
      </c>
      <c r="J252" s="252">
        <f>'Cybersecurity Controls'!$Q$67</f>
        <v>0</v>
      </c>
      <c r="K252" t="s">
        <v>324</v>
      </c>
      <c r="L252" t="str">
        <f>IF(combinedMaturityTable[[#This Row],[Maturity Level]]="Baseline",LEFT(combinedMaturityTable[[#This Row],[DS]],FIND("(FFIEC ",combinedMaturityTable[[#This Row],[DS]])-1),"")</f>
        <v/>
      </c>
      <c r="M252" s="293" t="str">
        <f>CLEAN(TRIM(SUBSTITUTE(LEFT(combinedMaturityTable[[#This Row],[DSm]],MIN(250,LEN(combinedMaturityTable[[#This Row],[DSm]]))),CHAR(160)," ")))</f>
        <v/>
      </c>
    </row>
    <row r="253" spans="2:13" hidden="1" x14ac:dyDescent="0.25">
      <c r="B253" s="252" t="str">
        <f>'Cybersecurity Controls'!$M$68</f>
        <v>Cybersecurity Controls</v>
      </c>
      <c r="C253" s="252" t="str">
        <f>'Cybersecurity Controls'!$A$68</f>
        <v>Preventative Controls</v>
      </c>
      <c r="D253" s="252" t="str">
        <f>'Cybersecurity Controls'!$B$68</f>
        <v>Access and Data Management</v>
      </c>
      <c r="E253" s="252" t="str">
        <f>'Cybersecurity Controls'!$C$68</f>
        <v>Intermediate</v>
      </c>
      <c r="F253" s="252">
        <f>'Cybersecurity Controls'!$D$68</f>
        <v>0</v>
      </c>
      <c r="G253" s="252">
        <f>'Cybersecurity Controls'!$N$68</f>
        <v>0</v>
      </c>
      <c r="H253" s="252">
        <f>'Cybersecurity Controls'!$O$68</f>
        <v>0</v>
      </c>
      <c r="I253" s="252">
        <f>'Cybersecurity Controls'!$P$68</f>
        <v>0</v>
      </c>
      <c r="J253" s="252">
        <f>'Cybersecurity Controls'!$Q$68</f>
        <v>0</v>
      </c>
      <c r="K253" t="s">
        <v>325</v>
      </c>
      <c r="L253" t="str">
        <f>IF(combinedMaturityTable[[#This Row],[Maturity Level]]="Baseline",LEFT(combinedMaturityTable[[#This Row],[DS]],FIND("(FFIEC ",combinedMaturityTable[[#This Row],[DS]])-1),"")</f>
        <v/>
      </c>
      <c r="M253" s="293" t="str">
        <f>CLEAN(TRIM(SUBSTITUTE(LEFT(combinedMaturityTable[[#This Row],[DSm]],MIN(250,LEN(combinedMaturityTable[[#This Row],[DSm]]))),CHAR(160)," ")))</f>
        <v/>
      </c>
    </row>
    <row r="254" spans="2:13" hidden="1" x14ac:dyDescent="0.25">
      <c r="B254" s="252" t="str">
        <f>'Cybersecurity Controls'!$M$69</f>
        <v>Cybersecurity Controls</v>
      </c>
      <c r="C254" s="252" t="str">
        <f>'Cybersecurity Controls'!$A$69</f>
        <v>Preventative Controls</v>
      </c>
      <c r="D254" s="252" t="str">
        <f>'Cybersecurity Controls'!$B$69</f>
        <v>Access and Data Management</v>
      </c>
      <c r="E254" s="252" t="str">
        <f>'Cybersecurity Controls'!$C$69</f>
        <v>Intermediate</v>
      </c>
      <c r="F254" s="252">
        <f>'Cybersecurity Controls'!$D$69</f>
        <v>0</v>
      </c>
      <c r="G254" s="252">
        <f>'Cybersecurity Controls'!$N$69</f>
        <v>0</v>
      </c>
      <c r="H254" s="252">
        <f>'Cybersecurity Controls'!$O$69</f>
        <v>0</v>
      </c>
      <c r="I254" s="252">
        <f>'Cybersecurity Controls'!$P$69</f>
        <v>0</v>
      </c>
      <c r="J254" s="252">
        <f>'Cybersecurity Controls'!$Q$69</f>
        <v>0</v>
      </c>
      <c r="K254" t="s">
        <v>326</v>
      </c>
      <c r="L254" t="str">
        <f>IF(combinedMaturityTable[[#This Row],[Maturity Level]]="Baseline",LEFT(combinedMaturityTable[[#This Row],[DS]],FIND("(FFIEC ",combinedMaturityTable[[#This Row],[DS]])-1),"")</f>
        <v/>
      </c>
      <c r="M254" s="293" t="str">
        <f>CLEAN(TRIM(SUBSTITUTE(LEFT(combinedMaturityTable[[#This Row],[DSm]],MIN(250,LEN(combinedMaturityTable[[#This Row],[DSm]]))),CHAR(160)," ")))</f>
        <v/>
      </c>
    </row>
    <row r="255" spans="2:13" hidden="1" x14ac:dyDescent="0.25">
      <c r="B255" s="252" t="str">
        <f>'Cybersecurity Controls'!$M$70</f>
        <v>Cybersecurity Controls</v>
      </c>
      <c r="C255" s="252" t="str">
        <f>'Cybersecurity Controls'!$A$70</f>
        <v>Preventative Controls</v>
      </c>
      <c r="D255" s="252" t="str">
        <f>'Cybersecurity Controls'!$B$70</f>
        <v>Access and Data Management</v>
      </c>
      <c r="E255" s="252" t="str">
        <f>'Cybersecurity Controls'!$C$70</f>
        <v>Intermediate</v>
      </c>
      <c r="F255" s="252">
        <f>'Cybersecurity Controls'!$D$70</f>
        <v>0</v>
      </c>
      <c r="G255" s="252">
        <f>'Cybersecurity Controls'!$N$70</f>
        <v>0</v>
      </c>
      <c r="H255" s="252">
        <f>'Cybersecurity Controls'!$O$70</f>
        <v>0</v>
      </c>
      <c r="I255" s="252">
        <f>'Cybersecurity Controls'!$P$70</f>
        <v>0</v>
      </c>
      <c r="J255" s="252">
        <f>'Cybersecurity Controls'!$Q$70</f>
        <v>0</v>
      </c>
      <c r="K255" t="s">
        <v>327</v>
      </c>
      <c r="L255" t="str">
        <f>IF(combinedMaturityTable[[#This Row],[Maturity Level]]="Baseline",LEFT(combinedMaturityTable[[#This Row],[DS]],FIND("(FFIEC ",combinedMaturityTable[[#This Row],[DS]])-1),"")</f>
        <v/>
      </c>
      <c r="M255" s="293" t="str">
        <f>CLEAN(TRIM(SUBSTITUTE(LEFT(combinedMaturityTable[[#This Row],[DSm]],MIN(250,LEN(combinedMaturityTable[[#This Row],[DSm]]))),CHAR(160)," ")))</f>
        <v/>
      </c>
    </row>
    <row r="256" spans="2:13" hidden="1" x14ac:dyDescent="0.25">
      <c r="B256" s="252" t="str">
        <f>'Cybersecurity Controls'!$M$71</f>
        <v>Cybersecurity Controls</v>
      </c>
      <c r="C256" s="252" t="str">
        <f>'Cybersecurity Controls'!$A$71</f>
        <v>Preventative Controls</v>
      </c>
      <c r="D256" s="252" t="str">
        <f>'Cybersecurity Controls'!$B$71</f>
        <v>Access and Data Management</v>
      </c>
      <c r="E256" s="252" t="str">
        <f>'Cybersecurity Controls'!$C$71</f>
        <v>Advanced</v>
      </c>
      <c r="F256" s="252">
        <f>'Cybersecurity Controls'!$D$71</f>
        <v>0</v>
      </c>
      <c r="G256" s="252">
        <f>'Cybersecurity Controls'!$N$71</f>
        <v>0</v>
      </c>
      <c r="H256" s="252">
        <f>'Cybersecurity Controls'!$O$71</f>
        <v>0</v>
      </c>
      <c r="I256" s="252">
        <f>'Cybersecurity Controls'!$P$71</f>
        <v>0</v>
      </c>
      <c r="J256" s="252">
        <f>'Cybersecurity Controls'!$Q$71</f>
        <v>0</v>
      </c>
      <c r="K256" t="s">
        <v>328</v>
      </c>
      <c r="L256" t="str">
        <f>IF(combinedMaturityTable[[#This Row],[Maturity Level]]="Baseline",LEFT(combinedMaturityTable[[#This Row],[DS]],FIND("(FFIEC ",combinedMaturityTable[[#This Row],[DS]])-1),"")</f>
        <v/>
      </c>
      <c r="M256" s="293" t="str">
        <f>CLEAN(TRIM(SUBSTITUTE(LEFT(combinedMaturityTable[[#This Row],[DSm]],MIN(250,LEN(combinedMaturityTable[[#This Row],[DSm]]))),CHAR(160)," ")))</f>
        <v/>
      </c>
    </row>
    <row r="257" spans="2:13" hidden="1" x14ac:dyDescent="0.25">
      <c r="B257" s="252" t="str">
        <f>'Cybersecurity Controls'!$M$72</f>
        <v>Cybersecurity Controls</v>
      </c>
      <c r="C257" s="252" t="str">
        <f>'Cybersecurity Controls'!$A$72</f>
        <v>Preventative Controls</v>
      </c>
      <c r="D257" s="252" t="str">
        <f>'Cybersecurity Controls'!$B$72</f>
        <v>Access and Data Management</v>
      </c>
      <c r="E257" s="252" t="str">
        <f>'Cybersecurity Controls'!$C$72</f>
        <v>Advanced</v>
      </c>
      <c r="F257" s="252">
        <f>'Cybersecurity Controls'!$D$72</f>
        <v>0</v>
      </c>
      <c r="G257" s="252">
        <f>'Cybersecurity Controls'!$N$72</f>
        <v>0</v>
      </c>
      <c r="H257" s="252">
        <f>'Cybersecurity Controls'!$O$72</f>
        <v>0</v>
      </c>
      <c r="I257" s="252">
        <f>'Cybersecurity Controls'!$P$72</f>
        <v>0</v>
      </c>
      <c r="J257" s="252">
        <f>'Cybersecurity Controls'!$Q$72</f>
        <v>0</v>
      </c>
      <c r="K257" t="s">
        <v>329</v>
      </c>
      <c r="L257" t="str">
        <f>IF(combinedMaturityTable[[#This Row],[Maturity Level]]="Baseline",LEFT(combinedMaturityTable[[#This Row],[DS]],FIND("(FFIEC ",combinedMaturityTable[[#This Row],[DS]])-1),"")</f>
        <v/>
      </c>
      <c r="M257" s="293" t="str">
        <f>CLEAN(TRIM(SUBSTITUTE(LEFT(combinedMaturityTable[[#This Row],[DSm]],MIN(250,LEN(combinedMaturityTable[[#This Row],[DSm]]))),CHAR(160)," ")))</f>
        <v/>
      </c>
    </row>
    <row r="258" spans="2:13" hidden="1" x14ac:dyDescent="0.25">
      <c r="B258" s="252" t="str">
        <f>'Cybersecurity Controls'!$M$73</f>
        <v>Cybersecurity Controls</v>
      </c>
      <c r="C258" s="252" t="str">
        <f>'Cybersecurity Controls'!$A$73</f>
        <v>Preventative Controls</v>
      </c>
      <c r="D258" s="252" t="str">
        <f>'Cybersecurity Controls'!$B$73</f>
        <v>Access and Data Management</v>
      </c>
      <c r="E258" s="252" t="str">
        <f>'Cybersecurity Controls'!$C$73</f>
        <v>Innovative</v>
      </c>
      <c r="F258" s="252">
        <f>'Cybersecurity Controls'!$D$73</f>
        <v>0</v>
      </c>
      <c r="G258" s="252">
        <f>'Cybersecurity Controls'!$N$73</f>
        <v>0</v>
      </c>
      <c r="H258" s="252">
        <f>'Cybersecurity Controls'!$O$73</f>
        <v>0</v>
      </c>
      <c r="I258" s="252">
        <f>'Cybersecurity Controls'!$P$73</f>
        <v>0</v>
      </c>
      <c r="J258" s="252">
        <f>'Cybersecurity Controls'!$Q$73</f>
        <v>0</v>
      </c>
      <c r="K258" t="s">
        <v>330</v>
      </c>
      <c r="L258" t="str">
        <f>IF(combinedMaturityTable[[#This Row],[Maturity Level]]="Baseline",LEFT(combinedMaturityTable[[#This Row],[DS]],FIND("(FFIEC ",combinedMaturityTable[[#This Row],[DS]])-1),"")</f>
        <v/>
      </c>
      <c r="M258" s="293" t="str">
        <f>CLEAN(TRIM(SUBSTITUTE(LEFT(combinedMaturityTable[[#This Row],[DSm]],MIN(250,LEN(combinedMaturityTable[[#This Row],[DSm]]))),CHAR(160)," ")))</f>
        <v/>
      </c>
    </row>
    <row r="259" spans="2:13" hidden="1" x14ac:dyDescent="0.25">
      <c r="B259" s="252" t="str">
        <f>'Cybersecurity Controls'!$M$74</f>
        <v>Cybersecurity Controls</v>
      </c>
      <c r="C259" s="252" t="str">
        <f>'Cybersecurity Controls'!$A$74</f>
        <v>Preventative Controls</v>
      </c>
      <c r="D259" s="252" t="str">
        <f>'Cybersecurity Controls'!$B$74</f>
        <v>Access and Data Management</v>
      </c>
      <c r="E259" s="252" t="str">
        <f>'Cybersecurity Controls'!$C$74</f>
        <v>Innovative</v>
      </c>
      <c r="F259" s="252">
        <f>'Cybersecurity Controls'!$D$74</f>
        <v>0</v>
      </c>
      <c r="G259" s="252">
        <f>'Cybersecurity Controls'!$N$74</f>
        <v>0</v>
      </c>
      <c r="H259" s="252">
        <f>'Cybersecurity Controls'!$O$74</f>
        <v>0</v>
      </c>
      <c r="I259" s="252">
        <f>'Cybersecurity Controls'!$P$74</f>
        <v>0</v>
      </c>
      <c r="J259" s="252">
        <f>'Cybersecurity Controls'!$Q$74</f>
        <v>0</v>
      </c>
      <c r="K259" t="s">
        <v>331</v>
      </c>
      <c r="L259" t="str">
        <f>IF(combinedMaturityTable[[#This Row],[Maturity Level]]="Baseline",LEFT(combinedMaturityTable[[#This Row],[DS]],FIND("(FFIEC ",combinedMaturityTable[[#This Row],[DS]])-1),"")</f>
        <v/>
      </c>
      <c r="M259" s="293" t="str">
        <f>CLEAN(TRIM(SUBSTITUTE(LEFT(combinedMaturityTable[[#This Row],[DSm]],MIN(250,LEN(combinedMaturityTable[[#This Row],[DSm]]))),CHAR(160)," ")))</f>
        <v/>
      </c>
    </row>
    <row r="260" spans="2:13" hidden="1" x14ac:dyDescent="0.25">
      <c r="B260" s="252" t="str">
        <f>'Cybersecurity Controls'!$M$75</f>
        <v>Cybersecurity Controls</v>
      </c>
      <c r="C260" s="252" t="str">
        <f>'Cybersecurity Controls'!$A$75</f>
        <v>Preventative Controls</v>
      </c>
      <c r="D260" s="252" t="str">
        <f>'Cybersecurity Controls'!$B$75</f>
        <v>Access and Data Management</v>
      </c>
      <c r="E260" s="252" t="str">
        <f>'Cybersecurity Controls'!$C$75</f>
        <v>Innovative</v>
      </c>
      <c r="F260" s="252">
        <f>'Cybersecurity Controls'!$D$75</f>
        <v>0</v>
      </c>
      <c r="G260" s="252">
        <f>'Cybersecurity Controls'!$N$75</f>
        <v>0</v>
      </c>
      <c r="H260" s="252">
        <f>'Cybersecurity Controls'!$O$75</f>
        <v>0</v>
      </c>
      <c r="I260" s="252">
        <f>'Cybersecurity Controls'!$P$75</f>
        <v>0</v>
      </c>
      <c r="J260" s="252">
        <f>'Cybersecurity Controls'!$Q$75</f>
        <v>0</v>
      </c>
      <c r="K260" t="s">
        <v>332</v>
      </c>
      <c r="L260" t="str">
        <f>IF(combinedMaturityTable[[#This Row],[Maturity Level]]="Baseline",LEFT(combinedMaturityTable[[#This Row],[DS]],FIND("(FFIEC ",combinedMaturityTable[[#This Row],[DS]])-1),"")</f>
        <v/>
      </c>
      <c r="M260" s="293" t="str">
        <f>CLEAN(TRIM(SUBSTITUTE(LEFT(combinedMaturityTable[[#This Row],[DSm]],MIN(250,LEN(combinedMaturityTable[[#This Row],[DSm]]))),CHAR(160)," ")))</f>
        <v/>
      </c>
    </row>
    <row r="261" spans="2:13" hidden="1" x14ac:dyDescent="0.25">
      <c r="B261" s="252" t="str">
        <f>'Cybersecurity Controls'!$M$76</f>
        <v>Cybersecurity Controls</v>
      </c>
      <c r="C261" s="252" t="str">
        <f>'Cybersecurity Controls'!$A$76</f>
        <v>Preventative Controls</v>
      </c>
      <c r="D261" s="252" t="str">
        <f>'Cybersecurity Controls'!$B$76</f>
        <v>Access and Data Management</v>
      </c>
      <c r="E261" s="252" t="str">
        <f>'Cybersecurity Controls'!$C$76</f>
        <v>Innovative</v>
      </c>
      <c r="F261" s="252">
        <f>'Cybersecurity Controls'!$D$76</f>
        <v>0</v>
      </c>
      <c r="G261" s="252">
        <f>'Cybersecurity Controls'!$N$76</f>
        <v>0</v>
      </c>
      <c r="H261" s="252">
        <f>'Cybersecurity Controls'!$O$76</f>
        <v>0</v>
      </c>
      <c r="I261" s="252">
        <f>'Cybersecurity Controls'!$P$76</f>
        <v>0</v>
      </c>
      <c r="J261" s="252">
        <f>'Cybersecurity Controls'!$Q$76</f>
        <v>0</v>
      </c>
      <c r="K261" t="s">
        <v>333</v>
      </c>
      <c r="L261" t="str">
        <f>IF(combinedMaturityTable[[#This Row],[Maturity Level]]="Baseline",LEFT(combinedMaturityTable[[#This Row],[DS]],FIND("(FFIEC ",combinedMaturityTable[[#This Row],[DS]])-1),"")</f>
        <v/>
      </c>
      <c r="M261" s="293" t="str">
        <f>CLEAN(TRIM(SUBSTITUTE(LEFT(combinedMaturityTable[[#This Row],[DSm]],MIN(250,LEN(combinedMaturityTable[[#This Row],[DSm]]))),CHAR(160)," ")))</f>
        <v/>
      </c>
    </row>
    <row r="262" spans="2:13" hidden="1" x14ac:dyDescent="0.25">
      <c r="B262" s="252" t="str">
        <f>'Cybersecurity Controls'!$M$77</f>
        <v>Cybersecurity Controls</v>
      </c>
      <c r="C262" s="252" t="str">
        <f>'Cybersecurity Controls'!$A$77</f>
        <v>Preventative Controls</v>
      </c>
      <c r="D262" s="252" t="str">
        <f>'Cybersecurity Controls'!$B$77</f>
        <v>Access and Data Management</v>
      </c>
      <c r="E262" s="252" t="str">
        <f>'Cybersecurity Controls'!$C$77</f>
        <v>Innovative</v>
      </c>
      <c r="F262" s="252">
        <f>'Cybersecurity Controls'!$D$77</f>
        <v>0</v>
      </c>
      <c r="G262" s="252">
        <f>'Cybersecurity Controls'!$N$77</f>
        <v>0</v>
      </c>
      <c r="H262" s="252">
        <f>'Cybersecurity Controls'!$O$77</f>
        <v>0</v>
      </c>
      <c r="I262" s="252">
        <f>'Cybersecurity Controls'!$P$77</f>
        <v>0</v>
      </c>
      <c r="J262" s="252">
        <f>'Cybersecurity Controls'!$Q$77</f>
        <v>0</v>
      </c>
      <c r="K262" t="s">
        <v>334</v>
      </c>
      <c r="L262" t="str">
        <f>IF(combinedMaturityTable[[#This Row],[Maturity Level]]="Baseline",LEFT(combinedMaturityTable[[#This Row],[DS]],FIND("(FFIEC ",combinedMaturityTable[[#This Row],[DS]])-1),"")</f>
        <v/>
      </c>
      <c r="M262" s="293" t="str">
        <f>CLEAN(TRIM(SUBSTITUTE(LEFT(combinedMaturityTable[[#This Row],[DSm]],MIN(250,LEN(combinedMaturityTable[[#This Row],[DSm]]))),CHAR(160)," ")))</f>
        <v/>
      </c>
    </row>
    <row r="263" spans="2:13" x14ac:dyDescent="0.25">
      <c r="B263" s="252" t="str">
        <f>'Cybersecurity Controls'!$M$78</f>
        <v>Cybersecurity Controls</v>
      </c>
      <c r="C263" s="252" t="str">
        <f>'Cybersecurity Controls'!$A$78</f>
        <v>Preventative Controls</v>
      </c>
      <c r="D263" s="252" t="str">
        <f>'Cybersecurity Controls'!$B$78</f>
        <v>Device/End-Point Security</v>
      </c>
      <c r="E263" s="252" t="str">
        <f>'Cybersecurity Controls'!$C$78</f>
        <v>Baseline</v>
      </c>
      <c r="F263" s="252">
        <f>'Cybersecurity Controls'!$D$78</f>
        <v>0</v>
      </c>
      <c r="G263" s="252">
        <f>'Cybersecurity Controls'!$N$78</f>
        <v>0</v>
      </c>
      <c r="H263" s="252">
        <f>'Cybersecurity Controls'!$O$78</f>
        <v>0</v>
      </c>
      <c r="I263" s="252">
        <f>'Cybersecurity Controls'!$P$78</f>
        <v>0</v>
      </c>
      <c r="J263" s="252">
        <f>'Cybersecurity Controls'!$Q$78</f>
        <v>0</v>
      </c>
      <c r="K263" t="s">
        <v>336</v>
      </c>
      <c r="L263" t="str">
        <f>IF(combinedMaturityTable[[#This Row],[Maturity Level]]="Baseline",LEFT(combinedMaturityTable[[#This Row],[DS]],FIND("(FFIEC ",combinedMaturityTable[[#This Row],[DS]])-1),"")</f>
        <v xml:space="preserve">Controls are in place to restrict the use of removable media to authorized personnel. </v>
      </c>
      <c r="M263" s="293" t="str">
        <f>CLEAN(TRIM(SUBSTITUTE(LEFT(combinedMaturityTable[[#This Row],[DSm]],MIN(250,LEN(combinedMaturityTable[[#This Row],[DSm]]))),CHAR(160)," ")))</f>
        <v>Controls are in place to restrict the use of removable media to authorized personnel.</v>
      </c>
    </row>
    <row r="264" spans="2:13" hidden="1" x14ac:dyDescent="0.25">
      <c r="B264" s="252" t="str">
        <f>'Cybersecurity Controls'!$M$79</f>
        <v>Cybersecurity Controls</v>
      </c>
      <c r="C264" s="252" t="str">
        <f>'Cybersecurity Controls'!$A$79</f>
        <v>Preventative Controls</v>
      </c>
      <c r="D264" s="252" t="str">
        <f>'Cybersecurity Controls'!$B$79</f>
        <v>Device/End-Point Security</v>
      </c>
      <c r="E264" s="252" t="str">
        <f>'Cybersecurity Controls'!$C$79</f>
        <v>Evolving</v>
      </c>
      <c r="F264" s="252">
        <f>'Cybersecurity Controls'!$D$79</f>
        <v>0</v>
      </c>
      <c r="G264" s="252">
        <f>'Cybersecurity Controls'!$N$79</f>
        <v>0</v>
      </c>
      <c r="H264" s="252">
        <f>'Cybersecurity Controls'!$O$79</f>
        <v>0</v>
      </c>
      <c r="I264" s="252">
        <f>'Cybersecurity Controls'!$P$79</f>
        <v>0</v>
      </c>
      <c r="J264" s="252">
        <f>'Cybersecurity Controls'!$Q$79</f>
        <v>0</v>
      </c>
      <c r="K264" t="s">
        <v>337</v>
      </c>
      <c r="L264" t="str">
        <f>IF(combinedMaturityTable[[#This Row],[Maturity Level]]="Baseline",LEFT(combinedMaturityTable[[#This Row],[DS]],FIND("(FFIEC ",combinedMaturityTable[[#This Row],[DS]])-1),"")</f>
        <v/>
      </c>
      <c r="M264" s="293" t="str">
        <f>CLEAN(TRIM(SUBSTITUTE(LEFT(combinedMaturityTable[[#This Row],[DSm]],MIN(250,LEN(combinedMaturityTable[[#This Row],[DSm]]))),CHAR(160)," ")))</f>
        <v/>
      </c>
    </row>
    <row r="265" spans="2:13" hidden="1" x14ac:dyDescent="0.25">
      <c r="B265" s="252" t="str">
        <f>'Cybersecurity Controls'!$M$80</f>
        <v>Cybersecurity Controls</v>
      </c>
      <c r="C265" s="252" t="str">
        <f>'Cybersecurity Controls'!$A$80</f>
        <v>Preventative Controls</v>
      </c>
      <c r="D265" s="252" t="str">
        <f>'Cybersecurity Controls'!$B$80</f>
        <v>Device/End-Point Security</v>
      </c>
      <c r="E265" s="252" t="str">
        <f>'Cybersecurity Controls'!$C$80</f>
        <v>Evolving</v>
      </c>
      <c r="F265" s="252">
        <f>'Cybersecurity Controls'!$D$80</f>
        <v>0</v>
      </c>
      <c r="G265" s="252">
        <f>'Cybersecurity Controls'!$N$80</f>
        <v>0</v>
      </c>
      <c r="H265" s="252">
        <f>'Cybersecurity Controls'!$O$80</f>
        <v>0</v>
      </c>
      <c r="I265" s="252">
        <f>'Cybersecurity Controls'!$P$80</f>
        <v>0</v>
      </c>
      <c r="J265" s="252">
        <f>'Cybersecurity Controls'!$Q$80</f>
        <v>0</v>
      </c>
      <c r="K265" t="s">
        <v>338</v>
      </c>
      <c r="L265" t="str">
        <f>IF(combinedMaturityTable[[#This Row],[Maturity Level]]="Baseline",LEFT(combinedMaturityTable[[#This Row],[DS]],FIND("(FFIEC ",combinedMaturityTable[[#This Row],[DS]])-1),"")</f>
        <v/>
      </c>
      <c r="M265" s="293" t="str">
        <f>CLEAN(TRIM(SUBSTITUTE(LEFT(combinedMaturityTable[[#This Row],[DSm]],MIN(250,LEN(combinedMaturityTable[[#This Row],[DSm]]))),CHAR(160)," ")))</f>
        <v/>
      </c>
    </row>
    <row r="266" spans="2:13" hidden="1" x14ac:dyDescent="0.25">
      <c r="B266" s="252" t="str">
        <f>'Cybersecurity Controls'!$M$81</f>
        <v>Cybersecurity Controls</v>
      </c>
      <c r="C266" s="252" t="str">
        <f>'Cybersecurity Controls'!$A$81</f>
        <v>Preventative Controls</v>
      </c>
      <c r="D266" s="252" t="str">
        <f>'Cybersecurity Controls'!$B$81</f>
        <v>Device/End-Point Security</v>
      </c>
      <c r="E266" s="252" t="str">
        <f>'Cybersecurity Controls'!$C$81</f>
        <v>Evolving</v>
      </c>
      <c r="F266" s="252">
        <f>'Cybersecurity Controls'!$D$81</f>
        <v>0</v>
      </c>
      <c r="G266" s="252">
        <f>'Cybersecurity Controls'!$N$81</f>
        <v>0</v>
      </c>
      <c r="H266" s="252">
        <f>'Cybersecurity Controls'!$O$81</f>
        <v>0</v>
      </c>
      <c r="I266" s="252">
        <f>'Cybersecurity Controls'!$P$81</f>
        <v>0</v>
      </c>
      <c r="J266" s="252">
        <f>'Cybersecurity Controls'!$Q$81</f>
        <v>0</v>
      </c>
      <c r="K266" t="s">
        <v>339</v>
      </c>
      <c r="L266" t="str">
        <f>IF(combinedMaturityTable[[#This Row],[Maturity Level]]="Baseline",LEFT(combinedMaturityTable[[#This Row],[DS]],FIND("(FFIEC ",combinedMaturityTable[[#This Row],[DS]])-1),"")</f>
        <v/>
      </c>
      <c r="M266" s="293" t="str">
        <f>CLEAN(TRIM(SUBSTITUTE(LEFT(combinedMaturityTable[[#This Row],[DSm]],MIN(250,LEN(combinedMaturityTable[[#This Row],[DSm]]))),CHAR(160)," ")))</f>
        <v/>
      </c>
    </row>
    <row r="267" spans="2:13" hidden="1" x14ac:dyDescent="0.25">
      <c r="B267" s="252" t="str">
        <f>'Cybersecurity Controls'!$M$82</f>
        <v>Cybersecurity Controls</v>
      </c>
      <c r="C267" s="252" t="str">
        <f>'Cybersecurity Controls'!$A$82</f>
        <v>Preventative Controls</v>
      </c>
      <c r="D267" s="252" t="str">
        <f>'Cybersecurity Controls'!$B$82</f>
        <v>Device/End-Point Security</v>
      </c>
      <c r="E267" s="252" t="str">
        <f>'Cybersecurity Controls'!$C$82</f>
        <v>Evolving</v>
      </c>
      <c r="F267" s="252">
        <f>'Cybersecurity Controls'!$D$82</f>
        <v>0</v>
      </c>
      <c r="G267" s="252">
        <f>'Cybersecurity Controls'!$N$82</f>
        <v>0</v>
      </c>
      <c r="H267" s="252">
        <f>'Cybersecurity Controls'!$O$82</f>
        <v>0</v>
      </c>
      <c r="I267" s="252">
        <f>'Cybersecurity Controls'!$P$82</f>
        <v>0</v>
      </c>
      <c r="J267" s="252">
        <f>'Cybersecurity Controls'!$Q$82</f>
        <v>0</v>
      </c>
      <c r="K267" t="s">
        <v>340</v>
      </c>
      <c r="L267" t="str">
        <f>IF(combinedMaturityTable[[#This Row],[Maturity Level]]="Baseline",LEFT(combinedMaturityTable[[#This Row],[DS]],FIND("(FFIEC ",combinedMaturityTable[[#This Row],[DS]])-1),"")</f>
        <v/>
      </c>
      <c r="M267" s="293" t="str">
        <f>CLEAN(TRIM(SUBSTITUTE(LEFT(combinedMaturityTable[[#This Row],[DSm]],MIN(250,LEN(combinedMaturityTable[[#This Row],[DSm]]))),CHAR(160)," ")))</f>
        <v/>
      </c>
    </row>
    <row r="268" spans="2:13" hidden="1" x14ac:dyDescent="0.25">
      <c r="B268" s="252" t="str">
        <f>'Cybersecurity Controls'!$M$83</f>
        <v>Cybersecurity Controls</v>
      </c>
      <c r="C268" s="252" t="str">
        <f>'Cybersecurity Controls'!$A$83</f>
        <v>Preventative Controls</v>
      </c>
      <c r="D268" s="252" t="str">
        <f>'Cybersecurity Controls'!$B$83</f>
        <v>Device/End-Point Security</v>
      </c>
      <c r="E268" s="252" t="str">
        <f>'Cybersecurity Controls'!$C$83</f>
        <v>Evolving</v>
      </c>
      <c r="F268" s="252">
        <f>'Cybersecurity Controls'!$D$83</f>
        <v>0</v>
      </c>
      <c r="G268" s="252">
        <f>'Cybersecurity Controls'!$N$83</f>
        <v>0</v>
      </c>
      <c r="H268" s="252">
        <f>'Cybersecurity Controls'!$O$83</f>
        <v>0</v>
      </c>
      <c r="I268" s="252">
        <f>'Cybersecurity Controls'!$P$83</f>
        <v>0</v>
      </c>
      <c r="J268" s="252">
        <f>'Cybersecurity Controls'!$Q$83</f>
        <v>0</v>
      </c>
      <c r="K268" t="s">
        <v>341</v>
      </c>
      <c r="L268" t="str">
        <f>IF(combinedMaturityTable[[#This Row],[Maturity Level]]="Baseline",LEFT(combinedMaturityTable[[#This Row],[DS]],FIND("(FFIEC ",combinedMaturityTable[[#This Row],[DS]])-1),"")</f>
        <v/>
      </c>
      <c r="M268" s="293" t="str">
        <f>CLEAN(TRIM(SUBSTITUTE(LEFT(combinedMaturityTable[[#This Row],[DSm]],MIN(250,LEN(combinedMaturityTable[[#This Row],[DSm]]))),CHAR(160)," ")))</f>
        <v/>
      </c>
    </row>
    <row r="269" spans="2:13" hidden="1" x14ac:dyDescent="0.25">
      <c r="B269" s="252" t="str">
        <f>'Cybersecurity Controls'!$M$84</f>
        <v>Cybersecurity Controls</v>
      </c>
      <c r="C269" s="252" t="str">
        <f>'Cybersecurity Controls'!$A$84</f>
        <v>Preventative Controls</v>
      </c>
      <c r="D269" s="252" t="str">
        <f>'Cybersecurity Controls'!$B$84</f>
        <v>Device/End-Point Security</v>
      </c>
      <c r="E269" s="252" t="str">
        <f>'Cybersecurity Controls'!$C$84</f>
        <v>Evolving</v>
      </c>
      <c r="F269" s="252">
        <f>'Cybersecurity Controls'!$D$84</f>
        <v>0</v>
      </c>
      <c r="G269" s="252">
        <f>'Cybersecurity Controls'!$N$84</f>
        <v>0</v>
      </c>
      <c r="H269" s="252">
        <f>'Cybersecurity Controls'!$O$84</f>
        <v>0</v>
      </c>
      <c r="I269" s="252">
        <f>'Cybersecurity Controls'!$P$84</f>
        <v>0</v>
      </c>
      <c r="J269" s="252">
        <f>'Cybersecurity Controls'!$Q$84</f>
        <v>0</v>
      </c>
      <c r="K269" t="s">
        <v>342</v>
      </c>
      <c r="L269" t="str">
        <f>IF(combinedMaturityTable[[#This Row],[Maturity Level]]="Baseline",LEFT(combinedMaturityTable[[#This Row],[DS]],FIND("(FFIEC ",combinedMaturityTable[[#This Row],[DS]])-1),"")</f>
        <v/>
      </c>
      <c r="M269" s="293" t="str">
        <f>CLEAN(TRIM(SUBSTITUTE(LEFT(combinedMaturityTable[[#This Row],[DSm]],MIN(250,LEN(combinedMaturityTable[[#This Row],[DSm]]))),CHAR(160)," ")))</f>
        <v/>
      </c>
    </row>
    <row r="270" spans="2:13" hidden="1" x14ac:dyDescent="0.25">
      <c r="B270" s="252" t="str">
        <f>'Cybersecurity Controls'!$M$85</f>
        <v>Cybersecurity Controls</v>
      </c>
      <c r="C270" s="252" t="str">
        <f>'Cybersecurity Controls'!$A$85</f>
        <v>Preventative Controls</v>
      </c>
      <c r="D270" s="252" t="str">
        <f>'Cybersecurity Controls'!$B$85</f>
        <v>Device/End-Point Security</v>
      </c>
      <c r="E270" s="252" t="str">
        <f>'Cybersecurity Controls'!$C$85</f>
        <v>Evolving</v>
      </c>
      <c r="F270" s="252">
        <f>'Cybersecurity Controls'!$D$85</f>
        <v>0</v>
      </c>
      <c r="G270" s="252">
        <f>'Cybersecurity Controls'!$N$85</f>
        <v>0</v>
      </c>
      <c r="H270" s="252">
        <f>'Cybersecurity Controls'!$O$85</f>
        <v>0</v>
      </c>
      <c r="I270" s="252">
        <f>'Cybersecurity Controls'!$P$85</f>
        <v>0</v>
      </c>
      <c r="J270" s="252">
        <f>'Cybersecurity Controls'!$Q$85</f>
        <v>0</v>
      </c>
      <c r="K270" t="s">
        <v>343</v>
      </c>
      <c r="L270" t="str">
        <f>IF(combinedMaturityTable[[#This Row],[Maturity Level]]="Baseline",LEFT(combinedMaturityTable[[#This Row],[DS]],FIND("(FFIEC ",combinedMaturityTable[[#This Row],[DS]])-1),"")</f>
        <v/>
      </c>
      <c r="M270" s="293" t="str">
        <f>CLEAN(TRIM(SUBSTITUTE(LEFT(combinedMaturityTable[[#This Row],[DSm]],MIN(250,LEN(combinedMaturityTable[[#This Row],[DSm]]))),CHAR(160)," ")))</f>
        <v/>
      </c>
    </row>
    <row r="271" spans="2:13" hidden="1" x14ac:dyDescent="0.25">
      <c r="B271" s="252" t="str">
        <f>'Cybersecurity Controls'!$M$86</f>
        <v>Cybersecurity Controls</v>
      </c>
      <c r="C271" s="252" t="str">
        <f>'Cybersecurity Controls'!$A$86</f>
        <v>Preventative Controls</v>
      </c>
      <c r="D271" s="252" t="str">
        <f>'Cybersecurity Controls'!$B$86</f>
        <v>Device/End-Point Security</v>
      </c>
      <c r="E271" s="252" t="str">
        <f>'Cybersecurity Controls'!$C$86</f>
        <v>Intermediate</v>
      </c>
      <c r="F271" s="252">
        <f>'Cybersecurity Controls'!$D$86</f>
        <v>0</v>
      </c>
      <c r="G271" s="252">
        <f>'Cybersecurity Controls'!$N$86</f>
        <v>0</v>
      </c>
      <c r="H271" s="252">
        <f>'Cybersecurity Controls'!$O$86</f>
        <v>0</v>
      </c>
      <c r="I271" s="252">
        <f>'Cybersecurity Controls'!$P$86</f>
        <v>0</v>
      </c>
      <c r="J271" s="252">
        <f>'Cybersecurity Controls'!$Q$86</f>
        <v>0</v>
      </c>
      <c r="K271" t="s">
        <v>344</v>
      </c>
      <c r="L271" t="str">
        <f>IF(combinedMaturityTable[[#This Row],[Maturity Level]]="Baseline",LEFT(combinedMaturityTable[[#This Row],[DS]],FIND("(FFIEC ",combinedMaturityTable[[#This Row],[DS]])-1),"")</f>
        <v/>
      </c>
      <c r="M271" s="293" t="str">
        <f>CLEAN(TRIM(SUBSTITUTE(LEFT(combinedMaturityTable[[#This Row],[DSm]],MIN(250,LEN(combinedMaturityTable[[#This Row],[DSm]]))),CHAR(160)," ")))</f>
        <v/>
      </c>
    </row>
    <row r="272" spans="2:13" hidden="1" x14ac:dyDescent="0.25">
      <c r="B272" s="252" t="str">
        <f>'Cybersecurity Controls'!$M$87</f>
        <v>Cybersecurity Controls</v>
      </c>
      <c r="C272" s="252" t="str">
        <f>'Cybersecurity Controls'!$A$87</f>
        <v>Preventative Controls</v>
      </c>
      <c r="D272" s="252" t="str">
        <f>'Cybersecurity Controls'!$B$87</f>
        <v>Device/End-Point Security</v>
      </c>
      <c r="E272" s="252" t="str">
        <f>'Cybersecurity Controls'!$C$87</f>
        <v>Intermediate</v>
      </c>
      <c r="F272" s="252">
        <f>'Cybersecurity Controls'!$D$87</f>
        <v>0</v>
      </c>
      <c r="G272" s="252">
        <f>'Cybersecurity Controls'!$N$87</f>
        <v>0</v>
      </c>
      <c r="H272" s="252">
        <f>'Cybersecurity Controls'!$O$87</f>
        <v>0</v>
      </c>
      <c r="I272" s="252">
        <f>'Cybersecurity Controls'!$P$87</f>
        <v>0</v>
      </c>
      <c r="J272" s="252">
        <f>'Cybersecurity Controls'!$Q$87</f>
        <v>0</v>
      </c>
      <c r="K272" t="s">
        <v>345</v>
      </c>
      <c r="L272" t="str">
        <f>IF(combinedMaturityTable[[#This Row],[Maturity Level]]="Baseline",LEFT(combinedMaturityTable[[#This Row],[DS]],FIND("(FFIEC ",combinedMaturityTable[[#This Row],[DS]])-1),"")</f>
        <v/>
      </c>
      <c r="M272" s="293" t="str">
        <f>CLEAN(TRIM(SUBSTITUTE(LEFT(combinedMaturityTable[[#This Row],[DSm]],MIN(250,LEN(combinedMaturityTable[[#This Row],[DSm]]))),CHAR(160)," ")))</f>
        <v/>
      </c>
    </row>
    <row r="273" spans="2:13" hidden="1" x14ac:dyDescent="0.25">
      <c r="B273" s="252" t="str">
        <f>'Cybersecurity Controls'!$M$88</f>
        <v>Cybersecurity Controls</v>
      </c>
      <c r="C273" s="252" t="str">
        <f>'Cybersecurity Controls'!$A$88</f>
        <v>Preventative Controls</v>
      </c>
      <c r="D273" s="252" t="str">
        <f>'Cybersecurity Controls'!$B$88</f>
        <v>Device/End-Point Security</v>
      </c>
      <c r="E273" s="252" t="str">
        <f>'Cybersecurity Controls'!$C$88</f>
        <v>Intermediate</v>
      </c>
      <c r="F273" s="252">
        <f>'Cybersecurity Controls'!$D$88</f>
        <v>0</v>
      </c>
      <c r="G273" s="252">
        <f>'Cybersecurity Controls'!$N$88</f>
        <v>0</v>
      </c>
      <c r="H273" s="252">
        <f>'Cybersecurity Controls'!$O$88</f>
        <v>0</v>
      </c>
      <c r="I273" s="252">
        <f>'Cybersecurity Controls'!$P$88</f>
        <v>0</v>
      </c>
      <c r="J273" s="252">
        <f>'Cybersecurity Controls'!$Q$88</f>
        <v>0</v>
      </c>
      <c r="K273" t="s">
        <v>346</v>
      </c>
      <c r="L273" t="str">
        <f>IF(combinedMaturityTable[[#This Row],[Maturity Level]]="Baseline",LEFT(combinedMaturityTable[[#This Row],[DS]],FIND("(FFIEC ",combinedMaturityTable[[#This Row],[DS]])-1),"")</f>
        <v/>
      </c>
      <c r="M273" s="293" t="str">
        <f>CLEAN(TRIM(SUBSTITUTE(LEFT(combinedMaturityTable[[#This Row],[DSm]],MIN(250,LEN(combinedMaturityTable[[#This Row],[DSm]]))),CHAR(160)," ")))</f>
        <v/>
      </c>
    </row>
    <row r="274" spans="2:13" hidden="1" x14ac:dyDescent="0.25">
      <c r="B274" s="252" t="str">
        <f>'Cybersecurity Controls'!$M$89</f>
        <v>Cybersecurity Controls</v>
      </c>
      <c r="C274" s="252" t="str">
        <f>'Cybersecurity Controls'!$A$89</f>
        <v>Preventative Controls</v>
      </c>
      <c r="D274" s="252" t="str">
        <f>'Cybersecurity Controls'!$B$89</f>
        <v>Device/End-Point Security</v>
      </c>
      <c r="E274" s="252" t="str">
        <f>'Cybersecurity Controls'!$C$89</f>
        <v>Advanced</v>
      </c>
      <c r="F274" s="252">
        <f>'Cybersecurity Controls'!$D$89</f>
        <v>0</v>
      </c>
      <c r="G274" s="252">
        <f>'Cybersecurity Controls'!$N$89</f>
        <v>0</v>
      </c>
      <c r="H274" s="252">
        <f>'Cybersecurity Controls'!$O$89</f>
        <v>0</v>
      </c>
      <c r="I274" s="252">
        <f>'Cybersecurity Controls'!$P$89</f>
        <v>0</v>
      </c>
      <c r="J274" s="252">
        <f>'Cybersecurity Controls'!$Q$89</f>
        <v>0</v>
      </c>
      <c r="K274" t="s">
        <v>347</v>
      </c>
      <c r="L274" t="str">
        <f>IF(combinedMaturityTable[[#This Row],[Maturity Level]]="Baseline",LEFT(combinedMaturityTable[[#This Row],[DS]],FIND("(FFIEC ",combinedMaturityTable[[#This Row],[DS]])-1),"")</f>
        <v/>
      </c>
      <c r="M274" s="293" t="str">
        <f>CLEAN(TRIM(SUBSTITUTE(LEFT(combinedMaturityTable[[#This Row],[DSm]],MIN(250,LEN(combinedMaturityTable[[#This Row],[DSm]]))),CHAR(160)," ")))</f>
        <v/>
      </c>
    </row>
    <row r="275" spans="2:13" hidden="1" x14ac:dyDescent="0.25">
      <c r="B275" s="252" t="str">
        <f>'Cybersecurity Controls'!$M$90</f>
        <v>Cybersecurity Controls</v>
      </c>
      <c r="C275" s="252" t="str">
        <f>'Cybersecurity Controls'!$A$90</f>
        <v>Preventative Controls</v>
      </c>
      <c r="D275" s="252" t="str">
        <f>'Cybersecurity Controls'!$B$90</f>
        <v>Device/End-Point Security</v>
      </c>
      <c r="E275" s="252" t="str">
        <f>'Cybersecurity Controls'!$C$90</f>
        <v>Advanced</v>
      </c>
      <c r="F275" s="252">
        <f>'Cybersecurity Controls'!$D$90</f>
        <v>0</v>
      </c>
      <c r="G275" s="252">
        <f>'Cybersecurity Controls'!$N$90</f>
        <v>0</v>
      </c>
      <c r="H275" s="252">
        <f>'Cybersecurity Controls'!$O$90</f>
        <v>0</v>
      </c>
      <c r="I275" s="252">
        <f>'Cybersecurity Controls'!$P$90</f>
        <v>0</v>
      </c>
      <c r="J275" s="252">
        <f>'Cybersecurity Controls'!$Q$90</f>
        <v>0</v>
      </c>
      <c r="K275" t="s">
        <v>348</v>
      </c>
      <c r="L275" t="str">
        <f>IF(combinedMaturityTable[[#This Row],[Maturity Level]]="Baseline",LEFT(combinedMaturityTable[[#This Row],[DS]],FIND("(FFIEC ",combinedMaturityTable[[#This Row],[DS]])-1),"")</f>
        <v/>
      </c>
      <c r="M275" s="293" t="str">
        <f>CLEAN(TRIM(SUBSTITUTE(LEFT(combinedMaturityTable[[#This Row],[DSm]],MIN(250,LEN(combinedMaturityTable[[#This Row],[DSm]]))),CHAR(160)," ")))</f>
        <v/>
      </c>
    </row>
    <row r="276" spans="2:13" hidden="1" x14ac:dyDescent="0.25">
      <c r="B276" s="252" t="str">
        <f>'Cybersecurity Controls'!$M$91</f>
        <v>Cybersecurity Controls</v>
      </c>
      <c r="C276" s="252" t="str">
        <f>'Cybersecurity Controls'!$A$91</f>
        <v>Preventative Controls</v>
      </c>
      <c r="D276" s="252" t="str">
        <f>'Cybersecurity Controls'!$B$91</f>
        <v>Device/End-Point Security</v>
      </c>
      <c r="E276" s="252" t="str">
        <f>'Cybersecurity Controls'!$C$91</f>
        <v>Innovative</v>
      </c>
      <c r="F276" s="252">
        <f>'Cybersecurity Controls'!$D$91</f>
        <v>0</v>
      </c>
      <c r="G276" s="252">
        <f>'Cybersecurity Controls'!$N$91</f>
        <v>0</v>
      </c>
      <c r="H276" s="252">
        <f>'Cybersecurity Controls'!$O$91</f>
        <v>0</v>
      </c>
      <c r="I276" s="252">
        <f>'Cybersecurity Controls'!$P$91</f>
        <v>0</v>
      </c>
      <c r="J276" s="252">
        <f>'Cybersecurity Controls'!$Q$91</f>
        <v>0</v>
      </c>
      <c r="K276" t="s">
        <v>349</v>
      </c>
      <c r="L276" t="str">
        <f>IF(combinedMaturityTable[[#This Row],[Maturity Level]]="Baseline",LEFT(combinedMaturityTable[[#This Row],[DS]],FIND("(FFIEC ",combinedMaturityTable[[#This Row],[DS]])-1),"")</f>
        <v/>
      </c>
      <c r="M276" s="293" t="str">
        <f>CLEAN(TRIM(SUBSTITUTE(LEFT(combinedMaturityTable[[#This Row],[DSm]],MIN(250,LEN(combinedMaturityTable[[#This Row],[DSm]]))),CHAR(160)," ")))</f>
        <v/>
      </c>
    </row>
    <row r="277" spans="2:13" x14ac:dyDescent="0.25">
      <c r="B277" s="252" t="str">
        <f>'Cybersecurity Controls'!$M$92</f>
        <v>Cybersecurity Controls</v>
      </c>
      <c r="C277" s="252" t="str">
        <f>'Cybersecurity Controls'!$A$92</f>
        <v>Preventative Controls</v>
      </c>
      <c r="D277" s="252" t="str">
        <f>'Cybersecurity Controls'!$B$92</f>
        <v>Secure Coding</v>
      </c>
      <c r="E277" s="252" t="str">
        <f>'Cybersecurity Controls'!$C$92</f>
        <v>Baseline</v>
      </c>
      <c r="F277" s="252">
        <f>'Cybersecurity Controls'!$D$92</f>
        <v>0</v>
      </c>
      <c r="G277" s="252">
        <f>'Cybersecurity Controls'!$N$92</f>
        <v>0</v>
      </c>
      <c r="H277" s="252">
        <f>'Cybersecurity Controls'!$O$92</f>
        <v>0</v>
      </c>
      <c r="I277" s="252">
        <f>'Cybersecurity Controls'!$P$92</f>
        <v>0</v>
      </c>
      <c r="J277" s="252">
        <f>'Cybersecurity Controls'!$Q$92</f>
        <v>0</v>
      </c>
      <c r="K277" t="s">
        <v>351</v>
      </c>
      <c r="L277" t="str">
        <f>IF(combinedMaturityTable[[#This Row],[Maturity Level]]="Baseline",LEFT(combinedMaturityTable[[#This Row],[DS]],FIND("(FFIEC ",combinedMaturityTable[[#This Row],[DS]])-1),"")</f>
        <v xml:space="preserve">Developers working for the institution follow secure program coding practices, as part of a system development life cycle (SDLC), that meet industry standards. </v>
      </c>
      <c r="M277" s="293" t="str">
        <f>CLEAN(TRIM(SUBSTITUTE(LEFT(combinedMaturityTable[[#This Row],[DSm]],MIN(250,LEN(combinedMaturityTable[[#This Row],[DSm]]))),CHAR(160)," ")))</f>
        <v>Developers working for the institution follow secure program coding practices, as part of a system development life cycle (SDLC), that meet industry standards.</v>
      </c>
    </row>
    <row r="278" spans="2:13" x14ac:dyDescent="0.25">
      <c r="B278" s="252" t="str">
        <f>'Cybersecurity Controls'!$M$93</f>
        <v>Cybersecurity Controls</v>
      </c>
      <c r="C278" s="252" t="str">
        <f>'Cybersecurity Controls'!$A$93</f>
        <v>Preventative Controls</v>
      </c>
      <c r="D278" s="252" t="str">
        <f>'Cybersecurity Controls'!$B$93</f>
        <v>Secure Coding</v>
      </c>
      <c r="E278" s="252" t="str">
        <f>'Cybersecurity Controls'!$C$93</f>
        <v>Baseline</v>
      </c>
      <c r="F278" s="252">
        <f>'Cybersecurity Controls'!$D$93</f>
        <v>0</v>
      </c>
      <c r="G278" s="252">
        <f>'Cybersecurity Controls'!$N$93</f>
        <v>0</v>
      </c>
      <c r="H278" s="252">
        <f>'Cybersecurity Controls'!$O$93</f>
        <v>0</v>
      </c>
      <c r="I278" s="252">
        <f>'Cybersecurity Controls'!$P$93</f>
        <v>0</v>
      </c>
      <c r="J278" s="252">
        <f>'Cybersecurity Controls'!$Q$93</f>
        <v>0</v>
      </c>
      <c r="K278" t="s">
        <v>352</v>
      </c>
      <c r="L278" t="str">
        <f>IF(combinedMaturityTable[[#This Row],[Maturity Level]]="Baseline",LEFT(combinedMaturityTable[[#This Row],[DS]],FIND("(FFIEC ",combinedMaturityTable[[#This Row],[DS]])-1),"")</f>
        <v xml:space="preserve">The security controls of internally developed software are periodically reviewed and tested. (*N/A if there is no software development.) </v>
      </c>
      <c r="M278" s="293" t="str">
        <f>CLEAN(TRIM(SUBSTITUTE(LEFT(combinedMaturityTable[[#This Row],[DSm]],MIN(250,LEN(combinedMaturityTable[[#This Row],[DSm]]))),CHAR(160)," ")))</f>
        <v>The security controls of internally developed software are periodically reviewed and tested. (*N/A if there is no software development.)</v>
      </c>
    </row>
    <row r="279" spans="2:13" x14ac:dyDescent="0.25">
      <c r="B279" s="252" t="str">
        <f>'Cybersecurity Controls'!$M$94</f>
        <v>Cybersecurity Controls</v>
      </c>
      <c r="C279" s="252" t="str">
        <f>'Cybersecurity Controls'!$A$94</f>
        <v>Preventative Controls</v>
      </c>
      <c r="D279" s="252" t="str">
        <f>'Cybersecurity Controls'!$B$94</f>
        <v>Secure Coding</v>
      </c>
      <c r="E279" s="252" t="str">
        <f>'Cybersecurity Controls'!$C$94</f>
        <v>Baseline</v>
      </c>
      <c r="F279" s="252">
        <f>'Cybersecurity Controls'!$D$94</f>
        <v>0</v>
      </c>
      <c r="G279" s="252">
        <f>'Cybersecurity Controls'!$N$94</f>
        <v>0</v>
      </c>
      <c r="H279" s="252">
        <f>'Cybersecurity Controls'!$O$94</f>
        <v>0</v>
      </c>
      <c r="I279" s="252">
        <f>'Cybersecurity Controls'!$P$94</f>
        <v>0</v>
      </c>
      <c r="J279" s="252">
        <f>'Cybersecurity Controls'!$Q$94</f>
        <v>0</v>
      </c>
      <c r="K279" t="s">
        <v>353</v>
      </c>
      <c r="L279" t="str">
        <f>IF(combinedMaturityTable[[#This Row],[Maturity Level]]="Baseline",LEFT(combinedMaturityTable[[#This Row],[DS]],FIND("(FFIEC ",combinedMaturityTable[[#This Row],[DS]])-1),"")</f>
        <v xml:space="preserve">The security controls in internally developed software code are independently reviewed before migrating the code to production. (*N/A if there is no software development.) </v>
      </c>
      <c r="M279" s="293" t="str">
        <f>CLEAN(TRIM(SUBSTITUTE(LEFT(combinedMaturityTable[[#This Row],[DSm]],MIN(250,LEN(combinedMaturityTable[[#This Row],[DSm]]))),CHAR(160)," ")))</f>
        <v>The security controls in internally developed software code are independently reviewed before migrating the code to production. (*N/A if there is no software development.)</v>
      </c>
    </row>
    <row r="280" spans="2:13" x14ac:dyDescent="0.25">
      <c r="B280" s="252" t="str">
        <f>'Cybersecurity Controls'!$M$95</f>
        <v>Cybersecurity Controls</v>
      </c>
      <c r="C280" s="252" t="str">
        <f>'Cybersecurity Controls'!$A$95</f>
        <v>Preventative Controls</v>
      </c>
      <c r="D280" s="252" t="str">
        <f>'Cybersecurity Controls'!$B$95</f>
        <v>Secure Coding</v>
      </c>
      <c r="E280" s="252" t="str">
        <f>'Cybersecurity Controls'!$C$95</f>
        <v>Baseline</v>
      </c>
      <c r="F280" s="252">
        <f>'Cybersecurity Controls'!$D$95</f>
        <v>0</v>
      </c>
      <c r="G280" s="252">
        <f>'Cybersecurity Controls'!$N$95</f>
        <v>0</v>
      </c>
      <c r="H280" s="252">
        <f>'Cybersecurity Controls'!$O$95</f>
        <v>0</v>
      </c>
      <c r="I280" s="252">
        <f>'Cybersecurity Controls'!$P$95</f>
        <v>0</v>
      </c>
      <c r="J280" s="252">
        <f>'Cybersecurity Controls'!$Q$95</f>
        <v>0</v>
      </c>
      <c r="K280" t="s">
        <v>354</v>
      </c>
      <c r="L280" t="str">
        <f>IF(combinedMaturityTable[[#This Row],[Maturity Level]]="Baseline",LEFT(combinedMaturityTable[[#This Row],[DS]],FIND("(FFIEC ",combinedMaturityTable[[#This Row],[DS]])-1),"")</f>
        <v xml:space="preserve">Intellectual property and production code are held in escrow. (*N/A if there is no production code to hold in escrow.) </v>
      </c>
      <c r="M280" s="293" t="str">
        <f>CLEAN(TRIM(SUBSTITUTE(LEFT(combinedMaturityTable[[#This Row],[DSm]],MIN(250,LEN(combinedMaturityTable[[#This Row],[DSm]]))),CHAR(160)," ")))</f>
        <v>Intellectual property and production code are held in escrow. (*N/A if there is no production code to hold in escrow.)</v>
      </c>
    </row>
    <row r="281" spans="2:13" hidden="1" x14ac:dyDescent="0.25">
      <c r="B281" s="252" t="str">
        <f>'Cybersecurity Controls'!$M$96</f>
        <v>Cybersecurity Controls</v>
      </c>
      <c r="C281" s="252" t="str">
        <f>'Cybersecurity Controls'!$A$96</f>
        <v>Preventative Controls</v>
      </c>
      <c r="D281" s="252" t="str">
        <f>'Cybersecurity Controls'!$B$96</f>
        <v>Secure Coding</v>
      </c>
      <c r="E281" s="252" t="str">
        <f>'Cybersecurity Controls'!$C$96</f>
        <v>Evolving</v>
      </c>
      <c r="F281" s="252">
        <f>'Cybersecurity Controls'!$D$96</f>
        <v>0</v>
      </c>
      <c r="G281" s="252">
        <f>'Cybersecurity Controls'!$N$96</f>
        <v>0</v>
      </c>
      <c r="H281" s="252">
        <f>'Cybersecurity Controls'!$O$96</f>
        <v>0</v>
      </c>
      <c r="I281" s="252">
        <f>'Cybersecurity Controls'!$P$96</f>
        <v>0</v>
      </c>
      <c r="J281" s="252">
        <f>'Cybersecurity Controls'!$Q$96</f>
        <v>0</v>
      </c>
      <c r="K281" t="s">
        <v>355</v>
      </c>
      <c r="L281" t="str">
        <f>IF(combinedMaturityTable[[#This Row],[Maturity Level]]="Baseline",LEFT(combinedMaturityTable[[#This Row],[DS]],FIND("(FFIEC ",combinedMaturityTable[[#This Row],[DS]])-1),"")</f>
        <v/>
      </c>
      <c r="M281" s="293" t="str">
        <f>CLEAN(TRIM(SUBSTITUTE(LEFT(combinedMaturityTable[[#This Row],[DSm]],MIN(250,LEN(combinedMaturityTable[[#This Row],[DSm]]))),CHAR(160)," ")))</f>
        <v/>
      </c>
    </row>
    <row r="282" spans="2:13" hidden="1" x14ac:dyDescent="0.25">
      <c r="B282" s="252" t="str">
        <f>'Cybersecurity Controls'!$M$97</f>
        <v>Cybersecurity Controls</v>
      </c>
      <c r="C282" s="252" t="str">
        <f>'Cybersecurity Controls'!$A$97</f>
        <v>Preventative Controls</v>
      </c>
      <c r="D282" s="252" t="str">
        <f>'Cybersecurity Controls'!$B$97</f>
        <v>Secure Coding</v>
      </c>
      <c r="E282" s="252" t="str">
        <f>'Cybersecurity Controls'!$C$97</f>
        <v>Intermediate</v>
      </c>
      <c r="F282" s="252">
        <f>'Cybersecurity Controls'!$D$97</f>
        <v>0</v>
      </c>
      <c r="G282" s="252">
        <f>'Cybersecurity Controls'!$N$97</f>
        <v>0</v>
      </c>
      <c r="H282" s="252">
        <f>'Cybersecurity Controls'!$O$97</f>
        <v>0</v>
      </c>
      <c r="I282" s="252">
        <f>'Cybersecurity Controls'!$P$97</f>
        <v>0</v>
      </c>
      <c r="J282" s="252">
        <f>'Cybersecurity Controls'!$Q$97</f>
        <v>0</v>
      </c>
      <c r="K282" t="s">
        <v>356</v>
      </c>
      <c r="L282" t="str">
        <f>IF(combinedMaturityTable[[#This Row],[Maturity Level]]="Baseline",LEFT(combinedMaturityTable[[#This Row],[DS]],FIND("(FFIEC ",combinedMaturityTable[[#This Row],[DS]])-1),"")</f>
        <v/>
      </c>
      <c r="M282" s="293" t="str">
        <f>CLEAN(TRIM(SUBSTITUTE(LEFT(combinedMaturityTable[[#This Row],[DSm]],MIN(250,LEN(combinedMaturityTable[[#This Row],[DSm]]))),CHAR(160)," ")))</f>
        <v/>
      </c>
    </row>
    <row r="283" spans="2:13" hidden="1" x14ac:dyDescent="0.25">
      <c r="B283" s="252" t="str">
        <f>'Cybersecurity Controls'!$M$98</f>
        <v>Cybersecurity Controls</v>
      </c>
      <c r="C283" s="252" t="str">
        <f>'Cybersecurity Controls'!$A$98</f>
        <v>Preventative Controls</v>
      </c>
      <c r="D283" s="252" t="str">
        <f>'Cybersecurity Controls'!$B$98</f>
        <v>Secure Coding</v>
      </c>
      <c r="E283" s="252" t="str">
        <f>'Cybersecurity Controls'!$C$98</f>
        <v>Intermediate</v>
      </c>
      <c r="F283" s="252">
        <f>'Cybersecurity Controls'!$D$98</f>
        <v>0</v>
      </c>
      <c r="G283" s="252">
        <f>'Cybersecurity Controls'!$N$98</f>
        <v>0</v>
      </c>
      <c r="H283" s="252">
        <f>'Cybersecurity Controls'!$O$98</f>
        <v>0</v>
      </c>
      <c r="I283" s="252">
        <f>'Cybersecurity Controls'!$P$98</f>
        <v>0</v>
      </c>
      <c r="J283" s="252">
        <f>'Cybersecurity Controls'!$Q$98</f>
        <v>0</v>
      </c>
      <c r="K283" t="s">
        <v>357</v>
      </c>
      <c r="L283" t="str">
        <f>IF(combinedMaturityTable[[#This Row],[Maturity Level]]="Baseline",LEFT(combinedMaturityTable[[#This Row],[DS]],FIND("(FFIEC ",combinedMaturityTable[[#This Row],[DS]])-1),"")</f>
        <v/>
      </c>
      <c r="M283" s="293" t="str">
        <f>CLEAN(TRIM(SUBSTITUTE(LEFT(combinedMaturityTable[[#This Row],[DSm]],MIN(250,LEN(combinedMaturityTable[[#This Row],[DSm]]))),CHAR(160)," ")))</f>
        <v/>
      </c>
    </row>
    <row r="284" spans="2:13" hidden="1" x14ac:dyDescent="0.25">
      <c r="B284" s="252" t="str">
        <f>'Cybersecurity Controls'!$M$99</f>
        <v>Cybersecurity Controls</v>
      </c>
      <c r="C284" s="252" t="str">
        <f>'Cybersecurity Controls'!$A$99</f>
        <v>Preventative Controls</v>
      </c>
      <c r="D284" s="252" t="str">
        <f>'Cybersecurity Controls'!$B$99</f>
        <v>Secure Coding</v>
      </c>
      <c r="E284" s="252" t="str">
        <f>'Cybersecurity Controls'!$C$99</f>
        <v>Intermediate</v>
      </c>
      <c r="F284" s="252">
        <f>'Cybersecurity Controls'!$D$99</f>
        <v>0</v>
      </c>
      <c r="G284" s="252">
        <f>'Cybersecurity Controls'!$N$99</f>
        <v>0</v>
      </c>
      <c r="H284" s="252">
        <f>'Cybersecurity Controls'!$O$99</f>
        <v>0</v>
      </c>
      <c r="I284" s="252">
        <f>'Cybersecurity Controls'!$P$99</f>
        <v>0</v>
      </c>
      <c r="J284" s="252">
        <f>'Cybersecurity Controls'!$Q$99</f>
        <v>0</v>
      </c>
      <c r="K284" t="s">
        <v>358</v>
      </c>
      <c r="L284" t="str">
        <f>IF(combinedMaturityTable[[#This Row],[Maturity Level]]="Baseline",LEFT(combinedMaturityTable[[#This Row],[DS]],FIND("(FFIEC ",combinedMaturityTable[[#This Row],[DS]])-1),"")</f>
        <v/>
      </c>
      <c r="M284" s="293" t="str">
        <f>CLEAN(TRIM(SUBSTITUTE(LEFT(combinedMaturityTable[[#This Row],[DSm]],MIN(250,LEN(combinedMaturityTable[[#This Row],[DSm]]))),CHAR(160)," ")))</f>
        <v/>
      </c>
    </row>
    <row r="285" spans="2:13" hidden="1" x14ac:dyDescent="0.25">
      <c r="B285" s="252" t="str">
        <f>'Cybersecurity Controls'!$M$100</f>
        <v>Cybersecurity Controls</v>
      </c>
      <c r="C285" s="252" t="str">
        <f>'Cybersecurity Controls'!$A$100</f>
        <v>Preventative Controls</v>
      </c>
      <c r="D285" s="252" t="str">
        <f>'Cybersecurity Controls'!$B$100</f>
        <v>Secure Coding</v>
      </c>
      <c r="E285" s="252" t="str">
        <f>'Cybersecurity Controls'!$C$100</f>
        <v>Intermediate</v>
      </c>
      <c r="F285" s="252">
        <f>'Cybersecurity Controls'!$D$100</f>
        <v>0</v>
      </c>
      <c r="G285" s="252">
        <f>'Cybersecurity Controls'!$N$100</f>
        <v>0</v>
      </c>
      <c r="H285" s="252">
        <f>'Cybersecurity Controls'!$O$100</f>
        <v>0</v>
      </c>
      <c r="I285" s="252">
        <f>'Cybersecurity Controls'!$P$100</f>
        <v>0</v>
      </c>
      <c r="J285" s="252">
        <f>'Cybersecurity Controls'!$Q$100</f>
        <v>0</v>
      </c>
      <c r="K285" t="s">
        <v>359</v>
      </c>
      <c r="L285" t="str">
        <f>IF(combinedMaturityTable[[#This Row],[Maturity Level]]="Baseline",LEFT(combinedMaturityTable[[#This Row],[DS]],FIND("(FFIEC ",combinedMaturityTable[[#This Row],[DS]])-1),"")</f>
        <v/>
      </c>
      <c r="M285" s="293" t="str">
        <f>CLEAN(TRIM(SUBSTITUTE(LEFT(combinedMaturityTable[[#This Row],[DSm]],MIN(250,LEN(combinedMaturityTable[[#This Row],[DSm]]))),CHAR(160)," ")))</f>
        <v/>
      </c>
    </row>
    <row r="286" spans="2:13" hidden="1" x14ac:dyDescent="0.25">
      <c r="B286" s="252" t="str">
        <f>'Cybersecurity Controls'!$M$101</f>
        <v>Cybersecurity Controls</v>
      </c>
      <c r="C286" s="252" t="str">
        <f>'Cybersecurity Controls'!$A$101</f>
        <v>Preventative Controls</v>
      </c>
      <c r="D286" s="252" t="str">
        <f>'Cybersecurity Controls'!$B$101</f>
        <v>Secure Coding</v>
      </c>
      <c r="E286" s="252" t="str">
        <f>'Cybersecurity Controls'!$C$101</f>
        <v>Advanced</v>
      </c>
      <c r="F286" s="252">
        <f>'Cybersecurity Controls'!$D$101</f>
        <v>0</v>
      </c>
      <c r="G286" s="252">
        <f>'Cybersecurity Controls'!$N$101</f>
        <v>0</v>
      </c>
      <c r="H286" s="252">
        <f>'Cybersecurity Controls'!$O$101</f>
        <v>0</v>
      </c>
      <c r="I286" s="252">
        <f>'Cybersecurity Controls'!$P$101</f>
        <v>0</v>
      </c>
      <c r="J286" s="252">
        <f>'Cybersecurity Controls'!$Q$101</f>
        <v>0</v>
      </c>
      <c r="K286" t="s">
        <v>360</v>
      </c>
      <c r="L286" t="str">
        <f>IF(combinedMaturityTable[[#This Row],[Maturity Level]]="Baseline",LEFT(combinedMaturityTable[[#This Row],[DS]],FIND("(FFIEC ",combinedMaturityTable[[#This Row],[DS]])-1),"")</f>
        <v/>
      </c>
      <c r="M286" s="293" t="str">
        <f>CLEAN(TRIM(SUBSTITUTE(LEFT(combinedMaturityTable[[#This Row],[DSm]],MIN(250,LEN(combinedMaturityTable[[#This Row],[DSm]]))),CHAR(160)," ")))</f>
        <v/>
      </c>
    </row>
    <row r="287" spans="2:13" hidden="1" x14ac:dyDescent="0.25">
      <c r="B287" s="252" t="str">
        <f>'Cybersecurity Controls'!$M$102</f>
        <v>Cybersecurity Controls</v>
      </c>
      <c r="C287" s="252" t="str">
        <f>'Cybersecurity Controls'!$A$102</f>
        <v>Preventative Controls</v>
      </c>
      <c r="D287" s="252" t="str">
        <f>'Cybersecurity Controls'!$B$102</f>
        <v>Secure Coding</v>
      </c>
      <c r="E287" s="252" t="str">
        <f>'Cybersecurity Controls'!$C$102</f>
        <v>Advanced</v>
      </c>
      <c r="F287" s="252">
        <f>'Cybersecurity Controls'!$D$102</f>
        <v>0</v>
      </c>
      <c r="G287" s="252">
        <f>'Cybersecurity Controls'!$N$102</f>
        <v>0</v>
      </c>
      <c r="H287" s="252">
        <f>'Cybersecurity Controls'!$O$102</f>
        <v>0</v>
      </c>
      <c r="I287" s="252">
        <f>'Cybersecurity Controls'!$P$102</f>
        <v>0</v>
      </c>
      <c r="J287" s="252">
        <f>'Cybersecurity Controls'!$Q$102</f>
        <v>0</v>
      </c>
      <c r="K287" t="s">
        <v>361</v>
      </c>
      <c r="L287" t="str">
        <f>IF(combinedMaturityTable[[#This Row],[Maturity Level]]="Baseline",LEFT(combinedMaturityTable[[#This Row],[DS]],FIND("(FFIEC ",combinedMaturityTable[[#This Row],[DS]])-1),"")</f>
        <v/>
      </c>
      <c r="M287" s="293" t="str">
        <f>CLEAN(TRIM(SUBSTITUTE(LEFT(combinedMaturityTable[[#This Row],[DSm]],MIN(250,LEN(combinedMaturityTable[[#This Row],[DSm]]))),CHAR(160)," ")))</f>
        <v/>
      </c>
    </row>
    <row r="288" spans="2:13" hidden="1" x14ac:dyDescent="0.25">
      <c r="B288" s="252" t="str">
        <f>'Cybersecurity Controls'!$M$103</f>
        <v>Cybersecurity Controls</v>
      </c>
      <c r="C288" s="252" t="str">
        <f>'Cybersecurity Controls'!$A$103</f>
        <v>Preventative Controls</v>
      </c>
      <c r="D288" s="252" t="str">
        <f>'Cybersecurity Controls'!$B$103</f>
        <v>Secure Coding</v>
      </c>
      <c r="E288" s="252" t="str">
        <f>'Cybersecurity Controls'!$C$103</f>
        <v>Advanced</v>
      </c>
      <c r="F288" s="252">
        <f>'Cybersecurity Controls'!$D$103</f>
        <v>0</v>
      </c>
      <c r="G288" s="252">
        <f>'Cybersecurity Controls'!$N$103</f>
        <v>0</v>
      </c>
      <c r="H288" s="252">
        <f>'Cybersecurity Controls'!$O$103</f>
        <v>0</v>
      </c>
      <c r="I288" s="252">
        <f>'Cybersecurity Controls'!$P$103</f>
        <v>0</v>
      </c>
      <c r="J288" s="252">
        <f>'Cybersecurity Controls'!$Q$103</f>
        <v>0</v>
      </c>
      <c r="K288" t="s">
        <v>362</v>
      </c>
      <c r="L288" t="str">
        <f>IF(combinedMaturityTable[[#This Row],[Maturity Level]]="Baseline",LEFT(combinedMaturityTable[[#This Row],[DS]],FIND("(FFIEC ",combinedMaturityTable[[#This Row],[DS]])-1),"")</f>
        <v/>
      </c>
      <c r="M288" s="293" t="str">
        <f>CLEAN(TRIM(SUBSTITUTE(LEFT(combinedMaturityTable[[#This Row],[DSm]],MIN(250,LEN(combinedMaturityTable[[#This Row],[DSm]]))),CHAR(160)," ")))</f>
        <v/>
      </c>
    </row>
    <row r="289" spans="2:13" hidden="1" x14ac:dyDescent="0.25">
      <c r="B289" s="252" t="str">
        <f>'Cybersecurity Controls'!$M$104</f>
        <v>Cybersecurity Controls</v>
      </c>
      <c r="C289" s="252" t="str">
        <f>'Cybersecurity Controls'!$A$104</f>
        <v>Preventative Controls</v>
      </c>
      <c r="D289" s="252" t="str">
        <f>'Cybersecurity Controls'!$B$104</f>
        <v>Secure Coding</v>
      </c>
      <c r="E289" s="252" t="str">
        <f>'Cybersecurity Controls'!$C$104</f>
        <v>Innovative</v>
      </c>
      <c r="F289" s="252">
        <f>'Cybersecurity Controls'!$D$104</f>
        <v>0</v>
      </c>
      <c r="G289" s="252">
        <f>'Cybersecurity Controls'!$N$104</f>
        <v>0</v>
      </c>
      <c r="H289" s="252">
        <f>'Cybersecurity Controls'!$O$104</f>
        <v>0</v>
      </c>
      <c r="I289" s="252">
        <f>'Cybersecurity Controls'!$P$104</f>
        <v>0</v>
      </c>
      <c r="J289" s="252">
        <f>'Cybersecurity Controls'!$Q$104</f>
        <v>0</v>
      </c>
      <c r="K289" t="s">
        <v>363</v>
      </c>
      <c r="L289" t="str">
        <f>IF(combinedMaturityTable[[#This Row],[Maturity Level]]="Baseline",LEFT(combinedMaturityTable[[#This Row],[DS]],FIND("(FFIEC ",combinedMaturityTable[[#This Row],[DS]])-1),"")</f>
        <v/>
      </c>
      <c r="M289" s="293" t="str">
        <f>CLEAN(TRIM(SUBSTITUTE(LEFT(combinedMaturityTable[[#This Row],[DSm]],MIN(250,LEN(combinedMaturityTable[[#This Row],[DSm]]))),CHAR(160)," ")))</f>
        <v/>
      </c>
    </row>
    <row r="290" spans="2:13" x14ac:dyDescent="0.25">
      <c r="B290" s="252" t="str">
        <f>'Cybersecurity Controls'!$M$105</f>
        <v>Cybersecurity Controls</v>
      </c>
      <c r="C290" s="252" t="str">
        <f>'Cybersecurity Controls'!$A$105</f>
        <v>Detective Controls</v>
      </c>
      <c r="D290" s="252" t="str">
        <f>'Cybersecurity Controls'!$B$105</f>
        <v>Threat and Vulnerability Detection</v>
      </c>
      <c r="E290" s="252" t="str">
        <f>'Cybersecurity Controls'!$C$105</f>
        <v>Baseline</v>
      </c>
      <c r="F290" s="252">
        <f>'Cybersecurity Controls'!$D$105</f>
        <v>0</v>
      </c>
      <c r="G290" s="252">
        <f>'Cybersecurity Controls'!$N$105</f>
        <v>0</v>
      </c>
      <c r="H290" s="252">
        <f>'Cybersecurity Controls'!$O$105</f>
        <v>0</v>
      </c>
      <c r="I290" s="252">
        <f>'Cybersecurity Controls'!$P$105</f>
        <v>0</v>
      </c>
      <c r="J290" s="252">
        <f>'Cybersecurity Controls'!$Q$105</f>
        <v>0</v>
      </c>
      <c r="K290" t="s">
        <v>365</v>
      </c>
      <c r="L290" t="str">
        <f>IF(combinedMaturityTable[[#This Row],[Maturity Level]]="Baseline",LEFT(combinedMaturityTable[[#This Row],[DS]],FIND("(FFIEC ",combinedMaturityTable[[#This Row],[DS]])-1),"")</f>
        <v xml:space="preserve">Independent testing (including penetration testing and vulnerability scanning) is conducted according to the risk assessment for external-facing systems and the internal network. </v>
      </c>
      <c r="M290" s="293" t="str">
        <f>CLEAN(TRIM(SUBSTITUTE(LEFT(combinedMaturityTable[[#This Row],[DSm]],MIN(250,LEN(combinedMaturityTable[[#This Row],[DSm]]))),CHAR(160)," ")))</f>
        <v>Independent testing (including penetration testing and vulnerability scanning) is conducted according to the risk assessment for external-facing systems and the internal network.</v>
      </c>
    </row>
    <row r="291" spans="2:13" x14ac:dyDescent="0.25">
      <c r="B291" s="252" t="str">
        <f>'Cybersecurity Controls'!$M$106</f>
        <v>Cybersecurity Controls</v>
      </c>
      <c r="C291" s="252" t="str">
        <f>'Cybersecurity Controls'!$A$106</f>
        <v>Detective Controls</v>
      </c>
      <c r="D291" s="252" t="str">
        <f>'Cybersecurity Controls'!$B$106</f>
        <v>Threat and Vulnerability Detection</v>
      </c>
      <c r="E291" s="252" t="str">
        <f>'Cybersecurity Controls'!$C$106</f>
        <v>Baseline</v>
      </c>
      <c r="F291" s="252">
        <f>'Cybersecurity Controls'!$D$106</f>
        <v>0</v>
      </c>
      <c r="G291" s="252">
        <f>'Cybersecurity Controls'!$N$106</f>
        <v>0</v>
      </c>
      <c r="H291" s="252">
        <f>'Cybersecurity Controls'!$O$106</f>
        <v>0</v>
      </c>
      <c r="I291" s="252">
        <f>'Cybersecurity Controls'!$P$106</f>
        <v>0</v>
      </c>
      <c r="J291" s="252">
        <f>'Cybersecurity Controls'!$Q$106</f>
        <v>0</v>
      </c>
      <c r="K291" t="s">
        <v>366</v>
      </c>
      <c r="L291" t="str">
        <f>IF(combinedMaturityTable[[#This Row],[Maturity Level]]="Baseline",LEFT(combinedMaturityTable[[#This Row],[DS]],FIND("(FFIEC ",combinedMaturityTable[[#This Row],[DS]])-1),"")</f>
        <v xml:space="preserve">Antivirus and anti-malware tools are used to detect attacks. </v>
      </c>
      <c r="M291" s="293" t="str">
        <f>CLEAN(TRIM(SUBSTITUTE(LEFT(combinedMaturityTable[[#This Row],[DSm]],MIN(250,LEN(combinedMaturityTable[[#This Row],[DSm]]))),CHAR(160)," ")))</f>
        <v>Antivirus and anti-malware tools are used to detect attacks.</v>
      </c>
    </row>
    <row r="292" spans="2:13" x14ac:dyDescent="0.25">
      <c r="B292" s="252" t="str">
        <f>'Cybersecurity Controls'!$M$107</f>
        <v>Cybersecurity Controls</v>
      </c>
      <c r="C292" s="252" t="str">
        <f>'Cybersecurity Controls'!$A$107</f>
        <v>Detective Controls</v>
      </c>
      <c r="D292" s="252" t="str">
        <f>'Cybersecurity Controls'!$B$107</f>
        <v>Threat and Vulnerability Detection</v>
      </c>
      <c r="E292" s="252" t="str">
        <f>'Cybersecurity Controls'!$C$107</f>
        <v>Baseline</v>
      </c>
      <c r="F292" s="252">
        <f>'Cybersecurity Controls'!$D$107</f>
        <v>0</v>
      </c>
      <c r="G292" s="252">
        <f>'Cybersecurity Controls'!$N$107</f>
        <v>0</v>
      </c>
      <c r="H292" s="252">
        <f>'Cybersecurity Controls'!$O$107</f>
        <v>0</v>
      </c>
      <c r="I292" s="252">
        <f>'Cybersecurity Controls'!$P$107</f>
        <v>0</v>
      </c>
      <c r="J292" s="252">
        <f>'Cybersecurity Controls'!$Q$107</f>
        <v>0</v>
      </c>
      <c r="K292" t="s">
        <v>367</v>
      </c>
      <c r="L292" t="str">
        <f>IF(combinedMaturityTable[[#This Row],[Maturity Level]]="Baseline",LEFT(combinedMaturityTable[[#This Row],[DS]],FIND("(FFIEC ",combinedMaturityTable[[#This Row],[DS]])-1),"")</f>
        <v xml:space="preserve">Firewall rules are audited or verified at least quarterly. </v>
      </c>
      <c r="M292" s="293" t="str">
        <f>CLEAN(TRIM(SUBSTITUTE(LEFT(combinedMaturityTable[[#This Row],[DSm]],MIN(250,LEN(combinedMaturityTable[[#This Row],[DSm]]))),CHAR(160)," ")))</f>
        <v>Firewall rules are audited or verified at least quarterly.</v>
      </c>
    </row>
    <row r="293" spans="2:13" x14ac:dyDescent="0.25">
      <c r="B293" s="252" t="str">
        <f>'Cybersecurity Controls'!$M$108</f>
        <v>Cybersecurity Controls</v>
      </c>
      <c r="C293" s="252" t="str">
        <f>'Cybersecurity Controls'!$A$108</f>
        <v>Detective Controls</v>
      </c>
      <c r="D293" s="252" t="str">
        <f>'Cybersecurity Controls'!$B$108</f>
        <v>Threat and Vulnerability Detection</v>
      </c>
      <c r="E293" s="252" t="str">
        <f>'Cybersecurity Controls'!$C$108</f>
        <v>Baseline</v>
      </c>
      <c r="F293" s="252">
        <f>'Cybersecurity Controls'!$D$108</f>
        <v>0</v>
      </c>
      <c r="G293" s="252">
        <f>'Cybersecurity Controls'!$N$108</f>
        <v>0</v>
      </c>
      <c r="H293" s="252">
        <f>'Cybersecurity Controls'!$O$108</f>
        <v>0</v>
      </c>
      <c r="I293" s="252">
        <f>'Cybersecurity Controls'!$P$108</f>
        <v>0</v>
      </c>
      <c r="J293" s="252">
        <f>'Cybersecurity Controls'!$Q$108</f>
        <v>0</v>
      </c>
      <c r="K293" t="s">
        <v>368</v>
      </c>
      <c r="L293" t="str">
        <f>IF(combinedMaturityTable[[#This Row],[Maturity Level]]="Baseline",LEFT(combinedMaturityTable[[#This Row],[DS]],FIND("(FFIEC ",combinedMaturityTable[[#This Row],[DS]])-1),"")</f>
        <v xml:space="preserve">E-mail protection mechanisms are used to filter for common cyber threats (e.g., attached malware or malicious links). </v>
      </c>
      <c r="M293" s="293" t="str">
        <f>CLEAN(TRIM(SUBSTITUTE(LEFT(combinedMaturityTable[[#This Row],[DSm]],MIN(250,LEN(combinedMaturityTable[[#This Row],[DSm]]))),CHAR(160)," ")))</f>
        <v>E-mail protection mechanisms are used to filter for common cyber threats (e.g., attached malware or malicious links).</v>
      </c>
    </row>
    <row r="294" spans="2:13" hidden="1" x14ac:dyDescent="0.25">
      <c r="B294" s="252" t="str">
        <f>'Cybersecurity Controls'!$M$109</f>
        <v>Cybersecurity Controls</v>
      </c>
      <c r="C294" s="252" t="str">
        <f>'Cybersecurity Controls'!$A$109</f>
        <v>Detective Controls</v>
      </c>
      <c r="D294" s="252" t="str">
        <f>'Cybersecurity Controls'!$B$109</f>
        <v>Threat and Vulnerability Detection</v>
      </c>
      <c r="E294" s="252" t="str">
        <f>'Cybersecurity Controls'!$C$109</f>
        <v>Evolving</v>
      </c>
      <c r="F294" s="252">
        <f>'Cybersecurity Controls'!$D$109</f>
        <v>0</v>
      </c>
      <c r="G294" s="252">
        <f>'Cybersecurity Controls'!$N$109</f>
        <v>0</v>
      </c>
      <c r="H294" s="252">
        <f>'Cybersecurity Controls'!$O$109</f>
        <v>0</v>
      </c>
      <c r="I294" s="252">
        <f>'Cybersecurity Controls'!$P$109</f>
        <v>0</v>
      </c>
      <c r="J294" s="252">
        <f>'Cybersecurity Controls'!$Q$109</f>
        <v>0</v>
      </c>
      <c r="K294" t="s">
        <v>369</v>
      </c>
      <c r="L294" t="str">
        <f>IF(combinedMaturityTable[[#This Row],[Maturity Level]]="Baseline",LEFT(combinedMaturityTable[[#This Row],[DS]],FIND("(FFIEC ",combinedMaturityTable[[#This Row],[DS]])-1),"")</f>
        <v/>
      </c>
      <c r="M294" s="293" t="str">
        <f>CLEAN(TRIM(SUBSTITUTE(LEFT(combinedMaturityTable[[#This Row],[DSm]],MIN(250,LEN(combinedMaturityTable[[#This Row],[DSm]]))),CHAR(160)," ")))</f>
        <v/>
      </c>
    </row>
    <row r="295" spans="2:13" hidden="1" x14ac:dyDescent="0.25">
      <c r="B295" s="252" t="str">
        <f>'Cybersecurity Controls'!$M$110</f>
        <v>Cybersecurity Controls</v>
      </c>
      <c r="C295" s="252" t="str">
        <f>'Cybersecurity Controls'!$A$110</f>
        <v>Detective Controls</v>
      </c>
      <c r="D295" s="252" t="str">
        <f>'Cybersecurity Controls'!$B$110</f>
        <v>Threat and Vulnerability Detection</v>
      </c>
      <c r="E295" s="252" t="str">
        <f>'Cybersecurity Controls'!$C$110</f>
        <v>Evolving</v>
      </c>
      <c r="F295" s="252">
        <f>'Cybersecurity Controls'!$D$110</f>
        <v>0</v>
      </c>
      <c r="G295" s="252">
        <f>'Cybersecurity Controls'!$N$110</f>
        <v>0</v>
      </c>
      <c r="H295" s="252">
        <f>'Cybersecurity Controls'!$O$110</f>
        <v>0</v>
      </c>
      <c r="I295" s="252">
        <f>'Cybersecurity Controls'!$P$110</f>
        <v>0</v>
      </c>
      <c r="J295" s="252">
        <f>'Cybersecurity Controls'!$Q$110</f>
        <v>0</v>
      </c>
      <c r="K295" t="s">
        <v>370</v>
      </c>
      <c r="L295" t="str">
        <f>IF(combinedMaturityTable[[#This Row],[Maturity Level]]="Baseline",LEFT(combinedMaturityTable[[#This Row],[DS]],FIND("(FFIEC ",combinedMaturityTable[[#This Row],[DS]])-1),"")</f>
        <v/>
      </c>
      <c r="M295" s="293" t="str">
        <f>CLEAN(TRIM(SUBSTITUTE(LEFT(combinedMaturityTable[[#This Row],[DSm]],MIN(250,LEN(combinedMaturityTable[[#This Row],[DSm]]))),CHAR(160)," ")))</f>
        <v/>
      </c>
    </row>
    <row r="296" spans="2:13" hidden="1" x14ac:dyDescent="0.25">
      <c r="B296" s="252" t="str">
        <f>'Cybersecurity Controls'!$M$111</f>
        <v>Cybersecurity Controls</v>
      </c>
      <c r="C296" s="252" t="str">
        <f>'Cybersecurity Controls'!$A$111</f>
        <v>Detective Controls</v>
      </c>
      <c r="D296" s="252" t="str">
        <f>'Cybersecurity Controls'!$B$111</f>
        <v>Threat and Vulnerability Detection</v>
      </c>
      <c r="E296" s="252" t="str">
        <f>'Cybersecurity Controls'!$C$111</f>
        <v>Evolving</v>
      </c>
      <c r="F296" s="252">
        <f>'Cybersecurity Controls'!$D$111</f>
        <v>0</v>
      </c>
      <c r="G296" s="252">
        <f>'Cybersecurity Controls'!$N$111</f>
        <v>0</v>
      </c>
      <c r="H296" s="252">
        <f>'Cybersecurity Controls'!$O$111</f>
        <v>0</v>
      </c>
      <c r="I296" s="252">
        <f>'Cybersecurity Controls'!$P$111</f>
        <v>0</v>
      </c>
      <c r="J296" s="252">
        <f>'Cybersecurity Controls'!$Q$111</f>
        <v>0</v>
      </c>
      <c r="K296" t="s">
        <v>371</v>
      </c>
      <c r="L296" t="str">
        <f>IF(combinedMaturityTable[[#This Row],[Maturity Level]]="Baseline",LEFT(combinedMaturityTable[[#This Row],[DS]],FIND("(FFIEC ",combinedMaturityTable[[#This Row],[DS]])-1),"")</f>
        <v/>
      </c>
      <c r="M296" s="293" t="str">
        <f>CLEAN(TRIM(SUBSTITUTE(LEFT(combinedMaturityTable[[#This Row],[DSm]],MIN(250,LEN(combinedMaturityTable[[#This Row],[DSm]]))),CHAR(160)," ")))</f>
        <v/>
      </c>
    </row>
    <row r="297" spans="2:13" hidden="1" x14ac:dyDescent="0.25">
      <c r="B297" s="252" t="str">
        <f>'Cybersecurity Controls'!$M$112</f>
        <v>Cybersecurity Controls</v>
      </c>
      <c r="C297" s="252" t="str">
        <f>'Cybersecurity Controls'!$A$112</f>
        <v>Detective Controls</v>
      </c>
      <c r="D297" s="252" t="str">
        <f>'Cybersecurity Controls'!$B$112</f>
        <v>Threat and Vulnerability Detection</v>
      </c>
      <c r="E297" s="252" t="str">
        <f>'Cybersecurity Controls'!$C$112</f>
        <v>Evolving</v>
      </c>
      <c r="F297" s="252">
        <f>'Cybersecurity Controls'!$D$112</f>
        <v>0</v>
      </c>
      <c r="G297" s="252">
        <f>'Cybersecurity Controls'!$N$112</f>
        <v>0</v>
      </c>
      <c r="H297" s="252">
        <f>'Cybersecurity Controls'!$O$112</f>
        <v>0</v>
      </c>
      <c r="I297" s="252">
        <f>'Cybersecurity Controls'!$P$112</f>
        <v>0</v>
      </c>
      <c r="J297" s="252">
        <f>'Cybersecurity Controls'!$Q$112</f>
        <v>0</v>
      </c>
      <c r="K297" t="s">
        <v>372</v>
      </c>
      <c r="L297" t="str">
        <f>IF(combinedMaturityTable[[#This Row],[Maturity Level]]="Baseline",LEFT(combinedMaturityTable[[#This Row],[DS]],FIND("(FFIEC ",combinedMaturityTable[[#This Row],[DS]])-1),"")</f>
        <v/>
      </c>
      <c r="M297" s="293" t="str">
        <f>CLEAN(TRIM(SUBSTITUTE(LEFT(combinedMaturityTable[[#This Row],[DSm]],MIN(250,LEN(combinedMaturityTable[[#This Row],[DSm]]))),CHAR(160)," ")))</f>
        <v/>
      </c>
    </row>
    <row r="298" spans="2:13" hidden="1" x14ac:dyDescent="0.25">
      <c r="B298" s="252" t="str">
        <f>'Cybersecurity Controls'!$M$113</f>
        <v>Cybersecurity Controls</v>
      </c>
      <c r="C298" s="252" t="str">
        <f>'Cybersecurity Controls'!$A$113</f>
        <v>Detective Controls</v>
      </c>
      <c r="D298" s="252" t="str">
        <f>'Cybersecurity Controls'!$B$113</f>
        <v>Threat and Vulnerability Detection</v>
      </c>
      <c r="E298" s="252" t="str">
        <f>'Cybersecurity Controls'!$C$113</f>
        <v>Evolving</v>
      </c>
      <c r="F298" s="252">
        <f>'Cybersecurity Controls'!$D$113</f>
        <v>0</v>
      </c>
      <c r="G298" s="252">
        <f>'Cybersecurity Controls'!$N$113</f>
        <v>0</v>
      </c>
      <c r="H298" s="252">
        <f>'Cybersecurity Controls'!$O$113</f>
        <v>0</v>
      </c>
      <c r="I298" s="252">
        <f>'Cybersecurity Controls'!$P$113</f>
        <v>0</v>
      </c>
      <c r="J298" s="252">
        <f>'Cybersecurity Controls'!$Q$113</f>
        <v>0</v>
      </c>
      <c r="K298" t="s">
        <v>373</v>
      </c>
      <c r="L298" t="str">
        <f>IF(combinedMaturityTable[[#This Row],[Maturity Level]]="Baseline",LEFT(combinedMaturityTable[[#This Row],[DS]],FIND("(FFIEC ",combinedMaturityTable[[#This Row],[DS]])-1),"")</f>
        <v/>
      </c>
      <c r="M298" s="293" t="str">
        <f>CLEAN(TRIM(SUBSTITUTE(LEFT(combinedMaturityTable[[#This Row],[DSm]],MIN(250,LEN(combinedMaturityTable[[#This Row],[DSm]]))),CHAR(160)," ")))</f>
        <v/>
      </c>
    </row>
    <row r="299" spans="2:13" hidden="1" x14ac:dyDescent="0.25">
      <c r="B299" s="252" t="str">
        <f>'Cybersecurity Controls'!$M$114</f>
        <v>Cybersecurity Controls</v>
      </c>
      <c r="C299" s="252" t="str">
        <f>'Cybersecurity Controls'!$A$114</f>
        <v>Detective Controls</v>
      </c>
      <c r="D299" s="252" t="str">
        <f>'Cybersecurity Controls'!$B$114</f>
        <v>Threat and Vulnerability Detection</v>
      </c>
      <c r="E299" s="252" t="str">
        <f>'Cybersecurity Controls'!$C$114</f>
        <v>Evolving</v>
      </c>
      <c r="F299" s="252">
        <f>'Cybersecurity Controls'!$D$114</f>
        <v>0</v>
      </c>
      <c r="G299" s="252">
        <f>'Cybersecurity Controls'!$N$114</f>
        <v>0</v>
      </c>
      <c r="H299" s="252">
        <f>'Cybersecurity Controls'!$O$114</f>
        <v>0</v>
      </c>
      <c r="I299" s="252">
        <f>'Cybersecurity Controls'!$P$114</f>
        <v>0</v>
      </c>
      <c r="J299" s="252">
        <f>'Cybersecurity Controls'!$Q$114</f>
        <v>0</v>
      </c>
      <c r="K299" t="s">
        <v>374</v>
      </c>
      <c r="L299" t="str">
        <f>IF(combinedMaturityTable[[#This Row],[Maturity Level]]="Baseline",LEFT(combinedMaturityTable[[#This Row],[DS]],FIND("(FFIEC ",combinedMaturityTable[[#This Row],[DS]])-1),"")</f>
        <v/>
      </c>
      <c r="M299" s="293" t="str">
        <f>CLEAN(TRIM(SUBSTITUTE(LEFT(combinedMaturityTable[[#This Row],[DSm]],MIN(250,LEN(combinedMaturityTable[[#This Row],[DSm]]))),CHAR(160)," ")))</f>
        <v/>
      </c>
    </row>
    <row r="300" spans="2:13" hidden="1" x14ac:dyDescent="0.25">
      <c r="B300" s="252" t="str">
        <f>'Cybersecurity Controls'!$M$115</f>
        <v>Cybersecurity Controls</v>
      </c>
      <c r="C300" s="252" t="str">
        <f>'Cybersecurity Controls'!$A$115</f>
        <v>Detective Controls</v>
      </c>
      <c r="D300" s="252" t="str">
        <f>'Cybersecurity Controls'!$B$115</f>
        <v>Threat and Vulnerability Detection</v>
      </c>
      <c r="E300" s="252" t="str">
        <f>'Cybersecurity Controls'!$C$115</f>
        <v>Intermediate</v>
      </c>
      <c r="F300" s="252">
        <f>'Cybersecurity Controls'!$D$115</f>
        <v>0</v>
      </c>
      <c r="G300" s="252">
        <f>'Cybersecurity Controls'!$N$115</f>
        <v>0</v>
      </c>
      <c r="H300" s="252">
        <f>'Cybersecurity Controls'!$O$115</f>
        <v>0</v>
      </c>
      <c r="I300" s="252">
        <f>'Cybersecurity Controls'!$P$115</f>
        <v>0</v>
      </c>
      <c r="J300" s="252">
        <f>'Cybersecurity Controls'!$Q$115</f>
        <v>0</v>
      </c>
      <c r="K300" t="s">
        <v>375</v>
      </c>
      <c r="L300" t="str">
        <f>IF(combinedMaturityTable[[#This Row],[Maturity Level]]="Baseline",LEFT(combinedMaturityTable[[#This Row],[DS]],FIND("(FFIEC ",combinedMaturityTable[[#This Row],[DS]])-1),"")</f>
        <v/>
      </c>
      <c r="M300" s="293" t="str">
        <f>CLEAN(TRIM(SUBSTITUTE(LEFT(combinedMaturityTable[[#This Row],[DSm]],MIN(250,LEN(combinedMaturityTable[[#This Row],[DSm]]))),CHAR(160)," ")))</f>
        <v/>
      </c>
    </row>
    <row r="301" spans="2:13" hidden="1" x14ac:dyDescent="0.25">
      <c r="B301" s="252" t="str">
        <f>'Cybersecurity Controls'!$M$116</f>
        <v>Cybersecurity Controls</v>
      </c>
      <c r="C301" s="252" t="str">
        <f>'Cybersecurity Controls'!$A$116</f>
        <v>Detective Controls</v>
      </c>
      <c r="D301" s="252" t="str">
        <f>'Cybersecurity Controls'!$B$116</f>
        <v>Threat and Vulnerability Detection</v>
      </c>
      <c r="E301" s="252" t="str">
        <f>'Cybersecurity Controls'!$C$116</f>
        <v>Intermediate</v>
      </c>
      <c r="F301" s="252">
        <f>'Cybersecurity Controls'!$D$116</f>
        <v>0</v>
      </c>
      <c r="G301" s="252">
        <f>'Cybersecurity Controls'!$N$116</f>
        <v>0</v>
      </c>
      <c r="H301" s="252">
        <f>'Cybersecurity Controls'!$O$116</f>
        <v>0</v>
      </c>
      <c r="I301" s="252">
        <f>'Cybersecurity Controls'!$P$116</f>
        <v>0</v>
      </c>
      <c r="J301" s="252">
        <f>'Cybersecurity Controls'!$Q$116</f>
        <v>0</v>
      </c>
      <c r="K301" t="s">
        <v>376</v>
      </c>
      <c r="L301" t="str">
        <f>IF(combinedMaturityTable[[#This Row],[Maturity Level]]="Baseline",LEFT(combinedMaturityTable[[#This Row],[DS]],FIND("(FFIEC ",combinedMaturityTable[[#This Row],[DS]])-1),"")</f>
        <v/>
      </c>
      <c r="M301" s="293" t="str">
        <f>CLEAN(TRIM(SUBSTITUTE(LEFT(combinedMaturityTable[[#This Row],[DSm]],MIN(250,LEN(combinedMaturityTable[[#This Row],[DSm]]))),CHAR(160)," ")))</f>
        <v/>
      </c>
    </row>
    <row r="302" spans="2:13" hidden="1" x14ac:dyDescent="0.25">
      <c r="B302" s="252" t="str">
        <f>'Cybersecurity Controls'!$M$117</f>
        <v>Cybersecurity Controls</v>
      </c>
      <c r="C302" s="252" t="str">
        <f>'Cybersecurity Controls'!$A$117</f>
        <v>Detective Controls</v>
      </c>
      <c r="D302" s="252" t="str">
        <f>'Cybersecurity Controls'!$B$117</f>
        <v>Threat and Vulnerability Detection</v>
      </c>
      <c r="E302" s="252" t="str">
        <f>'Cybersecurity Controls'!$C$117</f>
        <v>Advanced</v>
      </c>
      <c r="F302" s="252">
        <f>'Cybersecurity Controls'!$D$117</f>
        <v>0</v>
      </c>
      <c r="G302" s="252">
        <f>'Cybersecurity Controls'!$N$117</f>
        <v>0</v>
      </c>
      <c r="H302" s="252">
        <f>'Cybersecurity Controls'!$O$117</f>
        <v>0</v>
      </c>
      <c r="I302" s="252">
        <f>'Cybersecurity Controls'!$P$117</f>
        <v>0</v>
      </c>
      <c r="J302" s="252">
        <f>'Cybersecurity Controls'!$Q$117</f>
        <v>0</v>
      </c>
      <c r="K302" t="s">
        <v>377</v>
      </c>
      <c r="L302" t="str">
        <f>IF(combinedMaturityTable[[#This Row],[Maturity Level]]="Baseline",LEFT(combinedMaturityTable[[#This Row],[DS]],FIND("(FFIEC ",combinedMaturityTable[[#This Row],[DS]])-1),"")</f>
        <v/>
      </c>
      <c r="M302" s="293" t="str">
        <f>CLEAN(TRIM(SUBSTITUTE(LEFT(combinedMaturityTable[[#This Row],[DSm]],MIN(250,LEN(combinedMaturityTable[[#This Row],[DSm]]))),CHAR(160)," ")))</f>
        <v/>
      </c>
    </row>
    <row r="303" spans="2:13" hidden="1" x14ac:dyDescent="0.25">
      <c r="B303" s="252" t="str">
        <f>'Cybersecurity Controls'!$M$118</f>
        <v>Cybersecurity Controls</v>
      </c>
      <c r="C303" s="252" t="str">
        <f>'Cybersecurity Controls'!$A$118</f>
        <v>Detective Controls</v>
      </c>
      <c r="D303" s="252" t="str">
        <f>'Cybersecurity Controls'!$B$118</f>
        <v>Threat and Vulnerability Detection</v>
      </c>
      <c r="E303" s="252" t="str">
        <f>'Cybersecurity Controls'!$C$118</f>
        <v>Advanced</v>
      </c>
      <c r="F303" s="252">
        <f>'Cybersecurity Controls'!$D$118</f>
        <v>0</v>
      </c>
      <c r="G303" s="252">
        <f>'Cybersecurity Controls'!$N$118</f>
        <v>0</v>
      </c>
      <c r="H303" s="252">
        <f>'Cybersecurity Controls'!$O$118</f>
        <v>0</v>
      </c>
      <c r="I303" s="252">
        <f>'Cybersecurity Controls'!$P$118</f>
        <v>0</v>
      </c>
      <c r="J303" s="252">
        <f>'Cybersecurity Controls'!$Q$118</f>
        <v>0</v>
      </c>
      <c r="K303" t="s">
        <v>378</v>
      </c>
      <c r="L303" t="str">
        <f>IF(combinedMaturityTable[[#This Row],[Maturity Level]]="Baseline",LEFT(combinedMaturityTable[[#This Row],[DS]],FIND("(FFIEC ",combinedMaturityTable[[#This Row],[DS]])-1),"")</f>
        <v/>
      </c>
      <c r="M303" s="293" t="str">
        <f>CLEAN(TRIM(SUBSTITUTE(LEFT(combinedMaturityTable[[#This Row],[DSm]],MIN(250,LEN(combinedMaturityTable[[#This Row],[DSm]]))),CHAR(160)," ")))</f>
        <v/>
      </c>
    </row>
    <row r="304" spans="2:13" hidden="1" x14ac:dyDescent="0.25">
      <c r="B304" s="252" t="str">
        <f>'Cybersecurity Controls'!$M$119</f>
        <v>Cybersecurity Controls</v>
      </c>
      <c r="C304" s="252" t="str">
        <f>'Cybersecurity Controls'!$A$119</f>
        <v>Detective Controls</v>
      </c>
      <c r="D304" s="252" t="str">
        <f>'Cybersecurity Controls'!$B$119</f>
        <v>Threat and Vulnerability Detection</v>
      </c>
      <c r="E304" s="252" t="str">
        <f>'Cybersecurity Controls'!$C$119</f>
        <v>Advanced</v>
      </c>
      <c r="F304" s="252">
        <f>'Cybersecurity Controls'!$D$119</f>
        <v>0</v>
      </c>
      <c r="G304" s="252">
        <f>'Cybersecurity Controls'!$N$119</f>
        <v>0</v>
      </c>
      <c r="H304" s="252">
        <f>'Cybersecurity Controls'!$O$119</f>
        <v>0</v>
      </c>
      <c r="I304" s="252">
        <f>'Cybersecurity Controls'!$P$119</f>
        <v>0</v>
      </c>
      <c r="J304" s="252">
        <f>'Cybersecurity Controls'!$Q$119</f>
        <v>0</v>
      </c>
      <c r="K304" t="s">
        <v>379</v>
      </c>
      <c r="L304" t="str">
        <f>IF(combinedMaturityTable[[#This Row],[Maturity Level]]="Baseline",LEFT(combinedMaturityTable[[#This Row],[DS]],FIND("(FFIEC ",combinedMaturityTable[[#This Row],[DS]])-1),"")</f>
        <v/>
      </c>
      <c r="M304" s="293" t="str">
        <f>CLEAN(TRIM(SUBSTITUTE(LEFT(combinedMaturityTable[[#This Row],[DSm]],MIN(250,LEN(combinedMaturityTable[[#This Row],[DSm]]))),CHAR(160)," ")))</f>
        <v/>
      </c>
    </row>
    <row r="305" spans="2:13" hidden="1" x14ac:dyDescent="0.25">
      <c r="B305" s="252" t="str">
        <f>'Cybersecurity Controls'!$M$120</f>
        <v>Cybersecurity Controls</v>
      </c>
      <c r="C305" s="252" t="str">
        <f>'Cybersecurity Controls'!$A$120</f>
        <v>Detective Controls</v>
      </c>
      <c r="D305" s="252" t="str">
        <f>'Cybersecurity Controls'!$B$120</f>
        <v>Threat and Vulnerability Detection</v>
      </c>
      <c r="E305" s="252" t="str">
        <f>'Cybersecurity Controls'!$C$120</f>
        <v>Innovative</v>
      </c>
      <c r="F305" s="252">
        <f>'Cybersecurity Controls'!$D$120</f>
        <v>0</v>
      </c>
      <c r="G305" s="252">
        <f>'Cybersecurity Controls'!$N$120</f>
        <v>0</v>
      </c>
      <c r="H305" s="252">
        <f>'Cybersecurity Controls'!$O$120</f>
        <v>0</v>
      </c>
      <c r="I305" s="252">
        <f>'Cybersecurity Controls'!$P$120</f>
        <v>0</v>
      </c>
      <c r="J305" s="252">
        <f>'Cybersecurity Controls'!$Q$120</f>
        <v>0</v>
      </c>
      <c r="K305" t="s">
        <v>380</v>
      </c>
      <c r="L305" t="str">
        <f>IF(combinedMaturityTable[[#This Row],[Maturity Level]]="Baseline",LEFT(combinedMaturityTable[[#This Row],[DS]],FIND("(FFIEC ",combinedMaturityTable[[#This Row],[DS]])-1),"")</f>
        <v/>
      </c>
      <c r="M305" s="293" t="str">
        <f>CLEAN(TRIM(SUBSTITUTE(LEFT(combinedMaturityTable[[#This Row],[DSm]],MIN(250,LEN(combinedMaturityTable[[#This Row],[DSm]]))),CHAR(160)," ")))</f>
        <v/>
      </c>
    </row>
    <row r="306" spans="2:13" hidden="1" x14ac:dyDescent="0.25">
      <c r="B306" s="252" t="str">
        <f>'Cybersecurity Controls'!$M$121</f>
        <v>Cybersecurity Controls</v>
      </c>
      <c r="C306" s="252" t="str">
        <f>'Cybersecurity Controls'!$A$121</f>
        <v>Detective Controls</v>
      </c>
      <c r="D306" s="252" t="str">
        <f>'Cybersecurity Controls'!$B$121</f>
        <v>Threat and Vulnerability Detection</v>
      </c>
      <c r="E306" s="252" t="str">
        <f>'Cybersecurity Controls'!$C$121</f>
        <v>Innovative</v>
      </c>
      <c r="F306" s="252">
        <f>'Cybersecurity Controls'!$D$121</f>
        <v>0</v>
      </c>
      <c r="G306" s="252">
        <f>'Cybersecurity Controls'!$N$121</f>
        <v>0</v>
      </c>
      <c r="H306" s="252">
        <f>'Cybersecurity Controls'!$O$121</f>
        <v>0</v>
      </c>
      <c r="I306" s="252">
        <f>'Cybersecurity Controls'!$P$121</f>
        <v>0</v>
      </c>
      <c r="J306" s="252">
        <f>'Cybersecurity Controls'!$Q$121</f>
        <v>0</v>
      </c>
      <c r="K306" t="s">
        <v>381</v>
      </c>
      <c r="L306" t="str">
        <f>IF(combinedMaturityTable[[#This Row],[Maturity Level]]="Baseline",LEFT(combinedMaturityTable[[#This Row],[DS]],FIND("(FFIEC ",combinedMaturityTable[[#This Row],[DS]])-1),"")</f>
        <v/>
      </c>
      <c r="M306" s="293" t="str">
        <f>CLEAN(TRIM(SUBSTITUTE(LEFT(combinedMaturityTable[[#This Row],[DSm]],MIN(250,LEN(combinedMaturityTable[[#This Row],[DSm]]))),CHAR(160)," ")))</f>
        <v/>
      </c>
    </row>
    <row r="307" spans="2:13" x14ac:dyDescent="0.25">
      <c r="B307" s="252" t="str">
        <f>'Cybersecurity Controls'!$M$122</f>
        <v>Cybersecurity Controls</v>
      </c>
      <c r="C307" s="252" t="str">
        <f>'Cybersecurity Controls'!$A$122</f>
        <v>Detective Controls</v>
      </c>
      <c r="D307" s="252" t="str">
        <f>'Cybersecurity Controls'!$B$122</f>
        <v>Anomalous Activity Detection</v>
      </c>
      <c r="E307" s="252" t="str">
        <f>'Cybersecurity Controls'!$C$122</f>
        <v>Baseline</v>
      </c>
      <c r="F307" s="252">
        <f>'Cybersecurity Controls'!$D$122</f>
        <v>0</v>
      </c>
      <c r="G307" s="252">
        <f>'Cybersecurity Controls'!$N$122</f>
        <v>0</v>
      </c>
      <c r="H307" s="252">
        <f>'Cybersecurity Controls'!$O$122</f>
        <v>0</v>
      </c>
      <c r="I307" s="252">
        <f>'Cybersecurity Controls'!$P$122</f>
        <v>0</v>
      </c>
      <c r="J307" s="252">
        <f>'Cybersecurity Controls'!$Q$122</f>
        <v>0</v>
      </c>
      <c r="K307" t="s">
        <v>382</v>
      </c>
      <c r="L307" t="str">
        <f>IF(combinedMaturityTable[[#This Row],[Maturity Level]]="Baseline",LEFT(combinedMaturityTable[[#This Row],[DS]],FIND("(FFIEC ",combinedMaturityTable[[#This Row],[DS]])-1),"")</f>
        <v xml:space="preserve">The institution is able to detect anomalous activities through monitoring across the environment. </v>
      </c>
      <c r="M307" s="293" t="str">
        <f>CLEAN(TRIM(SUBSTITUTE(LEFT(combinedMaturityTable[[#This Row],[DSm]],MIN(250,LEN(combinedMaturityTable[[#This Row],[DSm]]))),CHAR(160)," ")))</f>
        <v>The institution is able to detect anomalous activities through monitoring across the environment.</v>
      </c>
    </row>
    <row r="308" spans="2:13" x14ac:dyDescent="0.25">
      <c r="B308" s="252" t="str">
        <f>'Cybersecurity Controls'!$M$123</f>
        <v>Cybersecurity Controls</v>
      </c>
      <c r="C308" s="252" t="str">
        <f>'Cybersecurity Controls'!$A$123</f>
        <v>Detective Controls</v>
      </c>
      <c r="D308" s="252" t="str">
        <f>'Cybersecurity Controls'!$B$123</f>
        <v>Anomalous Activity Detection</v>
      </c>
      <c r="E308" s="252" t="str">
        <f>'Cybersecurity Controls'!$C$123</f>
        <v>Baseline</v>
      </c>
      <c r="F308" s="252">
        <f>'Cybersecurity Controls'!$D$123</f>
        <v>0</v>
      </c>
      <c r="G308" s="252">
        <f>'Cybersecurity Controls'!$N$123</f>
        <v>0</v>
      </c>
      <c r="H308" s="252">
        <f>'Cybersecurity Controls'!$O$123</f>
        <v>0</v>
      </c>
      <c r="I308" s="252">
        <f>'Cybersecurity Controls'!$P$123</f>
        <v>0</v>
      </c>
      <c r="J308" s="252">
        <f>'Cybersecurity Controls'!$Q$123</f>
        <v>0</v>
      </c>
      <c r="K308" t="s">
        <v>383</v>
      </c>
      <c r="L308" t="str">
        <f>IF(combinedMaturityTable[[#This Row],[Maturity Level]]="Baseline",LEFT(combinedMaturityTable[[#This Row],[DS]],FIND("(FFIEC ",combinedMaturityTable[[#This Row],[DS]])-1),"")</f>
        <v xml:space="preserve">Customer transactions generating anomalous activity alerts are monitored and reviewed. </v>
      </c>
      <c r="M308" s="293" t="str">
        <f>CLEAN(TRIM(SUBSTITUTE(LEFT(combinedMaturityTable[[#This Row],[DSm]],MIN(250,LEN(combinedMaturityTable[[#This Row],[DSm]]))),CHAR(160)," ")))</f>
        <v>Customer transactions generating anomalous activity alerts are monitored and reviewed.</v>
      </c>
    </row>
    <row r="309" spans="2:13" x14ac:dyDescent="0.25">
      <c r="B309" s="252" t="str">
        <f>'Cybersecurity Controls'!$M$124</f>
        <v>Cybersecurity Controls</v>
      </c>
      <c r="C309" s="252" t="str">
        <f>'Cybersecurity Controls'!$A$124</f>
        <v>Detective Controls</v>
      </c>
      <c r="D309" s="252" t="str">
        <f>'Cybersecurity Controls'!$B$124</f>
        <v>Anomalous Activity Detection</v>
      </c>
      <c r="E309" s="252" t="str">
        <f>'Cybersecurity Controls'!$C$124</f>
        <v>Baseline</v>
      </c>
      <c r="F309" s="252">
        <f>'Cybersecurity Controls'!$D$124</f>
        <v>0</v>
      </c>
      <c r="G309" s="252">
        <f>'Cybersecurity Controls'!$N$124</f>
        <v>0</v>
      </c>
      <c r="H309" s="252">
        <f>'Cybersecurity Controls'!$O$124</f>
        <v>0</v>
      </c>
      <c r="I309" s="252">
        <f>'Cybersecurity Controls'!$P$124</f>
        <v>0</v>
      </c>
      <c r="J309" s="252">
        <f>'Cybersecurity Controls'!$Q$124</f>
        <v>0</v>
      </c>
      <c r="K309" t="s">
        <v>384</v>
      </c>
      <c r="L309" t="str">
        <f>IF(combinedMaturityTable[[#This Row],[Maturity Level]]="Baseline",LEFT(combinedMaturityTable[[#This Row],[DS]],FIND("(FFIEC ",combinedMaturityTable[[#This Row],[DS]])-1),"")</f>
        <v xml:space="preserve">Logs of physical and/or logical access are reviewed following events. </v>
      </c>
      <c r="M309" s="293" t="str">
        <f>CLEAN(TRIM(SUBSTITUTE(LEFT(combinedMaturityTable[[#This Row],[DSm]],MIN(250,LEN(combinedMaturityTable[[#This Row],[DSm]]))),CHAR(160)," ")))</f>
        <v>Logs of physical and/or logical access are reviewed following events.</v>
      </c>
    </row>
    <row r="310" spans="2:13" x14ac:dyDescent="0.25">
      <c r="B310" s="252" t="str">
        <f>'Cybersecurity Controls'!$M$125</f>
        <v>Cybersecurity Controls</v>
      </c>
      <c r="C310" s="252" t="str">
        <f>'Cybersecurity Controls'!$A$125</f>
        <v>Detective Controls</v>
      </c>
      <c r="D310" s="252" t="str">
        <f>'Cybersecurity Controls'!$B$125</f>
        <v>Anomalous Activity Detection</v>
      </c>
      <c r="E310" s="252" t="str">
        <f>'Cybersecurity Controls'!$C$125</f>
        <v>Baseline</v>
      </c>
      <c r="F310" s="252">
        <f>'Cybersecurity Controls'!$D$125</f>
        <v>0</v>
      </c>
      <c r="G310" s="252">
        <f>'Cybersecurity Controls'!$N$125</f>
        <v>0</v>
      </c>
      <c r="H310" s="252">
        <f>'Cybersecurity Controls'!$O$125</f>
        <v>0</v>
      </c>
      <c r="I310" s="252">
        <f>'Cybersecurity Controls'!$P$125</f>
        <v>0</v>
      </c>
      <c r="J310" s="252">
        <f>'Cybersecurity Controls'!$Q$125</f>
        <v>0</v>
      </c>
      <c r="K310" t="s">
        <v>385</v>
      </c>
      <c r="L310" t="str">
        <f>IF(combinedMaturityTable[[#This Row],[Maturity Level]]="Baseline",LEFT(combinedMaturityTable[[#This Row],[DS]],FIND("(FFIEC ",combinedMaturityTable[[#This Row],[DS]])-1),"")</f>
        <v xml:space="preserve">Access to critical systems by third parties is monitored for unauthorized or unusual activity. </v>
      </c>
      <c r="M310" s="293" t="str">
        <f>CLEAN(TRIM(SUBSTITUTE(LEFT(combinedMaturityTable[[#This Row],[DSm]],MIN(250,LEN(combinedMaturityTable[[#This Row],[DSm]]))),CHAR(160)," ")))</f>
        <v>Access to critical systems by third parties is monitored for unauthorized or unusual activity.</v>
      </c>
    </row>
    <row r="311" spans="2:13" x14ac:dyDescent="0.25">
      <c r="B311" s="252" t="str">
        <f>'Cybersecurity Controls'!$M$126</f>
        <v>Cybersecurity Controls</v>
      </c>
      <c r="C311" s="252" t="str">
        <f>'Cybersecurity Controls'!$A$126</f>
        <v>Detective Controls</v>
      </c>
      <c r="D311" s="252" t="str">
        <f>'Cybersecurity Controls'!$B$126</f>
        <v>Anomalous Activity Detection</v>
      </c>
      <c r="E311" s="252" t="str">
        <f>'Cybersecurity Controls'!$C$126</f>
        <v>Baseline</v>
      </c>
      <c r="F311" s="252">
        <f>'Cybersecurity Controls'!$D$126</f>
        <v>0</v>
      </c>
      <c r="G311" s="252">
        <f>'Cybersecurity Controls'!$N$126</f>
        <v>0</v>
      </c>
      <c r="H311" s="252">
        <f>'Cybersecurity Controls'!$O$126</f>
        <v>0</v>
      </c>
      <c r="I311" s="252">
        <f>'Cybersecurity Controls'!$P$126</f>
        <v>0</v>
      </c>
      <c r="J311" s="252">
        <f>'Cybersecurity Controls'!$Q$126</f>
        <v>0</v>
      </c>
      <c r="K311" t="s">
        <v>386</v>
      </c>
      <c r="L311" t="str">
        <f>IF(combinedMaturityTable[[#This Row],[Maturity Level]]="Baseline",LEFT(combinedMaturityTable[[#This Row],[DS]],FIND("(FFIEC ",combinedMaturityTable[[#This Row],[DS]])-1),"")</f>
        <v xml:space="preserve">Elevated privileges are monitored. </v>
      </c>
      <c r="M311" s="293" t="str">
        <f>CLEAN(TRIM(SUBSTITUTE(LEFT(combinedMaturityTable[[#This Row],[DSm]],MIN(250,LEN(combinedMaturityTable[[#This Row],[DSm]]))),CHAR(160)," ")))</f>
        <v>Elevated privileges are monitored.</v>
      </c>
    </row>
    <row r="312" spans="2:13" hidden="1" x14ac:dyDescent="0.25">
      <c r="B312" s="252" t="str">
        <f>'Cybersecurity Controls'!$M$127</f>
        <v>Cybersecurity Controls</v>
      </c>
      <c r="C312" s="252" t="str">
        <f>'Cybersecurity Controls'!$A$127</f>
        <v>Detective Controls</v>
      </c>
      <c r="D312" s="252" t="str">
        <f>'Cybersecurity Controls'!$B$127</f>
        <v>Anomalous Activity Detection</v>
      </c>
      <c r="E312" s="252" t="str">
        <f>'Cybersecurity Controls'!$C$127</f>
        <v>Evolving</v>
      </c>
      <c r="F312" s="252">
        <f>'Cybersecurity Controls'!$D$127</f>
        <v>0</v>
      </c>
      <c r="G312" s="252">
        <f>'Cybersecurity Controls'!$N$127</f>
        <v>0</v>
      </c>
      <c r="H312" s="252">
        <f>'Cybersecurity Controls'!$O$127</f>
        <v>0</v>
      </c>
      <c r="I312" s="252">
        <f>'Cybersecurity Controls'!$P$127</f>
        <v>0</v>
      </c>
      <c r="J312" s="252">
        <f>'Cybersecurity Controls'!$Q$127</f>
        <v>0</v>
      </c>
      <c r="K312" t="s">
        <v>388</v>
      </c>
      <c r="L312" t="str">
        <f>IF(combinedMaturityTable[[#This Row],[Maturity Level]]="Baseline",LEFT(combinedMaturityTable[[#This Row],[DS]],FIND("(FFIEC ",combinedMaturityTable[[#This Row],[DS]])-1),"")</f>
        <v/>
      </c>
      <c r="M312" s="293" t="str">
        <f>CLEAN(TRIM(SUBSTITUTE(LEFT(combinedMaturityTable[[#This Row],[DSm]],MIN(250,LEN(combinedMaturityTable[[#This Row],[DSm]]))),CHAR(160)," ")))</f>
        <v/>
      </c>
    </row>
    <row r="313" spans="2:13" hidden="1" x14ac:dyDescent="0.25">
      <c r="B313" s="252" t="str">
        <f>'Cybersecurity Controls'!$M$128</f>
        <v>Cybersecurity Controls</v>
      </c>
      <c r="C313" s="252" t="str">
        <f>'Cybersecurity Controls'!$A$128</f>
        <v>Detective Controls</v>
      </c>
      <c r="D313" s="252" t="str">
        <f>'Cybersecurity Controls'!$B$128</f>
        <v>Anomalous Activity Detection</v>
      </c>
      <c r="E313" s="252" t="str">
        <f>'Cybersecurity Controls'!$C$128</f>
        <v>Evolving</v>
      </c>
      <c r="F313" s="252">
        <f>'Cybersecurity Controls'!$D$128</f>
        <v>0</v>
      </c>
      <c r="G313" s="252">
        <f>'Cybersecurity Controls'!$N$128</f>
        <v>0</v>
      </c>
      <c r="H313" s="252">
        <f>'Cybersecurity Controls'!$O$128</f>
        <v>0</v>
      </c>
      <c r="I313" s="252">
        <f>'Cybersecurity Controls'!$P$128</f>
        <v>0</v>
      </c>
      <c r="J313" s="252">
        <f>'Cybersecurity Controls'!$Q$128</f>
        <v>0</v>
      </c>
      <c r="K313" t="s">
        <v>389</v>
      </c>
      <c r="L313" t="str">
        <f>IF(combinedMaturityTable[[#This Row],[Maturity Level]]="Baseline",LEFT(combinedMaturityTable[[#This Row],[DS]],FIND("(FFIEC ",combinedMaturityTable[[#This Row],[DS]])-1),"")</f>
        <v/>
      </c>
      <c r="M313" s="293" t="str">
        <f>CLEAN(TRIM(SUBSTITUTE(LEFT(combinedMaturityTable[[#This Row],[DSm]],MIN(250,LEN(combinedMaturityTable[[#This Row],[DSm]]))),CHAR(160)," ")))</f>
        <v/>
      </c>
    </row>
    <row r="314" spans="2:13" hidden="1" x14ac:dyDescent="0.25">
      <c r="B314" s="252" t="str">
        <f>'Cybersecurity Controls'!$M$129</f>
        <v>Cybersecurity Controls</v>
      </c>
      <c r="C314" s="252" t="str">
        <f>'Cybersecurity Controls'!$A$129</f>
        <v>Detective Controls</v>
      </c>
      <c r="D314" s="252" t="str">
        <f>'Cybersecurity Controls'!$B$129</f>
        <v>Anomalous Activity Detection</v>
      </c>
      <c r="E314" s="252" t="str">
        <f>'Cybersecurity Controls'!$C$129</f>
        <v>Evolving</v>
      </c>
      <c r="F314" s="252">
        <f>'Cybersecurity Controls'!$D$129</f>
        <v>0</v>
      </c>
      <c r="G314" s="252">
        <f>'Cybersecurity Controls'!$N$129</f>
        <v>0</v>
      </c>
      <c r="H314" s="252">
        <f>'Cybersecurity Controls'!$O$129</f>
        <v>0</v>
      </c>
      <c r="I314" s="252">
        <f>'Cybersecurity Controls'!$P$129</f>
        <v>0</v>
      </c>
      <c r="J314" s="252">
        <f>'Cybersecurity Controls'!$Q$129</f>
        <v>0</v>
      </c>
      <c r="K314" t="s">
        <v>390</v>
      </c>
      <c r="L314" t="str">
        <f>IF(combinedMaturityTable[[#This Row],[Maturity Level]]="Baseline",LEFT(combinedMaturityTable[[#This Row],[DS]],FIND("(FFIEC ",combinedMaturityTable[[#This Row],[DS]])-1),"")</f>
        <v/>
      </c>
      <c r="M314" s="293" t="str">
        <f>CLEAN(TRIM(SUBSTITUTE(LEFT(combinedMaturityTable[[#This Row],[DSm]],MIN(250,LEN(combinedMaturityTable[[#This Row],[DSm]]))),CHAR(160)," ")))</f>
        <v/>
      </c>
    </row>
    <row r="315" spans="2:13" hidden="1" x14ac:dyDescent="0.25">
      <c r="B315" s="252" t="str">
        <f>'Cybersecurity Controls'!$M$130</f>
        <v>Cybersecurity Controls</v>
      </c>
      <c r="C315" s="252" t="str">
        <f>'Cybersecurity Controls'!$A$130</f>
        <v>Detective Controls</v>
      </c>
      <c r="D315" s="252" t="str">
        <f>'Cybersecurity Controls'!$B$130</f>
        <v>Anomalous Activity Detection</v>
      </c>
      <c r="E315" s="252" t="str">
        <f>'Cybersecurity Controls'!$C$130</f>
        <v>Evolving</v>
      </c>
      <c r="F315" s="252">
        <f>'Cybersecurity Controls'!$D$130</f>
        <v>0</v>
      </c>
      <c r="G315" s="252">
        <f>'Cybersecurity Controls'!$N$130</f>
        <v>0</v>
      </c>
      <c r="H315" s="252">
        <f>'Cybersecurity Controls'!$O$130</f>
        <v>0</v>
      </c>
      <c r="I315" s="252">
        <f>'Cybersecurity Controls'!$P$130</f>
        <v>0</v>
      </c>
      <c r="J315" s="252">
        <f>'Cybersecurity Controls'!$Q$130</f>
        <v>0</v>
      </c>
      <c r="K315" t="s">
        <v>391</v>
      </c>
      <c r="L315" t="str">
        <f>IF(combinedMaturityTable[[#This Row],[Maturity Level]]="Baseline",LEFT(combinedMaturityTable[[#This Row],[DS]],FIND("(FFIEC ",combinedMaturityTable[[#This Row],[DS]])-1),"")</f>
        <v/>
      </c>
      <c r="M315" s="293" t="str">
        <f>CLEAN(TRIM(SUBSTITUTE(LEFT(combinedMaturityTable[[#This Row],[DSm]],MIN(250,LEN(combinedMaturityTable[[#This Row],[DSm]]))),CHAR(160)," ")))</f>
        <v/>
      </c>
    </row>
    <row r="316" spans="2:13" hidden="1" x14ac:dyDescent="0.25">
      <c r="B316" s="252" t="str">
        <f>'Cybersecurity Controls'!$M$131</f>
        <v>Cybersecurity Controls</v>
      </c>
      <c r="C316" s="252" t="str">
        <f>'Cybersecurity Controls'!$A$131</f>
        <v>Detective Controls</v>
      </c>
      <c r="D316" s="252" t="str">
        <f>'Cybersecurity Controls'!$B$131</f>
        <v>Anomalous Activity Detection</v>
      </c>
      <c r="E316" s="252" t="str">
        <f>'Cybersecurity Controls'!$C$131</f>
        <v>Intermediate</v>
      </c>
      <c r="F316" s="252">
        <f>'Cybersecurity Controls'!$D$131</f>
        <v>0</v>
      </c>
      <c r="G316" s="252">
        <f>'Cybersecurity Controls'!$N$131</f>
        <v>0</v>
      </c>
      <c r="H316" s="252">
        <f>'Cybersecurity Controls'!$O$131</f>
        <v>0</v>
      </c>
      <c r="I316" s="252">
        <f>'Cybersecurity Controls'!$P$131</f>
        <v>0</v>
      </c>
      <c r="J316" s="252">
        <f>'Cybersecurity Controls'!$Q$131</f>
        <v>0</v>
      </c>
      <c r="K316" t="s">
        <v>392</v>
      </c>
      <c r="L316" t="str">
        <f>IF(combinedMaturityTable[[#This Row],[Maturity Level]]="Baseline",LEFT(combinedMaturityTable[[#This Row],[DS]],FIND("(FFIEC ",combinedMaturityTable[[#This Row],[DS]])-1),"")</f>
        <v/>
      </c>
      <c r="M316" s="293" t="str">
        <f>CLEAN(TRIM(SUBSTITUTE(LEFT(combinedMaturityTable[[#This Row],[DSm]],MIN(250,LEN(combinedMaturityTable[[#This Row],[DSm]]))),CHAR(160)," ")))</f>
        <v/>
      </c>
    </row>
    <row r="317" spans="2:13" hidden="1" x14ac:dyDescent="0.25">
      <c r="B317" s="252" t="str">
        <f>'Cybersecurity Controls'!$M$132</f>
        <v>Cybersecurity Controls</v>
      </c>
      <c r="C317" s="252" t="str">
        <f>'Cybersecurity Controls'!$A$132</f>
        <v>Detective Controls</v>
      </c>
      <c r="D317" s="252" t="str">
        <f>'Cybersecurity Controls'!$B$132</f>
        <v>Anomalous Activity Detection</v>
      </c>
      <c r="E317" s="252" t="str">
        <f>'Cybersecurity Controls'!$C$132</f>
        <v>Intermediate</v>
      </c>
      <c r="F317" s="252">
        <f>'Cybersecurity Controls'!$D$132</f>
        <v>0</v>
      </c>
      <c r="G317" s="252">
        <f>'Cybersecurity Controls'!$N$132</f>
        <v>0</v>
      </c>
      <c r="H317" s="252">
        <f>'Cybersecurity Controls'!$O$132</f>
        <v>0</v>
      </c>
      <c r="I317" s="252">
        <f>'Cybersecurity Controls'!$P$132</f>
        <v>0</v>
      </c>
      <c r="J317" s="252">
        <f>'Cybersecurity Controls'!$Q$132</f>
        <v>0</v>
      </c>
      <c r="K317" t="s">
        <v>393</v>
      </c>
      <c r="L317" t="str">
        <f>IF(combinedMaturityTable[[#This Row],[Maturity Level]]="Baseline",LEFT(combinedMaturityTable[[#This Row],[DS]],FIND("(FFIEC ",combinedMaturityTable[[#This Row],[DS]])-1),"")</f>
        <v/>
      </c>
      <c r="M317" s="293" t="str">
        <f>CLEAN(TRIM(SUBSTITUTE(LEFT(combinedMaturityTable[[#This Row],[DSm]],MIN(250,LEN(combinedMaturityTable[[#This Row],[DSm]]))),CHAR(160)," ")))</f>
        <v/>
      </c>
    </row>
    <row r="318" spans="2:13" hidden="1" x14ac:dyDescent="0.25">
      <c r="B318" s="252" t="str">
        <f>'Cybersecurity Controls'!$M$133</f>
        <v>Cybersecurity Controls</v>
      </c>
      <c r="C318" s="252" t="str">
        <f>'Cybersecurity Controls'!$A$133</f>
        <v>Detective Controls</v>
      </c>
      <c r="D318" s="252" t="str">
        <f>'Cybersecurity Controls'!$B$133</f>
        <v>Anomalous Activity Detection</v>
      </c>
      <c r="E318" s="252" t="str">
        <f>'Cybersecurity Controls'!$C$133</f>
        <v>Intermediate</v>
      </c>
      <c r="F318" s="252">
        <f>'Cybersecurity Controls'!$D$133</f>
        <v>0</v>
      </c>
      <c r="G318" s="252">
        <f>'Cybersecurity Controls'!$N$133</f>
        <v>0</v>
      </c>
      <c r="H318" s="252">
        <f>'Cybersecurity Controls'!$O$133</f>
        <v>0</v>
      </c>
      <c r="I318" s="252">
        <f>'Cybersecurity Controls'!$P$133</f>
        <v>0</v>
      </c>
      <c r="J318" s="252">
        <f>'Cybersecurity Controls'!$Q$133</f>
        <v>0</v>
      </c>
      <c r="K318" t="s">
        <v>394</v>
      </c>
      <c r="L318" t="str">
        <f>IF(combinedMaturityTable[[#This Row],[Maturity Level]]="Baseline",LEFT(combinedMaturityTable[[#This Row],[DS]],FIND("(FFIEC ",combinedMaturityTable[[#This Row],[DS]])-1),"")</f>
        <v/>
      </c>
      <c r="M318" s="293" t="str">
        <f>CLEAN(TRIM(SUBSTITUTE(LEFT(combinedMaturityTable[[#This Row],[DSm]],MIN(250,LEN(combinedMaturityTable[[#This Row],[DSm]]))),CHAR(160)," ")))</f>
        <v/>
      </c>
    </row>
    <row r="319" spans="2:13" hidden="1" x14ac:dyDescent="0.25">
      <c r="B319" s="252" t="str">
        <f>'Cybersecurity Controls'!$M$134</f>
        <v>Cybersecurity Controls</v>
      </c>
      <c r="C319" s="252" t="str">
        <f>'Cybersecurity Controls'!$A$134</f>
        <v>Detective Controls</v>
      </c>
      <c r="D319" s="252" t="str">
        <f>'Cybersecurity Controls'!$B$134</f>
        <v>Anomalous Activity Detection</v>
      </c>
      <c r="E319" s="252" t="str">
        <f>'Cybersecurity Controls'!$C$134</f>
        <v>Intermediate</v>
      </c>
      <c r="F319" s="252">
        <f>'Cybersecurity Controls'!$D$134</f>
        <v>0</v>
      </c>
      <c r="G319" s="252">
        <f>'Cybersecurity Controls'!$N$134</f>
        <v>0</v>
      </c>
      <c r="H319" s="252">
        <f>'Cybersecurity Controls'!$O$134</f>
        <v>0</v>
      </c>
      <c r="I319" s="252">
        <f>'Cybersecurity Controls'!$P$134</f>
        <v>0</v>
      </c>
      <c r="J319" s="252">
        <f>'Cybersecurity Controls'!$Q$134</f>
        <v>0</v>
      </c>
      <c r="K319" t="s">
        <v>395</v>
      </c>
      <c r="L319" t="str">
        <f>IF(combinedMaturityTable[[#This Row],[Maturity Level]]="Baseline",LEFT(combinedMaturityTable[[#This Row],[DS]],FIND("(FFIEC ",combinedMaturityTable[[#This Row],[DS]])-1),"")</f>
        <v/>
      </c>
      <c r="M319" s="293" t="str">
        <f>CLEAN(TRIM(SUBSTITUTE(LEFT(combinedMaturityTable[[#This Row],[DSm]],MIN(250,LEN(combinedMaturityTable[[#This Row],[DSm]]))),CHAR(160)," ")))</f>
        <v/>
      </c>
    </row>
    <row r="320" spans="2:13" hidden="1" x14ac:dyDescent="0.25">
      <c r="B320" s="252" t="str">
        <f>'Cybersecurity Controls'!$M$135</f>
        <v>Cybersecurity Controls</v>
      </c>
      <c r="C320" s="252" t="str">
        <f>'Cybersecurity Controls'!$A$135</f>
        <v>Detective Controls</v>
      </c>
      <c r="D320" s="252" t="str">
        <f>'Cybersecurity Controls'!$B$135</f>
        <v>Anomalous Activity Detection</v>
      </c>
      <c r="E320" s="252" t="str">
        <f>'Cybersecurity Controls'!$C$135</f>
        <v>Intermediate</v>
      </c>
      <c r="F320" s="252">
        <f>'Cybersecurity Controls'!$D$135</f>
        <v>0</v>
      </c>
      <c r="G320" s="252">
        <f>'Cybersecurity Controls'!$N$135</f>
        <v>0</v>
      </c>
      <c r="H320" s="252">
        <f>'Cybersecurity Controls'!$O$135</f>
        <v>0</v>
      </c>
      <c r="I320" s="252">
        <f>'Cybersecurity Controls'!$P$135</f>
        <v>0</v>
      </c>
      <c r="J320" s="252">
        <f>'Cybersecurity Controls'!$Q$135</f>
        <v>0</v>
      </c>
      <c r="K320" t="s">
        <v>396</v>
      </c>
      <c r="L320" t="str">
        <f>IF(combinedMaturityTable[[#This Row],[Maturity Level]]="Baseline",LEFT(combinedMaturityTable[[#This Row],[DS]],FIND("(FFIEC ",combinedMaturityTable[[#This Row],[DS]])-1),"")</f>
        <v/>
      </c>
      <c r="M320" s="293" t="str">
        <f>CLEAN(TRIM(SUBSTITUTE(LEFT(combinedMaturityTable[[#This Row],[DSm]],MIN(250,LEN(combinedMaturityTable[[#This Row],[DSm]]))),CHAR(160)," ")))</f>
        <v/>
      </c>
    </row>
    <row r="321" spans="2:13" hidden="1" x14ac:dyDescent="0.25">
      <c r="B321" s="252" t="str">
        <f>'Cybersecurity Controls'!$M$136</f>
        <v>Cybersecurity Controls</v>
      </c>
      <c r="C321" s="252" t="str">
        <f>'Cybersecurity Controls'!$A$136</f>
        <v>Detective Controls</v>
      </c>
      <c r="D321" s="252" t="str">
        <f>'Cybersecurity Controls'!$B$136</f>
        <v>Anomalous Activity Detection</v>
      </c>
      <c r="E321" s="252" t="str">
        <f>'Cybersecurity Controls'!$C$136</f>
        <v>Intermediate</v>
      </c>
      <c r="F321" s="252">
        <f>'Cybersecurity Controls'!$D$136</f>
        <v>0</v>
      </c>
      <c r="G321" s="252">
        <f>'Cybersecurity Controls'!$N$136</f>
        <v>0</v>
      </c>
      <c r="H321" s="252">
        <f>'Cybersecurity Controls'!$O$136</f>
        <v>0</v>
      </c>
      <c r="I321" s="252">
        <f>'Cybersecurity Controls'!$P$136</f>
        <v>0</v>
      </c>
      <c r="J321" s="252">
        <f>'Cybersecurity Controls'!$Q$136</f>
        <v>0</v>
      </c>
      <c r="K321" t="s">
        <v>397</v>
      </c>
      <c r="L321" t="str">
        <f>IF(combinedMaturityTable[[#This Row],[Maturity Level]]="Baseline",LEFT(combinedMaturityTable[[#This Row],[DS]],FIND("(FFIEC ",combinedMaturityTable[[#This Row],[DS]])-1),"")</f>
        <v/>
      </c>
      <c r="M321" s="293" t="str">
        <f>CLEAN(TRIM(SUBSTITUTE(LEFT(combinedMaturityTable[[#This Row],[DSm]],MIN(250,LEN(combinedMaturityTable[[#This Row],[DSm]]))),CHAR(160)," ")))</f>
        <v/>
      </c>
    </row>
    <row r="322" spans="2:13" hidden="1" x14ac:dyDescent="0.25">
      <c r="B322" s="252" t="str">
        <f>'Cybersecurity Controls'!$M$137</f>
        <v>Cybersecurity Controls</v>
      </c>
      <c r="C322" s="252" t="str">
        <f>'Cybersecurity Controls'!$A$137</f>
        <v>Detective Controls</v>
      </c>
      <c r="D322" s="252" t="str">
        <f>'Cybersecurity Controls'!$B$137</f>
        <v>Anomalous Activity Detection</v>
      </c>
      <c r="E322" s="252" t="str">
        <f>'Cybersecurity Controls'!$C$137</f>
        <v>Advanced</v>
      </c>
      <c r="F322" s="252">
        <f>'Cybersecurity Controls'!$D$137</f>
        <v>0</v>
      </c>
      <c r="G322" s="252">
        <f>'Cybersecurity Controls'!$N$137</f>
        <v>0</v>
      </c>
      <c r="H322" s="252">
        <f>'Cybersecurity Controls'!$O$137</f>
        <v>0</v>
      </c>
      <c r="I322" s="252">
        <f>'Cybersecurity Controls'!$P$137</f>
        <v>0</v>
      </c>
      <c r="J322" s="252">
        <f>'Cybersecurity Controls'!$Q$137</f>
        <v>0</v>
      </c>
      <c r="K322" t="s">
        <v>398</v>
      </c>
      <c r="L322" t="str">
        <f>IF(combinedMaturityTable[[#This Row],[Maturity Level]]="Baseline",LEFT(combinedMaturityTable[[#This Row],[DS]],FIND("(FFIEC ",combinedMaturityTable[[#This Row],[DS]])-1),"")</f>
        <v/>
      </c>
      <c r="M322" s="293" t="str">
        <f>CLEAN(TRIM(SUBSTITUTE(LEFT(combinedMaturityTable[[#This Row],[DSm]],MIN(250,LEN(combinedMaturityTable[[#This Row],[DSm]]))),CHAR(160)," ")))</f>
        <v/>
      </c>
    </row>
    <row r="323" spans="2:13" hidden="1" x14ac:dyDescent="0.25">
      <c r="B323" s="252" t="str">
        <f>'Cybersecurity Controls'!$M$138</f>
        <v>Cybersecurity Controls</v>
      </c>
      <c r="C323" s="252" t="str">
        <f>'Cybersecurity Controls'!$A$138</f>
        <v>Detective Controls</v>
      </c>
      <c r="D323" s="252" t="str">
        <f>'Cybersecurity Controls'!$B$138</f>
        <v>Anomalous Activity Detection</v>
      </c>
      <c r="E323" s="252" t="str">
        <f>'Cybersecurity Controls'!$C$138</f>
        <v>Advanced</v>
      </c>
      <c r="F323" s="252">
        <f>'Cybersecurity Controls'!$D$138</f>
        <v>0</v>
      </c>
      <c r="G323" s="252">
        <f>'Cybersecurity Controls'!$N$138</f>
        <v>0</v>
      </c>
      <c r="H323" s="252">
        <f>'Cybersecurity Controls'!$O$138</f>
        <v>0</v>
      </c>
      <c r="I323" s="252">
        <f>'Cybersecurity Controls'!$P$138</f>
        <v>0</v>
      </c>
      <c r="J323" s="252">
        <f>'Cybersecurity Controls'!$Q$138</f>
        <v>0</v>
      </c>
      <c r="K323" t="s">
        <v>399</v>
      </c>
      <c r="L323" t="str">
        <f>IF(combinedMaturityTable[[#This Row],[Maturity Level]]="Baseline",LEFT(combinedMaturityTable[[#This Row],[DS]],FIND("(FFIEC ",combinedMaturityTable[[#This Row],[DS]])-1),"")</f>
        <v/>
      </c>
      <c r="M323" s="293" t="str">
        <f>CLEAN(TRIM(SUBSTITUTE(LEFT(combinedMaturityTable[[#This Row],[DSm]],MIN(250,LEN(combinedMaturityTable[[#This Row],[DSm]]))),CHAR(160)," ")))</f>
        <v/>
      </c>
    </row>
    <row r="324" spans="2:13" hidden="1" x14ac:dyDescent="0.25">
      <c r="B324" s="252" t="str">
        <f>'Cybersecurity Controls'!$M$139</f>
        <v>Cybersecurity Controls</v>
      </c>
      <c r="C324" s="252" t="str">
        <f>'Cybersecurity Controls'!$A$139</f>
        <v>Detective Controls</v>
      </c>
      <c r="D324" s="252" t="str">
        <f>'Cybersecurity Controls'!$B$139</f>
        <v>Anomalous Activity Detection</v>
      </c>
      <c r="E324" s="252" t="str">
        <f>'Cybersecurity Controls'!$C$139</f>
        <v>Advanced</v>
      </c>
      <c r="F324" s="252">
        <f>'Cybersecurity Controls'!$D$139</f>
        <v>0</v>
      </c>
      <c r="G324" s="252">
        <f>'Cybersecurity Controls'!$N$139</f>
        <v>0</v>
      </c>
      <c r="H324" s="252">
        <f>'Cybersecurity Controls'!$O$139</f>
        <v>0</v>
      </c>
      <c r="I324" s="252">
        <f>'Cybersecurity Controls'!$P$139</f>
        <v>0</v>
      </c>
      <c r="J324" s="252">
        <f>'Cybersecurity Controls'!$Q$139</f>
        <v>0</v>
      </c>
      <c r="K324" t="s">
        <v>400</v>
      </c>
      <c r="L324" t="str">
        <f>IF(combinedMaturityTable[[#This Row],[Maturity Level]]="Baseline",LEFT(combinedMaturityTable[[#This Row],[DS]],FIND("(FFIEC ",combinedMaturityTable[[#This Row],[DS]])-1),"")</f>
        <v/>
      </c>
      <c r="M324" s="293" t="str">
        <f>CLEAN(TRIM(SUBSTITUTE(LEFT(combinedMaturityTable[[#This Row],[DSm]],MIN(250,LEN(combinedMaturityTable[[#This Row],[DSm]]))),CHAR(160)," ")))</f>
        <v/>
      </c>
    </row>
    <row r="325" spans="2:13" hidden="1" x14ac:dyDescent="0.25">
      <c r="B325" s="252" t="str">
        <f>'Cybersecurity Controls'!$M$140</f>
        <v>Cybersecurity Controls</v>
      </c>
      <c r="C325" s="252" t="str">
        <f>'Cybersecurity Controls'!$A$140</f>
        <v>Detective Controls</v>
      </c>
      <c r="D325" s="252" t="str">
        <f>'Cybersecurity Controls'!$B$140</f>
        <v>Anomalous Activity Detection</v>
      </c>
      <c r="E325" s="252" t="str">
        <f>'Cybersecurity Controls'!$C$140</f>
        <v>Advanced</v>
      </c>
      <c r="F325" s="252">
        <f>'Cybersecurity Controls'!$D$140</f>
        <v>0</v>
      </c>
      <c r="G325" s="252">
        <f>'Cybersecurity Controls'!$N$140</f>
        <v>0</v>
      </c>
      <c r="H325" s="252">
        <f>'Cybersecurity Controls'!$O$140</f>
        <v>0</v>
      </c>
      <c r="I325" s="252">
        <f>'Cybersecurity Controls'!$P$140</f>
        <v>0</v>
      </c>
      <c r="J325" s="252">
        <f>'Cybersecurity Controls'!$Q$140</f>
        <v>0</v>
      </c>
      <c r="K325" t="s">
        <v>401</v>
      </c>
      <c r="L325" t="str">
        <f>IF(combinedMaturityTable[[#This Row],[Maturity Level]]="Baseline",LEFT(combinedMaturityTable[[#This Row],[DS]],FIND("(FFIEC ",combinedMaturityTable[[#This Row],[DS]])-1),"")</f>
        <v/>
      </c>
      <c r="M325" s="293" t="str">
        <f>CLEAN(TRIM(SUBSTITUTE(LEFT(combinedMaturityTable[[#This Row],[DSm]],MIN(250,LEN(combinedMaturityTable[[#This Row],[DSm]]))),CHAR(160)," ")))</f>
        <v/>
      </c>
    </row>
    <row r="326" spans="2:13" hidden="1" x14ac:dyDescent="0.25">
      <c r="B326" s="252" t="str">
        <f>'Cybersecurity Controls'!$M$141</f>
        <v>Cybersecurity Controls</v>
      </c>
      <c r="C326" s="252" t="str">
        <f>'Cybersecurity Controls'!$A$141</f>
        <v>Detective Controls</v>
      </c>
      <c r="D326" s="252" t="str">
        <f>'Cybersecurity Controls'!$B$141</f>
        <v>Anomalous Activity Detection</v>
      </c>
      <c r="E326" s="252" t="str">
        <f>'Cybersecurity Controls'!$C$141</f>
        <v>Advanced</v>
      </c>
      <c r="F326" s="252">
        <f>'Cybersecurity Controls'!$D$141</f>
        <v>0</v>
      </c>
      <c r="G326" s="252">
        <f>'Cybersecurity Controls'!$N$141</f>
        <v>0</v>
      </c>
      <c r="H326" s="252">
        <f>'Cybersecurity Controls'!$O$141</f>
        <v>0</v>
      </c>
      <c r="I326" s="252">
        <f>'Cybersecurity Controls'!$P$141</f>
        <v>0</v>
      </c>
      <c r="J326" s="252">
        <f>'Cybersecurity Controls'!$Q$141</f>
        <v>0</v>
      </c>
      <c r="K326" t="s">
        <v>402</v>
      </c>
      <c r="L326" t="str">
        <f>IF(combinedMaturityTable[[#This Row],[Maturity Level]]="Baseline",LEFT(combinedMaturityTable[[#This Row],[DS]],FIND("(FFIEC ",combinedMaturityTable[[#This Row],[DS]])-1),"")</f>
        <v/>
      </c>
      <c r="M326" s="293" t="str">
        <f>CLEAN(TRIM(SUBSTITUTE(LEFT(combinedMaturityTable[[#This Row],[DSm]],MIN(250,LEN(combinedMaturityTable[[#This Row],[DSm]]))),CHAR(160)," ")))</f>
        <v/>
      </c>
    </row>
    <row r="327" spans="2:13" hidden="1" x14ac:dyDescent="0.25">
      <c r="B327" s="252" t="str">
        <f>'Cybersecurity Controls'!$M$142</f>
        <v>Cybersecurity Controls</v>
      </c>
      <c r="C327" s="252" t="str">
        <f>'Cybersecurity Controls'!$A$142</f>
        <v>Detective Controls</v>
      </c>
      <c r="D327" s="252" t="str">
        <f>'Cybersecurity Controls'!$B$142</f>
        <v>Anomalous Activity Detection</v>
      </c>
      <c r="E327" s="252" t="str">
        <f>'Cybersecurity Controls'!$C$142</f>
        <v>Innovative</v>
      </c>
      <c r="F327" s="252">
        <f>'Cybersecurity Controls'!$D$142</f>
        <v>0</v>
      </c>
      <c r="G327" s="252">
        <f>'Cybersecurity Controls'!$N$142</f>
        <v>0</v>
      </c>
      <c r="H327" s="252">
        <f>'Cybersecurity Controls'!$O$142</f>
        <v>0</v>
      </c>
      <c r="I327" s="252">
        <f>'Cybersecurity Controls'!$P$142</f>
        <v>0</v>
      </c>
      <c r="J327" s="252">
        <f>'Cybersecurity Controls'!$Q$142</f>
        <v>0</v>
      </c>
      <c r="K327" t="s">
        <v>403</v>
      </c>
      <c r="L327" t="str">
        <f>IF(combinedMaturityTable[[#This Row],[Maturity Level]]="Baseline",LEFT(combinedMaturityTable[[#This Row],[DS]],FIND("(FFIEC ",combinedMaturityTable[[#This Row],[DS]])-1),"")</f>
        <v/>
      </c>
      <c r="M327" s="293" t="str">
        <f>CLEAN(TRIM(SUBSTITUTE(LEFT(combinedMaturityTable[[#This Row],[DSm]],MIN(250,LEN(combinedMaturityTable[[#This Row],[DSm]]))),CHAR(160)," ")))</f>
        <v/>
      </c>
    </row>
    <row r="328" spans="2:13" hidden="1" x14ac:dyDescent="0.25">
      <c r="B328" s="252" t="str">
        <f>'Cybersecurity Controls'!$M$143</f>
        <v>Cybersecurity Controls</v>
      </c>
      <c r="C328" s="252" t="str">
        <f>'Cybersecurity Controls'!$A$143</f>
        <v>Detective Controls</v>
      </c>
      <c r="D328" s="252" t="str">
        <f>'Cybersecurity Controls'!$B$143</f>
        <v>Anomalous Activity Detection</v>
      </c>
      <c r="E328" s="252" t="str">
        <f>'Cybersecurity Controls'!$C$143</f>
        <v>Innovative</v>
      </c>
      <c r="F328" s="252">
        <f>'Cybersecurity Controls'!$D$143</f>
        <v>0</v>
      </c>
      <c r="G328" s="252">
        <f>'Cybersecurity Controls'!$N$143</f>
        <v>0</v>
      </c>
      <c r="H328" s="252">
        <f>'Cybersecurity Controls'!$O$143</f>
        <v>0</v>
      </c>
      <c r="I328" s="252">
        <f>'Cybersecurity Controls'!$P$143</f>
        <v>0</v>
      </c>
      <c r="J328" s="252">
        <f>'Cybersecurity Controls'!$Q$143</f>
        <v>0</v>
      </c>
      <c r="K328" t="s">
        <v>404</v>
      </c>
      <c r="L328" t="str">
        <f>IF(combinedMaturityTable[[#This Row],[Maturity Level]]="Baseline",LEFT(combinedMaturityTable[[#This Row],[DS]],FIND("(FFIEC ",combinedMaturityTable[[#This Row],[DS]])-1),"")</f>
        <v/>
      </c>
      <c r="M328" s="293" t="str">
        <f>CLEAN(TRIM(SUBSTITUTE(LEFT(combinedMaturityTable[[#This Row],[DSm]],MIN(250,LEN(combinedMaturityTable[[#This Row],[DSm]]))),CHAR(160)," ")))</f>
        <v/>
      </c>
    </row>
    <row r="329" spans="2:13" x14ac:dyDescent="0.25">
      <c r="B329" s="252" t="str">
        <f>'Cybersecurity Controls'!$M$144</f>
        <v>Cybersecurity Controls</v>
      </c>
      <c r="C329" s="252" t="str">
        <f>'Cybersecurity Controls'!$A$144</f>
        <v>Detective Controls</v>
      </c>
      <c r="D329" s="252" t="str">
        <f>'Cybersecurity Controls'!$B$144</f>
        <v>Event Detection</v>
      </c>
      <c r="E329" s="252" t="str">
        <f>'Cybersecurity Controls'!$C$144</f>
        <v>Baseline</v>
      </c>
      <c r="F329" s="252">
        <f>'Cybersecurity Controls'!$D$144</f>
        <v>0</v>
      </c>
      <c r="G329" s="252">
        <f>'Cybersecurity Controls'!$N$144</f>
        <v>0</v>
      </c>
      <c r="H329" s="252">
        <f>'Cybersecurity Controls'!$O$144</f>
        <v>0</v>
      </c>
      <c r="I329" s="252">
        <f>'Cybersecurity Controls'!$P$144</f>
        <v>0</v>
      </c>
      <c r="J329" s="252">
        <f>'Cybersecurity Controls'!$Q$144</f>
        <v>0</v>
      </c>
      <c r="K329" t="s">
        <v>405</v>
      </c>
      <c r="L329" t="str">
        <f>IF(combinedMaturityTable[[#This Row],[Maturity Level]]="Baseline",LEFT(combinedMaturityTable[[#This Row],[DS]],FIND("(FFIEC ",combinedMaturityTable[[#This Row],[DS]])-1),"")</f>
        <v xml:space="preserve">A normal network activity baseline is established. </v>
      </c>
      <c r="M329" s="293" t="str">
        <f>CLEAN(TRIM(SUBSTITUTE(LEFT(combinedMaturityTable[[#This Row],[DSm]],MIN(250,LEN(combinedMaturityTable[[#This Row],[DSm]]))),CHAR(160)," ")))</f>
        <v>A normal network activity baseline is established.</v>
      </c>
    </row>
    <row r="330" spans="2:13" x14ac:dyDescent="0.25">
      <c r="B330" s="252" t="str">
        <f>'Cybersecurity Controls'!$M$145</f>
        <v>Cybersecurity Controls</v>
      </c>
      <c r="C330" s="252" t="str">
        <f>'Cybersecurity Controls'!$A$145</f>
        <v>Detective Controls</v>
      </c>
      <c r="D330" s="252" t="str">
        <f>'Cybersecurity Controls'!$B$145</f>
        <v>Event Detection</v>
      </c>
      <c r="E330" s="252" t="str">
        <f>'Cybersecurity Controls'!$C$145</f>
        <v>Baseline</v>
      </c>
      <c r="F330" s="252">
        <f>'Cybersecurity Controls'!$D$145</f>
        <v>0</v>
      </c>
      <c r="G330" s="252">
        <f>'Cybersecurity Controls'!$N$145</f>
        <v>0</v>
      </c>
      <c r="H330" s="252">
        <f>'Cybersecurity Controls'!$O$145</f>
        <v>0</v>
      </c>
      <c r="I330" s="252">
        <f>'Cybersecurity Controls'!$P$145</f>
        <v>0</v>
      </c>
      <c r="J330" s="252">
        <f>'Cybersecurity Controls'!$Q$145</f>
        <v>0</v>
      </c>
      <c r="K330" t="s">
        <v>406</v>
      </c>
      <c r="L330" t="str">
        <f>IF(combinedMaturityTable[[#This Row],[Maturity Level]]="Baseline",LEFT(combinedMaturityTable[[#This Row],[DS]],FIND("(FFIEC ",combinedMaturityTable[[#This Row],[DS]])-1),"")</f>
        <v xml:space="preserve">Mechanisms (e.g., antivirus alerts, log event alerts) are in place to alert management to potential attacks. </v>
      </c>
      <c r="M330" s="293" t="str">
        <f>CLEAN(TRIM(SUBSTITUTE(LEFT(combinedMaturityTable[[#This Row],[DSm]],MIN(250,LEN(combinedMaturityTable[[#This Row],[DSm]]))),CHAR(160)," ")))</f>
        <v>Mechanisms (e.g., antivirus alerts, log event alerts) are in place to alert management to potential attacks.</v>
      </c>
    </row>
    <row r="331" spans="2:13" x14ac:dyDescent="0.25">
      <c r="B331" s="252" t="str">
        <f>'Cybersecurity Controls'!$M$146</f>
        <v>Cybersecurity Controls</v>
      </c>
      <c r="C331" s="252" t="str">
        <f>'Cybersecurity Controls'!$A$146</f>
        <v>Detective Controls</v>
      </c>
      <c r="D331" s="252" t="str">
        <f>'Cybersecurity Controls'!$B$146</f>
        <v>Event Detection</v>
      </c>
      <c r="E331" s="252" t="str">
        <f>'Cybersecurity Controls'!$C$146</f>
        <v>Baseline</v>
      </c>
      <c r="F331" s="252">
        <f>'Cybersecurity Controls'!$D$146</f>
        <v>0</v>
      </c>
      <c r="G331" s="252">
        <f>'Cybersecurity Controls'!$N$146</f>
        <v>0</v>
      </c>
      <c r="H331" s="252">
        <f>'Cybersecurity Controls'!$O$146</f>
        <v>0</v>
      </c>
      <c r="I331" s="252">
        <f>'Cybersecurity Controls'!$P$146</f>
        <v>0</v>
      </c>
      <c r="J331" s="252">
        <f>'Cybersecurity Controls'!$Q$146</f>
        <v>0</v>
      </c>
      <c r="K331" t="s">
        <v>407</v>
      </c>
      <c r="L331" t="str">
        <f>IF(combinedMaturityTable[[#This Row],[Maturity Level]]="Baseline",LEFT(combinedMaturityTable[[#This Row],[DS]],FIND("(FFIEC ",combinedMaturityTable[[#This Row],[DS]])-1),"")</f>
        <v xml:space="preserve">Processes are in place to monitor for the presence of unauthorized users, devices, connections, and software. </v>
      </c>
      <c r="M331" s="293" t="str">
        <f>CLEAN(TRIM(SUBSTITUTE(LEFT(combinedMaturityTable[[#This Row],[DSm]],MIN(250,LEN(combinedMaturityTable[[#This Row],[DSm]]))),CHAR(160)," ")))</f>
        <v>Processes are in place to monitor for the presence of unauthorized users, devices, connections, and software.</v>
      </c>
    </row>
    <row r="332" spans="2:13" x14ac:dyDescent="0.25">
      <c r="B332" s="252" t="str">
        <f>'Cybersecurity Controls'!$M$147</f>
        <v>Cybersecurity Controls</v>
      </c>
      <c r="C332" s="252" t="str">
        <f>'Cybersecurity Controls'!$A$147</f>
        <v>Detective Controls</v>
      </c>
      <c r="D332" s="252" t="str">
        <f>'Cybersecurity Controls'!$B$147</f>
        <v>Event Detection</v>
      </c>
      <c r="E332" s="252" t="str">
        <f>'Cybersecurity Controls'!$C$147</f>
        <v>Baseline</v>
      </c>
      <c r="F332" s="252">
        <f>'Cybersecurity Controls'!$D$147</f>
        <v>0</v>
      </c>
      <c r="G332" s="252">
        <f>'Cybersecurity Controls'!$N$147</f>
        <v>0</v>
      </c>
      <c r="H332" s="252">
        <f>'Cybersecurity Controls'!$O$147</f>
        <v>0</v>
      </c>
      <c r="I332" s="252">
        <f>'Cybersecurity Controls'!$P$147</f>
        <v>0</v>
      </c>
      <c r="J332" s="252">
        <f>'Cybersecurity Controls'!$Q$147</f>
        <v>0</v>
      </c>
      <c r="K332" t="s">
        <v>408</v>
      </c>
      <c r="L332" t="str">
        <f>IF(combinedMaturityTable[[#This Row],[Maturity Level]]="Baseline",LEFT(combinedMaturityTable[[#This Row],[DS]],FIND("(FFIEC ",combinedMaturityTable[[#This Row],[DS]])-1),"")</f>
        <v xml:space="preserve">Responsibilities for monitoring and reporting suspicious systems activity have been assigned. </v>
      </c>
      <c r="M332" s="293" t="str">
        <f>CLEAN(TRIM(SUBSTITUTE(LEFT(combinedMaturityTable[[#This Row],[DSm]],MIN(250,LEN(combinedMaturityTable[[#This Row],[DSm]]))),CHAR(160)," ")))</f>
        <v>Responsibilities for monitoring and reporting suspicious systems activity have been assigned.</v>
      </c>
    </row>
    <row r="333" spans="2:13" x14ac:dyDescent="0.25">
      <c r="B333" s="252" t="str">
        <f>'Cybersecurity Controls'!$M$148</f>
        <v>Cybersecurity Controls</v>
      </c>
      <c r="C333" s="252" t="str">
        <f>'Cybersecurity Controls'!$A$148</f>
        <v>Detective Controls</v>
      </c>
      <c r="D333" s="252" t="str">
        <f>'Cybersecurity Controls'!$B$148</f>
        <v>Event Detection</v>
      </c>
      <c r="E333" s="252" t="str">
        <f>'Cybersecurity Controls'!$C$148</f>
        <v>Baseline</v>
      </c>
      <c r="F333" s="252">
        <f>'Cybersecurity Controls'!$D$148</f>
        <v>0</v>
      </c>
      <c r="G333" s="252">
        <f>'Cybersecurity Controls'!$N$148</f>
        <v>0</v>
      </c>
      <c r="H333" s="252">
        <f>'Cybersecurity Controls'!$O$148</f>
        <v>0</v>
      </c>
      <c r="I333" s="252">
        <f>'Cybersecurity Controls'!$P$148</f>
        <v>0</v>
      </c>
      <c r="J333" s="252">
        <f>'Cybersecurity Controls'!$Q$148</f>
        <v>0</v>
      </c>
      <c r="K333" t="s">
        <v>409</v>
      </c>
      <c r="L333" t="str">
        <f>IF(combinedMaturityTable[[#This Row],[Maturity Level]]="Baseline",LEFT(combinedMaturityTable[[#This Row],[DS]],FIND("(FFIEC ",combinedMaturityTable[[#This Row],[DS]])-1),"")</f>
        <v xml:space="preserve">The physical environment is monitored to detect potential unauthorized access. </v>
      </c>
      <c r="M333" s="293" t="str">
        <f>CLEAN(TRIM(SUBSTITUTE(LEFT(combinedMaturityTable[[#This Row],[DSm]],MIN(250,LEN(combinedMaturityTable[[#This Row],[DSm]]))),CHAR(160)," ")))</f>
        <v>The physical environment is monitored to detect potential unauthorized access.</v>
      </c>
    </row>
    <row r="334" spans="2:13" hidden="1" x14ac:dyDescent="0.25">
      <c r="B334" s="252" t="str">
        <f>'Cybersecurity Controls'!$M$149</f>
        <v>Cybersecurity Controls</v>
      </c>
      <c r="C334" s="252" t="str">
        <f>'Cybersecurity Controls'!$A$149</f>
        <v>Detective Controls</v>
      </c>
      <c r="D334" s="252" t="str">
        <f>'Cybersecurity Controls'!$B$149</f>
        <v>Event Detection</v>
      </c>
      <c r="E334" s="252" t="str">
        <f>'Cybersecurity Controls'!$C$149</f>
        <v>Evolving</v>
      </c>
      <c r="F334" s="252">
        <f>'Cybersecurity Controls'!$D$149</f>
        <v>0</v>
      </c>
      <c r="G334" s="252">
        <f>'Cybersecurity Controls'!$N$149</f>
        <v>0</v>
      </c>
      <c r="H334" s="252">
        <f>'Cybersecurity Controls'!$O$149</f>
        <v>0</v>
      </c>
      <c r="I334" s="252">
        <f>'Cybersecurity Controls'!$P$149</f>
        <v>0</v>
      </c>
      <c r="J334" s="252">
        <f>'Cybersecurity Controls'!$Q$149</f>
        <v>0</v>
      </c>
      <c r="K334" t="s">
        <v>411</v>
      </c>
      <c r="L334" t="str">
        <f>IF(combinedMaturityTable[[#This Row],[Maturity Level]]="Baseline",LEFT(combinedMaturityTable[[#This Row],[DS]],FIND("(FFIEC ",combinedMaturityTable[[#This Row],[DS]])-1),"")</f>
        <v/>
      </c>
      <c r="M334" s="293" t="str">
        <f>CLEAN(TRIM(SUBSTITUTE(LEFT(combinedMaturityTable[[#This Row],[DSm]],MIN(250,LEN(combinedMaturityTable[[#This Row],[DSm]]))),CHAR(160)," ")))</f>
        <v/>
      </c>
    </row>
    <row r="335" spans="2:13" hidden="1" x14ac:dyDescent="0.25">
      <c r="B335" s="252" t="str">
        <f>'Cybersecurity Controls'!$M$150</f>
        <v>Cybersecurity Controls</v>
      </c>
      <c r="C335" s="252" t="str">
        <f>'Cybersecurity Controls'!$A$150</f>
        <v>Detective Controls</v>
      </c>
      <c r="D335" s="252" t="str">
        <f>'Cybersecurity Controls'!$B$150</f>
        <v>Event Detection</v>
      </c>
      <c r="E335" s="252" t="str">
        <f>'Cybersecurity Controls'!$C$150</f>
        <v>Intermediate</v>
      </c>
      <c r="F335" s="252">
        <f>'Cybersecurity Controls'!$D$150</f>
        <v>0</v>
      </c>
      <c r="G335" s="252">
        <f>'Cybersecurity Controls'!$N$150</f>
        <v>0</v>
      </c>
      <c r="H335" s="252">
        <f>'Cybersecurity Controls'!$O$150</f>
        <v>0</v>
      </c>
      <c r="I335" s="252">
        <f>'Cybersecurity Controls'!$P$150</f>
        <v>0</v>
      </c>
      <c r="J335" s="252">
        <f>'Cybersecurity Controls'!$Q$150</f>
        <v>0</v>
      </c>
      <c r="K335" t="s">
        <v>412</v>
      </c>
      <c r="L335" t="str">
        <f>IF(combinedMaturityTable[[#This Row],[Maturity Level]]="Baseline",LEFT(combinedMaturityTable[[#This Row],[DS]],FIND("(FFIEC ",combinedMaturityTable[[#This Row],[DS]])-1),"")</f>
        <v/>
      </c>
      <c r="M335" s="293" t="str">
        <f>CLEAN(TRIM(SUBSTITUTE(LEFT(combinedMaturityTable[[#This Row],[DSm]],MIN(250,LEN(combinedMaturityTable[[#This Row],[DSm]]))),CHAR(160)," ")))</f>
        <v/>
      </c>
    </row>
    <row r="336" spans="2:13" hidden="1" x14ac:dyDescent="0.25">
      <c r="B336" s="252" t="str">
        <f>'Cybersecurity Controls'!$M$151</f>
        <v>Cybersecurity Controls</v>
      </c>
      <c r="C336" s="252" t="str">
        <f>'Cybersecurity Controls'!$A$151</f>
        <v>Detective Controls</v>
      </c>
      <c r="D336" s="252" t="str">
        <f>'Cybersecurity Controls'!$B$151</f>
        <v>Event Detection</v>
      </c>
      <c r="E336" s="252" t="str">
        <f>'Cybersecurity Controls'!$C$151</f>
        <v>Intermediate</v>
      </c>
      <c r="F336" s="252">
        <f>'Cybersecurity Controls'!$D$151</f>
        <v>0</v>
      </c>
      <c r="G336" s="252">
        <f>'Cybersecurity Controls'!$N$151</f>
        <v>0</v>
      </c>
      <c r="H336" s="252">
        <f>'Cybersecurity Controls'!$O$151</f>
        <v>0</v>
      </c>
      <c r="I336" s="252">
        <f>'Cybersecurity Controls'!$P$151</f>
        <v>0</v>
      </c>
      <c r="J336" s="252">
        <f>'Cybersecurity Controls'!$Q$151</f>
        <v>0</v>
      </c>
      <c r="K336" t="s">
        <v>413</v>
      </c>
      <c r="L336" t="str">
        <f>IF(combinedMaturityTable[[#This Row],[Maturity Level]]="Baseline",LEFT(combinedMaturityTable[[#This Row],[DS]],FIND("(FFIEC ",combinedMaturityTable[[#This Row],[DS]])-1),"")</f>
        <v/>
      </c>
      <c r="M336" s="293" t="str">
        <f>CLEAN(TRIM(SUBSTITUTE(LEFT(combinedMaturityTable[[#This Row],[DSm]],MIN(250,LEN(combinedMaturityTable[[#This Row],[DSm]]))),CHAR(160)," ")))</f>
        <v/>
      </c>
    </row>
    <row r="337" spans="2:13" hidden="1" x14ac:dyDescent="0.25">
      <c r="B337" s="252" t="str">
        <f>'Cybersecurity Controls'!$M$152</f>
        <v>Cybersecurity Controls</v>
      </c>
      <c r="C337" s="252" t="str">
        <f>'Cybersecurity Controls'!$A$152</f>
        <v>Detective Controls</v>
      </c>
      <c r="D337" s="252" t="str">
        <f>'Cybersecurity Controls'!$B$152</f>
        <v>Event Detection</v>
      </c>
      <c r="E337" s="252" t="str">
        <f>'Cybersecurity Controls'!$C$152</f>
        <v>Intermediate</v>
      </c>
      <c r="F337" s="252">
        <f>'Cybersecurity Controls'!$D$152</f>
        <v>0</v>
      </c>
      <c r="G337" s="252">
        <f>'Cybersecurity Controls'!$N$152</f>
        <v>0</v>
      </c>
      <c r="H337" s="252">
        <f>'Cybersecurity Controls'!$O$152</f>
        <v>0</v>
      </c>
      <c r="I337" s="252">
        <f>'Cybersecurity Controls'!$P$152</f>
        <v>0</v>
      </c>
      <c r="J337" s="252">
        <f>'Cybersecurity Controls'!$Q$152</f>
        <v>0</v>
      </c>
      <c r="K337" t="s">
        <v>414</v>
      </c>
      <c r="L337" t="str">
        <f>IF(combinedMaturityTable[[#This Row],[Maturity Level]]="Baseline",LEFT(combinedMaturityTable[[#This Row],[DS]],FIND("(FFIEC ",combinedMaturityTable[[#This Row],[DS]])-1),"")</f>
        <v/>
      </c>
      <c r="M337" s="293" t="str">
        <f>CLEAN(TRIM(SUBSTITUTE(LEFT(combinedMaturityTable[[#This Row],[DSm]],MIN(250,LEN(combinedMaturityTable[[#This Row],[DSm]]))),CHAR(160)," ")))</f>
        <v/>
      </c>
    </row>
    <row r="338" spans="2:13" hidden="1" x14ac:dyDescent="0.25">
      <c r="B338" s="252" t="str">
        <f>'Cybersecurity Controls'!$M$153</f>
        <v>Cybersecurity Controls</v>
      </c>
      <c r="C338" s="252" t="str">
        <f>'Cybersecurity Controls'!$A$153</f>
        <v>Detective Controls</v>
      </c>
      <c r="D338" s="252" t="str">
        <f>'Cybersecurity Controls'!$B$153</f>
        <v>Event Detection</v>
      </c>
      <c r="E338" s="252" t="str">
        <f>'Cybersecurity Controls'!$C$153</f>
        <v>Advanced</v>
      </c>
      <c r="F338" s="252">
        <f>'Cybersecurity Controls'!$D$153</f>
        <v>0</v>
      </c>
      <c r="G338" s="252">
        <f>'Cybersecurity Controls'!$N$153</f>
        <v>0</v>
      </c>
      <c r="H338" s="252">
        <f>'Cybersecurity Controls'!$O$153</f>
        <v>0</v>
      </c>
      <c r="I338" s="252">
        <f>'Cybersecurity Controls'!$P$153</f>
        <v>0</v>
      </c>
      <c r="J338" s="252">
        <f>'Cybersecurity Controls'!$Q$153</f>
        <v>0</v>
      </c>
      <c r="K338" t="s">
        <v>415</v>
      </c>
      <c r="L338" t="str">
        <f>IF(combinedMaturityTable[[#This Row],[Maturity Level]]="Baseline",LEFT(combinedMaturityTable[[#This Row],[DS]],FIND("(FFIEC ",combinedMaturityTable[[#This Row],[DS]])-1),"")</f>
        <v/>
      </c>
      <c r="M338" s="293" t="str">
        <f>CLEAN(TRIM(SUBSTITUTE(LEFT(combinedMaturityTable[[#This Row],[DSm]],MIN(250,LEN(combinedMaturityTable[[#This Row],[DSm]]))),CHAR(160)," ")))</f>
        <v/>
      </c>
    </row>
    <row r="339" spans="2:13" hidden="1" x14ac:dyDescent="0.25">
      <c r="B339" s="252" t="str">
        <f>'Cybersecurity Controls'!$M$154</f>
        <v>Cybersecurity Controls</v>
      </c>
      <c r="C339" s="252" t="str">
        <f>'Cybersecurity Controls'!$A$154</f>
        <v>Detective Controls</v>
      </c>
      <c r="D339" s="252" t="str">
        <f>'Cybersecurity Controls'!$B$154</f>
        <v>Event Detection</v>
      </c>
      <c r="E339" s="252" t="str">
        <f>'Cybersecurity Controls'!$C$154</f>
        <v>Advanced</v>
      </c>
      <c r="F339" s="252">
        <f>'Cybersecurity Controls'!$D$154</f>
        <v>0</v>
      </c>
      <c r="G339" s="252">
        <f>'Cybersecurity Controls'!$N$154</f>
        <v>0</v>
      </c>
      <c r="H339" s="252">
        <f>'Cybersecurity Controls'!$O$154</f>
        <v>0</v>
      </c>
      <c r="I339" s="252">
        <f>'Cybersecurity Controls'!$P$154</f>
        <v>0</v>
      </c>
      <c r="J339" s="252">
        <f>'Cybersecurity Controls'!$Q$154</f>
        <v>0</v>
      </c>
      <c r="K339" t="s">
        <v>416</v>
      </c>
      <c r="L339" t="str">
        <f>IF(combinedMaturityTable[[#This Row],[Maturity Level]]="Baseline",LEFT(combinedMaturityTable[[#This Row],[DS]],FIND("(FFIEC ",combinedMaturityTable[[#This Row],[DS]])-1),"")</f>
        <v/>
      </c>
      <c r="M339" s="293" t="str">
        <f>CLEAN(TRIM(SUBSTITUTE(LEFT(combinedMaturityTable[[#This Row],[DSm]],MIN(250,LEN(combinedMaturityTable[[#This Row],[DSm]]))),CHAR(160)," ")))</f>
        <v/>
      </c>
    </row>
    <row r="340" spans="2:13" hidden="1" x14ac:dyDescent="0.25">
      <c r="B340" s="252" t="str">
        <f>'Cybersecurity Controls'!$M$155</f>
        <v>Cybersecurity Controls</v>
      </c>
      <c r="C340" s="252" t="str">
        <f>'Cybersecurity Controls'!$A$155</f>
        <v>Detective Controls</v>
      </c>
      <c r="D340" s="252" t="str">
        <f>'Cybersecurity Controls'!$B$155</f>
        <v>Event Detection</v>
      </c>
      <c r="E340" s="252" t="str">
        <f>'Cybersecurity Controls'!$C$155</f>
        <v>Advanced</v>
      </c>
      <c r="F340" s="252">
        <f>'Cybersecurity Controls'!$D$155</f>
        <v>0</v>
      </c>
      <c r="G340" s="252">
        <f>'Cybersecurity Controls'!$N$155</f>
        <v>0</v>
      </c>
      <c r="H340" s="252">
        <f>'Cybersecurity Controls'!$O$155</f>
        <v>0</v>
      </c>
      <c r="I340" s="252">
        <f>'Cybersecurity Controls'!$P$155</f>
        <v>0</v>
      </c>
      <c r="J340" s="252">
        <f>'Cybersecurity Controls'!$Q$155</f>
        <v>0</v>
      </c>
      <c r="K340" t="s">
        <v>417</v>
      </c>
      <c r="L340" t="str">
        <f>IF(combinedMaturityTable[[#This Row],[Maturity Level]]="Baseline",LEFT(combinedMaturityTable[[#This Row],[DS]],FIND("(FFIEC ",combinedMaturityTable[[#This Row],[DS]])-1),"")</f>
        <v/>
      </c>
      <c r="M340" s="293" t="str">
        <f>CLEAN(TRIM(SUBSTITUTE(LEFT(combinedMaturityTable[[#This Row],[DSm]],MIN(250,LEN(combinedMaturityTable[[#This Row],[DSm]]))),CHAR(160)," ")))</f>
        <v/>
      </c>
    </row>
    <row r="341" spans="2:13" hidden="1" x14ac:dyDescent="0.25">
      <c r="B341" s="252" t="str">
        <f>'Cybersecurity Controls'!$M$156</f>
        <v>Cybersecurity Controls</v>
      </c>
      <c r="C341" s="252" t="str">
        <f>'Cybersecurity Controls'!$A$156</f>
        <v>Detective Controls</v>
      </c>
      <c r="D341" s="252" t="str">
        <f>'Cybersecurity Controls'!$B$156</f>
        <v>Event Detection</v>
      </c>
      <c r="E341" s="252" t="str">
        <f>'Cybersecurity Controls'!$C$156</f>
        <v>Advanced</v>
      </c>
      <c r="F341" s="252">
        <f>'Cybersecurity Controls'!$D$156</f>
        <v>0</v>
      </c>
      <c r="G341" s="252">
        <f>'Cybersecurity Controls'!$N$156</f>
        <v>0</v>
      </c>
      <c r="H341" s="252">
        <f>'Cybersecurity Controls'!$O$156</f>
        <v>0</v>
      </c>
      <c r="I341" s="252">
        <f>'Cybersecurity Controls'!$P$156</f>
        <v>0</v>
      </c>
      <c r="J341" s="252">
        <f>'Cybersecurity Controls'!$Q$156</f>
        <v>0</v>
      </c>
      <c r="K341" t="s">
        <v>418</v>
      </c>
      <c r="L341" t="str">
        <f>IF(combinedMaturityTable[[#This Row],[Maturity Level]]="Baseline",LEFT(combinedMaturityTable[[#This Row],[DS]],FIND("(FFIEC ",combinedMaturityTable[[#This Row],[DS]])-1),"")</f>
        <v/>
      </c>
      <c r="M341" s="293" t="str">
        <f>CLEAN(TRIM(SUBSTITUTE(LEFT(combinedMaturityTable[[#This Row],[DSm]],MIN(250,LEN(combinedMaturityTable[[#This Row],[DSm]]))),CHAR(160)," ")))</f>
        <v/>
      </c>
    </row>
    <row r="342" spans="2:13" hidden="1" x14ac:dyDescent="0.25">
      <c r="B342" s="252" t="str">
        <f>'Cybersecurity Controls'!$M$157</f>
        <v>Cybersecurity Controls</v>
      </c>
      <c r="C342" s="252" t="str">
        <f>'Cybersecurity Controls'!$A$157</f>
        <v>Detective Controls</v>
      </c>
      <c r="D342" s="252" t="str">
        <f>'Cybersecurity Controls'!$B$157</f>
        <v>Event Detection</v>
      </c>
      <c r="E342" s="252" t="str">
        <f>'Cybersecurity Controls'!$C$157</f>
        <v>Innovative</v>
      </c>
      <c r="F342" s="252">
        <f>'Cybersecurity Controls'!$D$157</f>
        <v>0</v>
      </c>
      <c r="G342" s="252">
        <f>'Cybersecurity Controls'!$N$157</f>
        <v>0</v>
      </c>
      <c r="H342" s="252">
        <f>'Cybersecurity Controls'!$O$157</f>
        <v>0</v>
      </c>
      <c r="I342" s="252">
        <f>'Cybersecurity Controls'!$P$157</f>
        <v>0</v>
      </c>
      <c r="J342" s="252">
        <f>'Cybersecurity Controls'!$Q$157</f>
        <v>0</v>
      </c>
      <c r="K342" t="s">
        <v>419</v>
      </c>
      <c r="L342" t="str">
        <f>IF(combinedMaturityTable[[#This Row],[Maturity Level]]="Baseline",LEFT(combinedMaturityTable[[#This Row],[DS]],FIND("(FFIEC ",combinedMaturityTable[[#This Row],[DS]])-1),"")</f>
        <v/>
      </c>
      <c r="M342" s="293" t="str">
        <f>CLEAN(TRIM(SUBSTITUTE(LEFT(combinedMaturityTable[[#This Row],[DSm]],MIN(250,LEN(combinedMaturityTable[[#This Row],[DSm]]))),CHAR(160)," ")))</f>
        <v/>
      </c>
    </row>
    <row r="343" spans="2:13" hidden="1" x14ac:dyDescent="0.25">
      <c r="B343" s="252" t="str">
        <f>'Cybersecurity Controls'!$M$158</f>
        <v>Cybersecurity Controls</v>
      </c>
      <c r="C343" s="252" t="str">
        <f>'Cybersecurity Controls'!$A$158</f>
        <v>Detective Controls</v>
      </c>
      <c r="D343" s="252" t="str">
        <f>'Cybersecurity Controls'!$B$158</f>
        <v>Event Detection</v>
      </c>
      <c r="E343" s="252" t="str">
        <f>'Cybersecurity Controls'!$C$158</f>
        <v>Innovative</v>
      </c>
      <c r="F343" s="252">
        <f>'Cybersecurity Controls'!$D$158</f>
        <v>0</v>
      </c>
      <c r="G343" s="252">
        <f>'Cybersecurity Controls'!$N$158</f>
        <v>0</v>
      </c>
      <c r="H343" s="252">
        <f>'Cybersecurity Controls'!$O$158</f>
        <v>0</v>
      </c>
      <c r="I343" s="252">
        <f>'Cybersecurity Controls'!$P$158</f>
        <v>0</v>
      </c>
      <c r="J343" s="252">
        <f>'Cybersecurity Controls'!$Q$158</f>
        <v>0</v>
      </c>
      <c r="K343" t="s">
        <v>420</v>
      </c>
      <c r="L343" t="str">
        <f>IF(combinedMaturityTable[[#This Row],[Maturity Level]]="Baseline",LEFT(combinedMaturityTable[[#This Row],[DS]],FIND("(FFIEC ",combinedMaturityTable[[#This Row],[DS]])-1),"")</f>
        <v/>
      </c>
      <c r="M343" s="293" t="str">
        <f>CLEAN(TRIM(SUBSTITUTE(LEFT(combinedMaturityTable[[#This Row],[DSm]],MIN(250,LEN(combinedMaturityTable[[#This Row],[DSm]]))),CHAR(160)," ")))</f>
        <v/>
      </c>
    </row>
    <row r="344" spans="2:13" x14ac:dyDescent="0.25">
      <c r="B344" s="252" t="str">
        <f>'Cybersecurity Controls'!$M$159</f>
        <v>Cybersecurity Controls</v>
      </c>
      <c r="C344" s="252" t="str">
        <f>'Cybersecurity Controls'!$A$159</f>
        <v>Corrective Controls</v>
      </c>
      <c r="D344" s="252" t="str">
        <f>'Cybersecurity Controls'!$B$159</f>
        <v>Patch Management</v>
      </c>
      <c r="E344" s="252" t="str">
        <f>'Cybersecurity Controls'!$C$159</f>
        <v>Baseline</v>
      </c>
      <c r="F344" s="252">
        <f>'Cybersecurity Controls'!$D$159</f>
        <v>0</v>
      </c>
      <c r="G344" s="252">
        <f>'Cybersecurity Controls'!$N$159</f>
        <v>0</v>
      </c>
      <c r="H344" s="252">
        <f>'Cybersecurity Controls'!$O$159</f>
        <v>0</v>
      </c>
      <c r="I344" s="252">
        <f>'Cybersecurity Controls'!$P$159</f>
        <v>0</v>
      </c>
      <c r="J344" s="252">
        <f>'Cybersecurity Controls'!$Q$159</f>
        <v>0</v>
      </c>
      <c r="K344" t="s">
        <v>423</v>
      </c>
      <c r="L344" t="str">
        <f>IF(combinedMaturityTable[[#This Row],[Maturity Level]]="Baseline",LEFT(combinedMaturityTable[[#This Row],[DS]],FIND("(FFIEC ",combinedMaturityTable[[#This Row],[DS]])-1),"")</f>
        <v xml:space="preserve">A patch management program is implemented and ensures that software and firmware patches are applied in a timely manner. </v>
      </c>
      <c r="M344" s="293" t="str">
        <f>CLEAN(TRIM(SUBSTITUTE(LEFT(combinedMaturityTable[[#This Row],[DSm]],MIN(250,LEN(combinedMaturityTable[[#This Row],[DSm]]))),CHAR(160)," ")))</f>
        <v>A patch management program is implemented and ensures that software and firmware patches are applied in a timely manner.</v>
      </c>
    </row>
    <row r="345" spans="2:13" x14ac:dyDescent="0.25">
      <c r="B345" s="252" t="str">
        <f>'Cybersecurity Controls'!$M$160</f>
        <v>Cybersecurity Controls</v>
      </c>
      <c r="C345" s="252" t="str">
        <f>'Cybersecurity Controls'!$A$160</f>
        <v>Corrective Controls</v>
      </c>
      <c r="D345" s="252" t="str">
        <f>'Cybersecurity Controls'!$B$160</f>
        <v>Patch Management</v>
      </c>
      <c r="E345" s="252" t="str">
        <f>'Cybersecurity Controls'!$C$160</f>
        <v>Baseline</v>
      </c>
      <c r="F345" s="252">
        <f>'Cybersecurity Controls'!$D$160</f>
        <v>0</v>
      </c>
      <c r="G345" s="252">
        <f>'Cybersecurity Controls'!$N$160</f>
        <v>0</v>
      </c>
      <c r="H345" s="252">
        <f>'Cybersecurity Controls'!$O$160</f>
        <v>0</v>
      </c>
      <c r="I345" s="252">
        <f>'Cybersecurity Controls'!$P$160</f>
        <v>0</v>
      </c>
      <c r="J345" s="252">
        <f>'Cybersecurity Controls'!$Q$160</f>
        <v>0</v>
      </c>
      <c r="K345" t="s">
        <v>424</v>
      </c>
      <c r="L345" t="str">
        <f>IF(combinedMaturityTable[[#This Row],[Maturity Level]]="Baseline",LEFT(combinedMaturityTable[[#This Row],[DS]],FIND("(FFIEC ",combinedMaturityTable[[#This Row],[DS]])-1),"")</f>
        <v xml:space="preserve">Patches are tested before being applied to systems and/or software. </v>
      </c>
      <c r="M345" s="293" t="str">
        <f>CLEAN(TRIM(SUBSTITUTE(LEFT(combinedMaturityTable[[#This Row],[DSm]],MIN(250,LEN(combinedMaturityTable[[#This Row],[DSm]]))),CHAR(160)," ")))</f>
        <v>Patches are tested before being applied to systems and/or software.</v>
      </c>
    </row>
    <row r="346" spans="2:13" x14ac:dyDescent="0.25">
      <c r="B346" s="252" t="str">
        <f>'Cybersecurity Controls'!$M$161</f>
        <v>Cybersecurity Controls</v>
      </c>
      <c r="C346" s="252" t="str">
        <f>'Cybersecurity Controls'!$A$161</f>
        <v>Corrective Controls</v>
      </c>
      <c r="D346" s="252" t="str">
        <f>'Cybersecurity Controls'!$B$161</f>
        <v>Patch Management</v>
      </c>
      <c r="E346" s="252" t="str">
        <f>'Cybersecurity Controls'!$C$161</f>
        <v>Baseline</v>
      </c>
      <c r="F346" s="252">
        <f>'Cybersecurity Controls'!$D$161</f>
        <v>0</v>
      </c>
      <c r="G346" s="252">
        <f>'Cybersecurity Controls'!$N$161</f>
        <v>0</v>
      </c>
      <c r="H346" s="252">
        <f>'Cybersecurity Controls'!$O$161</f>
        <v>0</v>
      </c>
      <c r="I346" s="252">
        <f>'Cybersecurity Controls'!$P$161</f>
        <v>0</v>
      </c>
      <c r="J346" s="252">
        <f>'Cybersecurity Controls'!$Q$161</f>
        <v>0</v>
      </c>
      <c r="K346" t="s">
        <v>425</v>
      </c>
      <c r="L346" t="str">
        <f>IF(combinedMaturityTable[[#This Row],[Maturity Level]]="Baseline",LEFT(combinedMaturityTable[[#This Row],[DS]],FIND("(FFIEC ",combinedMaturityTable[[#This Row],[DS]])-1),"")</f>
        <v xml:space="preserve">Patch management reports are reviewed and reflect missing security patches. </v>
      </c>
      <c r="M346" s="293" t="str">
        <f>CLEAN(TRIM(SUBSTITUTE(LEFT(combinedMaturityTable[[#This Row],[DSm]],MIN(250,LEN(combinedMaturityTable[[#This Row],[DSm]]))),CHAR(160)," ")))</f>
        <v>Patch management reports are reviewed and reflect missing security patches.</v>
      </c>
    </row>
    <row r="347" spans="2:13" hidden="1" x14ac:dyDescent="0.25">
      <c r="B347" s="252" t="str">
        <f>'Cybersecurity Controls'!$M$162</f>
        <v>Cybersecurity Controls</v>
      </c>
      <c r="C347" s="252" t="str">
        <f>'Cybersecurity Controls'!$A$162</f>
        <v>Corrective Controls</v>
      </c>
      <c r="D347" s="252" t="str">
        <f>'Cybersecurity Controls'!$B$162</f>
        <v>Patch Management</v>
      </c>
      <c r="E347" s="252" t="str">
        <f>'Cybersecurity Controls'!$C$162</f>
        <v>Evolving</v>
      </c>
      <c r="F347" s="252">
        <f>'Cybersecurity Controls'!$D$162</f>
        <v>0</v>
      </c>
      <c r="G347" s="252">
        <f>'Cybersecurity Controls'!$N$162</f>
        <v>0</v>
      </c>
      <c r="H347" s="252">
        <f>'Cybersecurity Controls'!$O$162</f>
        <v>0</v>
      </c>
      <c r="I347" s="252">
        <f>'Cybersecurity Controls'!$P$162</f>
        <v>0</v>
      </c>
      <c r="J347" s="252">
        <f>'Cybersecurity Controls'!$Q$162</f>
        <v>0</v>
      </c>
      <c r="K347" t="s">
        <v>426</v>
      </c>
      <c r="L347" t="str">
        <f>IF(combinedMaturityTable[[#This Row],[Maturity Level]]="Baseline",LEFT(combinedMaturityTable[[#This Row],[DS]],FIND("(FFIEC ",combinedMaturityTable[[#This Row],[DS]])-1),"")</f>
        <v/>
      </c>
      <c r="M347" s="293" t="str">
        <f>CLEAN(TRIM(SUBSTITUTE(LEFT(combinedMaturityTable[[#This Row],[DSm]],MIN(250,LEN(combinedMaturityTable[[#This Row],[DSm]]))),CHAR(160)," ")))</f>
        <v/>
      </c>
    </row>
    <row r="348" spans="2:13" hidden="1" x14ac:dyDescent="0.25">
      <c r="B348" s="252" t="str">
        <f>'Cybersecurity Controls'!$M$163</f>
        <v>Cybersecurity Controls</v>
      </c>
      <c r="C348" s="252" t="str">
        <f>'Cybersecurity Controls'!$A$163</f>
        <v>Corrective Controls</v>
      </c>
      <c r="D348" s="252" t="str">
        <f>'Cybersecurity Controls'!$B$163</f>
        <v>Patch Management</v>
      </c>
      <c r="E348" s="252" t="str">
        <f>'Cybersecurity Controls'!$C$163</f>
        <v>Evolving</v>
      </c>
      <c r="F348" s="252">
        <f>'Cybersecurity Controls'!$D$163</f>
        <v>0</v>
      </c>
      <c r="G348" s="252">
        <f>'Cybersecurity Controls'!$N$163</f>
        <v>0</v>
      </c>
      <c r="H348" s="252">
        <f>'Cybersecurity Controls'!$O$163</f>
        <v>0</v>
      </c>
      <c r="I348" s="252">
        <f>'Cybersecurity Controls'!$P$163</f>
        <v>0</v>
      </c>
      <c r="J348" s="252">
        <f>'Cybersecurity Controls'!$Q$163</f>
        <v>0</v>
      </c>
      <c r="K348" t="s">
        <v>427</v>
      </c>
      <c r="L348" t="str">
        <f>IF(combinedMaturityTable[[#This Row],[Maturity Level]]="Baseline",LEFT(combinedMaturityTable[[#This Row],[DS]],FIND("(FFIEC ",combinedMaturityTable[[#This Row],[DS]])-1),"")</f>
        <v/>
      </c>
      <c r="M348" s="293" t="str">
        <f>CLEAN(TRIM(SUBSTITUTE(LEFT(combinedMaturityTable[[#This Row],[DSm]],MIN(250,LEN(combinedMaturityTable[[#This Row],[DSm]]))),CHAR(160)," ")))</f>
        <v/>
      </c>
    </row>
    <row r="349" spans="2:13" hidden="1" x14ac:dyDescent="0.25">
      <c r="B349" s="252" t="str">
        <f>'Cybersecurity Controls'!$M$164</f>
        <v>Cybersecurity Controls</v>
      </c>
      <c r="C349" s="252" t="str">
        <f>'Cybersecurity Controls'!$A$164</f>
        <v>Corrective Controls</v>
      </c>
      <c r="D349" s="252" t="str">
        <f>'Cybersecurity Controls'!$B$164</f>
        <v>Patch Management</v>
      </c>
      <c r="E349" s="252" t="str">
        <f>'Cybersecurity Controls'!$C$164</f>
        <v>Evolving</v>
      </c>
      <c r="F349" s="252">
        <f>'Cybersecurity Controls'!$D$164</f>
        <v>0</v>
      </c>
      <c r="G349" s="252">
        <f>'Cybersecurity Controls'!$N$164</f>
        <v>0</v>
      </c>
      <c r="H349" s="252">
        <f>'Cybersecurity Controls'!$O$164</f>
        <v>0</v>
      </c>
      <c r="I349" s="252">
        <f>'Cybersecurity Controls'!$P$164</f>
        <v>0</v>
      </c>
      <c r="J349" s="252">
        <f>'Cybersecurity Controls'!$Q$164</f>
        <v>0</v>
      </c>
      <c r="K349" t="s">
        <v>428</v>
      </c>
      <c r="L349" t="str">
        <f>IF(combinedMaturityTable[[#This Row],[Maturity Level]]="Baseline",LEFT(combinedMaturityTable[[#This Row],[DS]],FIND("(FFIEC ",combinedMaturityTable[[#This Row],[DS]])-1),"")</f>
        <v/>
      </c>
      <c r="M349" s="293" t="str">
        <f>CLEAN(TRIM(SUBSTITUTE(LEFT(combinedMaturityTable[[#This Row],[DSm]],MIN(250,LEN(combinedMaturityTable[[#This Row],[DSm]]))),CHAR(160)," ")))</f>
        <v/>
      </c>
    </row>
    <row r="350" spans="2:13" hidden="1" x14ac:dyDescent="0.25">
      <c r="B350" s="252" t="str">
        <f>'Cybersecurity Controls'!$M$165</f>
        <v>Cybersecurity Controls</v>
      </c>
      <c r="C350" s="252" t="str">
        <f>'Cybersecurity Controls'!$A$165</f>
        <v>Corrective Controls</v>
      </c>
      <c r="D350" s="252" t="str">
        <f>'Cybersecurity Controls'!$B$165</f>
        <v>Patch Management</v>
      </c>
      <c r="E350" s="252" t="str">
        <f>'Cybersecurity Controls'!$C$165</f>
        <v>Evolving</v>
      </c>
      <c r="F350" s="252">
        <f>'Cybersecurity Controls'!$D$165</f>
        <v>0</v>
      </c>
      <c r="G350" s="252">
        <f>'Cybersecurity Controls'!$N$165</f>
        <v>0</v>
      </c>
      <c r="H350" s="252">
        <f>'Cybersecurity Controls'!$O$165</f>
        <v>0</v>
      </c>
      <c r="I350" s="252">
        <f>'Cybersecurity Controls'!$P$165</f>
        <v>0</v>
      </c>
      <c r="J350" s="252">
        <f>'Cybersecurity Controls'!$Q$165</f>
        <v>0</v>
      </c>
      <c r="K350" t="s">
        <v>429</v>
      </c>
      <c r="L350" t="str">
        <f>IF(combinedMaturityTable[[#This Row],[Maturity Level]]="Baseline",LEFT(combinedMaturityTable[[#This Row],[DS]],FIND("(FFIEC ",combinedMaturityTable[[#This Row],[DS]])-1),"")</f>
        <v/>
      </c>
      <c r="M350" s="293" t="str">
        <f>CLEAN(TRIM(SUBSTITUTE(LEFT(combinedMaturityTable[[#This Row],[DSm]],MIN(250,LEN(combinedMaturityTable[[#This Row],[DSm]]))),CHAR(160)," ")))</f>
        <v/>
      </c>
    </row>
    <row r="351" spans="2:13" hidden="1" x14ac:dyDescent="0.25">
      <c r="B351" s="252" t="str">
        <f>'Cybersecurity Controls'!$M$166</f>
        <v>Cybersecurity Controls</v>
      </c>
      <c r="C351" s="252" t="str">
        <f>'Cybersecurity Controls'!$A$166</f>
        <v>Corrective Controls</v>
      </c>
      <c r="D351" s="252" t="str">
        <f>'Cybersecurity Controls'!$B$166</f>
        <v>Patch Management</v>
      </c>
      <c r="E351" s="252" t="str">
        <f>'Cybersecurity Controls'!$C$166</f>
        <v>Evolving</v>
      </c>
      <c r="F351" s="252">
        <f>'Cybersecurity Controls'!$D$166</f>
        <v>0</v>
      </c>
      <c r="G351" s="252">
        <f>'Cybersecurity Controls'!$N$166</f>
        <v>0</v>
      </c>
      <c r="H351" s="252">
        <f>'Cybersecurity Controls'!$O$166</f>
        <v>0</v>
      </c>
      <c r="I351" s="252">
        <f>'Cybersecurity Controls'!$P$166</f>
        <v>0</v>
      </c>
      <c r="J351" s="252">
        <f>'Cybersecurity Controls'!$Q$166</f>
        <v>0</v>
      </c>
      <c r="K351" t="s">
        <v>430</v>
      </c>
      <c r="L351" t="str">
        <f>IF(combinedMaturityTable[[#This Row],[Maturity Level]]="Baseline",LEFT(combinedMaturityTable[[#This Row],[DS]],FIND("(FFIEC ",combinedMaturityTable[[#This Row],[DS]])-1),"")</f>
        <v/>
      </c>
      <c r="M351" s="293" t="str">
        <f>CLEAN(TRIM(SUBSTITUTE(LEFT(combinedMaturityTable[[#This Row],[DSm]],MIN(250,LEN(combinedMaturityTable[[#This Row],[DSm]]))),CHAR(160)," ")))</f>
        <v/>
      </c>
    </row>
    <row r="352" spans="2:13" hidden="1" x14ac:dyDescent="0.25">
      <c r="B352" s="252" t="str">
        <f>'Cybersecurity Controls'!$M$167</f>
        <v>Cybersecurity Controls</v>
      </c>
      <c r="C352" s="252" t="str">
        <f>'Cybersecurity Controls'!$A$167</f>
        <v>Corrective Controls</v>
      </c>
      <c r="D352" s="252" t="str">
        <f>'Cybersecurity Controls'!$B$167</f>
        <v>Patch Management</v>
      </c>
      <c r="E352" s="252" t="str">
        <f>'Cybersecurity Controls'!$C$167</f>
        <v>Intermediate</v>
      </c>
      <c r="F352" s="252">
        <f>'Cybersecurity Controls'!$D$167</f>
        <v>0</v>
      </c>
      <c r="G352" s="252">
        <f>'Cybersecurity Controls'!$N$167</f>
        <v>0</v>
      </c>
      <c r="H352" s="252">
        <f>'Cybersecurity Controls'!$O$167</f>
        <v>0</v>
      </c>
      <c r="I352" s="252">
        <f>'Cybersecurity Controls'!$P$167</f>
        <v>0</v>
      </c>
      <c r="J352" s="252">
        <f>'Cybersecurity Controls'!$Q$167</f>
        <v>0</v>
      </c>
      <c r="K352" t="s">
        <v>431</v>
      </c>
      <c r="L352" t="str">
        <f>IF(combinedMaturityTable[[#This Row],[Maturity Level]]="Baseline",LEFT(combinedMaturityTable[[#This Row],[DS]],FIND("(FFIEC ",combinedMaturityTable[[#This Row],[DS]])-1),"")</f>
        <v/>
      </c>
      <c r="M352" s="293" t="str">
        <f>CLEAN(TRIM(SUBSTITUTE(LEFT(combinedMaturityTable[[#This Row],[DSm]],MIN(250,LEN(combinedMaturityTable[[#This Row],[DSm]]))),CHAR(160)," ")))</f>
        <v/>
      </c>
    </row>
    <row r="353" spans="2:13" hidden="1" x14ac:dyDescent="0.25">
      <c r="B353" s="252" t="str">
        <f>'Cybersecurity Controls'!$M$168</f>
        <v>Cybersecurity Controls</v>
      </c>
      <c r="C353" s="252" t="str">
        <f>'Cybersecurity Controls'!$A$168</f>
        <v>Corrective Controls</v>
      </c>
      <c r="D353" s="252" t="str">
        <f>'Cybersecurity Controls'!$B$168</f>
        <v>Patch Management</v>
      </c>
      <c r="E353" s="252" t="str">
        <f>'Cybersecurity Controls'!$C$168</f>
        <v>Advanced</v>
      </c>
      <c r="F353" s="252">
        <f>'Cybersecurity Controls'!$D$168</f>
        <v>0</v>
      </c>
      <c r="G353" s="252">
        <f>'Cybersecurity Controls'!$N$168</f>
        <v>0</v>
      </c>
      <c r="H353" s="252">
        <f>'Cybersecurity Controls'!$O$168</f>
        <v>0</v>
      </c>
      <c r="I353" s="252">
        <f>'Cybersecurity Controls'!$P$168</f>
        <v>0</v>
      </c>
      <c r="J353" s="252">
        <f>'Cybersecurity Controls'!$Q$168</f>
        <v>0</v>
      </c>
      <c r="K353" t="s">
        <v>432</v>
      </c>
      <c r="L353" t="str">
        <f>IF(combinedMaturityTable[[#This Row],[Maturity Level]]="Baseline",LEFT(combinedMaturityTable[[#This Row],[DS]],FIND("(FFIEC ",combinedMaturityTable[[#This Row],[DS]])-1),"")</f>
        <v/>
      </c>
      <c r="M353" s="293" t="str">
        <f>CLEAN(TRIM(SUBSTITUTE(LEFT(combinedMaturityTable[[#This Row],[DSm]],MIN(250,LEN(combinedMaturityTable[[#This Row],[DSm]]))),CHAR(160)," ")))</f>
        <v/>
      </c>
    </row>
    <row r="354" spans="2:13" hidden="1" x14ac:dyDescent="0.25">
      <c r="B354" s="252" t="str">
        <f>'Cybersecurity Controls'!$M$169</f>
        <v>Cybersecurity Controls</v>
      </c>
      <c r="C354" s="252" t="str">
        <f>'Cybersecurity Controls'!$A$169</f>
        <v>Corrective Controls</v>
      </c>
      <c r="D354" s="252" t="str">
        <f>'Cybersecurity Controls'!$B$169</f>
        <v>Patch Management</v>
      </c>
      <c r="E354" s="252" t="str">
        <f>'Cybersecurity Controls'!$C$169</f>
        <v>Advanced</v>
      </c>
      <c r="F354" s="252">
        <f>'Cybersecurity Controls'!$D$169</f>
        <v>0</v>
      </c>
      <c r="G354" s="252">
        <f>'Cybersecurity Controls'!$N$169</f>
        <v>0</v>
      </c>
      <c r="H354" s="252">
        <f>'Cybersecurity Controls'!$O$169</f>
        <v>0</v>
      </c>
      <c r="I354" s="252">
        <f>'Cybersecurity Controls'!$P$169</f>
        <v>0</v>
      </c>
      <c r="J354" s="252">
        <f>'Cybersecurity Controls'!$Q$169</f>
        <v>0</v>
      </c>
      <c r="K354" t="s">
        <v>433</v>
      </c>
      <c r="L354" t="str">
        <f>IF(combinedMaturityTable[[#This Row],[Maturity Level]]="Baseline",LEFT(combinedMaturityTable[[#This Row],[DS]],FIND("(FFIEC ",combinedMaturityTable[[#This Row],[DS]])-1),"")</f>
        <v/>
      </c>
      <c r="M354" s="293" t="str">
        <f>CLEAN(TRIM(SUBSTITUTE(LEFT(combinedMaturityTable[[#This Row],[DSm]],MIN(250,LEN(combinedMaturityTable[[#This Row],[DSm]]))),CHAR(160)," ")))</f>
        <v/>
      </c>
    </row>
    <row r="355" spans="2:13" hidden="1" x14ac:dyDescent="0.25">
      <c r="B355" s="252" t="str">
        <f>'Cybersecurity Controls'!$M$170</f>
        <v>Cybersecurity Controls</v>
      </c>
      <c r="C355" s="252" t="str">
        <f>'Cybersecurity Controls'!$A$170</f>
        <v>Corrective Controls</v>
      </c>
      <c r="D355" s="252" t="str">
        <f>'Cybersecurity Controls'!$B$170</f>
        <v>Patch Management</v>
      </c>
      <c r="E355" s="252" t="str">
        <f>'Cybersecurity Controls'!$C$170</f>
        <v>Innovative</v>
      </c>
      <c r="F355" s="252">
        <f>'Cybersecurity Controls'!$D$170</f>
        <v>0</v>
      </c>
      <c r="G355" s="252">
        <f>'Cybersecurity Controls'!$N$170</f>
        <v>0</v>
      </c>
      <c r="H355" s="252">
        <f>'Cybersecurity Controls'!$O$170</f>
        <v>0</v>
      </c>
      <c r="I355" s="252">
        <f>'Cybersecurity Controls'!$P$170</f>
        <v>0</v>
      </c>
      <c r="J355" s="252">
        <f>'Cybersecurity Controls'!$Q$170</f>
        <v>0</v>
      </c>
      <c r="K355" t="s">
        <v>434</v>
      </c>
      <c r="L355" t="str">
        <f>IF(combinedMaturityTable[[#This Row],[Maturity Level]]="Baseline",LEFT(combinedMaturityTable[[#This Row],[DS]],FIND("(FFIEC ",combinedMaturityTable[[#This Row],[DS]])-1),"")</f>
        <v/>
      </c>
      <c r="M355" s="293" t="str">
        <f>CLEAN(TRIM(SUBSTITUTE(LEFT(combinedMaturityTable[[#This Row],[DSm]],MIN(250,LEN(combinedMaturityTable[[#This Row],[DSm]]))),CHAR(160)," ")))</f>
        <v/>
      </c>
    </row>
    <row r="356" spans="2:13" hidden="1" x14ac:dyDescent="0.25">
      <c r="B356" s="252" t="str">
        <f>'Cybersecurity Controls'!$M$171</f>
        <v>Cybersecurity Controls</v>
      </c>
      <c r="C356" s="252" t="str">
        <f>'Cybersecurity Controls'!$A$171</f>
        <v>Corrective Controls</v>
      </c>
      <c r="D356" s="252" t="str">
        <f>'Cybersecurity Controls'!$B$171</f>
        <v>Patch Management</v>
      </c>
      <c r="E356" s="252" t="str">
        <f>'Cybersecurity Controls'!$C$171</f>
        <v>Innovative</v>
      </c>
      <c r="F356" s="252">
        <f>'Cybersecurity Controls'!$D$171</f>
        <v>0</v>
      </c>
      <c r="G356" s="252">
        <f>'Cybersecurity Controls'!$N$171</f>
        <v>0</v>
      </c>
      <c r="H356" s="252">
        <f>'Cybersecurity Controls'!$O$171</f>
        <v>0</v>
      </c>
      <c r="I356" s="252">
        <f>'Cybersecurity Controls'!$P$171</f>
        <v>0</v>
      </c>
      <c r="J356" s="252">
        <f>'Cybersecurity Controls'!$Q$171</f>
        <v>0</v>
      </c>
      <c r="K356" t="s">
        <v>435</v>
      </c>
      <c r="L356" t="str">
        <f>IF(combinedMaturityTable[[#This Row],[Maturity Level]]="Baseline",LEFT(combinedMaturityTable[[#This Row],[DS]],FIND("(FFIEC ",combinedMaturityTable[[#This Row],[DS]])-1),"")</f>
        <v/>
      </c>
      <c r="M356" s="293" t="str">
        <f>CLEAN(TRIM(SUBSTITUTE(LEFT(combinedMaturityTable[[#This Row],[DSm]],MIN(250,LEN(combinedMaturityTable[[#This Row],[DSm]]))),CHAR(160)," ")))</f>
        <v/>
      </c>
    </row>
    <row r="357" spans="2:13" x14ac:dyDescent="0.25">
      <c r="B357" s="252" t="str">
        <f>'Cybersecurity Controls'!$M$172</f>
        <v>Cybersecurity Controls</v>
      </c>
      <c r="C357" s="252" t="str">
        <f>'Cybersecurity Controls'!$A$172</f>
        <v>Corrective Controls</v>
      </c>
      <c r="D357" s="252" t="str">
        <f>'Cybersecurity Controls'!$B$172</f>
        <v>Remediation</v>
      </c>
      <c r="E357" s="252" t="str">
        <f>'Cybersecurity Controls'!$C$172</f>
        <v>Baseline</v>
      </c>
      <c r="F357" s="252">
        <f>'Cybersecurity Controls'!$D$172</f>
        <v>0</v>
      </c>
      <c r="G357" s="252">
        <f>'Cybersecurity Controls'!$N$172</f>
        <v>0</v>
      </c>
      <c r="H357" s="252">
        <f>'Cybersecurity Controls'!$O$172</f>
        <v>0</v>
      </c>
      <c r="I357" s="252">
        <f>'Cybersecurity Controls'!$P$172</f>
        <v>0</v>
      </c>
      <c r="J357" s="252">
        <f>'Cybersecurity Controls'!$Q$172</f>
        <v>0</v>
      </c>
      <c r="K357" t="s">
        <v>437</v>
      </c>
      <c r="L357" t="str">
        <f>IF(combinedMaturityTable[[#This Row],[Maturity Level]]="Baseline",LEFT(combinedMaturityTable[[#This Row],[DS]],FIND("(FFIEC ",combinedMaturityTable[[#This Row],[DS]])-1),"")</f>
        <v xml:space="preserve">Issues identified in assessments are prioritized and resolved based on criticality and within the time frames established in the response to the assessment report. </v>
      </c>
      <c r="M357" s="293" t="str">
        <f>CLEAN(TRIM(SUBSTITUTE(LEFT(combinedMaturityTable[[#This Row],[DSm]],MIN(250,LEN(combinedMaturityTable[[#This Row],[DSm]]))),CHAR(160)," ")))</f>
        <v>Issues identified in assessments are prioritized and resolved based on criticality and within the time frames established in the response to the assessment report.</v>
      </c>
    </row>
    <row r="358" spans="2:13" hidden="1" x14ac:dyDescent="0.25">
      <c r="B358" s="252" t="str">
        <f>'Cybersecurity Controls'!$M$173</f>
        <v>Cybersecurity Controls</v>
      </c>
      <c r="C358" s="252" t="str">
        <f>'Cybersecurity Controls'!$A$173</f>
        <v>Corrective Controls</v>
      </c>
      <c r="D358" s="252" t="str">
        <f>'Cybersecurity Controls'!$B$173</f>
        <v>Remediation</v>
      </c>
      <c r="E358" s="252" t="str">
        <f>'Cybersecurity Controls'!$C$173</f>
        <v>Evolving</v>
      </c>
      <c r="F358" s="252">
        <f>'Cybersecurity Controls'!$D$173</f>
        <v>0</v>
      </c>
      <c r="G358" s="252">
        <f>'Cybersecurity Controls'!$N$173</f>
        <v>0</v>
      </c>
      <c r="H358" s="252">
        <f>'Cybersecurity Controls'!$O$173</f>
        <v>0</v>
      </c>
      <c r="I358" s="252">
        <f>'Cybersecurity Controls'!$P$173</f>
        <v>0</v>
      </c>
      <c r="J358" s="252">
        <f>'Cybersecurity Controls'!$Q$173</f>
        <v>0</v>
      </c>
      <c r="K358" t="s">
        <v>438</v>
      </c>
      <c r="L358" t="str">
        <f>IF(combinedMaturityTable[[#This Row],[Maturity Level]]="Baseline",LEFT(combinedMaturityTable[[#This Row],[DS]],FIND("(FFIEC ",combinedMaturityTable[[#This Row],[DS]])-1),"")</f>
        <v/>
      </c>
      <c r="M358" s="293" t="str">
        <f>CLEAN(TRIM(SUBSTITUTE(LEFT(combinedMaturityTable[[#This Row],[DSm]],MIN(250,LEN(combinedMaturityTable[[#This Row],[DSm]]))),CHAR(160)," ")))</f>
        <v/>
      </c>
    </row>
    <row r="359" spans="2:13" hidden="1" x14ac:dyDescent="0.25">
      <c r="B359" s="252" t="str">
        <f>'Cybersecurity Controls'!$M$174</f>
        <v>Cybersecurity Controls</v>
      </c>
      <c r="C359" s="252" t="str">
        <f>'Cybersecurity Controls'!$A$174</f>
        <v>Corrective Controls</v>
      </c>
      <c r="D359" s="252" t="str">
        <f>'Cybersecurity Controls'!$B$174</f>
        <v>Remediation</v>
      </c>
      <c r="E359" s="252" t="str">
        <f>'Cybersecurity Controls'!$C$174</f>
        <v>Evolving</v>
      </c>
      <c r="F359" s="252">
        <f>'Cybersecurity Controls'!$D$174</f>
        <v>0</v>
      </c>
      <c r="G359" s="252">
        <f>'Cybersecurity Controls'!$N$174</f>
        <v>0</v>
      </c>
      <c r="H359" s="252">
        <f>'Cybersecurity Controls'!$O$174</f>
        <v>0</v>
      </c>
      <c r="I359" s="252">
        <f>'Cybersecurity Controls'!$P$174</f>
        <v>0</v>
      </c>
      <c r="J359" s="252">
        <f>'Cybersecurity Controls'!$Q$174</f>
        <v>0</v>
      </c>
      <c r="K359" t="s">
        <v>439</v>
      </c>
      <c r="L359" t="str">
        <f>IF(combinedMaturityTable[[#This Row],[Maturity Level]]="Baseline",LEFT(combinedMaturityTable[[#This Row],[DS]],FIND("(FFIEC ",combinedMaturityTable[[#This Row],[DS]])-1),"")</f>
        <v/>
      </c>
      <c r="M359" s="293" t="str">
        <f>CLEAN(TRIM(SUBSTITUTE(LEFT(combinedMaturityTable[[#This Row],[DSm]],MIN(250,LEN(combinedMaturityTable[[#This Row],[DSm]]))),CHAR(160)," ")))</f>
        <v/>
      </c>
    </row>
    <row r="360" spans="2:13" hidden="1" x14ac:dyDescent="0.25">
      <c r="B360" s="252" t="str">
        <f>'Cybersecurity Controls'!$M$175</f>
        <v>Cybersecurity Controls</v>
      </c>
      <c r="C360" s="252" t="str">
        <f>'Cybersecurity Controls'!$A$175</f>
        <v>Corrective Controls</v>
      </c>
      <c r="D360" s="252" t="str">
        <f>'Cybersecurity Controls'!$B$175</f>
        <v>Remediation</v>
      </c>
      <c r="E360" s="252" t="str">
        <f>'Cybersecurity Controls'!$C$175</f>
        <v>Intermediate</v>
      </c>
      <c r="F360" s="252">
        <f>'Cybersecurity Controls'!$D$175</f>
        <v>0</v>
      </c>
      <c r="G360" s="252">
        <f>'Cybersecurity Controls'!$N$175</f>
        <v>0</v>
      </c>
      <c r="H360" s="252">
        <f>'Cybersecurity Controls'!$O$175</f>
        <v>0</v>
      </c>
      <c r="I360" s="252">
        <f>'Cybersecurity Controls'!$P$175</f>
        <v>0</v>
      </c>
      <c r="J360" s="252">
        <f>'Cybersecurity Controls'!$Q$175</f>
        <v>0</v>
      </c>
      <c r="K360" t="s">
        <v>440</v>
      </c>
      <c r="L360" t="str">
        <f>IF(combinedMaturityTable[[#This Row],[Maturity Level]]="Baseline",LEFT(combinedMaturityTable[[#This Row],[DS]],FIND("(FFIEC ",combinedMaturityTable[[#This Row],[DS]])-1),"")</f>
        <v/>
      </c>
      <c r="M360" s="293" t="str">
        <f>CLEAN(TRIM(SUBSTITUTE(LEFT(combinedMaturityTable[[#This Row],[DSm]],MIN(250,LEN(combinedMaturityTable[[#This Row],[DSm]]))),CHAR(160)," ")))</f>
        <v/>
      </c>
    </row>
    <row r="361" spans="2:13" hidden="1" x14ac:dyDescent="0.25">
      <c r="B361" s="252" t="str">
        <f>'Cybersecurity Controls'!$M$176</f>
        <v>Cybersecurity Controls</v>
      </c>
      <c r="C361" s="252" t="str">
        <f>'Cybersecurity Controls'!$A$176</f>
        <v>Corrective Controls</v>
      </c>
      <c r="D361" s="252" t="str">
        <f>'Cybersecurity Controls'!$B$176</f>
        <v>Remediation</v>
      </c>
      <c r="E361" s="252" t="str">
        <f>'Cybersecurity Controls'!$C$176</f>
        <v>Intermediate</v>
      </c>
      <c r="F361" s="252">
        <f>'Cybersecurity Controls'!$D$176</f>
        <v>0</v>
      </c>
      <c r="G361" s="252">
        <f>'Cybersecurity Controls'!$N$176</f>
        <v>0</v>
      </c>
      <c r="H361" s="252">
        <f>'Cybersecurity Controls'!$O$176</f>
        <v>0</v>
      </c>
      <c r="I361" s="252">
        <f>'Cybersecurity Controls'!$P$176</f>
        <v>0</v>
      </c>
      <c r="J361" s="252">
        <f>'Cybersecurity Controls'!$Q$176</f>
        <v>0</v>
      </c>
      <c r="K361" t="s">
        <v>441</v>
      </c>
      <c r="L361" t="str">
        <f>IF(combinedMaturityTable[[#This Row],[Maturity Level]]="Baseline",LEFT(combinedMaturityTable[[#This Row],[DS]],FIND("(FFIEC ",combinedMaturityTable[[#This Row],[DS]])-1),"")</f>
        <v/>
      </c>
      <c r="M361" s="293" t="str">
        <f>CLEAN(TRIM(SUBSTITUTE(LEFT(combinedMaturityTable[[#This Row],[DSm]],MIN(250,LEN(combinedMaturityTable[[#This Row],[DSm]]))),CHAR(160)," ")))</f>
        <v/>
      </c>
    </row>
    <row r="362" spans="2:13" hidden="1" x14ac:dyDescent="0.25">
      <c r="B362" s="252" t="str">
        <f>'Cybersecurity Controls'!$M$177</f>
        <v>Cybersecurity Controls</v>
      </c>
      <c r="C362" s="252" t="str">
        <f>'Cybersecurity Controls'!$A$177</f>
        <v>Corrective Controls</v>
      </c>
      <c r="D362" s="252" t="str">
        <f>'Cybersecurity Controls'!$B$177</f>
        <v>Remediation</v>
      </c>
      <c r="E362" s="252" t="str">
        <f>'Cybersecurity Controls'!$C$177</f>
        <v>Intermediate</v>
      </c>
      <c r="F362" s="252">
        <f>'Cybersecurity Controls'!$D$177</f>
        <v>0</v>
      </c>
      <c r="G362" s="252">
        <f>'Cybersecurity Controls'!$N$177</f>
        <v>0</v>
      </c>
      <c r="H362" s="252">
        <f>'Cybersecurity Controls'!$O$177</f>
        <v>0</v>
      </c>
      <c r="I362" s="252">
        <f>'Cybersecurity Controls'!$P$177</f>
        <v>0</v>
      </c>
      <c r="J362" s="252">
        <f>'Cybersecurity Controls'!$Q$177</f>
        <v>0</v>
      </c>
      <c r="K362" t="s">
        <v>442</v>
      </c>
      <c r="L362" t="str">
        <f>IF(combinedMaturityTable[[#This Row],[Maturity Level]]="Baseline",LEFT(combinedMaturityTable[[#This Row],[DS]],FIND("(FFIEC ",combinedMaturityTable[[#This Row],[DS]])-1),"")</f>
        <v/>
      </c>
      <c r="M362" s="293" t="str">
        <f>CLEAN(TRIM(SUBSTITUTE(LEFT(combinedMaturityTable[[#This Row],[DSm]],MIN(250,LEN(combinedMaturityTable[[#This Row],[DSm]]))),CHAR(160)," ")))</f>
        <v/>
      </c>
    </row>
    <row r="363" spans="2:13" hidden="1" x14ac:dyDescent="0.25">
      <c r="B363" s="252" t="str">
        <f>'Cybersecurity Controls'!$M$178</f>
        <v>Cybersecurity Controls</v>
      </c>
      <c r="C363" s="252" t="str">
        <f>'Cybersecurity Controls'!$A$178</f>
        <v>Corrective Controls</v>
      </c>
      <c r="D363" s="252" t="str">
        <f>'Cybersecurity Controls'!$B$178</f>
        <v>Remediation</v>
      </c>
      <c r="E363" s="252" t="str">
        <f>'Cybersecurity Controls'!$C$178</f>
        <v>Intermediate</v>
      </c>
      <c r="F363" s="252">
        <f>'Cybersecurity Controls'!$D$178</f>
        <v>0</v>
      </c>
      <c r="G363" s="252">
        <f>'Cybersecurity Controls'!$N$178</f>
        <v>0</v>
      </c>
      <c r="H363" s="252">
        <f>'Cybersecurity Controls'!$O$178</f>
        <v>0</v>
      </c>
      <c r="I363" s="252">
        <f>'Cybersecurity Controls'!$P$178</f>
        <v>0</v>
      </c>
      <c r="J363" s="252">
        <f>'Cybersecurity Controls'!$Q$178</f>
        <v>0</v>
      </c>
      <c r="K363" t="s">
        <v>443</v>
      </c>
      <c r="L363" t="str">
        <f>IF(combinedMaturityTable[[#This Row],[Maturity Level]]="Baseline",LEFT(combinedMaturityTable[[#This Row],[DS]],FIND("(FFIEC ",combinedMaturityTable[[#This Row],[DS]])-1),"")</f>
        <v/>
      </c>
      <c r="M363" s="293" t="str">
        <f>CLEAN(TRIM(SUBSTITUTE(LEFT(combinedMaturityTable[[#This Row],[DSm]],MIN(250,LEN(combinedMaturityTable[[#This Row],[DSm]]))),CHAR(160)," ")))</f>
        <v/>
      </c>
    </row>
    <row r="364" spans="2:13" hidden="1" x14ac:dyDescent="0.25">
      <c r="B364" s="252" t="str">
        <f>'Cybersecurity Controls'!$M$179</f>
        <v>Cybersecurity Controls</v>
      </c>
      <c r="C364" s="252" t="str">
        <f>'Cybersecurity Controls'!$A$179</f>
        <v>Corrective Controls</v>
      </c>
      <c r="D364" s="252" t="str">
        <f>'Cybersecurity Controls'!$B$179</f>
        <v>Remediation</v>
      </c>
      <c r="E364" s="252" t="str">
        <f>'Cybersecurity Controls'!$C$179</f>
        <v>Intermediate</v>
      </c>
      <c r="F364" s="252">
        <f>'Cybersecurity Controls'!$D$179</f>
        <v>0</v>
      </c>
      <c r="G364" s="252">
        <f>'Cybersecurity Controls'!$N$179</f>
        <v>0</v>
      </c>
      <c r="H364" s="252">
        <f>'Cybersecurity Controls'!$O$179</f>
        <v>0</v>
      </c>
      <c r="I364" s="252">
        <f>'Cybersecurity Controls'!$P$179</f>
        <v>0</v>
      </c>
      <c r="J364" s="252">
        <f>'Cybersecurity Controls'!$Q$179</f>
        <v>0</v>
      </c>
      <c r="K364" t="s">
        <v>444</v>
      </c>
      <c r="L364" t="str">
        <f>IF(combinedMaturityTable[[#This Row],[Maturity Level]]="Baseline",LEFT(combinedMaturityTable[[#This Row],[DS]],FIND("(FFIEC ",combinedMaturityTable[[#This Row],[DS]])-1),"")</f>
        <v/>
      </c>
      <c r="M364" s="293" t="str">
        <f>CLEAN(TRIM(SUBSTITUTE(LEFT(combinedMaturityTable[[#This Row],[DSm]],MIN(250,LEN(combinedMaturityTable[[#This Row],[DSm]]))),CHAR(160)," ")))</f>
        <v/>
      </c>
    </row>
    <row r="365" spans="2:13" hidden="1" x14ac:dyDescent="0.25">
      <c r="B365" s="252" t="str">
        <f>'Cybersecurity Controls'!$M$180</f>
        <v>Cybersecurity Controls</v>
      </c>
      <c r="C365" s="252" t="str">
        <f>'Cybersecurity Controls'!$A$180</f>
        <v>Corrective Controls</v>
      </c>
      <c r="D365" s="252" t="str">
        <f>'Cybersecurity Controls'!$B$180</f>
        <v>Remediation</v>
      </c>
      <c r="E365" s="252" t="str">
        <f>'Cybersecurity Controls'!$C$180</f>
        <v>Intermediate</v>
      </c>
      <c r="F365" s="252">
        <f>'Cybersecurity Controls'!$D$180</f>
        <v>0</v>
      </c>
      <c r="G365" s="252">
        <f>'Cybersecurity Controls'!$N$180</f>
        <v>0</v>
      </c>
      <c r="H365" s="252">
        <f>'Cybersecurity Controls'!$O$180</f>
        <v>0</v>
      </c>
      <c r="I365" s="252">
        <f>'Cybersecurity Controls'!$P$180</f>
        <v>0</v>
      </c>
      <c r="J365" s="252">
        <f>'Cybersecurity Controls'!$Q$180</f>
        <v>0</v>
      </c>
      <c r="K365" t="s">
        <v>445</v>
      </c>
      <c r="L365" t="str">
        <f>IF(combinedMaturityTable[[#This Row],[Maturity Level]]="Baseline",LEFT(combinedMaturityTable[[#This Row],[DS]],FIND("(FFIEC ",combinedMaturityTable[[#This Row],[DS]])-1),"")</f>
        <v/>
      </c>
      <c r="M365" s="293" t="str">
        <f>CLEAN(TRIM(SUBSTITUTE(LEFT(combinedMaturityTable[[#This Row],[DSm]],MIN(250,LEN(combinedMaturityTable[[#This Row],[DSm]]))),CHAR(160)," ")))</f>
        <v/>
      </c>
    </row>
    <row r="366" spans="2:13" hidden="1" x14ac:dyDescent="0.25">
      <c r="B366" s="252" t="str">
        <f>'Cybersecurity Controls'!$M$181</f>
        <v>Cybersecurity Controls</v>
      </c>
      <c r="C366" s="252" t="str">
        <f>'Cybersecurity Controls'!$A$181</f>
        <v>Corrective Controls</v>
      </c>
      <c r="D366" s="252" t="str">
        <f>'Cybersecurity Controls'!$B$181</f>
        <v>Remediation</v>
      </c>
      <c r="E366" s="252" t="str">
        <f>'Cybersecurity Controls'!$C$181</f>
        <v>Advanced</v>
      </c>
      <c r="F366" s="252">
        <f>'Cybersecurity Controls'!$D$181</f>
        <v>0</v>
      </c>
      <c r="G366" s="252">
        <f>'Cybersecurity Controls'!$N$181</f>
        <v>0</v>
      </c>
      <c r="H366" s="252">
        <f>'Cybersecurity Controls'!$O$181</f>
        <v>0</v>
      </c>
      <c r="I366" s="252">
        <f>'Cybersecurity Controls'!$P$181</f>
        <v>0</v>
      </c>
      <c r="J366" s="252">
        <f>'Cybersecurity Controls'!$Q$181</f>
        <v>0</v>
      </c>
      <c r="K366" t="s">
        <v>446</v>
      </c>
      <c r="L366" t="str">
        <f>IF(combinedMaturityTable[[#This Row],[Maturity Level]]="Baseline",LEFT(combinedMaturityTable[[#This Row],[DS]],FIND("(FFIEC ",combinedMaturityTable[[#This Row],[DS]])-1),"")</f>
        <v/>
      </c>
      <c r="M366" s="293" t="str">
        <f>CLEAN(TRIM(SUBSTITUTE(LEFT(combinedMaturityTable[[#This Row],[DSm]],MIN(250,LEN(combinedMaturityTable[[#This Row],[DSm]]))),CHAR(160)," ")))</f>
        <v/>
      </c>
    </row>
    <row r="367" spans="2:13" hidden="1" x14ac:dyDescent="0.25">
      <c r="B367" s="252" t="str">
        <f>'Cybersecurity Controls'!$M$182</f>
        <v>Cybersecurity Controls</v>
      </c>
      <c r="C367" s="252" t="str">
        <f>'Cybersecurity Controls'!$A$182</f>
        <v>Corrective Controls</v>
      </c>
      <c r="D367" s="252" t="str">
        <f>'Cybersecurity Controls'!$B$182</f>
        <v>Remediation</v>
      </c>
      <c r="E367" s="252" t="str">
        <f>'Cybersecurity Controls'!$C$182</f>
        <v>Innovative</v>
      </c>
      <c r="F367" s="252">
        <f>'Cybersecurity Controls'!$D$182</f>
        <v>0</v>
      </c>
      <c r="G367" s="252">
        <f>'Cybersecurity Controls'!$N$182</f>
        <v>0</v>
      </c>
      <c r="H367" s="252">
        <f>'Cybersecurity Controls'!$O$182</f>
        <v>0</v>
      </c>
      <c r="I367" s="252">
        <f>'Cybersecurity Controls'!$P$182</f>
        <v>0</v>
      </c>
      <c r="J367" s="252">
        <f>'Cybersecurity Controls'!$Q$182</f>
        <v>0</v>
      </c>
      <c r="K367" t="s">
        <v>447</v>
      </c>
      <c r="L367" t="str">
        <f>IF(combinedMaturityTable[[#This Row],[Maturity Level]]="Baseline",LEFT(combinedMaturityTable[[#This Row],[DS]],FIND("(FFIEC ",combinedMaturityTable[[#This Row],[DS]])-1),"")</f>
        <v/>
      </c>
      <c r="M367" s="293" t="str">
        <f>CLEAN(TRIM(SUBSTITUTE(LEFT(combinedMaturityTable[[#This Row],[DSm]],MIN(250,LEN(combinedMaturityTable[[#This Row],[DSm]]))),CHAR(160)," ")))</f>
        <v/>
      </c>
    </row>
    <row r="368" spans="2:13" x14ac:dyDescent="0.25">
      <c r="B368" s="252" t="str">
        <f>'External Dependency'!$M$9</f>
        <v>External Dependency Management</v>
      </c>
      <c r="C368" s="252" t="str">
        <f>'External Dependency'!$A$9</f>
        <v>Connections</v>
      </c>
      <c r="D368" s="252" t="str">
        <f>'External Dependency'!$B$9</f>
        <v>Connections</v>
      </c>
      <c r="E368" s="252" t="str">
        <f>'External Dependency'!$C$9</f>
        <v>Baseline</v>
      </c>
      <c r="F368" s="252">
        <f>'External Dependency'!$D$9</f>
        <v>0</v>
      </c>
      <c r="G368" s="252">
        <f>'External Dependency'!$N$9</f>
        <v>0</v>
      </c>
      <c r="H368" s="252">
        <f>'External Dependency'!$O$9</f>
        <v>0</v>
      </c>
      <c r="I368" s="252">
        <f>'External Dependency'!$P$9</f>
        <v>0</v>
      </c>
      <c r="J368" s="252">
        <f>'External Dependency'!$Q$9</f>
        <v>0</v>
      </c>
      <c r="K368" t="s">
        <v>449</v>
      </c>
      <c r="L368" t="str">
        <f>IF(combinedMaturityTable[[#This Row],[Maturity Level]]="Baseline",LEFT(combinedMaturityTable[[#This Row],[DS]],FIND("(FFIEC ",combinedMaturityTable[[#This Row],[DS]])-1),"")</f>
        <v xml:space="preserve">The critical business processes that are dependent on external connectivity have been identified. </v>
      </c>
      <c r="M368" s="293" t="str">
        <f>CLEAN(TRIM(SUBSTITUTE(LEFT(combinedMaturityTable[[#This Row],[DSm]],MIN(250,LEN(combinedMaturityTable[[#This Row],[DSm]]))),CHAR(160)," ")))</f>
        <v>The critical business processes that are dependent on external connectivity have been identified.</v>
      </c>
    </row>
    <row r="369" spans="2:13" x14ac:dyDescent="0.25">
      <c r="B369" s="252" t="str">
        <f>'External Dependency'!$M$10</f>
        <v>External Dependency Management</v>
      </c>
      <c r="C369" s="252" t="str">
        <f>'External Dependency'!$A$10</f>
        <v>Connections</v>
      </c>
      <c r="D369" s="252" t="str">
        <f>'External Dependency'!$B$10</f>
        <v>Connections</v>
      </c>
      <c r="E369" s="252" t="str">
        <f>'External Dependency'!$C$10</f>
        <v>Baseline</v>
      </c>
      <c r="F369" s="252">
        <f>'External Dependency'!$D$10</f>
        <v>0</v>
      </c>
      <c r="G369" s="252">
        <f>'External Dependency'!$N$10</f>
        <v>0</v>
      </c>
      <c r="H369" s="252">
        <f>'External Dependency'!$O$10</f>
        <v>0</v>
      </c>
      <c r="I369" s="252">
        <f>'External Dependency'!$P$10</f>
        <v>0</v>
      </c>
      <c r="J369" s="252">
        <f>'External Dependency'!$Q$10</f>
        <v>0</v>
      </c>
      <c r="K369" t="s">
        <v>450</v>
      </c>
      <c r="L369" t="str">
        <f>IF(combinedMaturityTable[[#This Row],[Maturity Level]]="Baseline",LEFT(combinedMaturityTable[[#This Row],[DS]],FIND("(FFIEC ",combinedMaturityTable[[#This Row],[DS]])-1),"")</f>
        <v xml:space="preserve">The institution ensures that third-party connections are authorized. </v>
      </c>
      <c r="M369" s="293" t="str">
        <f>CLEAN(TRIM(SUBSTITUTE(LEFT(combinedMaturityTable[[#This Row],[DSm]],MIN(250,LEN(combinedMaturityTable[[#This Row],[DSm]]))),CHAR(160)," ")))</f>
        <v>The institution ensures that third-party connections are authorized.</v>
      </c>
    </row>
    <row r="370" spans="2:13" x14ac:dyDescent="0.25">
      <c r="B370" s="252" t="str">
        <f>'External Dependency'!$M$11</f>
        <v>External Dependency Management</v>
      </c>
      <c r="C370" s="252" t="str">
        <f>'External Dependency'!$A$11</f>
        <v>Connections</v>
      </c>
      <c r="D370" s="252" t="str">
        <f>'External Dependency'!$B$11</f>
        <v>Connections</v>
      </c>
      <c r="E370" s="252" t="str">
        <f>'External Dependency'!$C$11</f>
        <v>Baseline</v>
      </c>
      <c r="F370" s="252">
        <f>'External Dependency'!$D$11</f>
        <v>0</v>
      </c>
      <c r="G370" s="252">
        <f>'External Dependency'!$N$11</f>
        <v>0</v>
      </c>
      <c r="H370" s="252">
        <f>'External Dependency'!$O$11</f>
        <v>0</v>
      </c>
      <c r="I370" s="252">
        <f>'External Dependency'!$P$11</f>
        <v>0</v>
      </c>
      <c r="J370" s="252">
        <f>'External Dependency'!$Q$11</f>
        <v>0</v>
      </c>
      <c r="K370" t="s">
        <v>451</v>
      </c>
      <c r="L370" t="str">
        <f>IF(combinedMaturityTable[[#This Row],[Maturity Level]]="Baseline",LEFT(combinedMaturityTable[[#This Row],[DS]],FIND("(FFIEC ",combinedMaturityTable[[#This Row],[DS]])-1),"")</f>
        <v xml:space="preserve">A network diagram is in place and identifies all external connections. </v>
      </c>
      <c r="M370" s="293" t="str">
        <f>CLEAN(TRIM(SUBSTITUTE(LEFT(combinedMaturityTable[[#This Row],[DSm]],MIN(250,LEN(combinedMaturityTable[[#This Row],[DSm]]))),CHAR(160)," ")))</f>
        <v>A network diagram is in place and identifies all external connections.</v>
      </c>
    </row>
    <row r="371" spans="2:13" x14ac:dyDescent="0.25">
      <c r="B371" s="252" t="str">
        <f>'External Dependency'!$M$12</f>
        <v>External Dependency Management</v>
      </c>
      <c r="C371" s="252" t="str">
        <f>'External Dependency'!$A$12</f>
        <v>Connections</v>
      </c>
      <c r="D371" s="252" t="str">
        <f>'External Dependency'!$B$12</f>
        <v>Connections</v>
      </c>
      <c r="E371" s="252" t="str">
        <f>'External Dependency'!$C$12</f>
        <v>Baseline</v>
      </c>
      <c r="F371" s="252">
        <f>'External Dependency'!$D$12</f>
        <v>0</v>
      </c>
      <c r="G371" s="252">
        <f>'External Dependency'!$N$12</f>
        <v>0</v>
      </c>
      <c r="H371" s="252">
        <f>'External Dependency'!$O$12</f>
        <v>0</v>
      </c>
      <c r="I371" s="252">
        <f>'External Dependency'!$P$12</f>
        <v>0</v>
      </c>
      <c r="J371" s="252">
        <f>'External Dependency'!$Q$12</f>
        <v>0</v>
      </c>
      <c r="K371" t="s">
        <v>452</v>
      </c>
      <c r="L371" t="str">
        <f>IF(combinedMaturityTable[[#This Row],[Maturity Level]]="Baseline",LEFT(combinedMaturityTable[[#This Row],[DS]],FIND("(FFIEC ",combinedMaturityTable[[#This Row],[DS]])-1),"")</f>
        <v xml:space="preserve">Data flow diagrams are in place and document information flow to external parties. </v>
      </c>
      <c r="M371" s="293" t="str">
        <f>CLEAN(TRIM(SUBSTITUTE(LEFT(combinedMaturityTable[[#This Row],[DSm]],MIN(250,LEN(combinedMaturityTable[[#This Row],[DSm]]))),CHAR(160)," ")))</f>
        <v>Data flow diagrams are in place and document information flow to external parties.</v>
      </c>
    </row>
    <row r="372" spans="2:13" hidden="1" x14ac:dyDescent="0.25">
      <c r="B372" s="252" t="str">
        <f>'External Dependency'!$M$13</f>
        <v>External Dependency Management</v>
      </c>
      <c r="C372" s="252" t="str">
        <f>'External Dependency'!$A$13</f>
        <v>Connections</v>
      </c>
      <c r="D372" s="252" t="str">
        <f>'External Dependency'!$B$13</f>
        <v>Connections</v>
      </c>
      <c r="E372" s="252" t="str">
        <f>'External Dependency'!$C$13</f>
        <v>Evolving</v>
      </c>
      <c r="F372" s="252">
        <f>'External Dependency'!$D$13</f>
        <v>0</v>
      </c>
      <c r="G372" s="252">
        <f>'External Dependency'!$N$13</f>
        <v>0</v>
      </c>
      <c r="H372" s="252">
        <f>'External Dependency'!$O$13</f>
        <v>0</v>
      </c>
      <c r="I372" s="252">
        <f>'External Dependency'!$P$13</f>
        <v>0</v>
      </c>
      <c r="J372" s="252">
        <f>'External Dependency'!$Q$13</f>
        <v>0</v>
      </c>
      <c r="K372" t="s">
        <v>453</v>
      </c>
      <c r="L372" t="str">
        <f>IF(combinedMaturityTable[[#This Row],[Maturity Level]]="Baseline",LEFT(combinedMaturityTable[[#This Row],[DS]],FIND("(FFIEC ",combinedMaturityTable[[#This Row],[DS]])-1),"")</f>
        <v/>
      </c>
      <c r="M372" s="293" t="str">
        <f>CLEAN(TRIM(SUBSTITUTE(LEFT(combinedMaturityTable[[#This Row],[DSm]],MIN(250,LEN(combinedMaturityTable[[#This Row],[DSm]]))),CHAR(160)," ")))</f>
        <v/>
      </c>
    </row>
    <row r="373" spans="2:13" hidden="1" x14ac:dyDescent="0.25">
      <c r="B373" s="252" t="str">
        <f>'External Dependency'!$M$14</f>
        <v>External Dependency Management</v>
      </c>
      <c r="C373" s="252" t="str">
        <f>'External Dependency'!$A$14</f>
        <v>Connections</v>
      </c>
      <c r="D373" s="252" t="str">
        <f>'External Dependency'!$B$14</f>
        <v>Connections</v>
      </c>
      <c r="E373" s="252" t="str">
        <f>'External Dependency'!$C$14</f>
        <v>Evolving</v>
      </c>
      <c r="F373" s="252">
        <f>'External Dependency'!$D$14</f>
        <v>0</v>
      </c>
      <c r="G373" s="252">
        <f>'External Dependency'!$N$14</f>
        <v>0</v>
      </c>
      <c r="H373" s="252">
        <f>'External Dependency'!$O$14</f>
        <v>0</v>
      </c>
      <c r="I373" s="252">
        <f>'External Dependency'!$P$14</f>
        <v>0</v>
      </c>
      <c r="J373" s="252">
        <f>'External Dependency'!$Q$14</f>
        <v>0</v>
      </c>
      <c r="K373" t="s">
        <v>454</v>
      </c>
      <c r="L373" t="str">
        <f>IF(combinedMaturityTable[[#This Row],[Maturity Level]]="Baseline",LEFT(combinedMaturityTable[[#This Row],[DS]],FIND("(FFIEC ",combinedMaturityTable[[#This Row],[DS]])-1),"")</f>
        <v/>
      </c>
      <c r="M373" s="293" t="str">
        <f>CLEAN(TRIM(SUBSTITUTE(LEFT(combinedMaturityTable[[#This Row],[DSm]],MIN(250,LEN(combinedMaturityTable[[#This Row],[DSm]]))),CHAR(160)," ")))</f>
        <v/>
      </c>
    </row>
    <row r="374" spans="2:13" hidden="1" x14ac:dyDescent="0.25">
      <c r="B374" s="252" t="str">
        <f>'External Dependency'!$M$15</f>
        <v>External Dependency Management</v>
      </c>
      <c r="C374" s="252" t="str">
        <f>'External Dependency'!$A$15</f>
        <v>Connections</v>
      </c>
      <c r="D374" s="252" t="str">
        <f>'External Dependency'!$B$15</f>
        <v>Connections</v>
      </c>
      <c r="E374" s="252" t="str">
        <f>'External Dependency'!$C$15</f>
        <v>Evolving</v>
      </c>
      <c r="F374" s="252">
        <f>'External Dependency'!$D$15</f>
        <v>0</v>
      </c>
      <c r="G374" s="252">
        <f>'External Dependency'!$N$15</f>
        <v>0</v>
      </c>
      <c r="H374" s="252">
        <f>'External Dependency'!$O$15</f>
        <v>0</v>
      </c>
      <c r="I374" s="252">
        <f>'External Dependency'!$P$15</f>
        <v>0</v>
      </c>
      <c r="J374" s="252">
        <f>'External Dependency'!$Q$15</f>
        <v>0</v>
      </c>
      <c r="K374" t="s">
        <v>455</v>
      </c>
      <c r="L374" t="str">
        <f>IF(combinedMaturityTable[[#This Row],[Maturity Level]]="Baseline",LEFT(combinedMaturityTable[[#This Row],[DS]],FIND("(FFIEC ",combinedMaturityTable[[#This Row],[DS]])-1),"")</f>
        <v/>
      </c>
      <c r="M374" s="293" t="str">
        <f>CLEAN(TRIM(SUBSTITUTE(LEFT(combinedMaturityTable[[#This Row],[DSm]],MIN(250,LEN(combinedMaturityTable[[#This Row],[DSm]]))),CHAR(160)," ")))</f>
        <v/>
      </c>
    </row>
    <row r="375" spans="2:13" hidden="1" x14ac:dyDescent="0.25">
      <c r="B375" s="252" t="str">
        <f>'External Dependency'!$M$16</f>
        <v>External Dependency Management</v>
      </c>
      <c r="C375" s="252" t="str">
        <f>'External Dependency'!$A$16</f>
        <v>Connections</v>
      </c>
      <c r="D375" s="252" t="str">
        <f>'External Dependency'!$B$16</f>
        <v>Connections</v>
      </c>
      <c r="E375" s="252" t="str">
        <f>'External Dependency'!$C$16</f>
        <v>Evolving</v>
      </c>
      <c r="F375" s="252">
        <f>'External Dependency'!$D$16</f>
        <v>0</v>
      </c>
      <c r="G375" s="252">
        <f>'External Dependency'!$N$16</f>
        <v>0</v>
      </c>
      <c r="H375" s="252">
        <f>'External Dependency'!$O$16</f>
        <v>0</v>
      </c>
      <c r="I375" s="252">
        <f>'External Dependency'!$P$16</f>
        <v>0</v>
      </c>
      <c r="J375" s="252">
        <f>'External Dependency'!$Q$16</f>
        <v>0</v>
      </c>
      <c r="K375" t="s">
        <v>456</v>
      </c>
      <c r="L375" t="str">
        <f>IF(combinedMaturityTable[[#This Row],[Maturity Level]]="Baseline",LEFT(combinedMaturityTable[[#This Row],[DS]],FIND("(FFIEC ",combinedMaturityTable[[#This Row],[DS]])-1),"")</f>
        <v/>
      </c>
      <c r="M375" s="293" t="str">
        <f>CLEAN(TRIM(SUBSTITUTE(LEFT(combinedMaturityTable[[#This Row],[DSm]],MIN(250,LEN(combinedMaturityTable[[#This Row],[DSm]]))),CHAR(160)," ")))</f>
        <v/>
      </c>
    </row>
    <row r="376" spans="2:13" hidden="1" x14ac:dyDescent="0.25">
      <c r="B376" s="252" t="str">
        <f>'External Dependency'!$M$17</f>
        <v>External Dependency Management</v>
      </c>
      <c r="C376" s="252" t="str">
        <f>'External Dependency'!$A$17</f>
        <v>Connections</v>
      </c>
      <c r="D376" s="252" t="str">
        <f>'External Dependency'!$B$17</f>
        <v>Connections</v>
      </c>
      <c r="E376" s="252" t="str">
        <f>'External Dependency'!$C$17</f>
        <v>Intermediate</v>
      </c>
      <c r="F376" s="252">
        <f>'External Dependency'!$D$17</f>
        <v>0</v>
      </c>
      <c r="G376" s="252">
        <f>'External Dependency'!$N$17</f>
        <v>0</v>
      </c>
      <c r="H376" s="252">
        <f>'External Dependency'!$O$17</f>
        <v>0</v>
      </c>
      <c r="I376" s="252">
        <f>'External Dependency'!$P$17</f>
        <v>0</v>
      </c>
      <c r="J376" s="252">
        <f>'External Dependency'!$Q$17</f>
        <v>0</v>
      </c>
      <c r="K376" t="s">
        <v>457</v>
      </c>
      <c r="L376" t="str">
        <f>IF(combinedMaturityTable[[#This Row],[Maturity Level]]="Baseline",LEFT(combinedMaturityTable[[#This Row],[DS]],FIND("(FFIEC ",combinedMaturityTable[[#This Row],[DS]])-1),"")</f>
        <v/>
      </c>
      <c r="M376" s="293" t="str">
        <f>CLEAN(TRIM(SUBSTITUTE(LEFT(combinedMaturityTable[[#This Row],[DSm]],MIN(250,LEN(combinedMaturityTable[[#This Row],[DSm]]))),CHAR(160)," ")))</f>
        <v/>
      </c>
    </row>
    <row r="377" spans="2:13" hidden="1" x14ac:dyDescent="0.25">
      <c r="B377" s="252" t="str">
        <f>'External Dependency'!$M$18</f>
        <v>External Dependency Management</v>
      </c>
      <c r="C377" s="252" t="str">
        <f>'External Dependency'!$A$18</f>
        <v>Connections</v>
      </c>
      <c r="D377" s="252" t="str">
        <f>'External Dependency'!$B$18</f>
        <v>Connections</v>
      </c>
      <c r="E377" s="252" t="str">
        <f>'External Dependency'!$C$18</f>
        <v>Intermediate</v>
      </c>
      <c r="F377" s="252">
        <f>'External Dependency'!$D$18</f>
        <v>0</v>
      </c>
      <c r="G377" s="252">
        <f>'External Dependency'!$N$18</f>
        <v>0</v>
      </c>
      <c r="H377" s="252">
        <f>'External Dependency'!$O$18</f>
        <v>0</v>
      </c>
      <c r="I377" s="252">
        <f>'External Dependency'!$P$18</f>
        <v>0</v>
      </c>
      <c r="J377" s="252">
        <f>'External Dependency'!$Q$18</f>
        <v>0</v>
      </c>
      <c r="K377" t="s">
        <v>458</v>
      </c>
      <c r="L377" t="str">
        <f>IF(combinedMaturityTable[[#This Row],[Maturity Level]]="Baseline",LEFT(combinedMaturityTable[[#This Row],[DS]],FIND("(FFIEC ",combinedMaturityTable[[#This Row],[DS]])-1),"")</f>
        <v/>
      </c>
      <c r="M377" s="293" t="str">
        <f>CLEAN(TRIM(SUBSTITUTE(LEFT(combinedMaturityTable[[#This Row],[DSm]],MIN(250,LEN(combinedMaturityTable[[#This Row],[DSm]]))),CHAR(160)," ")))</f>
        <v/>
      </c>
    </row>
    <row r="378" spans="2:13" hidden="1" x14ac:dyDescent="0.25">
      <c r="B378" s="252" t="str">
        <f>'External Dependency'!$M$19</f>
        <v>External Dependency Management</v>
      </c>
      <c r="C378" s="252" t="str">
        <f>'External Dependency'!$A$19</f>
        <v>Connections</v>
      </c>
      <c r="D378" s="252" t="str">
        <f>'External Dependency'!$B$19</f>
        <v>Connections</v>
      </c>
      <c r="E378" s="252" t="str">
        <f>'External Dependency'!$C$19</f>
        <v>Intermediate</v>
      </c>
      <c r="F378" s="252">
        <f>'External Dependency'!$D$19</f>
        <v>0</v>
      </c>
      <c r="G378" s="252">
        <f>'External Dependency'!$N$19</f>
        <v>0</v>
      </c>
      <c r="H378" s="252">
        <f>'External Dependency'!$O$19</f>
        <v>0</v>
      </c>
      <c r="I378" s="252">
        <f>'External Dependency'!$P$19</f>
        <v>0</v>
      </c>
      <c r="J378" s="252">
        <f>'External Dependency'!$Q$19</f>
        <v>0</v>
      </c>
      <c r="K378" t="s">
        <v>459</v>
      </c>
      <c r="L378" t="str">
        <f>IF(combinedMaturityTable[[#This Row],[Maturity Level]]="Baseline",LEFT(combinedMaturityTable[[#This Row],[DS]],FIND("(FFIEC ",combinedMaturityTable[[#This Row],[DS]])-1),"")</f>
        <v/>
      </c>
      <c r="M378" s="293" t="str">
        <f>CLEAN(TRIM(SUBSTITUTE(LEFT(combinedMaturityTable[[#This Row],[DSm]],MIN(250,LEN(combinedMaturityTable[[#This Row],[DSm]]))),CHAR(160)," ")))</f>
        <v/>
      </c>
    </row>
    <row r="379" spans="2:13" hidden="1" x14ac:dyDescent="0.25">
      <c r="B379" s="252" t="str">
        <f>'External Dependency'!$M$20</f>
        <v>External Dependency Management</v>
      </c>
      <c r="C379" s="252" t="str">
        <f>'External Dependency'!$A$20</f>
        <v>Connections</v>
      </c>
      <c r="D379" s="252" t="str">
        <f>'External Dependency'!$B$20</f>
        <v>Connections</v>
      </c>
      <c r="E379" s="252" t="str">
        <f>'External Dependency'!$C$20</f>
        <v>Intermediate</v>
      </c>
      <c r="F379" s="252">
        <f>'External Dependency'!$D$20</f>
        <v>0</v>
      </c>
      <c r="G379" s="252">
        <f>'External Dependency'!$N$20</f>
        <v>0</v>
      </c>
      <c r="H379" s="252">
        <f>'External Dependency'!$O$20</f>
        <v>0</v>
      </c>
      <c r="I379" s="252">
        <f>'External Dependency'!$P$20</f>
        <v>0</v>
      </c>
      <c r="J379" s="252">
        <f>'External Dependency'!$Q$20</f>
        <v>0</v>
      </c>
      <c r="K379" t="s">
        <v>460</v>
      </c>
      <c r="L379" t="str">
        <f>IF(combinedMaturityTable[[#This Row],[Maturity Level]]="Baseline",LEFT(combinedMaturityTable[[#This Row],[DS]],FIND("(FFIEC ",combinedMaturityTable[[#This Row],[DS]])-1),"")</f>
        <v/>
      </c>
      <c r="M379" s="293" t="str">
        <f>CLEAN(TRIM(SUBSTITUTE(LEFT(combinedMaturityTable[[#This Row],[DSm]],MIN(250,LEN(combinedMaturityTable[[#This Row],[DSm]]))),CHAR(160)," ")))</f>
        <v/>
      </c>
    </row>
    <row r="380" spans="2:13" hidden="1" x14ac:dyDescent="0.25">
      <c r="B380" s="252" t="str">
        <f>'External Dependency'!$M$21</f>
        <v>External Dependency Management</v>
      </c>
      <c r="C380" s="252" t="str">
        <f>'External Dependency'!$A$21</f>
        <v>Connections</v>
      </c>
      <c r="D380" s="252" t="str">
        <f>'External Dependency'!$B$21</f>
        <v>Connections</v>
      </c>
      <c r="E380" s="252" t="str">
        <f>'External Dependency'!$C$21</f>
        <v>Advanced</v>
      </c>
      <c r="F380" s="252">
        <f>'External Dependency'!$D$21</f>
        <v>0</v>
      </c>
      <c r="G380" s="252">
        <f>'External Dependency'!$N$21</f>
        <v>0</v>
      </c>
      <c r="H380" s="252">
        <f>'External Dependency'!$O$21</f>
        <v>0</v>
      </c>
      <c r="I380" s="252">
        <f>'External Dependency'!$P$21</f>
        <v>0</v>
      </c>
      <c r="J380" s="252">
        <f>'External Dependency'!$Q$21</f>
        <v>0</v>
      </c>
      <c r="K380" t="s">
        <v>461</v>
      </c>
      <c r="L380" t="str">
        <f>IF(combinedMaturityTable[[#This Row],[Maturity Level]]="Baseline",LEFT(combinedMaturityTable[[#This Row],[DS]],FIND("(FFIEC ",combinedMaturityTable[[#This Row],[DS]])-1),"")</f>
        <v/>
      </c>
      <c r="M380" s="293" t="str">
        <f>CLEAN(TRIM(SUBSTITUTE(LEFT(combinedMaturityTable[[#This Row],[DSm]],MIN(250,LEN(combinedMaturityTable[[#This Row],[DSm]]))),CHAR(160)," ")))</f>
        <v/>
      </c>
    </row>
    <row r="381" spans="2:13" hidden="1" x14ac:dyDescent="0.25">
      <c r="B381" s="252" t="str">
        <f>'External Dependency'!$M$22</f>
        <v>External Dependency Management</v>
      </c>
      <c r="C381" s="252" t="str">
        <f>'External Dependency'!$A$22</f>
        <v>Connections</v>
      </c>
      <c r="D381" s="252" t="str">
        <f>'External Dependency'!$B$22</f>
        <v>Connections</v>
      </c>
      <c r="E381" s="252" t="str">
        <f>'External Dependency'!$C$22</f>
        <v>Advanced</v>
      </c>
      <c r="F381" s="252">
        <f>'External Dependency'!$D$22</f>
        <v>0</v>
      </c>
      <c r="G381" s="252">
        <f>'External Dependency'!$N$22</f>
        <v>0</v>
      </c>
      <c r="H381" s="252">
        <f>'External Dependency'!$O$22</f>
        <v>0</v>
      </c>
      <c r="I381" s="252">
        <f>'External Dependency'!$P$22</f>
        <v>0</v>
      </c>
      <c r="J381" s="252">
        <f>'External Dependency'!$Q$22</f>
        <v>0</v>
      </c>
      <c r="K381" t="s">
        <v>462</v>
      </c>
      <c r="L381" t="str">
        <f>IF(combinedMaturityTable[[#This Row],[Maturity Level]]="Baseline",LEFT(combinedMaturityTable[[#This Row],[DS]],FIND("(FFIEC ",combinedMaturityTable[[#This Row],[DS]])-1),"")</f>
        <v/>
      </c>
      <c r="M381" s="293" t="str">
        <f>CLEAN(TRIM(SUBSTITUTE(LEFT(combinedMaturityTable[[#This Row],[DSm]],MIN(250,LEN(combinedMaturityTable[[#This Row],[DSm]]))),CHAR(160)," ")))</f>
        <v/>
      </c>
    </row>
    <row r="382" spans="2:13" hidden="1" x14ac:dyDescent="0.25">
      <c r="B382" s="252" t="str">
        <f>'External Dependency'!$M$23</f>
        <v>External Dependency Management</v>
      </c>
      <c r="C382" s="252" t="str">
        <f>'External Dependency'!$A$23</f>
        <v>Connections</v>
      </c>
      <c r="D382" s="252" t="str">
        <f>'External Dependency'!$B$23</f>
        <v>Connections</v>
      </c>
      <c r="E382" s="252" t="str">
        <f>'External Dependency'!$C$23</f>
        <v>Innovative</v>
      </c>
      <c r="F382" s="252">
        <f>'External Dependency'!$D$23</f>
        <v>0</v>
      </c>
      <c r="G382" s="252">
        <f>'External Dependency'!$N$23</f>
        <v>0</v>
      </c>
      <c r="H382" s="252">
        <f>'External Dependency'!$O$23</f>
        <v>0</v>
      </c>
      <c r="I382" s="252">
        <f>'External Dependency'!$P$23</f>
        <v>0</v>
      </c>
      <c r="J382" s="252">
        <f>'External Dependency'!$Q$23</f>
        <v>0</v>
      </c>
      <c r="K382" t="s">
        <v>463</v>
      </c>
      <c r="L382" t="str">
        <f>IF(combinedMaturityTable[[#This Row],[Maturity Level]]="Baseline",LEFT(combinedMaturityTable[[#This Row],[DS]],FIND("(FFIEC ",combinedMaturityTable[[#This Row],[DS]])-1),"")</f>
        <v/>
      </c>
      <c r="M382" s="293" t="str">
        <f>CLEAN(TRIM(SUBSTITUTE(LEFT(combinedMaturityTable[[#This Row],[DSm]],MIN(250,LEN(combinedMaturityTable[[#This Row],[DSm]]))),CHAR(160)," ")))</f>
        <v/>
      </c>
    </row>
    <row r="383" spans="2:13" hidden="1" x14ac:dyDescent="0.25">
      <c r="B383" s="252" t="str">
        <f>'External Dependency'!$M$24</f>
        <v>External Dependency Management</v>
      </c>
      <c r="C383" s="252" t="str">
        <f>'External Dependency'!$A$24</f>
        <v>Connections</v>
      </c>
      <c r="D383" s="252" t="str">
        <f>'External Dependency'!$B$24</f>
        <v>Connections</v>
      </c>
      <c r="E383" s="252" t="str">
        <f>'External Dependency'!$C$24</f>
        <v>Innovative</v>
      </c>
      <c r="F383" s="252">
        <f>'External Dependency'!$D$24</f>
        <v>0</v>
      </c>
      <c r="G383" s="252">
        <f>'External Dependency'!$N$24</f>
        <v>0</v>
      </c>
      <c r="H383" s="252">
        <f>'External Dependency'!$O$24</f>
        <v>0</v>
      </c>
      <c r="I383" s="252">
        <f>'External Dependency'!$P$24</f>
        <v>0</v>
      </c>
      <c r="J383" s="252">
        <f>'External Dependency'!$Q$24</f>
        <v>0</v>
      </c>
      <c r="K383" t="s">
        <v>464</v>
      </c>
      <c r="L383" t="str">
        <f>IF(combinedMaturityTable[[#This Row],[Maturity Level]]="Baseline",LEFT(combinedMaturityTable[[#This Row],[DS]],FIND("(FFIEC ",combinedMaturityTable[[#This Row],[DS]])-1),"")</f>
        <v/>
      </c>
      <c r="M383" s="293" t="str">
        <f>CLEAN(TRIM(SUBSTITUTE(LEFT(combinedMaturityTable[[#This Row],[DSm]],MIN(250,LEN(combinedMaturityTable[[#This Row],[DSm]]))),CHAR(160)," ")))</f>
        <v/>
      </c>
    </row>
    <row r="384" spans="2:13" x14ac:dyDescent="0.25">
      <c r="B384" s="252" t="str">
        <f>'External Dependency'!$M$25</f>
        <v>External Dependency Management</v>
      </c>
      <c r="C384" s="252" t="str">
        <f>'External Dependency'!$A$25</f>
        <v>Relationship Management</v>
      </c>
      <c r="D384" s="252" t="str">
        <f>'External Dependency'!$B$25</f>
        <v>Due Diligence</v>
      </c>
      <c r="E384" s="252" t="str">
        <f>'External Dependency'!$C$25</f>
        <v>Baseline</v>
      </c>
      <c r="F384" s="252">
        <f>'External Dependency'!$D$25</f>
        <v>0</v>
      </c>
      <c r="G384" s="252">
        <f>'External Dependency'!$N$25</f>
        <v>0</v>
      </c>
      <c r="H384" s="252">
        <f>'External Dependency'!$O$25</f>
        <v>0</v>
      </c>
      <c r="I384" s="252">
        <f>'External Dependency'!$P$25</f>
        <v>0</v>
      </c>
      <c r="J384" s="252">
        <f>'External Dependency'!$Q$25</f>
        <v>0</v>
      </c>
      <c r="K384" t="s">
        <v>467</v>
      </c>
      <c r="L384" t="str">
        <f>IF(combinedMaturityTable[[#This Row],[Maturity Level]]="Baseline",LEFT(combinedMaturityTable[[#This Row],[DS]],FIND("(FFIEC ",combinedMaturityTable[[#This Row],[DS]])-1),"")</f>
        <v xml:space="preserve">Risk-based due diligence is performed on prospective third parties before contracts are signed, including reviews of their background, reputation, financial condition, stability, and security controls. </v>
      </c>
      <c r="M384" s="293" t="str">
        <f>CLEAN(TRIM(SUBSTITUTE(LEFT(combinedMaturityTable[[#This Row],[DSm]],MIN(250,LEN(combinedMaturityTable[[#This Row],[DSm]]))),CHAR(160)," ")))</f>
        <v>Risk-based due diligence is performed on prospective third parties before contracts are signed, including reviews of their background, reputation, financial condition, stability, and security controls.</v>
      </c>
    </row>
    <row r="385" spans="2:13" x14ac:dyDescent="0.25">
      <c r="B385" s="252" t="str">
        <f>'External Dependency'!$M$26</f>
        <v>External Dependency Management</v>
      </c>
      <c r="C385" s="252" t="str">
        <f>'External Dependency'!$A$26</f>
        <v>Relationship Management</v>
      </c>
      <c r="D385" s="252" t="str">
        <f>'External Dependency'!$B$26</f>
        <v>Due Diligence</v>
      </c>
      <c r="E385" s="252" t="str">
        <f>'External Dependency'!$C$26</f>
        <v>Baseline</v>
      </c>
      <c r="F385" s="252">
        <f>'External Dependency'!$D$26</f>
        <v>0</v>
      </c>
      <c r="G385" s="252">
        <f>'External Dependency'!$N$26</f>
        <v>0</v>
      </c>
      <c r="H385" s="252">
        <f>'External Dependency'!$O$26</f>
        <v>0</v>
      </c>
      <c r="I385" s="252">
        <f>'External Dependency'!$P$26</f>
        <v>0</v>
      </c>
      <c r="J385" s="252">
        <f>'External Dependency'!$Q$26</f>
        <v>0</v>
      </c>
      <c r="K385" t="s">
        <v>468</v>
      </c>
      <c r="L385" t="str">
        <f>IF(combinedMaturityTable[[#This Row],[Maturity Level]]="Baseline",LEFT(combinedMaturityTable[[#This Row],[DS]],FIND("(FFIEC ",combinedMaturityTable[[#This Row],[DS]])-1),"")</f>
        <v xml:space="preserve">A list of third-party service providers is maintained. </v>
      </c>
      <c r="M385" s="293" t="str">
        <f>CLEAN(TRIM(SUBSTITUTE(LEFT(combinedMaturityTable[[#This Row],[DSm]],MIN(250,LEN(combinedMaturityTable[[#This Row],[DSm]]))),CHAR(160)," ")))</f>
        <v>A list of third-party service providers is maintained.</v>
      </c>
    </row>
    <row r="386" spans="2:13" x14ac:dyDescent="0.25">
      <c r="B386" s="252" t="str">
        <f>'External Dependency'!$M$27</f>
        <v>External Dependency Management</v>
      </c>
      <c r="C386" s="252" t="str">
        <f>'External Dependency'!$A$27</f>
        <v>Relationship Management</v>
      </c>
      <c r="D386" s="252" t="str">
        <f>'External Dependency'!$B$27</f>
        <v>Due Diligence</v>
      </c>
      <c r="E386" s="252" t="str">
        <f>'External Dependency'!$C$27</f>
        <v>Baseline</v>
      </c>
      <c r="F386" s="252">
        <f>'External Dependency'!$D$27</f>
        <v>0</v>
      </c>
      <c r="G386" s="252">
        <f>'External Dependency'!$N$27</f>
        <v>0</v>
      </c>
      <c r="H386" s="252">
        <f>'External Dependency'!$O$27</f>
        <v>0</v>
      </c>
      <c r="I386" s="252">
        <f>'External Dependency'!$P$27</f>
        <v>0</v>
      </c>
      <c r="J386" s="252">
        <f>'External Dependency'!$Q$27</f>
        <v>0</v>
      </c>
      <c r="K386" t="s">
        <v>469</v>
      </c>
      <c r="L386" t="str">
        <f>IF(combinedMaturityTable[[#This Row],[Maturity Level]]="Baseline",LEFT(combinedMaturityTable[[#This Row],[DS]],FIND("(FFIEC ",combinedMaturityTable[[#This Row],[DS]])-1),"")</f>
        <v xml:space="preserve">A risk assessment is conducted to identify criticality of service providers. </v>
      </c>
      <c r="M386" s="293" t="str">
        <f>CLEAN(TRIM(SUBSTITUTE(LEFT(combinedMaturityTable[[#This Row],[DSm]],MIN(250,LEN(combinedMaturityTable[[#This Row],[DSm]]))),CHAR(160)," ")))</f>
        <v>A risk assessment is conducted to identify criticality of service providers.</v>
      </c>
    </row>
    <row r="387" spans="2:13" hidden="1" x14ac:dyDescent="0.25">
      <c r="B387" s="252" t="str">
        <f>'External Dependency'!$M$28</f>
        <v>External Dependency Management</v>
      </c>
      <c r="C387" s="252" t="str">
        <f>'External Dependency'!$A$28</f>
        <v>Relationship Management</v>
      </c>
      <c r="D387" s="252" t="str">
        <f>'External Dependency'!$B$28</f>
        <v>Due Diligence</v>
      </c>
      <c r="E387" s="252" t="str">
        <f>'External Dependency'!$C$28</f>
        <v>Evolving</v>
      </c>
      <c r="F387" s="252">
        <f>'External Dependency'!$D$28</f>
        <v>0</v>
      </c>
      <c r="G387" s="252">
        <f>'External Dependency'!$N$28</f>
        <v>0</v>
      </c>
      <c r="H387" s="252">
        <f>'External Dependency'!$O$28</f>
        <v>0</v>
      </c>
      <c r="I387" s="252">
        <f>'External Dependency'!$P$28</f>
        <v>0</v>
      </c>
      <c r="J387" s="252">
        <f>'External Dependency'!$Q$28</f>
        <v>0</v>
      </c>
      <c r="K387" t="s">
        <v>470</v>
      </c>
      <c r="L387" t="str">
        <f>IF(combinedMaturityTable[[#This Row],[Maturity Level]]="Baseline",LEFT(combinedMaturityTable[[#This Row],[DS]],FIND("(FFIEC ",combinedMaturityTable[[#This Row],[DS]])-1),"")</f>
        <v/>
      </c>
      <c r="M387" s="293" t="str">
        <f>CLEAN(TRIM(SUBSTITUTE(LEFT(combinedMaturityTable[[#This Row],[DSm]],MIN(250,LEN(combinedMaturityTable[[#This Row],[DSm]]))),CHAR(160)," ")))</f>
        <v/>
      </c>
    </row>
    <row r="388" spans="2:13" hidden="1" x14ac:dyDescent="0.25">
      <c r="B388" s="252" t="str">
        <f>'External Dependency'!$M$29</f>
        <v>External Dependency Management</v>
      </c>
      <c r="C388" s="252" t="str">
        <f>'External Dependency'!$A$29</f>
        <v>Relationship Management</v>
      </c>
      <c r="D388" s="252" t="str">
        <f>'External Dependency'!$B$29</f>
        <v>Due Diligence</v>
      </c>
      <c r="E388" s="252" t="str">
        <f>'External Dependency'!$C$29</f>
        <v>Evolving</v>
      </c>
      <c r="F388" s="252">
        <f>'External Dependency'!$D$29</f>
        <v>0</v>
      </c>
      <c r="G388" s="252">
        <f>'External Dependency'!$N$29</f>
        <v>0</v>
      </c>
      <c r="H388" s="252">
        <f>'External Dependency'!$O$29</f>
        <v>0</v>
      </c>
      <c r="I388" s="252">
        <f>'External Dependency'!$P$29</f>
        <v>0</v>
      </c>
      <c r="J388" s="252">
        <f>'External Dependency'!$Q$29</f>
        <v>0</v>
      </c>
      <c r="K388" t="s">
        <v>471</v>
      </c>
      <c r="L388" t="str">
        <f>IF(combinedMaturityTable[[#This Row],[Maturity Level]]="Baseline",LEFT(combinedMaturityTable[[#This Row],[DS]],FIND("(FFIEC ",combinedMaturityTable[[#This Row],[DS]])-1),"")</f>
        <v/>
      </c>
      <c r="M388" s="293" t="str">
        <f>CLEAN(TRIM(SUBSTITUTE(LEFT(combinedMaturityTable[[#This Row],[DSm]],MIN(250,LEN(combinedMaturityTable[[#This Row],[DSm]]))),CHAR(160)," ")))</f>
        <v/>
      </c>
    </row>
    <row r="389" spans="2:13" hidden="1" x14ac:dyDescent="0.25">
      <c r="B389" s="252" t="str">
        <f>'External Dependency'!$M$30</f>
        <v>External Dependency Management</v>
      </c>
      <c r="C389" s="252" t="str">
        <f>'External Dependency'!$A$30</f>
        <v>Relationship Management</v>
      </c>
      <c r="D389" s="252" t="str">
        <f>'External Dependency'!$B$30</f>
        <v>Due Diligence</v>
      </c>
      <c r="E389" s="252" t="str">
        <f>'External Dependency'!$C$30</f>
        <v>Intermediate</v>
      </c>
      <c r="F389" s="252">
        <f>'External Dependency'!$D$30</f>
        <v>0</v>
      </c>
      <c r="G389" s="252">
        <f>'External Dependency'!$N$30</f>
        <v>0</v>
      </c>
      <c r="H389" s="252">
        <f>'External Dependency'!$O$30</f>
        <v>0</v>
      </c>
      <c r="I389" s="252">
        <f>'External Dependency'!$P$30</f>
        <v>0</v>
      </c>
      <c r="J389" s="252">
        <f>'External Dependency'!$Q$30</f>
        <v>0</v>
      </c>
      <c r="K389" t="s">
        <v>472</v>
      </c>
      <c r="L389" t="str">
        <f>IF(combinedMaturityTable[[#This Row],[Maturity Level]]="Baseline",LEFT(combinedMaturityTable[[#This Row],[DS]],FIND("(FFIEC ",combinedMaturityTable[[#This Row],[DS]])-1),"")</f>
        <v/>
      </c>
      <c r="M389" s="293" t="str">
        <f>CLEAN(TRIM(SUBSTITUTE(LEFT(combinedMaturityTable[[#This Row],[DSm]],MIN(250,LEN(combinedMaturityTable[[#This Row],[DSm]]))),CHAR(160)," ")))</f>
        <v/>
      </c>
    </row>
    <row r="390" spans="2:13" hidden="1" x14ac:dyDescent="0.25">
      <c r="B390" s="252" t="str">
        <f>'External Dependency'!$M$31</f>
        <v>External Dependency Management</v>
      </c>
      <c r="C390" s="252" t="str">
        <f>'External Dependency'!$A$31</f>
        <v>Relationship Management</v>
      </c>
      <c r="D390" s="252" t="str">
        <f>'External Dependency'!$B$31</f>
        <v>Due Diligence</v>
      </c>
      <c r="E390" s="252" t="str">
        <f>'External Dependency'!$C$31</f>
        <v>Intermediate</v>
      </c>
      <c r="F390" s="252">
        <f>'External Dependency'!$D$31</f>
        <v>0</v>
      </c>
      <c r="G390" s="252">
        <f>'External Dependency'!$N$31</f>
        <v>0</v>
      </c>
      <c r="H390" s="252">
        <f>'External Dependency'!$O$31</f>
        <v>0</v>
      </c>
      <c r="I390" s="252">
        <f>'External Dependency'!$P$31</f>
        <v>0</v>
      </c>
      <c r="J390" s="252">
        <f>'External Dependency'!$Q$31</f>
        <v>0</v>
      </c>
      <c r="K390" t="s">
        <v>473</v>
      </c>
      <c r="L390" t="str">
        <f>IF(combinedMaturityTable[[#This Row],[Maturity Level]]="Baseline",LEFT(combinedMaturityTable[[#This Row],[DS]],FIND("(FFIEC ",combinedMaturityTable[[#This Row],[DS]])-1),"")</f>
        <v/>
      </c>
      <c r="M390" s="293" t="str">
        <f>CLEAN(TRIM(SUBSTITUTE(LEFT(combinedMaturityTable[[#This Row],[DSm]],MIN(250,LEN(combinedMaturityTable[[#This Row],[DSm]]))),CHAR(160)," ")))</f>
        <v/>
      </c>
    </row>
    <row r="391" spans="2:13" hidden="1" x14ac:dyDescent="0.25">
      <c r="B391" s="252" t="str">
        <f>'External Dependency'!$M$32</f>
        <v>External Dependency Management</v>
      </c>
      <c r="C391" s="252" t="str">
        <f>'External Dependency'!$A$32</f>
        <v>Relationship Management</v>
      </c>
      <c r="D391" s="252" t="str">
        <f>'External Dependency'!$B$32</f>
        <v>Due Diligence</v>
      </c>
      <c r="E391" s="252" t="str">
        <f>'External Dependency'!$C$32</f>
        <v>Advanced</v>
      </c>
      <c r="F391" s="252">
        <f>'External Dependency'!$D$32</f>
        <v>0</v>
      </c>
      <c r="G391" s="252">
        <f>'External Dependency'!$N$32</f>
        <v>0</v>
      </c>
      <c r="H391" s="252">
        <f>'External Dependency'!$O$32</f>
        <v>0</v>
      </c>
      <c r="I391" s="252">
        <f>'External Dependency'!$P$32</f>
        <v>0</v>
      </c>
      <c r="J391" s="252">
        <f>'External Dependency'!$Q$32</f>
        <v>0</v>
      </c>
      <c r="K391" t="s">
        <v>474</v>
      </c>
      <c r="L391" t="str">
        <f>IF(combinedMaturityTable[[#This Row],[Maturity Level]]="Baseline",LEFT(combinedMaturityTable[[#This Row],[DS]],FIND("(FFIEC ",combinedMaturityTable[[#This Row],[DS]])-1),"")</f>
        <v/>
      </c>
      <c r="M391" s="293" t="str">
        <f>CLEAN(TRIM(SUBSTITUTE(LEFT(combinedMaturityTable[[#This Row],[DSm]],MIN(250,LEN(combinedMaturityTable[[#This Row],[DSm]]))),CHAR(160)," ")))</f>
        <v/>
      </c>
    </row>
    <row r="392" spans="2:13" hidden="1" x14ac:dyDescent="0.25">
      <c r="B392" s="252" t="str">
        <f>'External Dependency'!$M$33</f>
        <v>External Dependency Management</v>
      </c>
      <c r="C392" s="252" t="str">
        <f>'External Dependency'!$A$33</f>
        <v>Relationship Management</v>
      </c>
      <c r="D392" s="252" t="str">
        <f>'External Dependency'!$B$33</f>
        <v>Due Diligence</v>
      </c>
      <c r="E392" s="252" t="str">
        <f>'External Dependency'!$C$33</f>
        <v>Advanced</v>
      </c>
      <c r="F392" s="252">
        <f>'External Dependency'!$D$33</f>
        <v>0</v>
      </c>
      <c r="G392" s="252">
        <f>'External Dependency'!$N$33</f>
        <v>0</v>
      </c>
      <c r="H392" s="252">
        <f>'External Dependency'!$O$33</f>
        <v>0</v>
      </c>
      <c r="I392" s="252">
        <f>'External Dependency'!$P$33</f>
        <v>0</v>
      </c>
      <c r="J392" s="252">
        <f>'External Dependency'!$Q$33</f>
        <v>0</v>
      </c>
      <c r="K392" t="s">
        <v>475</v>
      </c>
      <c r="L392" t="str">
        <f>IF(combinedMaturityTable[[#This Row],[Maturity Level]]="Baseline",LEFT(combinedMaturityTable[[#This Row],[DS]],FIND("(FFIEC ",combinedMaturityTable[[#This Row],[DS]])-1),"")</f>
        <v/>
      </c>
      <c r="M392" s="293" t="str">
        <f>CLEAN(TRIM(SUBSTITUTE(LEFT(combinedMaturityTable[[#This Row],[DSm]],MIN(250,LEN(combinedMaturityTable[[#This Row],[DSm]]))),CHAR(160)," ")))</f>
        <v/>
      </c>
    </row>
    <row r="393" spans="2:13" hidden="1" x14ac:dyDescent="0.25">
      <c r="B393" s="252" t="str">
        <f>'External Dependency'!$M$34</f>
        <v>External Dependency Management</v>
      </c>
      <c r="C393" s="252" t="str">
        <f>'External Dependency'!$A$34</f>
        <v>Relationship Management</v>
      </c>
      <c r="D393" s="252" t="str">
        <f>'External Dependency'!$B$34</f>
        <v>Due Diligence</v>
      </c>
      <c r="E393" s="252" t="str">
        <f>'External Dependency'!$C$34</f>
        <v>Innovative</v>
      </c>
      <c r="F393" s="252">
        <f>'External Dependency'!$D$34</f>
        <v>0</v>
      </c>
      <c r="G393" s="252">
        <f>'External Dependency'!$N$34</f>
        <v>0</v>
      </c>
      <c r="H393" s="252">
        <f>'External Dependency'!$O$34</f>
        <v>0</v>
      </c>
      <c r="I393" s="252">
        <f>'External Dependency'!$P$34</f>
        <v>0</v>
      </c>
      <c r="J393" s="252">
        <f>'External Dependency'!$Q$34</f>
        <v>0</v>
      </c>
      <c r="K393" t="s">
        <v>476</v>
      </c>
      <c r="L393" t="str">
        <f>IF(combinedMaturityTable[[#This Row],[Maturity Level]]="Baseline",LEFT(combinedMaturityTable[[#This Row],[DS]],FIND("(FFIEC ",combinedMaturityTable[[#This Row],[DS]])-1),"")</f>
        <v/>
      </c>
      <c r="M393" s="293" t="str">
        <f>CLEAN(TRIM(SUBSTITUTE(LEFT(combinedMaturityTable[[#This Row],[DSm]],MIN(250,LEN(combinedMaturityTable[[#This Row],[DSm]]))),CHAR(160)," ")))</f>
        <v/>
      </c>
    </row>
    <row r="394" spans="2:13" hidden="1" x14ac:dyDescent="0.25">
      <c r="B394" s="252" t="str">
        <f>'External Dependency'!$M$35</f>
        <v>External Dependency Management</v>
      </c>
      <c r="C394" s="252" t="str">
        <f>'External Dependency'!$A$35</f>
        <v>Relationship Management</v>
      </c>
      <c r="D394" s="252" t="str">
        <f>'External Dependency'!$B$35</f>
        <v>Due Diligence</v>
      </c>
      <c r="E394" s="252" t="str">
        <f>'External Dependency'!$C$35</f>
        <v>Innovative</v>
      </c>
      <c r="F394" s="252">
        <f>'External Dependency'!$D$35</f>
        <v>0</v>
      </c>
      <c r="G394" s="252">
        <f>'External Dependency'!$N$35</f>
        <v>0</v>
      </c>
      <c r="H394" s="252">
        <f>'External Dependency'!$O$35</f>
        <v>0</v>
      </c>
      <c r="I394" s="252">
        <f>'External Dependency'!$P$35</f>
        <v>0</v>
      </c>
      <c r="J394" s="252">
        <f>'External Dependency'!$Q$35</f>
        <v>0</v>
      </c>
      <c r="K394" t="s">
        <v>477</v>
      </c>
      <c r="L394" t="str">
        <f>IF(combinedMaturityTable[[#This Row],[Maturity Level]]="Baseline",LEFT(combinedMaturityTable[[#This Row],[DS]],FIND("(FFIEC ",combinedMaturityTable[[#This Row],[DS]])-1),"")</f>
        <v/>
      </c>
      <c r="M394" s="293" t="str">
        <f>CLEAN(TRIM(SUBSTITUTE(LEFT(combinedMaturityTable[[#This Row],[DSm]],MIN(250,LEN(combinedMaturityTable[[#This Row],[DSm]]))),CHAR(160)," ")))</f>
        <v/>
      </c>
    </row>
    <row r="395" spans="2:13" x14ac:dyDescent="0.25">
      <c r="B395" s="252" t="str">
        <f>'External Dependency'!$M$36</f>
        <v>External Dependency Management</v>
      </c>
      <c r="C395" s="252" t="str">
        <f>'External Dependency'!$A$36</f>
        <v>Relationship Management</v>
      </c>
      <c r="D395" s="252" t="str">
        <f>'External Dependency'!$B$36</f>
        <v>Contracts</v>
      </c>
      <c r="E395" s="252" t="str">
        <f>'External Dependency'!$C$36</f>
        <v>Baseline</v>
      </c>
      <c r="F395" s="252">
        <f>'External Dependency'!$D$36</f>
        <v>0</v>
      </c>
      <c r="G395" s="252">
        <f>'External Dependency'!$N$36</f>
        <v>0</v>
      </c>
      <c r="H395" s="252">
        <f>'External Dependency'!$O$36</f>
        <v>0</v>
      </c>
      <c r="I395" s="252">
        <f>'External Dependency'!$P$36</f>
        <v>0</v>
      </c>
      <c r="J395" s="252">
        <f>'External Dependency'!$Q$36</f>
        <v>0</v>
      </c>
      <c r="K395" t="s">
        <v>479</v>
      </c>
      <c r="L395" t="str">
        <f>IF(combinedMaturityTable[[#This Row],[Maturity Level]]="Baseline",LEFT(combinedMaturityTable[[#This Row],[DS]],FIND("(FFIEC ",combinedMaturityTable[[#This Row],[DS]])-1),"")</f>
        <v xml:space="preserve">Formal contracts that address relevant security and privacy requirements are in place for all third parties that process, store, or transmit confidential data or provide critical services. </v>
      </c>
      <c r="M395" s="293" t="str">
        <f>CLEAN(TRIM(SUBSTITUTE(LEFT(combinedMaturityTable[[#This Row],[DSm]],MIN(250,LEN(combinedMaturityTable[[#This Row],[DSm]]))),CHAR(160)," ")))</f>
        <v>Formal contracts that address relevant security and privacy requirements are in place for all third parties that process, store, or transmit confidential data or provide critical services.</v>
      </c>
    </row>
    <row r="396" spans="2:13" x14ac:dyDescent="0.25">
      <c r="B396" s="252" t="str">
        <f>'External Dependency'!$M$37</f>
        <v>External Dependency Management</v>
      </c>
      <c r="C396" s="252" t="str">
        <f>'External Dependency'!$A$37</f>
        <v>Relationship Management</v>
      </c>
      <c r="D396" s="252" t="str">
        <f>'External Dependency'!$B$37</f>
        <v>Contracts</v>
      </c>
      <c r="E396" s="252" t="str">
        <f>'External Dependency'!$C$37</f>
        <v>Baseline</v>
      </c>
      <c r="F396" s="252">
        <f>'External Dependency'!$D$37</f>
        <v>0</v>
      </c>
      <c r="G396" s="252">
        <f>'External Dependency'!$N$37</f>
        <v>0</v>
      </c>
      <c r="H396" s="252">
        <f>'External Dependency'!$O$37</f>
        <v>0</v>
      </c>
      <c r="I396" s="252">
        <f>'External Dependency'!$P$37</f>
        <v>0</v>
      </c>
      <c r="J396" s="252">
        <f>'External Dependency'!$Q$37</f>
        <v>0</v>
      </c>
      <c r="K396" t="s">
        <v>480</v>
      </c>
      <c r="L396" t="str">
        <f>IF(combinedMaturityTable[[#This Row],[Maturity Level]]="Baseline",LEFT(combinedMaturityTable[[#This Row],[DS]],FIND("(FFIEC ",combinedMaturityTable[[#This Row],[DS]])-1),"")</f>
        <v xml:space="preserve">Contracts acknowledge that the third party is responsible for the security of the institution’s confidential data that it possesses, stores, processes, or transmits. </v>
      </c>
      <c r="M396" s="293" t="str">
        <f>CLEAN(TRIM(SUBSTITUTE(LEFT(combinedMaturityTable[[#This Row],[DSm]],MIN(250,LEN(combinedMaturityTable[[#This Row],[DSm]]))),CHAR(160)," ")))</f>
        <v>Contracts acknowledge that the third party is responsible for the security of the institution’s confidential data that it possesses, stores, processes, or transmits.</v>
      </c>
    </row>
    <row r="397" spans="2:13" x14ac:dyDescent="0.25">
      <c r="B397" s="252" t="str">
        <f>'External Dependency'!$M$38</f>
        <v>External Dependency Management</v>
      </c>
      <c r="C397" s="252" t="str">
        <f>'External Dependency'!$A$38</f>
        <v>Relationship Management</v>
      </c>
      <c r="D397" s="252" t="str">
        <f>'External Dependency'!$B$38</f>
        <v>Contracts</v>
      </c>
      <c r="E397" s="252" t="str">
        <f>'External Dependency'!$C$38</f>
        <v>Baseline</v>
      </c>
      <c r="F397" s="252">
        <f>'External Dependency'!$D$38</f>
        <v>0</v>
      </c>
      <c r="G397" s="252">
        <f>'External Dependency'!$N$38</f>
        <v>0</v>
      </c>
      <c r="H397" s="252">
        <f>'External Dependency'!$O$38</f>
        <v>0</v>
      </c>
      <c r="I397" s="252">
        <f>'External Dependency'!$P$38</f>
        <v>0</v>
      </c>
      <c r="J397" s="252">
        <f>'External Dependency'!$Q$38</f>
        <v>0</v>
      </c>
      <c r="K397" t="s">
        <v>481</v>
      </c>
      <c r="L397" t="str">
        <f>IF(combinedMaturityTable[[#This Row],[Maturity Level]]="Baseline",LEFT(combinedMaturityTable[[#This Row],[DS]],FIND("(FFIEC ",combinedMaturityTable[[#This Row],[DS]])-1),"")</f>
        <v xml:space="preserve">Contracts stipulate that the third-party security controls are regularly reviewed and validated by an independent party. </v>
      </c>
      <c r="M397" s="293" t="str">
        <f>CLEAN(TRIM(SUBSTITUTE(LEFT(combinedMaturityTable[[#This Row],[DSm]],MIN(250,LEN(combinedMaturityTable[[#This Row],[DSm]]))),CHAR(160)," ")))</f>
        <v>Contracts stipulate that the third-party security controls are regularly reviewed and validated by an independent party.</v>
      </c>
    </row>
    <row r="398" spans="2:13" x14ac:dyDescent="0.25">
      <c r="B398" s="252" t="str">
        <f>'External Dependency'!$M$39</f>
        <v>External Dependency Management</v>
      </c>
      <c r="C398" s="252" t="str">
        <f>'External Dependency'!$A$39</f>
        <v>Relationship Management</v>
      </c>
      <c r="D398" s="252" t="str">
        <f>'External Dependency'!$B$39</f>
        <v>Contracts</v>
      </c>
      <c r="E398" s="252" t="str">
        <f>'External Dependency'!$C$39</f>
        <v>Baseline</v>
      </c>
      <c r="F398" s="252">
        <f>'External Dependency'!$D$39</f>
        <v>0</v>
      </c>
      <c r="G398" s="252">
        <f>'External Dependency'!$N$39</f>
        <v>0</v>
      </c>
      <c r="H398" s="252">
        <f>'External Dependency'!$O$39</f>
        <v>0</v>
      </c>
      <c r="I398" s="252">
        <f>'External Dependency'!$P$39</f>
        <v>0</v>
      </c>
      <c r="J398" s="252">
        <f>'External Dependency'!$Q$39</f>
        <v>0</v>
      </c>
      <c r="K398" t="s">
        <v>482</v>
      </c>
      <c r="L398" t="str">
        <f>IF(combinedMaturityTable[[#This Row],[Maturity Level]]="Baseline",LEFT(combinedMaturityTable[[#This Row],[DS]],FIND("(FFIEC ",combinedMaturityTable[[#This Row],[DS]])-1),"")</f>
        <v xml:space="preserve">Contracts identify the recourse available to the institution should the third party fail to meet defined security requirements. </v>
      </c>
      <c r="M398" s="293" t="str">
        <f>CLEAN(TRIM(SUBSTITUTE(LEFT(combinedMaturityTable[[#This Row],[DSm]],MIN(250,LEN(combinedMaturityTable[[#This Row],[DSm]]))),CHAR(160)," ")))</f>
        <v>Contracts identify the recourse available to the institution should the third party fail to meet defined security requirements.</v>
      </c>
    </row>
    <row r="399" spans="2:13" x14ac:dyDescent="0.25">
      <c r="B399" s="252" t="str">
        <f>'External Dependency'!$M$40</f>
        <v>External Dependency Management</v>
      </c>
      <c r="C399" s="252" t="str">
        <f>'External Dependency'!$A$40</f>
        <v>Relationship Management</v>
      </c>
      <c r="D399" s="252" t="str">
        <f>'External Dependency'!$B$40</f>
        <v>Contracts</v>
      </c>
      <c r="E399" s="252" t="str">
        <f>'External Dependency'!$C$40</f>
        <v>Baseline</v>
      </c>
      <c r="F399" s="252">
        <f>'External Dependency'!$D$40</f>
        <v>0</v>
      </c>
      <c r="G399" s="252">
        <f>'External Dependency'!$N$40</f>
        <v>0</v>
      </c>
      <c r="H399" s="252">
        <f>'External Dependency'!$O$40</f>
        <v>0</v>
      </c>
      <c r="I399" s="252">
        <f>'External Dependency'!$P$40</f>
        <v>0</v>
      </c>
      <c r="J399" s="252">
        <f>'External Dependency'!$Q$40</f>
        <v>0</v>
      </c>
      <c r="K399" t="s">
        <v>483</v>
      </c>
      <c r="L399" t="str">
        <f>IF(combinedMaturityTable[[#This Row],[Maturity Level]]="Baseline",LEFT(combinedMaturityTable[[#This Row],[DS]],FIND("(FFIEC ",combinedMaturityTable[[#This Row],[DS]])-1),"")</f>
        <v xml:space="preserve">Contracts establish responsibilities for responding to security incidents. </v>
      </c>
      <c r="M399" s="293" t="str">
        <f>CLEAN(TRIM(SUBSTITUTE(LEFT(combinedMaturityTable[[#This Row],[DSm]],MIN(250,LEN(combinedMaturityTable[[#This Row],[DSm]]))),CHAR(160)," ")))</f>
        <v>Contracts establish responsibilities for responding to security incidents.</v>
      </c>
    </row>
    <row r="400" spans="2:13" x14ac:dyDescent="0.25">
      <c r="B400" s="252" t="str">
        <f>'External Dependency'!$M$41</f>
        <v>External Dependency Management</v>
      </c>
      <c r="C400" s="252" t="str">
        <f>'External Dependency'!$A$41</f>
        <v>Relationship Management</v>
      </c>
      <c r="D400" s="252" t="str">
        <f>'External Dependency'!$B$41</f>
        <v>Contracts</v>
      </c>
      <c r="E400" s="252" t="str">
        <f>'External Dependency'!$C$41</f>
        <v>Baseline</v>
      </c>
      <c r="F400" s="252">
        <f>'External Dependency'!$D$41</f>
        <v>0</v>
      </c>
      <c r="G400" s="252">
        <f>'External Dependency'!$N$41</f>
        <v>0</v>
      </c>
      <c r="H400" s="252">
        <f>'External Dependency'!$O$41</f>
        <v>0</v>
      </c>
      <c r="I400" s="252">
        <f>'External Dependency'!$P$41</f>
        <v>0</v>
      </c>
      <c r="J400" s="252">
        <f>'External Dependency'!$Q$41</f>
        <v>0</v>
      </c>
      <c r="K400" t="s">
        <v>484</v>
      </c>
      <c r="L400" t="str">
        <f>IF(combinedMaturityTable[[#This Row],[Maturity Level]]="Baseline",LEFT(combinedMaturityTable[[#This Row],[DS]],FIND("(FFIEC ",combinedMaturityTable[[#This Row],[DS]])-1),"")</f>
        <v xml:space="preserve">Contracts specify the security requirements for the return or destruction of data upon contract termination. </v>
      </c>
      <c r="M400" s="293" t="str">
        <f>CLEAN(TRIM(SUBSTITUTE(LEFT(combinedMaturityTable[[#This Row],[DSm]],MIN(250,LEN(combinedMaturityTable[[#This Row],[DSm]]))),CHAR(160)," ")))</f>
        <v>Contracts specify the security requirements for the return or destruction of data upon contract termination.</v>
      </c>
    </row>
    <row r="401" spans="2:13" hidden="1" x14ac:dyDescent="0.25">
      <c r="B401" s="252" t="str">
        <f>'External Dependency'!$M$42</f>
        <v>External Dependency Management</v>
      </c>
      <c r="C401" s="252" t="str">
        <f>'External Dependency'!$A$42</f>
        <v>Relationship Management</v>
      </c>
      <c r="D401" s="252" t="str">
        <f>'External Dependency'!$B$42</f>
        <v>Contracts</v>
      </c>
      <c r="E401" s="252" t="str">
        <f>'External Dependency'!$C$42</f>
        <v>Evolving</v>
      </c>
      <c r="F401" s="252">
        <f>'External Dependency'!$D$42</f>
        <v>0</v>
      </c>
      <c r="G401" s="252">
        <f>'External Dependency'!$N$42</f>
        <v>0</v>
      </c>
      <c r="H401" s="252">
        <f>'External Dependency'!$O$42</f>
        <v>0</v>
      </c>
      <c r="I401" s="252">
        <f>'External Dependency'!$P$42</f>
        <v>0</v>
      </c>
      <c r="J401" s="252">
        <f>'External Dependency'!$Q$42</f>
        <v>0</v>
      </c>
      <c r="K401" t="s">
        <v>485</v>
      </c>
      <c r="L401" t="str">
        <f>IF(combinedMaturityTable[[#This Row],[Maturity Level]]="Baseline",LEFT(combinedMaturityTable[[#This Row],[DS]],FIND("(FFIEC ",combinedMaturityTable[[#This Row],[DS]])-1),"")</f>
        <v/>
      </c>
      <c r="M401" s="293" t="str">
        <f>CLEAN(TRIM(SUBSTITUTE(LEFT(combinedMaturityTable[[#This Row],[DSm]],MIN(250,LEN(combinedMaturityTable[[#This Row],[DSm]]))),CHAR(160)," ")))</f>
        <v/>
      </c>
    </row>
    <row r="402" spans="2:13" hidden="1" x14ac:dyDescent="0.25">
      <c r="B402" s="252" t="str">
        <f>'External Dependency'!$M$43</f>
        <v>External Dependency Management</v>
      </c>
      <c r="C402" s="252" t="str">
        <f>'External Dependency'!$A$43</f>
        <v>Relationship Management</v>
      </c>
      <c r="D402" s="252" t="str">
        <f>'External Dependency'!$B$43</f>
        <v>Contracts</v>
      </c>
      <c r="E402" s="252" t="str">
        <f>'External Dependency'!$C$43</f>
        <v>Evolving</v>
      </c>
      <c r="F402" s="252">
        <f>'External Dependency'!$D$43</f>
        <v>0</v>
      </c>
      <c r="G402" s="252">
        <f>'External Dependency'!$N$43</f>
        <v>0</v>
      </c>
      <c r="H402" s="252">
        <f>'External Dependency'!$O$43</f>
        <v>0</v>
      </c>
      <c r="I402" s="252">
        <f>'External Dependency'!$P$43</f>
        <v>0</v>
      </c>
      <c r="J402" s="252">
        <f>'External Dependency'!$Q$43</f>
        <v>0</v>
      </c>
      <c r="K402" t="s">
        <v>486</v>
      </c>
      <c r="L402" t="str">
        <f>IF(combinedMaturityTable[[#This Row],[Maturity Level]]="Baseline",LEFT(combinedMaturityTable[[#This Row],[DS]],FIND("(FFIEC ",combinedMaturityTable[[#This Row],[DS]])-1),"")</f>
        <v/>
      </c>
      <c r="M402" s="293" t="str">
        <f>CLEAN(TRIM(SUBSTITUTE(LEFT(combinedMaturityTable[[#This Row],[DSm]],MIN(250,LEN(combinedMaturityTable[[#This Row],[DSm]]))),CHAR(160)," ")))</f>
        <v/>
      </c>
    </row>
    <row r="403" spans="2:13" hidden="1" x14ac:dyDescent="0.25">
      <c r="B403" s="252" t="str">
        <f>'External Dependency'!$M$44</f>
        <v>External Dependency Management</v>
      </c>
      <c r="C403" s="252" t="str">
        <f>'External Dependency'!$A$44</f>
        <v>Relationship Management</v>
      </c>
      <c r="D403" s="252" t="str">
        <f>'External Dependency'!$B$44</f>
        <v>Contracts</v>
      </c>
      <c r="E403" s="252" t="str">
        <f>'External Dependency'!$C$44</f>
        <v>Evolving</v>
      </c>
      <c r="F403" s="252">
        <f>'External Dependency'!$D$44</f>
        <v>0</v>
      </c>
      <c r="G403" s="252">
        <f>'External Dependency'!$N$44</f>
        <v>0</v>
      </c>
      <c r="H403" s="252">
        <f>'External Dependency'!$O$44</f>
        <v>0</v>
      </c>
      <c r="I403" s="252">
        <f>'External Dependency'!$P$44</f>
        <v>0</v>
      </c>
      <c r="J403" s="252">
        <f>'External Dependency'!$Q$44</f>
        <v>0</v>
      </c>
      <c r="K403" t="s">
        <v>487</v>
      </c>
      <c r="L403" t="str">
        <f>IF(combinedMaturityTable[[#This Row],[Maturity Level]]="Baseline",LEFT(combinedMaturityTable[[#This Row],[DS]],FIND("(FFIEC ",combinedMaturityTable[[#This Row],[DS]])-1),"")</f>
        <v/>
      </c>
      <c r="M403" s="293" t="str">
        <f>CLEAN(TRIM(SUBSTITUTE(LEFT(combinedMaturityTable[[#This Row],[DSm]],MIN(250,LEN(combinedMaturityTable[[#This Row],[DSm]]))),CHAR(160)," ")))</f>
        <v/>
      </c>
    </row>
    <row r="404" spans="2:13" hidden="1" x14ac:dyDescent="0.25">
      <c r="B404" s="252" t="str">
        <f>'External Dependency'!$M$45</f>
        <v>External Dependency Management</v>
      </c>
      <c r="C404" s="252" t="str">
        <f>'External Dependency'!$A$45</f>
        <v>Relationship Management</v>
      </c>
      <c r="D404" s="252" t="str">
        <f>'External Dependency'!$B$45</f>
        <v>Contracts</v>
      </c>
      <c r="E404" s="252" t="str">
        <f>'External Dependency'!$C$45</f>
        <v>Intermediate</v>
      </c>
      <c r="F404" s="252">
        <f>'External Dependency'!$D$45</f>
        <v>0</v>
      </c>
      <c r="G404" s="252">
        <f>'External Dependency'!$N$45</f>
        <v>0</v>
      </c>
      <c r="H404" s="252">
        <f>'External Dependency'!$O$45</f>
        <v>0</v>
      </c>
      <c r="I404" s="252">
        <f>'External Dependency'!$P$45</f>
        <v>0</v>
      </c>
      <c r="J404" s="252">
        <f>'External Dependency'!$Q$45</f>
        <v>0</v>
      </c>
      <c r="K404" t="s">
        <v>488</v>
      </c>
      <c r="L404" t="str">
        <f>IF(combinedMaturityTable[[#This Row],[Maturity Level]]="Baseline",LEFT(combinedMaturityTable[[#This Row],[DS]],FIND("(FFIEC ",combinedMaturityTable[[#This Row],[DS]])-1),"")</f>
        <v/>
      </c>
      <c r="M404" s="293" t="str">
        <f>CLEAN(TRIM(SUBSTITUTE(LEFT(combinedMaturityTable[[#This Row],[DSm]],MIN(250,LEN(combinedMaturityTable[[#This Row],[DSm]]))),CHAR(160)," ")))</f>
        <v/>
      </c>
    </row>
    <row r="405" spans="2:13" hidden="1" x14ac:dyDescent="0.25">
      <c r="B405" s="252" t="str">
        <f>'External Dependency'!$M$46</f>
        <v>External Dependency Management</v>
      </c>
      <c r="C405" s="252" t="str">
        <f>'External Dependency'!$A$46</f>
        <v>Relationship Management</v>
      </c>
      <c r="D405" s="252" t="str">
        <f>'External Dependency'!$B$46</f>
        <v>Contracts</v>
      </c>
      <c r="E405" s="252" t="str">
        <f>'External Dependency'!$C$46</f>
        <v>Advanced</v>
      </c>
      <c r="F405" s="252">
        <f>'External Dependency'!$D$46</f>
        <v>0</v>
      </c>
      <c r="G405" s="252">
        <f>'External Dependency'!$N$46</f>
        <v>0</v>
      </c>
      <c r="H405" s="252">
        <f>'External Dependency'!$O$46</f>
        <v>0</v>
      </c>
      <c r="I405" s="252">
        <f>'External Dependency'!$P$46</f>
        <v>0</v>
      </c>
      <c r="J405" s="252">
        <f>'External Dependency'!$Q$46</f>
        <v>0</v>
      </c>
      <c r="K405" t="s">
        <v>489</v>
      </c>
      <c r="L405" t="str">
        <f>IF(combinedMaturityTable[[#This Row],[Maturity Level]]="Baseline",LEFT(combinedMaturityTable[[#This Row],[DS]],FIND("(FFIEC ",combinedMaturityTable[[#This Row],[DS]])-1),"")</f>
        <v/>
      </c>
      <c r="M405" s="293" t="str">
        <f>CLEAN(TRIM(SUBSTITUTE(LEFT(combinedMaturityTable[[#This Row],[DSm]],MIN(250,LEN(combinedMaturityTable[[#This Row],[DSm]]))),CHAR(160)," ")))</f>
        <v/>
      </c>
    </row>
    <row r="406" spans="2:13" hidden="1" x14ac:dyDescent="0.25">
      <c r="B406" s="252" t="str">
        <f>'External Dependency'!$M$47</f>
        <v>External Dependency Management</v>
      </c>
      <c r="C406" s="252" t="str">
        <f>'External Dependency'!$A$47</f>
        <v>Relationship Management</v>
      </c>
      <c r="D406" s="252" t="str">
        <f>'External Dependency'!$B$47</f>
        <v>Contracts</v>
      </c>
      <c r="E406" s="252" t="str">
        <f>'External Dependency'!$C$47</f>
        <v>Advanced</v>
      </c>
      <c r="F406" s="252">
        <f>'External Dependency'!$D$47</f>
        <v>0</v>
      </c>
      <c r="G406" s="252">
        <f>'External Dependency'!$N$47</f>
        <v>0</v>
      </c>
      <c r="H406" s="252">
        <f>'External Dependency'!$O$47</f>
        <v>0</v>
      </c>
      <c r="I406" s="252">
        <f>'External Dependency'!$P$47</f>
        <v>0</v>
      </c>
      <c r="J406" s="252">
        <f>'External Dependency'!$Q$47</f>
        <v>0</v>
      </c>
      <c r="K406" t="s">
        <v>490</v>
      </c>
      <c r="L406" t="str">
        <f>IF(combinedMaturityTable[[#This Row],[Maturity Level]]="Baseline",LEFT(combinedMaturityTable[[#This Row],[DS]],FIND("(FFIEC ",combinedMaturityTable[[#This Row],[DS]])-1),"")</f>
        <v/>
      </c>
      <c r="M406" s="293" t="str">
        <f>CLEAN(TRIM(SUBSTITUTE(LEFT(combinedMaturityTable[[#This Row],[DSm]],MIN(250,LEN(combinedMaturityTable[[#This Row],[DSm]]))),CHAR(160)," ")))</f>
        <v/>
      </c>
    </row>
    <row r="407" spans="2:13" hidden="1" x14ac:dyDescent="0.25">
      <c r="B407" s="252" t="str">
        <f>'External Dependency'!$M$48</f>
        <v>External Dependency Management</v>
      </c>
      <c r="C407" s="252" t="str">
        <f>'External Dependency'!$A$48</f>
        <v>Relationship Management</v>
      </c>
      <c r="D407" s="252" t="str">
        <f>'External Dependency'!$B$48</f>
        <v>Contracts</v>
      </c>
      <c r="E407" s="252" t="str">
        <f>'External Dependency'!$C$48</f>
        <v>Innovative</v>
      </c>
      <c r="F407" s="252">
        <f>'External Dependency'!$D$48</f>
        <v>0</v>
      </c>
      <c r="G407" s="252">
        <f>'External Dependency'!$N$48</f>
        <v>0</v>
      </c>
      <c r="H407" s="252">
        <f>'External Dependency'!$O$48</f>
        <v>0</v>
      </c>
      <c r="I407" s="252">
        <f>'External Dependency'!$P$48</f>
        <v>0</v>
      </c>
      <c r="J407" s="252">
        <f>'External Dependency'!$Q$48</f>
        <v>0</v>
      </c>
      <c r="K407" t="s">
        <v>491</v>
      </c>
      <c r="L407" t="str">
        <f>IF(combinedMaturityTable[[#This Row],[Maturity Level]]="Baseline",LEFT(combinedMaturityTable[[#This Row],[DS]],FIND("(FFIEC ",combinedMaturityTable[[#This Row],[DS]])-1),"")</f>
        <v/>
      </c>
      <c r="M407" s="293" t="str">
        <f>CLEAN(TRIM(SUBSTITUTE(LEFT(combinedMaturityTable[[#This Row],[DSm]],MIN(250,LEN(combinedMaturityTable[[#This Row],[DSm]]))),CHAR(160)," ")))</f>
        <v/>
      </c>
    </row>
    <row r="408" spans="2:13" x14ac:dyDescent="0.25">
      <c r="B408" s="252" t="str">
        <f>'External Dependency'!$M$49</f>
        <v>External Dependency Management</v>
      </c>
      <c r="C408" s="252" t="str">
        <f>'External Dependency'!$A$49</f>
        <v>Relationship Management</v>
      </c>
      <c r="D408" s="252" t="str">
        <f>'External Dependency'!$B$49</f>
        <v>Ongoing Monitoring</v>
      </c>
      <c r="E408" s="252" t="str">
        <f>'External Dependency'!$C$49</f>
        <v>Baseline</v>
      </c>
      <c r="F408" s="252">
        <f>'External Dependency'!$D$49</f>
        <v>0</v>
      </c>
      <c r="G408" s="252">
        <f>'External Dependency'!$N$49</f>
        <v>0</v>
      </c>
      <c r="H408" s="252">
        <f>'External Dependency'!$O$49</f>
        <v>0</v>
      </c>
      <c r="I408" s="252">
        <f>'External Dependency'!$P$49</f>
        <v>0</v>
      </c>
      <c r="J408" s="252">
        <f>'External Dependency'!$Q$49</f>
        <v>0</v>
      </c>
      <c r="K408" t="s">
        <v>493</v>
      </c>
      <c r="L408" t="str">
        <f>IF(combinedMaturityTable[[#This Row],[Maturity Level]]="Baseline",LEFT(combinedMaturityTable[[#This Row],[DS]],FIND("(FFIEC ",combinedMaturityTable[[#This Row],[DS]])-1),"")</f>
        <v xml:space="preserve">The third-party risk assessment is updated regularly. </v>
      </c>
      <c r="M408" s="293" t="str">
        <f>CLEAN(TRIM(SUBSTITUTE(LEFT(combinedMaturityTable[[#This Row],[DSm]],MIN(250,LEN(combinedMaturityTable[[#This Row],[DSm]]))),CHAR(160)," ")))</f>
        <v>The third-party risk assessment is updated regularly.</v>
      </c>
    </row>
    <row r="409" spans="2:13" x14ac:dyDescent="0.25">
      <c r="B409" s="252" t="str">
        <f>'External Dependency'!$M$50</f>
        <v>External Dependency Management</v>
      </c>
      <c r="C409" s="252" t="str">
        <f>'External Dependency'!$A$50</f>
        <v>Relationship Management</v>
      </c>
      <c r="D409" s="252" t="str">
        <f>'External Dependency'!$B$50</f>
        <v>Ongoing Monitoring</v>
      </c>
      <c r="E409" s="252" t="str">
        <f>'External Dependency'!$C$50</f>
        <v>Baseline</v>
      </c>
      <c r="F409" s="252">
        <f>'External Dependency'!$D$50</f>
        <v>0</v>
      </c>
      <c r="G409" s="252">
        <f>'External Dependency'!$N$50</f>
        <v>0</v>
      </c>
      <c r="H409" s="252">
        <f>'External Dependency'!$O$50</f>
        <v>0</v>
      </c>
      <c r="I409" s="252">
        <f>'External Dependency'!$P$50</f>
        <v>0</v>
      </c>
      <c r="J409" s="252">
        <f>'External Dependency'!$Q$50</f>
        <v>0</v>
      </c>
      <c r="K409" t="s">
        <v>494</v>
      </c>
      <c r="L409" t="str">
        <f>IF(combinedMaturityTable[[#This Row],[Maturity Level]]="Baseline",LEFT(combinedMaturityTable[[#This Row],[DS]],FIND("(FFIEC ",combinedMaturityTable[[#This Row],[DS]])-1),"")</f>
        <v xml:space="preserve">Audits, assessments, and operational performance reports are obtained and reviewed regularly validating security controls for critical third parties. </v>
      </c>
      <c r="M409" s="293" t="str">
        <f>CLEAN(TRIM(SUBSTITUTE(LEFT(combinedMaturityTable[[#This Row],[DSm]],MIN(250,LEN(combinedMaturityTable[[#This Row],[DSm]]))),CHAR(160)," ")))</f>
        <v>Audits, assessments, and operational performance reports are obtained and reviewed regularly validating security controls for critical third parties.</v>
      </c>
    </row>
    <row r="410" spans="2:13" x14ac:dyDescent="0.25">
      <c r="B410" s="252" t="str">
        <f>'External Dependency'!$M$51</f>
        <v>External Dependency Management</v>
      </c>
      <c r="C410" s="252" t="str">
        <f>'External Dependency'!$A$51</f>
        <v>Relationship Management</v>
      </c>
      <c r="D410" s="252" t="str">
        <f>'External Dependency'!$B$51</f>
        <v>Ongoing Monitoring</v>
      </c>
      <c r="E410" s="252" t="str">
        <f>'External Dependency'!$C$51</f>
        <v>Baseline</v>
      </c>
      <c r="F410" s="252">
        <f>'External Dependency'!$D$51</f>
        <v>0</v>
      </c>
      <c r="G410" s="252">
        <f>'External Dependency'!$N$51</f>
        <v>0</v>
      </c>
      <c r="H410" s="252">
        <f>'External Dependency'!$O$51</f>
        <v>0</v>
      </c>
      <c r="I410" s="252">
        <f>'External Dependency'!$P$51</f>
        <v>0</v>
      </c>
      <c r="J410" s="252">
        <f>'External Dependency'!$Q$51</f>
        <v>0</v>
      </c>
      <c r="K410" t="s">
        <v>495</v>
      </c>
      <c r="L410" t="str">
        <f>IF(combinedMaturityTable[[#This Row],[Maturity Level]]="Baseline",LEFT(combinedMaturityTable[[#This Row],[DS]],FIND("(FFIEC ",combinedMaturityTable[[#This Row],[DS]])-1),"")</f>
        <v xml:space="preserve">Ongoing monitoring practices include reviewing critical third-parties’ resilience plans. </v>
      </c>
      <c r="M410" s="293" t="str">
        <f>CLEAN(TRIM(SUBSTITUTE(LEFT(combinedMaturityTable[[#This Row],[DSm]],MIN(250,LEN(combinedMaturityTable[[#This Row],[DSm]]))),CHAR(160)," ")))</f>
        <v>Ongoing monitoring practices include reviewing critical third-parties’ resilience plans.</v>
      </c>
    </row>
    <row r="411" spans="2:13" hidden="1" x14ac:dyDescent="0.25">
      <c r="B411" s="252" t="str">
        <f>'External Dependency'!$M$52</f>
        <v>External Dependency Management</v>
      </c>
      <c r="C411" s="252" t="str">
        <f>'External Dependency'!$A$52</f>
        <v>Relationship Management</v>
      </c>
      <c r="D411" s="252" t="str">
        <f>'External Dependency'!$B$52</f>
        <v>Ongoing Monitoring</v>
      </c>
      <c r="E411" s="252" t="str">
        <f>'External Dependency'!$C$52</f>
        <v>Evolving</v>
      </c>
      <c r="F411" s="252">
        <f>'External Dependency'!$D$52</f>
        <v>0</v>
      </c>
      <c r="G411" s="252">
        <f>'External Dependency'!$N$52</f>
        <v>0</v>
      </c>
      <c r="H411" s="252">
        <f>'External Dependency'!$O$52</f>
        <v>0</v>
      </c>
      <c r="I411" s="252">
        <f>'External Dependency'!$P$52</f>
        <v>0</v>
      </c>
      <c r="J411" s="252">
        <f>'External Dependency'!$Q$52</f>
        <v>0</v>
      </c>
      <c r="K411" t="s">
        <v>496</v>
      </c>
      <c r="L411" t="str">
        <f>IF(combinedMaturityTable[[#This Row],[Maturity Level]]="Baseline",LEFT(combinedMaturityTable[[#This Row],[DS]],FIND("(FFIEC ",combinedMaturityTable[[#This Row],[DS]])-1),"")</f>
        <v/>
      </c>
      <c r="M411" s="293" t="str">
        <f>CLEAN(TRIM(SUBSTITUTE(LEFT(combinedMaturityTable[[#This Row],[DSm]],MIN(250,LEN(combinedMaturityTable[[#This Row],[DSm]]))),CHAR(160)," ")))</f>
        <v/>
      </c>
    </row>
    <row r="412" spans="2:13" hidden="1" x14ac:dyDescent="0.25">
      <c r="B412" s="252" t="str">
        <f>'External Dependency'!$M$53</f>
        <v>External Dependency Management</v>
      </c>
      <c r="C412" s="252" t="str">
        <f>'External Dependency'!$A$53</f>
        <v>Relationship Management</v>
      </c>
      <c r="D412" s="252" t="str">
        <f>'External Dependency'!$B$53</f>
        <v>Ongoing Monitoring</v>
      </c>
      <c r="E412" s="252" t="str">
        <f>'External Dependency'!$C$53</f>
        <v>Evolving</v>
      </c>
      <c r="F412" s="252">
        <f>'External Dependency'!$D$53</f>
        <v>0</v>
      </c>
      <c r="G412" s="252">
        <f>'External Dependency'!$N$53</f>
        <v>0</v>
      </c>
      <c r="H412" s="252">
        <f>'External Dependency'!$O$53</f>
        <v>0</v>
      </c>
      <c r="I412" s="252">
        <f>'External Dependency'!$P$53</f>
        <v>0</v>
      </c>
      <c r="J412" s="252">
        <f>'External Dependency'!$Q$53</f>
        <v>0</v>
      </c>
      <c r="K412" t="s">
        <v>497</v>
      </c>
      <c r="L412" t="str">
        <f>IF(combinedMaturityTable[[#This Row],[Maturity Level]]="Baseline",LEFT(combinedMaturityTable[[#This Row],[DS]],FIND("(FFIEC ",combinedMaturityTable[[#This Row],[DS]])-1),"")</f>
        <v/>
      </c>
      <c r="M412" s="293" t="str">
        <f>CLEAN(TRIM(SUBSTITUTE(LEFT(combinedMaturityTable[[#This Row],[DSm]],MIN(250,LEN(combinedMaturityTable[[#This Row],[DSm]]))),CHAR(160)," ")))</f>
        <v/>
      </c>
    </row>
    <row r="413" spans="2:13" hidden="1" x14ac:dyDescent="0.25">
      <c r="B413" s="252" t="str">
        <f>'External Dependency'!$M$54</f>
        <v>External Dependency Management</v>
      </c>
      <c r="C413" s="252" t="str">
        <f>'External Dependency'!$A$54</f>
        <v>Relationship Management</v>
      </c>
      <c r="D413" s="252" t="str">
        <f>'External Dependency'!$B$54</f>
        <v>Ongoing Monitoring</v>
      </c>
      <c r="E413" s="252" t="str">
        <f>'External Dependency'!$C$54</f>
        <v>Evolving</v>
      </c>
      <c r="F413" s="252">
        <f>'External Dependency'!$D$54</f>
        <v>0</v>
      </c>
      <c r="G413" s="252">
        <f>'External Dependency'!$N$54</f>
        <v>0</v>
      </c>
      <c r="H413" s="252">
        <f>'External Dependency'!$O$54</f>
        <v>0</v>
      </c>
      <c r="I413" s="252">
        <f>'External Dependency'!$P$54</f>
        <v>0</v>
      </c>
      <c r="J413" s="252">
        <f>'External Dependency'!$Q$54</f>
        <v>0</v>
      </c>
      <c r="K413" t="s">
        <v>498</v>
      </c>
      <c r="L413" t="str">
        <f>IF(combinedMaturityTable[[#This Row],[Maturity Level]]="Baseline",LEFT(combinedMaturityTable[[#This Row],[DS]],FIND("(FFIEC ",combinedMaturityTable[[#This Row],[DS]])-1),"")</f>
        <v/>
      </c>
      <c r="M413" s="293" t="str">
        <f>CLEAN(TRIM(SUBSTITUTE(LEFT(combinedMaturityTable[[#This Row],[DSm]],MIN(250,LEN(combinedMaturityTable[[#This Row],[DSm]]))),CHAR(160)," ")))</f>
        <v/>
      </c>
    </row>
    <row r="414" spans="2:13" hidden="1" x14ac:dyDescent="0.25">
      <c r="B414" s="252" t="str">
        <f>'External Dependency'!$M$55</f>
        <v>External Dependency Management</v>
      </c>
      <c r="C414" s="252" t="str">
        <f>'External Dependency'!$A$55</f>
        <v>Relationship Management</v>
      </c>
      <c r="D414" s="252" t="str">
        <f>'External Dependency'!$B$55</f>
        <v>Ongoing Monitoring</v>
      </c>
      <c r="E414" s="252" t="str">
        <f>'External Dependency'!$C$55</f>
        <v>Evolving</v>
      </c>
      <c r="F414" s="252">
        <f>'External Dependency'!$D$55</f>
        <v>0</v>
      </c>
      <c r="G414" s="252">
        <f>'External Dependency'!$N$55</f>
        <v>0</v>
      </c>
      <c r="H414" s="252">
        <f>'External Dependency'!$O$55</f>
        <v>0</v>
      </c>
      <c r="I414" s="252">
        <f>'External Dependency'!$P$55</f>
        <v>0</v>
      </c>
      <c r="J414" s="252">
        <f>'External Dependency'!$Q$55</f>
        <v>0</v>
      </c>
      <c r="K414" t="s">
        <v>499</v>
      </c>
      <c r="L414" t="str">
        <f>IF(combinedMaturityTable[[#This Row],[Maturity Level]]="Baseline",LEFT(combinedMaturityTable[[#This Row],[DS]],FIND("(FFIEC ",combinedMaturityTable[[#This Row],[DS]])-1),"")</f>
        <v/>
      </c>
      <c r="M414" s="293" t="str">
        <f>CLEAN(TRIM(SUBSTITUTE(LEFT(combinedMaturityTable[[#This Row],[DSm]],MIN(250,LEN(combinedMaturityTable[[#This Row],[DSm]]))),CHAR(160)," ")))</f>
        <v/>
      </c>
    </row>
    <row r="415" spans="2:13" hidden="1" x14ac:dyDescent="0.25">
      <c r="B415" s="252" t="str">
        <f>'External Dependency'!$M$56</f>
        <v>External Dependency Management</v>
      </c>
      <c r="C415" s="252" t="str">
        <f>'External Dependency'!$A$56</f>
        <v>Relationship Management</v>
      </c>
      <c r="D415" s="252" t="str">
        <f>'External Dependency'!$B$56</f>
        <v>Ongoing Monitoring</v>
      </c>
      <c r="E415" s="252" t="str">
        <f>'External Dependency'!$C$56</f>
        <v>Intermediate</v>
      </c>
      <c r="F415" s="252">
        <f>'External Dependency'!$D$56</f>
        <v>0</v>
      </c>
      <c r="G415" s="252">
        <f>'External Dependency'!$N$56</f>
        <v>0</v>
      </c>
      <c r="H415" s="252">
        <f>'External Dependency'!$O$56</f>
        <v>0</v>
      </c>
      <c r="I415" s="252">
        <f>'External Dependency'!$P$56</f>
        <v>0</v>
      </c>
      <c r="J415" s="252">
        <f>'External Dependency'!$Q$56</f>
        <v>0</v>
      </c>
      <c r="K415" t="s">
        <v>500</v>
      </c>
      <c r="L415" t="str">
        <f>IF(combinedMaturityTable[[#This Row],[Maturity Level]]="Baseline",LEFT(combinedMaturityTable[[#This Row],[DS]],FIND("(FFIEC ",combinedMaturityTable[[#This Row],[DS]])-1),"")</f>
        <v/>
      </c>
      <c r="M415" s="293" t="str">
        <f>CLEAN(TRIM(SUBSTITUTE(LEFT(combinedMaturityTable[[#This Row],[DSm]],MIN(250,LEN(combinedMaturityTable[[#This Row],[DSm]]))),CHAR(160)," ")))</f>
        <v/>
      </c>
    </row>
    <row r="416" spans="2:13" hidden="1" x14ac:dyDescent="0.25">
      <c r="B416" s="252" t="str">
        <f>'External Dependency'!$M$57</f>
        <v>External Dependency Management</v>
      </c>
      <c r="C416" s="252" t="str">
        <f>'External Dependency'!$A$57</f>
        <v>Relationship Management</v>
      </c>
      <c r="D416" s="252" t="str">
        <f>'External Dependency'!$B$57</f>
        <v>Ongoing Monitoring</v>
      </c>
      <c r="E416" s="252" t="str">
        <f>'External Dependency'!$C$57</f>
        <v>Intermediate</v>
      </c>
      <c r="F416" s="252">
        <f>'External Dependency'!$D$57</f>
        <v>0</v>
      </c>
      <c r="G416" s="252">
        <f>'External Dependency'!$N$57</f>
        <v>0</v>
      </c>
      <c r="H416" s="252">
        <f>'External Dependency'!$O$57</f>
        <v>0</v>
      </c>
      <c r="I416" s="252">
        <f>'External Dependency'!$P$57</f>
        <v>0</v>
      </c>
      <c r="J416" s="252">
        <f>'External Dependency'!$Q$57</f>
        <v>0</v>
      </c>
      <c r="K416" t="s">
        <v>501</v>
      </c>
      <c r="L416" t="str">
        <f>IF(combinedMaturityTable[[#This Row],[Maturity Level]]="Baseline",LEFT(combinedMaturityTable[[#This Row],[DS]],FIND("(FFIEC ",combinedMaturityTable[[#This Row],[DS]])-1),"")</f>
        <v/>
      </c>
      <c r="M416" s="293" t="str">
        <f>CLEAN(TRIM(SUBSTITUTE(LEFT(combinedMaturityTable[[#This Row],[DSm]],MIN(250,LEN(combinedMaturityTable[[#This Row],[DSm]]))),CHAR(160)," ")))</f>
        <v/>
      </c>
    </row>
    <row r="417" spans="2:13" hidden="1" x14ac:dyDescent="0.25">
      <c r="B417" s="252" t="str">
        <f>'External Dependency'!$M$58</f>
        <v>External Dependency Management</v>
      </c>
      <c r="C417" s="252" t="str">
        <f>'External Dependency'!$A$58</f>
        <v>Relationship Management</v>
      </c>
      <c r="D417" s="252" t="str">
        <f>'External Dependency'!$B$58</f>
        <v>Ongoing Monitoring</v>
      </c>
      <c r="E417" s="252" t="str">
        <f>'External Dependency'!$C$58</f>
        <v>Advanced</v>
      </c>
      <c r="F417" s="252">
        <f>'External Dependency'!$D$58</f>
        <v>0</v>
      </c>
      <c r="G417" s="252">
        <f>'External Dependency'!$N$58</f>
        <v>0</v>
      </c>
      <c r="H417" s="252">
        <f>'External Dependency'!$O$58</f>
        <v>0</v>
      </c>
      <c r="I417" s="252">
        <f>'External Dependency'!$P$58</f>
        <v>0</v>
      </c>
      <c r="J417" s="252">
        <f>'External Dependency'!$Q$58</f>
        <v>0</v>
      </c>
      <c r="K417" t="s">
        <v>502</v>
      </c>
      <c r="L417" t="str">
        <f>IF(combinedMaturityTable[[#This Row],[Maturity Level]]="Baseline",LEFT(combinedMaturityTable[[#This Row],[DS]],FIND("(FFIEC ",combinedMaturityTable[[#This Row],[DS]])-1),"")</f>
        <v/>
      </c>
      <c r="M417" s="293" t="str">
        <f>CLEAN(TRIM(SUBSTITUTE(LEFT(combinedMaturityTable[[#This Row],[DSm]],MIN(250,LEN(combinedMaturityTable[[#This Row],[DSm]]))),CHAR(160)," ")))</f>
        <v/>
      </c>
    </row>
    <row r="418" spans="2:13" hidden="1" x14ac:dyDescent="0.25">
      <c r="B418" s="252" t="str">
        <f>'External Dependency'!$M$59</f>
        <v>External Dependency Management</v>
      </c>
      <c r="C418" s="252" t="str">
        <f>'External Dependency'!$A$59</f>
        <v>Relationship Management</v>
      </c>
      <c r="D418" s="252" t="str">
        <f>'External Dependency'!$B$59</f>
        <v>Ongoing Monitoring</v>
      </c>
      <c r="E418" s="252" t="str">
        <f>'External Dependency'!$C$59</f>
        <v>Innovative</v>
      </c>
      <c r="F418" s="252">
        <f>'External Dependency'!$D$59</f>
        <v>0</v>
      </c>
      <c r="G418" s="252">
        <f>'External Dependency'!$N$59</f>
        <v>0</v>
      </c>
      <c r="H418" s="252">
        <f>'External Dependency'!$O$59</f>
        <v>0</v>
      </c>
      <c r="I418" s="252">
        <f>'External Dependency'!$P$59</f>
        <v>0</v>
      </c>
      <c r="J418" s="252">
        <f>'External Dependency'!$Q$59</f>
        <v>0</v>
      </c>
      <c r="K418" t="s">
        <v>503</v>
      </c>
      <c r="L418" t="str">
        <f>IF(combinedMaturityTable[[#This Row],[Maturity Level]]="Baseline",LEFT(combinedMaturityTable[[#This Row],[DS]],FIND("(FFIEC ",combinedMaturityTable[[#This Row],[DS]])-1),"")</f>
        <v/>
      </c>
      <c r="M418" s="293" t="str">
        <f>CLEAN(TRIM(SUBSTITUTE(LEFT(combinedMaturityTable[[#This Row],[DSm]],MIN(250,LEN(combinedMaturityTable[[#This Row],[DSm]]))),CHAR(160)," ")))</f>
        <v/>
      </c>
    </row>
    <row r="419" spans="2:13" x14ac:dyDescent="0.25">
      <c r="B419" s="252" t="str">
        <f>'Cyber Incidence'!$M$9</f>
        <v>Cyber Incident Management and Resilience</v>
      </c>
      <c r="C419" s="252" t="str">
        <f>'Cyber Incidence'!$A$9</f>
        <v>Incident Resilience Planning and Strategy</v>
      </c>
      <c r="D419" s="252" t="str">
        <f>'Cyber Incidence'!$B$9</f>
        <v>Planning</v>
      </c>
      <c r="E419" s="252" t="str">
        <f>'Cyber Incidence'!$C$9</f>
        <v>Baseline</v>
      </c>
      <c r="F419" s="252">
        <f>'Cyber Incidence'!$D$9</f>
        <v>0</v>
      </c>
      <c r="G419" s="252">
        <f>'Cyber Incidence'!$N$9</f>
        <v>0</v>
      </c>
      <c r="H419" s="252">
        <f>'Cyber Incidence'!$O$9</f>
        <v>0</v>
      </c>
      <c r="I419" s="252">
        <f>'Cyber Incidence'!$P$9</f>
        <v>0</v>
      </c>
      <c r="J419" s="252">
        <f>'Cyber Incidence'!$Q$9</f>
        <v>0</v>
      </c>
      <c r="K419" t="s">
        <v>504</v>
      </c>
      <c r="L419" t="str">
        <f>IF(combinedMaturityTable[[#This Row],[Maturity Level]]="Baseline",LEFT(combinedMaturityTable[[#This Row],[DS]],FIND("(FFIEC ",combinedMaturityTable[[#This Row],[DS]])-1),"")</f>
        <v xml:space="preserve">The institution has documented how it will react and respond to cyber incidents. </v>
      </c>
      <c r="M419" s="293" t="str">
        <f>CLEAN(TRIM(SUBSTITUTE(LEFT(combinedMaturityTable[[#This Row],[DSm]],MIN(250,LEN(combinedMaturityTable[[#This Row],[DSm]]))),CHAR(160)," ")))</f>
        <v>The institution has documented how it will react and respond to cyber incidents.</v>
      </c>
    </row>
    <row r="420" spans="2:13" x14ac:dyDescent="0.25">
      <c r="B420" s="252" t="str">
        <f>'Cyber Incidence'!$M$10</f>
        <v>Cyber Incident Management and Resilience</v>
      </c>
      <c r="C420" s="252" t="str">
        <f>'Cyber Incidence'!$A$10</f>
        <v>Incident Resilience Planning and Strategy</v>
      </c>
      <c r="D420" s="252" t="str">
        <f>'Cyber Incidence'!$B$10</f>
        <v>Planning</v>
      </c>
      <c r="E420" s="252" t="str">
        <f>'Cyber Incidence'!$C$10</f>
        <v>Baseline</v>
      </c>
      <c r="F420" s="252">
        <f>'Cyber Incidence'!$D$10</f>
        <v>0</v>
      </c>
      <c r="G420" s="252">
        <f>'Cyber Incidence'!$N$10</f>
        <v>0</v>
      </c>
      <c r="H420" s="252">
        <f>'Cyber Incidence'!$O$10</f>
        <v>0</v>
      </c>
      <c r="I420" s="252">
        <f>'Cyber Incidence'!$P$10</f>
        <v>0</v>
      </c>
      <c r="J420" s="252">
        <f>'Cyber Incidence'!$Q$10</f>
        <v>0</v>
      </c>
      <c r="K420" t="s">
        <v>505</v>
      </c>
      <c r="L420" t="str">
        <f>IF(combinedMaturityTable[[#This Row],[Maturity Level]]="Baseline",LEFT(combinedMaturityTable[[#This Row],[DS]],FIND("(FFIEC ",combinedMaturityTable[[#This Row],[DS]])-1),"")</f>
        <v xml:space="preserve">Communication channels exist to provide employees a means for reporting information security events in a timely manner. </v>
      </c>
      <c r="M420" s="293" t="str">
        <f>CLEAN(TRIM(SUBSTITUTE(LEFT(combinedMaturityTable[[#This Row],[DSm]],MIN(250,LEN(combinedMaturityTable[[#This Row],[DSm]]))),CHAR(160)," ")))</f>
        <v>Communication channels exist to provide employees a means for reporting information security events in a timely manner.</v>
      </c>
    </row>
    <row r="421" spans="2:13" x14ac:dyDescent="0.25">
      <c r="B421" s="252" t="str">
        <f>'Cyber Incidence'!$M$11</f>
        <v>Cyber Incident Management and Resilience</v>
      </c>
      <c r="C421" s="252" t="str">
        <f>'Cyber Incidence'!$A$11</f>
        <v>Incident Resilience Planning and Strategy</v>
      </c>
      <c r="D421" s="252" t="str">
        <f>'Cyber Incidence'!$B$11</f>
        <v>Planning</v>
      </c>
      <c r="E421" s="252" t="str">
        <f>'Cyber Incidence'!$C$11</f>
        <v>Baseline</v>
      </c>
      <c r="F421" s="252">
        <f>'Cyber Incidence'!$D$11</f>
        <v>0</v>
      </c>
      <c r="G421" s="252">
        <f>'Cyber Incidence'!$N$11</f>
        <v>0</v>
      </c>
      <c r="H421" s="252">
        <f>'Cyber Incidence'!$O$11</f>
        <v>0</v>
      </c>
      <c r="I421" s="252">
        <f>'Cyber Incidence'!$P$11</f>
        <v>0</v>
      </c>
      <c r="J421" s="252">
        <f>'Cyber Incidence'!$Q$11</f>
        <v>0</v>
      </c>
      <c r="K421" t="s">
        <v>506</v>
      </c>
      <c r="L421" t="str">
        <f>IF(combinedMaturityTable[[#This Row],[Maturity Level]]="Baseline",LEFT(combinedMaturityTable[[#This Row],[DS]],FIND("(FFIEC ",combinedMaturityTable[[#This Row],[DS]])-1),"")</f>
        <v xml:space="preserve">Roles and responsibilities for incident response team members are defined. </v>
      </c>
      <c r="M421" s="293" t="str">
        <f>CLEAN(TRIM(SUBSTITUTE(LEFT(combinedMaturityTable[[#This Row],[DSm]],MIN(250,LEN(combinedMaturityTable[[#This Row],[DSm]]))),CHAR(160)," ")))</f>
        <v>Roles and responsibilities for incident response team members are defined.</v>
      </c>
    </row>
    <row r="422" spans="2:13" x14ac:dyDescent="0.25">
      <c r="B422" s="252" t="str">
        <f>'Cyber Incidence'!$M$12</f>
        <v>Cyber Incident Management and Resilience</v>
      </c>
      <c r="C422" s="252" t="str">
        <f>'Cyber Incidence'!$A$12</f>
        <v>Incident Resilience Planning and Strategy</v>
      </c>
      <c r="D422" s="252" t="str">
        <f>'Cyber Incidence'!$B$12</f>
        <v>Planning</v>
      </c>
      <c r="E422" s="252" t="str">
        <f>'Cyber Incidence'!$C$12</f>
        <v>Baseline</v>
      </c>
      <c r="F422" s="252">
        <f>'Cyber Incidence'!$D$12</f>
        <v>0</v>
      </c>
      <c r="G422" s="252">
        <f>'Cyber Incidence'!$N$12</f>
        <v>0</v>
      </c>
      <c r="H422" s="252">
        <f>'Cyber Incidence'!$O$12</f>
        <v>0</v>
      </c>
      <c r="I422" s="252">
        <f>'Cyber Incidence'!$P$12</f>
        <v>0</v>
      </c>
      <c r="J422" s="252">
        <f>'Cyber Incidence'!$Q$12</f>
        <v>0</v>
      </c>
      <c r="K422" t="s">
        <v>507</v>
      </c>
      <c r="L422" t="str">
        <f>IF(combinedMaturityTable[[#This Row],[Maturity Level]]="Baseline",LEFT(combinedMaturityTable[[#This Row],[DS]],FIND("(FFIEC ",combinedMaturityTable[[#This Row],[DS]])-1),"")</f>
        <v xml:space="preserve">The response team includes individuals with a wide range of backgrounds and expertise, from many different areas within the institution (e.g., management, legal, public relations, as well as information technology). </v>
      </c>
      <c r="M422" s="293" t="str">
        <f>CLEAN(TRIM(SUBSTITUTE(LEFT(combinedMaturityTable[[#This Row],[DSm]],MIN(250,LEN(combinedMaturityTable[[#This Row],[DSm]]))),CHAR(160)," ")))</f>
        <v>The response team includes individuals with a wide range of backgrounds and expertise, from many different areas within the institution (e.g., management, legal, public relations, as well as information technology).</v>
      </c>
    </row>
    <row r="423" spans="2:13" x14ac:dyDescent="0.25">
      <c r="B423" s="252" t="str">
        <f>'Cyber Incidence'!$M$13</f>
        <v>Cyber Incident Management and Resilience</v>
      </c>
      <c r="C423" s="252" t="str">
        <f>'Cyber Incidence'!$A$13</f>
        <v>Incident Resilience Planning and Strategy</v>
      </c>
      <c r="D423" s="252" t="str">
        <f>'Cyber Incidence'!$B$13</f>
        <v>Planning</v>
      </c>
      <c r="E423" s="252" t="str">
        <f>'Cyber Incidence'!$C$13</f>
        <v>Baseline</v>
      </c>
      <c r="F423" s="252">
        <f>'Cyber Incidence'!$D$13</f>
        <v>0</v>
      </c>
      <c r="G423" s="252">
        <f>'Cyber Incidence'!$N$13</f>
        <v>0</v>
      </c>
      <c r="H423" s="252">
        <f>'Cyber Incidence'!$O$13</f>
        <v>0</v>
      </c>
      <c r="I423" s="252">
        <f>'Cyber Incidence'!$P$13</f>
        <v>0</v>
      </c>
      <c r="J423" s="252">
        <f>'Cyber Incidence'!$Q$13</f>
        <v>0</v>
      </c>
      <c r="K423" t="s">
        <v>508</v>
      </c>
      <c r="L423" t="str">
        <f>IF(combinedMaturityTable[[#This Row],[Maturity Level]]="Baseline",LEFT(combinedMaturityTable[[#This Row],[DS]],FIND("(FFIEC ",combinedMaturityTable[[#This Row],[DS]])-1),"")</f>
        <v xml:space="preserve">A formal backup and recovery plan exists for all critical business lines. </v>
      </c>
      <c r="M423" s="293" t="str">
        <f>CLEAN(TRIM(SUBSTITUTE(LEFT(combinedMaturityTable[[#This Row],[DSm]],MIN(250,LEN(combinedMaturityTable[[#This Row],[DSm]]))),CHAR(160)," ")))</f>
        <v>A formal backup and recovery plan exists for all critical business lines.</v>
      </c>
    </row>
    <row r="424" spans="2:13" x14ac:dyDescent="0.25">
      <c r="B424" s="252" t="str">
        <f>'Cyber Incidence'!$M$14</f>
        <v>Cyber Incident Management and Resilience</v>
      </c>
      <c r="C424" s="252" t="str">
        <f>'Cyber Incidence'!$A$14</f>
        <v>Incident Resilience Planning and Strategy</v>
      </c>
      <c r="D424" s="252" t="str">
        <f>'Cyber Incidence'!$B$14</f>
        <v>Planning</v>
      </c>
      <c r="E424" s="252" t="str">
        <f>'Cyber Incidence'!$C$14</f>
        <v>Baseline</v>
      </c>
      <c r="F424" s="252">
        <f>'Cyber Incidence'!$D$14</f>
        <v>0</v>
      </c>
      <c r="G424" s="252">
        <f>'Cyber Incidence'!$N$14</f>
        <v>0</v>
      </c>
      <c r="H424" s="252">
        <f>'Cyber Incidence'!$O$14</f>
        <v>0</v>
      </c>
      <c r="I424" s="252">
        <f>'Cyber Incidence'!$P$14</f>
        <v>0</v>
      </c>
      <c r="J424" s="252">
        <f>'Cyber Incidence'!$Q$14</f>
        <v>0</v>
      </c>
      <c r="K424" t="s">
        <v>509</v>
      </c>
      <c r="L424" t="str">
        <f>IF(combinedMaturityTable[[#This Row],[Maturity Level]]="Baseline",LEFT(combinedMaturityTable[[#This Row],[DS]],FIND("(FFIEC ",combinedMaturityTable[[#This Row],[DS]])-1),"")</f>
        <v xml:space="preserve">The institution plans to use business continuity, disaster recovery, and data backup programs to recover operations following an incident. </v>
      </c>
      <c r="M424" s="293" t="str">
        <f>CLEAN(TRIM(SUBSTITUTE(LEFT(combinedMaturityTable[[#This Row],[DSm]],MIN(250,LEN(combinedMaturityTable[[#This Row],[DSm]]))),CHAR(160)," ")))</f>
        <v>The institution plans to use business continuity, disaster recovery, and data backup programs to recover operations following an incident.</v>
      </c>
    </row>
    <row r="425" spans="2:13" hidden="1" x14ac:dyDescent="0.25">
      <c r="B425" s="252" t="str">
        <f>'Cyber Incidence'!$M$15</f>
        <v>Cyber Incident Management and Resilience</v>
      </c>
      <c r="C425" s="252" t="str">
        <f>'Cyber Incidence'!$A$15</f>
        <v>Incident Resilience Planning and Strategy</v>
      </c>
      <c r="D425" s="252" t="str">
        <f>'Cyber Incidence'!$B$15</f>
        <v>Planning</v>
      </c>
      <c r="E425" s="252" t="str">
        <f>'Cyber Incidence'!$C$15</f>
        <v>Evolving</v>
      </c>
      <c r="F425" s="252">
        <f>'Cyber Incidence'!$D$15</f>
        <v>0</v>
      </c>
      <c r="G425" s="252">
        <f>'Cyber Incidence'!$N$15</f>
        <v>0</v>
      </c>
      <c r="H425" s="252">
        <f>'Cyber Incidence'!$O$15</f>
        <v>0</v>
      </c>
      <c r="I425" s="252">
        <f>'Cyber Incidence'!$P$15</f>
        <v>0</v>
      </c>
      <c r="J425" s="252">
        <f>'Cyber Incidence'!$Q$15</f>
        <v>0</v>
      </c>
      <c r="K425" t="s">
        <v>512</v>
      </c>
      <c r="L425" t="str">
        <f>IF(combinedMaturityTable[[#This Row],[Maturity Level]]="Baseline",LEFT(combinedMaturityTable[[#This Row],[DS]],FIND("(FFIEC ",combinedMaturityTable[[#This Row],[DS]])-1),"")</f>
        <v/>
      </c>
      <c r="M425" s="293" t="str">
        <f>CLEAN(TRIM(SUBSTITUTE(LEFT(combinedMaturityTable[[#This Row],[DSm]],MIN(250,LEN(combinedMaturityTable[[#This Row],[DSm]]))),CHAR(160)," ")))</f>
        <v/>
      </c>
    </row>
    <row r="426" spans="2:13" hidden="1" x14ac:dyDescent="0.25">
      <c r="B426" s="252" t="str">
        <f>'Cyber Incidence'!$M$16</f>
        <v>Cyber Incident Management and Resilience</v>
      </c>
      <c r="C426" s="252" t="str">
        <f>'Cyber Incidence'!$A$16</f>
        <v>Incident Resilience Planning and Strategy</v>
      </c>
      <c r="D426" s="252" t="str">
        <f>'Cyber Incidence'!$B$16</f>
        <v>Planning</v>
      </c>
      <c r="E426" s="252" t="str">
        <f>'Cyber Incidence'!$C$16</f>
        <v>Evolving</v>
      </c>
      <c r="F426" s="252">
        <f>'Cyber Incidence'!$D$16</f>
        <v>0</v>
      </c>
      <c r="G426" s="252">
        <f>'Cyber Incidence'!$N$16</f>
        <v>0</v>
      </c>
      <c r="H426" s="252">
        <f>'Cyber Incidence'!$O$16</f>
        <v>0</v>
      </c>
      <c r="I426" s="252">
        <f>'Cyber Incidence'!$P$16</f>
        <v>0</v>
      </c>
      <c r="J426" s="252">
        <f>'Cyber Incidence'!$Q$16</f>
        <v>0</v>
      </c>
      <c r="K426" t="s">
        <v>513</v>
      </c>
      <c r="L426" t="str">
        <f>IF(combinedMaturityTable[[#This Row],[Maturity Level]]="Baseline",LEFT(combinedMaturityTable[[#This Row],[DS]],FIND("(FFIEC ",combinedMaturityTable[[#This Row],[DS]])-1),"")</f>
        <v/>
      </c>
      <c r="M426" s="293" t="str">
        <f>CLEAN(TRIM(SUBSTITUTE(LEFT(combinedMaturityTable[[#This Row],[DSm]],MIN(250,LEN(combinedMaturityTable[[#This Row],[DSm]]))),CHAR(160)," ")))</f>
        <v/>
      </c>
    </row>
    <row r="427" spans="2:13" hidden="1" x14ac:dyDescent="0.25">
      <c r="B427" s="252" t="str">
        <f>'Cyber Incidence'!$M$17</f>
        <v>Cyber Incident Management and Resilience</v>
      </c>
      <c r="C427" s="252" t="str">
        <f>'Cyber Incidence'!$A$17</f>
        <v>Incident Resilience Planning and Strategy</v>
      </c>
      <c r="D427" s="252" t="str">
        <f>'Cyber Incidence'!$B$17</f>
        <v>Planning</v>
      </c>
      <c r="E427" s="252" t="str">
        <f>'Cyber Incidence'!$C$17</f>
        <v>Evolving</v>
      </c>
      <c r="F427" s="252">
        <f>'Cyber Incidence'!$D$17</f>
        <v>0</v>
      </c>
      <c r="G427" s="252">
        <f>'Cyber Incidence'!$N$17</f>
        <v>0</v>
      </c>
      <c r="H427" s="252">
        <f>'Cyber Incidence'!$O$17</f>
        <v>0</v>
      </c>
      <c r="I427" s="252">
        <f>'Cyber Incidence'!$P$17</f>
        <v>0</v>
      </c>
      <c r="J427" s="252">
        <f>'Cyber Incidence'!$Q$17</f>
        <v>0</v>
      </c>
      <c r="K427" t="s">
        <v>514</v>
      </c>
      <c r="L427" t="str">
        <f>IF(combinedMaturityTable[[#This Row],[Maturity Level]]="Baseline",LEFT(combinedMaturityTable[[#This Row],[DS]],FIND("(FFIEC ",combinedMaturityTable[[#This Row],[DS]])-1),"")</f>
        <v/>
      </c>
      <c r="M427" s="293" t="str">
        <f>CLEAN(TRIM(SUBSTITUTE(LEFT(combinedMaturityTable[[#This Row],[DSm]],MIN(250,LEN(combinedMaturityTable[[#This Row],[DSm]]))),CHAR(160)," ")))</f>
        <v/>
      </c>
    </row>
    <row r="428" spans="2:13" hidden="1" x14ac:dyDescent="0.25">
      <c r="B428" s="252" t="str">
        <f>'Cyber Incidence'!$M$18</f>
        <v>Cyber Incident Management and Resilience</v>
      </c>
      <c r="C428" s="252" t="str">
        <f>'Cyber Incidence'!$A$18</f>
        <v>Incident Resilience Planning and Strategy</v>
      </c>
      <c r="D428" s="252" t="str">
        <f>'Cyber Incidence'!$B$18</f>
        <v>Planning</v>
      </c>
      <c r="E428" s="252" t="str">
        <f>'Cyber Incidence'!$C$18</f>
        <v>Evolving</v>
      </c>
      <c r="F428" s="252">
        <f>'Cyber Incidence'!$D$18</f>
        <v>0</v>
      </c>
      <c r="G428" s="252">
        <f>'Cyber Incidence'!$N$18</f>
        <v>0</v>
      </c>
      <c r="H428" s="252">
        <f>'Cyber Incidence'!$O$18</f>
        <v>0</v>
      </c>
      <c r="I428" s="252">
        <f>'Cyber Incidence'!$P$18</f>
        <v>0</v>
      </c>
      <c r="J428" s="252">
        <f>'Cyber Incidence'!$Q$18</f>
        <v>0</v>
      </c>
      <c r="K428" t="s">
        <v>515</v>
      </c>
      <c r="L428" t="str">
        <f>IF(combinedMaturityTable[[#This Row],[Maturity Level]]="Baseline",LEFT(combinedMaturityTable[[#This Row],[DS]],FIND("(FFIEC ",combinedMaturityTable[[#This Row],[DS]])-1),"")</f>
        <v/>
      </c>
      <c r="M428" s="293" t="str">
        <f>CLEAN(TRIM(SUBSTITUTE(LEFT(combinedMaturityTable[[#This Row],[DSm]],MIN(250,LEN(combinedMaturityTable[[#This Row],[DSm]]))),CHAR(160)," ")))</f>
        <v/>
      </c>
    </row>
    <row r="429" spans="2:13" hidden="1" x14ac:dyDescent="0.25">
      <c r="B429" s="252" t="str">
        <f>'Cyber Incidence'!$M$19</f>
        <v>Cyber Incident Management and Resilience</v>
      </c>
      <c r="C429" s="252" t="str">
        <f>'Cyber Incidence'!$A$19</f>
        <v>Incident Resilience Planning and Strategy</v>
      </c>
      <c r="D429" s="252" t="str">
        <f>'Cyber Incidence'!$B$19</f>
        <v>Planning</v>
      </c>
      <c r="E429" s="252" t="str">
        <f>'Cyber Incidence'!$C$19</f>
        <v>Evolving</v>
      </c>
      <c r="F429" s="252">
        <f>'Cyber Incidence'!$D$19</f>
        <v>0</v>
      </c>
      <c r="G429" s="252">
        <f>'Cyber Incidence'!$N$19</f>
        <v>0</v>
      </c>
      <c r="H429" s="252">
        <f>'Cyber Incidence'!$O$19</f>
        <v>0</v>
      </c>
      <c r="I429" s="252">
        <f>'Cyber Incidence'!$P$19</f>
        <v>0</v>
      </c>
      <c r="J429" s="252">
        <f>'Cyber Incidence'!$Q$19</f>
        <v>0</v>
      </c>
      <c r="K429" t="s">
        <v>516</v>
      </c>
      <c r="L429" t="str">
        <f>IF(combinedMaturityTable[[#This Row],[Maturity Level]]="Baseline",LEFT(combinedMaturityTable[[#This Row],[DS]],FIND("(FFIEC ",combinedMaturityTable[[#This Row],[DS]])-1),"")</f>
        <v/>
      </c>
      <c r="M429" s="293" t="str">
        <f>CLEAN(TRIM(SUBSTITUTE(LEFT(combinedMaturityTable[[#This Row],[DSm]],MIN(250,LEN(combinedMaturityTable[[#This Row],[DSm]]))),CHAR(160)," ")))</f>
        <v/>
      </c>
    </row>
    <row r="430" spans="2:13" hidden="1" x14ac:dyDescent="0.25">
      <c r="B430" s="252" t="str">
        <f>'Cyber Incidence'!$M$20</f>
        <v>Cyber Incident Management and Resilience</v>
      </c>
      <c r="C430" s="252" t="str">
        <f>'Cyber Incidence'!$A$20</f>
        <v>Incident Resilience Planning and Strategy</v>
      </c>
      <c r="D430" s="252" t="str">
        <f>'Cyber Incidence'!$B$20</f>
        <v>Planning</v>
      </c>
      <c r="E430" s="252" t="str">
        <f>'Cyber Incidence'!$C$20</f>
        <v>Intermediate</v>
      </c>
      <c r="F430" s="252">
        <f>'Cyber Incidence'!$D$20</f>
        <v>0</v>
      </c>
      <c r="G430" s="252">
        <f>'Cyber Incidence'!$N$20</f>
        <v>0</v>
      </c>
      <c r="H430" s="252">
        <f>'Cyber Incidence'!$O$20</f>
        <v>0</v>
      </c>
      <c r="I430" s="252">
        <f>'Cyber Incidence'!$P$20</f>
        <v>0</v>
      </c>
      <c r="J430" s="252">
        <f>'Cyber Incidence'!$Q$20</f>
        <v>0</v>
      </c>
      <c r="K430" t="s">
        <v>517</v>
      </c>
      <c r="L430" t="str">
        <f>IF(combinedMaturityTable[[#This Row],[Maturity Level]]="Baseline",LEFT(combinedMaturityTable[[#This Row],[DS]],FIND("(FFIEC ",combinedMaturityTable[[#This Row],[DS]])-1),"")</f>
        <v/>
      </c>
      <c r="M430" s="293" t="str">
        <f>CLEAN(TRIM(SUBSTITUTE(LEFT(combinedMaturityTable[[#This Row],[DSm]],MIN(250,LEN(combinedMaturityTable[[#This Row],[DSm]]))),CHAR(160)," ")))</f>
        <v/>
      </c>
    </row>
    <row r="431" spans="2:13" hidden="1" x14ac:dyDescent="0.25">
      <c r="B431" s="252" t="str">
        <f>'Cyber Incidence'!$M$21</f>
        <v>Cyber Incident Management and Resilience</v>
      </c>
      <c r="C431" s="252" t="str">
        <f>'Cyber Incidence'!$A$21</f>
        <v>Incident Resilience Planning and Strategy</v>
      </c>
      <c r="D431" s="252" t="str">
        <f>'Cyber Incidence'!$B$21</f>
        <v>Planning</v>
      </c>
      <c r="E431" s="252" t="str">
        <f>'Cyber Incidence'!$C$21</f>
        <v>Intermediate</v>
      </c>
      <c r="F431" s="252">
        <f>'Cyber Incidence'!$D$21</f>
        <v>0</v>
      </c>
      <c r="G431" s="252">
        <f>'Cyber Incidence'!$N$21</f>
        <v>0</v>
      </c>
      <c r="H431" s="252">
        <f>'Cyber Incidence'!$O$21</f>
        <v>0</v>
      </c>
      <c r="I431" s="252">
        <f>'Cyber Incidence'!$P$21</f>
        <v>0</v>
      </c>
      <c r="J431" s="252">
        <f>'Cyber Incidence'!$Q$21</f>
        <v>0</v>
      </c>
      <c r="K431" t="s">
        <v>518</v>
      </c>
      <c r="L431" t="str">
        <f>IF(combinedMaturityTable[[#This Row],[Maturity Level]]="Baseline",LEFT(combinedMaturityTable[[#This Row],[DS]],FIND("(FFIEC ",combinedMaturityTable[[#This Row],[DS]])-1),"")</f>
        <v/>
      </c>
      <c r="M431" s="293" t="str">
        <f>CLEAN(TRIM(SUBSTITUTE(LEFT(combinedMaturityTable[[#This Row],[DSm]],MIN(250,LEN(combinedMaturityTable[[#This Row],[DSm]]))),CHAR(160)," ")))</f>
        <v/>
      </c>
    </row>
    <row r="432" spans="2:13" hidden="1" x14ac:dyDescent="0.25">
      <c r="B432" s="252" t="str">
        <f>'Cyber Incidence'!$M$22</f>
        <v>Cyber Incident Management and Resilience</v>
      </c>
      <c r="C432" s="252" t="str">
        <f>'Cyber Incidence'!$A$22</f>
        <v>Incident Resilience Planning and Strategy</v>
      </c>
      <c r="D432" s="252" t="str">
        <f>'Cyber Incidence'!$B$22</f>
        <v>Planning</v>
      </c>
      <c r="E432" s="252" t="str">
        <f>'Cyber Incidence'!$C$22</f>
        <v>Intermediate</v>
      </c>
      <c r="F432" s="252">
        <f>'Cyber Incidence'!$D$22</f>
        <v>0</v>
      </c>
      <c r="G432" s="252">
        <f>'Cyber Incidence'!$N$22</f>
        <v>0</v>
      </c>
      <c r="H432" s="252">
        <f>'Cyber Incidence'!$O$22</f>
        <v>0</v>
      </c>
      <c r="I432" s="252">
        <f>'Cyber Incidence'!$P$22</f>
        <v>0</v>
      </c>
      <c r="J432" s="252">
        <f>'Cyber Incidence'!$Q$22</f>
        <v>0</v>
      </c>
      <c r="K432" t="s">
        <v>519</v>
      </c>
      <c r="L432" t="str">
        <f>IF(combinedMaturityTable[[#This Row],[Maturity Level]]="Baseline",LEFT(combinedMaturityTable[[#This Row],[DS]],FIND("(FFIEC ",combinedMaturityTable[[#This Row],[DS]])-1),"")</f>
        <v/>
      </c>
      <c r="M432" s="293" t="str">
        <f>CLEAN(TRIM(SUBSTITUTE(LEFT(combinedMaturityTable[[#This Row],[DSm]],MIN(250,LEN(combinedMaturityTable[[#This Row],[DSm]]))),CHAR(160)," ")))</f>
        <v/>
      </c>
    </row>
    <row r="433" spans="2:13" hidden="1" x14ac:dyDescent="0.25">
      <c r="B433" s="252" t="str">
        <f>'Cyber Incidence'!$M$23</f>
        <v>Cyber Incident Management and Resilience</v>
      </c>
      <c r="C433" s="252" t="str">
        <f>'Cyber Incidence'!$A$23</f>
        <v>Incident Resilience Planning and Strategy</v>
      </c>
      <c r="D433" s="252" t="str">
        <f>'Cyber Incidence'!$B$23</f>
        <v>Planning</v>
      </c>
      <c r="E433" s="252" t="str">
        <f>'Cyber Incidence'!$C$23</f>
        <v>Intermediate</v>
      </c>
      <c r="F433" s="252">
        <f>'Cyber Incidence'!$D$23</f>
        <v>0</v>
      </c>
      <c r="G433" s="252">
        <f>'Cyber Incidence'!$N$23</f>
        <v>0</v>
      </c>
      <c r="H433" s="252">
        <f>'Cyber Incidence'!$O$23</f>
        <v>0</v>
      </c>
      <c r="I433" s="252">
        <f>'Cyber Incidence'!$P$23</f>
        <v>0</v>
      </c>
      <c r="J433" s="252">
        <f>'Cyber Incidence'!$Q$23</f>
        <v>0</v>
      </c>
      <c r="K433" t="s">
        <v>520</v>
      </c>
      <c r="L433" t="str">
        <f>IF(combinedMaturityTable[[#This Row],[Maturity Level]]="Baseline",LEFT(combinedMaturityTable[[#This Row],[DS]],FIND("(FFIEC ",combinedMaturityTable[[#This Row],[DS]])-1),"")</f>
        <v/>
      </c>
      <c r="M433" s="293" t="str">
        <f>CLEAN(TRIM(SUBSTITUTE(LEFT(combinedMaturityTable[[#This Row],[DSm]],MIN(250,LEN(combinedMaturityTable[[#This Row],[DSm]]))),CHAR(160)," ")))</f>
        <v/>
      </c>
    </row>
    <row r="434" spans="2:13" hidden="1" x14ac:dyDescent="0.25">
      <c r="B434" s="252" t="str">
        <f>'Cyber Incidence'!$M$24</f>
        <v>Cyber Incident Management and Resilience</v>
      </c>
      <c r="C434" s="252" t="str">
        <f>'Cyber Incidence'!$A$24</f>
        <v>Incident Resilience Planning and Strategy</v>
      </c>
      <c r="D434" s="252" t="str">
        <f>'Cyber Incidence'!$B$24</f>
        <v>Planning</v>
      </c>
      <c r="E434" s="252" t="str">
        <f>'Cyber Incidence'!$C$24</f>
        <v>Advanced</v>
      </c>
      <c r="F434" s="252">
        <f>'Cyber Incidence'!$D$24</f>
        <v>0</v>
      </c>
      <c r="G434" s="252">
        <f>'Cyber Incidence'!$N$24</f>
        <v>0</v>
      </c>
      <c r="H434" s="252">
        <f>'Cyber Incidence'!$O$24</f>
        <v>0</v>
      </c>
      <c r="I434" s="252">
        <f>'Cyber Incidence'!$P$24</f>
        <v>0</v>
      </c>
      <c r="J434" s="252">
        <f>'Cyber Incidence'!$Q$24</f>
        <v>0</v>
      </c>
      <c r="K434" t="s">
        <v>521</v>
      </c>
      <c r="L434" t="str">
        <f>IF(combinedMaturityTable[[#This Row],[Maturity Level]]="Baseline",LEFT(combinedMaturityTable[[#This Row],[DS]],FIND("(FFIEC ",combinedMaturityTable[[#This Row],[DS]])-1),"")</f>
        <v/>
      </c>
      <c r="M434" s="293" t="str">
        <f>CLEAN(TRIM(SUBSTITUTE(LEFT(combinedMaturityTable[[#This Row],[DSm]],MIN(250,LEN(combinedMaturityTable[[#This Row],[DSm]]))),CHAR(160)," ")))</f>
        <v/>
      </c>
    </row>
    <row r="435" spans="2:13" hidden="1" x14ac:dyDescent="0.25">
      <c r="B435" s="252" t="str">
        <f>'Cyber Incidence'!$M$25</f>
        <v>Cyber Incident Management and Resilience</v>
      </c>
      <c r="C435" s="252" t="str">
        <f>'Cyber Incidence'!$A$25</f>
        <v>Incident Resilience Planning and Strategy</v>
      </c>
      <c r="D435" s="252" t="str">
        <f>'Cyber Incidence'!$B$25</f>
        <v>Planning</v>
      </c>
      <c r="E435" s="252" t="str">
        <f>'Cyber Incidence'!$C$25</f>
        <v>Advanced</v>
      </c>
      <c r="F435" s="252">
        <f>'Cyber Incidence'!$D$25</f>
        <v>0</v>
      </c>
      <c r="G435" s="252">
        <f>'Cyber Incidence'!$N$25</f>
        <v>0</v>
      </c>
      <c r="H435" s="252">
        <f>'Cyber Incidence'!$O$25</f>
        <v>0</v>
      </c>
      <c r="I435" s="252">
        <f>'Cyber Incidence'!$P$25</f>
        <v>0</v>
      </c>
      <c r="J435" s="252">
        <f>'Cyber Incidence'!$Q$25</f>
        <v>0</v>
      </c>
      <c r="K435" t="s">
        <v>522</v>
      </c>
      <c r="L435" t="str">
        <f>IF(combinedMaturityTable[[#This Row],[Maturity Level]]="Baseline",LEFT(combinedMaturityTable[[#This Row],[DS]],FIND("(FFIEC ",combinedMaturityTable[[#This Row],[DS]])-1),"")</f>
        <v/>
      </c>
      <c r="M435" s="293" t="str">
        <f>CLEAN(TRIM(SUBSTITUTE(LEFT(combinedMaturityTable[[#This Row],[DSm]],MIN(250,LEN(combinedMaturityTable[[#This Row],[DSm]]))),CHAR(160)," ")))</f>
        <v/>
      </c>
    </row>
    <row r="436" spans="2:13" hidden="1" x14ac:dyDescent="0.25">
      <c r="B436" s="252" t="str">
        <f>'Cyber Incidence'!$M$26</f>
        <v>Cyber Incident Management and Resilience</v>
      </c>
      <c r="C436" s="252" t="str">
        <f>'Cyber Incidence'!$A$26</f>
        <v>Incident Resilience Planning and Strategy</v>
      </c>
      <c r="D436" s="252" t="str">
        <f>'Cyber Incidence'!$B$26</f>
        <v>Planning</v>
      </c>
      <c r="E436" s="252" t="str">
        <f>'Cyber Incidence'!$C$26</f>
        <v>Advanced</v>
      </c>
      <c r="F436" s="252">
        <f>'Cyber Incidence'!$D$26</f>
        <v>0</v>
      </c>
      <c r="G436" s="252">
        <f>'Cyber Incidence'!$N$26</f>
        <v>0</v>
      </c>
      <c r="H436" s="252">
        <f>'Cyber Incidence'!$O$26</f>
        <v>0</v>
      </c>
      <c r="I436" s="252">
        <f>'Cyber Incidence'!$P$26</f>
        <v>0</v>
      </c>
      <c r="J436" s="252">
        <f>'Cyber Incidence'!$Q$26</f>
        <v>0</v>
      </c>
      <c r="K436" t="s">
        <v>523</v>
      </c>
      <c r="L436" t="str">
        <f>IF(combinedMaturityTable[[#This Row],[Maturity Level]]="Baseline",LEFT(combinedMaturityTable[[#This Row],[DS]],FIND("(FFIEC ",combinedMaturityTable[[#This Row],[DS]])-1),"")</f>
        <v/>
      </c>
      <c r="M436" s="293" t="str">
        <f>CLEAN(TRIM(SUBSTITUTE(LEFT(combinedMaturityTable[[#This Row],[DSm]],MIN(250,LEN(combinedMaturityTable[[#This Row],[DSm]]))),CHAR(160)," ")))</f>
        <v/>
      </c>
    </row>
    <row r="437" spans="2:13" hidden="1" x14ac:dyDescent="0.25">
      <c r="B437" s="252" t="str">
        <f>'Cyber Incidence'!$M$27</f>
        <v>Cyber Incident Management and Resilience</v>
      </c>
      <c r="C437" s="252" t="str">
        <f>'Cyber Incidence'!$A$27</f>
        <v>Incident Resilience Planning and Strategy</v>
      </c>
      <c r="D437" s="252" t="str">
        <f>'Cyber Incidence'!$B$27</f>
        <v>Planning</v>
      </c>
      <c r="E437" s="252" t="str">
        <f>'Cyber Incidence'!$C$27</f>
        <v>Innovative</v>
      </c>
      <c r="F437" s="252">
        <f>'Cyber Incidence'!$D$27</f>
        <v>0</v>
      </c>
      <c r="G437" s="252">
        <f>'Cyber Incidence'!$N$27</f>
        <v>0</v>
      </c>
      <c r="H437" s="252">
        <f>'Cyber Incidence'!$O$27</f>
        <v>0</v>
      </c>
      <c r="I437" s="252">
        <f>'Cyber Incidence'!$P$27</f>
        <v>0</v>
      </c>
      <c r="J437" s="252">
        <f>'Cyber Incidence'!$Q$27</f>
        <v>0</v>
      </c>
      <c r="K437" t="s">
        <v>524</v>
      </c>
      <c r="L437" t="str">
        <f>IF(combinedMaturityTable[[#This Row],[Maturity Level]]="Baseline",LEFT(combinedMaturityTable[[#This Row],[DS]],FIND("(FFIEC ",combinedMaturityTable[[#This Row],[DS]])-1),"")</f>
        <v/>
      </c>
      <c r="M437" s="293" t="str">
        <f>CLEAN(TRIM(SUBSTITUTE(LEFT(combinedMaturityTable[[#This Row],[DSm]],MIN(250,LEN(combinedMaturityTable[[#This Row],[DSm]]))),CHAR(160)," ")))</f>
        <v/>
      </c>
    </row>
    <row r="438" spans="2:13" hidden="1" x14ac:dyDescent="0.25">
      <c r="B438" s="252" t="str">
        <f>'Cyber Incidence'!$M$28</f>
        <v>Cyber Incident Management and Resilience</v>
      </c>
      <c r="C438" s="252" t="str">
        <f>'Cyber Incidence'!$A$28</f>
        <v>Incident Resilience Planning and Strategy</v>
      </c>
      <c r="D438" s="252" t="str">
        <f>'Cyber Incidence'!$B$28</f>
        <v>Planning</v>
      </c>
      <c r="E438" s="252" t="str">
        <f>'Cyber Incidence'!$C$28</f>
        <v>Innovative</v>
      </c>
      <c r="F438" s="252">
        <f>'Cyber Incidence'!$D$28</f>
        <v>0</v>
      </c>
      <c r="G438" s="252">
        <f>'Cyber Incidence'!$N$28</f>
        <v>0</v>
      </c>
      <c r="H438" s="252">
        <f>'Cyber Incidence'!$O$28</f>
        <v>0</v>
      </c>
      <c r="I438" s="252">
        <f>'Cyber Incidence'!$P$28</f>
        <v>0</v>
      </c>
      <c r="J438" s="252">
        <f>'Cyber Incidence'!$Q$28</f>
        <v>0</v>
      </c>
      <c r="K438" t="s">
        <v>525</v>
      </c>
      <c r="L438" t="str">
        <f>IF(combinedMaturityTable[[#This Row],[Maturity Level]]="Baseline",LEFT(combinedMaturityTable[[#This Row],[DS]],FIND("(FFIEC ",combinedMaturityTable[[#This Row],[DS]])-1),"")</f>
        <v/>
      </c>
      <c r="M438" s="293" t="str">
        <f>CLEAN(TRIM(SUBSTITUTE(LEFT(combinedMaturityTable[[#This Row],[DSm]],MIN(250,LEN(combinedMaturityTable[[#This Row],[DSm]]))),CHAR(160)," ")))</f>
        <v/>
      </c>
    </row>
    <row r="439" spans="2:13" x14ac:dyDescent="0.25">
      <c r="B439" s="252" t="str">
        <f>'Cyber Incidence'!$M$29</f>
        <v>Cyber Incident Management and Resilience</v>
      </c>
      <c r="C439" s="252" t="str">
        <f>'Cyber Incidence'!$A$29</f>
        <v>Incident Resilience Planning and Strategy</v>
      </c>
      <c r="D439" s="252" t="str">
        <f>'Cyber Incidence'!$B$29</f>
        <v>Testing</v>
      </c>
      <c r="E439" s="252" t="str">
        <f>'Cyber Incidence'!$C$29</f>
        <v>Baseline</v>
      </c>
      <c r="F439" s="252">
        <f>'Cyber Incidence'!$D$29</f>
        <v>0</v>
      </c>
      <c r="G439" s="252">
        <f>'Cyber Incidence'!$N$29</f>
        <v>0</v>
      </c>
      <c r="H439" s="252">
        <f>'Cyber Incidence'!$O$29</f>
        <v>0</v>
      </c>
      <c r="I439" s="252">
        <f>'Cyber Incidence'!$P$29</f>
        <v>0</v>
      </c>
      <c r="J439" s="252">
        <f>'Cyber Incidence'!$Q$29</f>
        <v>0</v>
      </c>
      <c r="K439" t="s">
        <v>526</v>
      </c>
      <c r="L439" t="str">
        <f>IF(combinedMaturityTable[[#This Row],[Maturity Level]]="Baseline",LEFT(combinedMaturityTable[[#This Row],[DS]],FIND("(FFIEC ",combinedMaturityTable[[#This Row],[DS]])-1),"")</f>
        <v xml:space="preserve">Scenarios are used to improve incident detection and response. </v>
      </c>
      <c r="M439" s="293" t="str">
        <f>CLEAN(TRIM(SUBSTITUTE(LEFT(combinedMaturityTable[[#This Row],[DSm]],MIN(250,LEN(combinedMaturityTable[[#This Row],[DSm]]))),CHAR(160)," ")))</f>
        <v>Scenarios are used to improve incident detection and response.</v>
      </c>
    </row>
    <row r="440" spans="2:13" x14ac:dyDescent="0.25">
      <c r="B440" s="252" t="str">
        <f>'Cyber Incidence'!$M$30</f>
        <v>Cyber Incident Management and Resilience</v>
      </c>
      <c r="C440" s="252" t="str">
        <f>'Cyber Incidence'!$A$30</f>
        <v>Incident Resilience Planning and Strategy</v>
      </c>
      <c r="D440" s="252" t="str">
        <f>'Cyber Incidence'!$B$30</f>
        <v>Testing</v>
      </c>
      <c r="E440" s="252" t="str">
        <f>'Cyber Incidence'!$C$30</f>
        <v>Baseline</v>
      </c>
      <c r="F440" s="252">
        <f>'Cyber Incidence'!$D$30</f>
        <v>0</v>
      </c>
      <c r="G440" s="252">
        <f>'Cyber Incidence'!$N$30</f>
        <v>0</v>
      </c>
      <c r="H440" s="252">
        <f>'Cyber Incidence'!$O$30</f>
        <v>0</v>
      </c>
      <c r="I440" s="252">
        <f>'Cyber Incidence'!$P$30</f>
        <v>0</v>
      </c>
      <c r="J440" s="252">
        <f>'Cyber Incidence'!$Q$30</f>
        <v>0</v>
      </c>
      <c r="K440" t="s">
        <v>527</v>
      </c>
      <c r="L440" t="str">
        <f>IF(combinedMaturityTable[[#This Row],[Maturity Level]]="Baseline",LEFT(combinedMaturityTable[[#This Row],[DS]],FIND("(FFIEC ",combinedMaturityTable[[#This Row],[DS]])-1),"")</f>
        <v xml:space="preserve">Business continuity testing involves collaboration with critical third parties. </v>
      </c>
      <c r="M440" s="293" t="str">
        <f>CLEAN(TRIM(SUBSTITUTE(LEFT(combinedMaturityTable[[#This Row],[DSm]],MIN(250,LEN(combinedMaturityTable[[#This Row],[DSm]]))),CHAR(160)," ")))</f>
        <v>Business continuity testing involves collaboration with critical third parties.</v>
      </c>
    </row>
    <row r="441" spans="2:13" x14ac:dyDescent="0.25">
      <c r="B441" s="252" t="str">
        <f>'Cyber Incidence'!$M$31</f>
        <v>Cyber Incident Management and Resilience</v>
      </c>
      <c r="C441" s="252" t="str">
        <f>'Cyber Incidence'!$A$31</f>
        <v>Incident Resilience Planning and Strategy</v>
      </c>
      <c r="D441" s="252" t="str">
        <f>'Cyber Incidence'!$B$31</f>
        <v>Testing</v>
      </c>
      <c r="E441" s="252" t="str">
        <f>'Cyber Incidence'!$C$31</f>
        <v>Baseline</v>
      </c>
      <c r="F441" s="252">
        <f>'Cyber Incidence'!$D$31</f>
        <v>0</v>
      </c>
      <c r="G441" s="252">
        <f>'Cyber Incidence'!$N$31</f>
        <v>0</v>
      </c>
      <c r="H441" s="252">
        <f>'Cyber Incidence'!$O$31</f>
        <v>0</v>
      </c>
      <c r="I441" s="252">
        <f>'Cyber Incidence'!$P$31</f>
        <v>0</v>
      </c>
      <c r="J441" s="252">
        <f>'Cyber Incidence'!$Q$31</f>
        <v>0</v>
      </c>
      <c r="K441" t="s">
        <v>528</v>
      </c>
      <c r="L441" t="str">
        <f>IF(combinedMaturityTable[[#This Row],[Maturity Level]]="Baseline",LEFT(combinedMaturityTable[[#This Row],[DS]],FIND("(FFIEC ",combinedMaturityTable[[#This Row],[DS]])-1),"")</f>
        <v xml:space="preserve">Systems, applications, and data recovery is tested at least annually. </v>
      </c>
      <c r="M441" s="293" t="str">
        <f>CLEAN(TRIM(SUBSTITUTE(LEFT(combinedMaturityTable[[#This Row],[DSm]],MIN(250,LEN(combinedMaturityTable[[#This Row],[DSm]]))),CHAR(160)," ")))</f>
        <v>Systems, applications, and data recovery is tested at least annually.</v>
      </c>
    </row>
    <row r="442" spans="2:13" hidden="1" x14ac:dyDescent="0.25">
      <c r="B442" s="252" t="str">
        <f>'Cyber Incidence'!$M$32</f>
        <v>Cyber Incident Management and Resilience</v>
      </c>
      <c r="C442" s="252" t="str">
        <f>'Cyber Incidence'!$A$32</f>
        <v>Incident Resilience Planning and Strategy</v>
      </c>
      <c r="D442" s="252" t="str">
        <f>'Cyber Incidence'!$B$32</f>
        <v>Testing</v>
      </c>
      <c r="E442" s="252" t="str">
        <f>'Cyber Incidence'!$C$32</f>
        <v>Evolving</v>
      </c>
      <c r="F442" s="252">
        <f>'Cyber Incidence'!$D$32</f>
        <v>0</v>
      </c>
      <c r="G442" s="252">
        <f>'Cyber Incidence'!$N$32</f>
        <v>0</v>
      </c>
      <c r="H442" s="252">
        <f>'Cyber Incidence'!$O$32</f>
        <v>0</v>
      </c>
      <c r="I442" s="252">
        <f>'Cyber Incidence'!$P$32</f>
        <v>0</v>
      </c>
      <c r="J442" s="252">
        <f>'Cyber Incidence'!$Q$32</f>
        <v>0</v>
      </c>
      <c r="K442" t="s">
        <v>530</v>
      </c>
      <c r="L442" t="str">
        <f>IF(combinedMaturityTable[[#This Row],[Maturity Level]]="Baseline",LEFT(combinedMaturityTable[[#This Row],[DS]],FIND("(FFIEC ",combinedMaturityTable[[#This Row],[DS]])-1),"")</f>
        <v/>
      </c>
      <c r="M442" s="293" t="str">
        <f>CLEAN(TRIM(SUBSTITUTE(LEFT(combinedMaturityTable[[#This Row],[DSm]],MIN(250,LEN(combinedMaturityTable[[#This Row],[DSm]]))),CHAR(160)," ")))</f>
        <v/>
      </c>
    </row>
    <row r="443" spans="2:13" hidden="1" x14ac:dyDescent="0.25">
      <c r="B443" s="252" t="str">
        <f>'Cyber Incidence'!$M$33</f>
        <v>Cyber Incident Management and Resilience</v>
      </c>
      <c r="C443" s="252" t="str">
        <f>'Cyber Incidence'!$A$33</f>
        <v>Incident Resilience Planning and Strategy</v>
      </c>
      <c r="D443" s="252" t="str">
        <f>'Cyber Incidence'!$B$33</f>
        <v>Testing</v>
      </c>
      <c r="E443" s="252" t="str">
        <f>'Cyber Incidence'!$C$33</f>
        <v>Evolving</v>
      </c>
      <c r="F443" s="252">
        <f>'Cyber Incidence'!$D$33</f>
        <v>0</v>
      </c>
      <c r="G443" s="252">
        <f>'Cyber Incidence'!$N$33</f>
        <v>0</v>
      </c>
      <c r="H443" s="252">
        <f>'Cyber Incidence'!$O$33</f>
        <v>0</v>
      </c>
      <c r="I443" s="252">
        <f>'Cyber Incidence'!$P$33</f>
        <v>0</v>
      </c>
      <c r="J443" s="252">
        <f>'Cyber Incidence'!$Q$33</f>
        <v>0</v>
      </c>
      <c r="K443" t="s">
        <v>531</v>
      </c>
      <c r="L443" t="str">
        <f>IF(combinedMaturityTable[[#This Row],[Maturity Level]]="Baseline",LEFT(combinedMaturityTable[[#This Row],[DS]],FIND("(FFIEC ",combinedMaturityTable[[#This Row],[DS]])-1),"")</f>
        <v/>
      </c>
      <c r="M443" s="293" t="str">
        <f>CLEAN(TRIM(SUBSTITUTE(LEFT(combinedMaturityTable[[#This Row],[DSm]],MIN(250,LEN(combinedMaturityTable[[#This Row],[DSm]]))),CHAR(160)," ")))</f>
        <v/>
      </c>
    </row>
    <row r="444" spans="2:13" hidden="1" x14ac:dyDescent="0.25">
      <c r="B444" s="252" t="str">
        <f>'Cyber Incidence'!$M$34</f>
        <v>Cyber Incident Management and Resilience</v>
      </c>
      <c r="C444" s="252" t="str">
        <f>'Cyber Incidence'!$A$34</f>
        <v>Incident Resilience Planning and Strategy</v>
      </c>
      <c r="D444" s="252" t="str">
        <f>'Cyber Incidence'!$B$34</f>
        <v>Testing</v>
      </c>
      <c r="E444" s="252" t="str">
        <f>'Cyber Incidence'!$C$34</f>
        <v>Evolving</v>
      </c>
      <c r="F444" s="252">
        <f>'Cyber Incidence'!$D$34</f>
        <v>0</v>
      </c>
      <c r="G444" s="252">
        <f>'Cyber Incidence'!$N$34</f>
        <v>0</v>
      </c>
      <c r="H444" s="252">
        <f>'Cyber Incidence'!$O$34</f>
        <v>0</v>
      </c>
      <c r="I444" s="252">
        <f>'Cyber Incidence'!$P$34</f>
        <v>0</v>
      </c>
      <c r="J444" s="252">
        <f>'Cyber Incidence'!$Q$34</f>
        <v>0</v>
      </c>
      <c r="K444" t="s">
        <v>532</v>
      </c>
      <c r="L444" t="str">
        <f>IF(combinedMaturityTable[[#This Row],[Maturity Level]]="Baseline",LEFT(combinedMaturityTable[[#This Row],[DS]],FIND("(FFIEC ",combinedMaturityTable[[#This Row],[DS]])-1),"")</f>
        <v/>
      </c>
      <c r="M444" s="293" t="str">
        <f>CLEAN(TRIM(SUBSTITUTE(LEFT(combinedMaturityTable[[#This Row],[DSm]],MIN(250,LEN(combinedMaturityTable[[#This Row],[DSm]]))),CHAR(160)," ")))</f>
        <v/>
      </c>
    </row>
    <row r="445" spans="2:13" hidden="1" x14ac:dyDescent="0.25">
      <c r="B445" s="252" t="str">
        <f>'Cyber Incidence'!$M$35</f>
        <v>Cyber Incident Management and Resilience</v>
      </c>
      <c r="C445" s="252" t="str">
        <f>'Cyber Incidence'!$A$35</f>
        <v>Incident Resilience Planning and Strategy</v>
      </c>
      <c r="D445" s="252" t="str">
        <f>'Cyber Incidence'!$B$35</f>
        <v>Testing</v>
      </c>
      <c r="E445" s="252" t="str">
        <f>'Cyber Incidence'!$C$35</f>
        <v>Intermediate</v>
      </c>
      <c r="F445" s="252">
        <f>'Cyber Incidence'!$D$35</f>
        <v>0</v>
      </c>
      <c r="G445" s="252">
        <f>'Cyber Incidence'!$N$35</f>
        <v>0</v>
      </c>
      <c r="H445" s="252">
        <f>'Cyber Incidence'!$O$35</f>
        <v>0</v>
      </c>
      <c r="I445" s="252">
        <f>'Cyber Incidence'!$P$35</f>
        <v>0</v>
      </c>
      <c r="J445" s="252">
        <f>'Cyber Incidence'!$Q$35</f>
        <v>0</v>
      </c>
      <c r="K445" t="s">
        <v>533</v>
      </c>
      <c r="L445" t="str">
        <f>IF(combinedMaturityTable[[#This Row],[Maturity Level]]="Baseline",LEFT(combinedMaturityTable[[#This Row],[DS]],FIND("(FFIEC ",combinedMaturityTable[[#This Row],[DS]])-1),"")</f>
        <v/>
      </c>
      <c r="M445" s="293" t="str">
        <f>CLEAN(TRIM(SUBSTITUTE(LEFT(combinedMaturityTable[[#This Row],[DSm]],MIN(250,LEN(combinedMaturityTable[[#This Row],[DSm]]))),CHAR(160)," ")))</f>
        <v/>
      </c>
    </row>
    <row r="446" spans="2:13" hidden="1" x14ac:dyDescent="0.25">
      <c r="B446" s="252" t="str">
        <f>'Cyber Incidence'!$M$36</f>
        <v>Cyber Incident Management and Resilience</v>
      </c>
      <c r="C446" s="252" t="str">
        <f>'Cyber Incidence'!$A$36</f>
        <v>Incident Resilience Planning and Strategy</v>
      </c>
      <c r="D446" s="252" t="str">
        <f>'Cyber Incidence'!$B$36</f>
        <v>Testing</v>
      </c>
      <c r="E446" s="252" t="str">
        <f>'Cyber Incidence'!$C$36</f>
        <v>Intermediate</v>
      </c>
      <c r="F446" s="252">
        <f>'Cyber Incidence'!$D$36</f>
        <v>0</v>
      </c>
      <c r="G446" s="252">
        <f>'Cyber Incidence'!$N$36</f>
        <v>0</v>
      </c>
      <c r="H446" s="252">
        <f>'Cyber Incidence'!$O$36</f>
        <v>0</v>
      </c>
      <c r="I446" s="252">
        <f>'Cyber Incidence'!$P$36</f>
        <v>0</v>
      </c>
      <c r="J446" s="252">
        <f>'Cyber Incidence'!$Q$36</f>
        <v>0</v>
      </c>
      <c r="K446" t="s">
        <v>534</v>
      </c>
      <c r="L446" t="str">
        <f>IF(combinedMaturityTable[[#This Row],[Maturity Level]]="Baseline",LEFT(combinedMaturityTable[[#This Row],[DS]],FIND("(FFIEC ",combinedMaturityTable[[#This Row],[DS]])-1),"")</f>
        <v/>
      </c>
      <c r="M446" s="293" t="str">
        <f>CLEAN(TRIM(SUBSTITUTE(LEFT(combinedMaturityTable[[#This Row],[DSm]],MIN(250,LEN(combinedMaturityTable[[#This Row],[DSm]]))),CHAR(160)," ")))</f>
        <v/>
      </c>
    </row>
    <row r="447" spans="2:13" hidden="1" x14ac:dyDescent="0.25">
      <c r="B447" s="252" t="str">
        <f>'Cyber Incidence'!$M$37</f>
        <v>Cyber Incident Management and Resilience</v>
      </c>
      <c r="C447" s="252" t="str">
        <f>'Cyber Incidence'!$A$37</f>
        <v>Incident Resilience Planning and Strategy</v>
      </c>
      <c r="D447" s="252" t="str">
        <f>'Cyber Incidence'!$B$37</f>
        <v>Testing</v>
      </c>
      <c r="E447" s="252" t="str">
        <f>'Cyber Incidence'!$C$37</f>
        <v>Intermediate</v>
      </c>
      <c r="F447" s="252">
        <f>'Cyber Incidence'!$D$37</f>
        <v>0</v>
      </c>
      <c r="G447" s="252">
        <f>'Cyber Incidence'!$N$37</f>
        <v>0</v>
      </c>
      <c r="H447" s="252">
        <f>'Cyber Incidence'!$O$37</f>
        <v>0</v>
      </c>
      <c r="I447" s="252">
        <f>'Cyber Incidence'!$P$37</f>
        <v>0</v>
      </c>
      <c r="J447" s="252">
        <f>'Cyber Incidence'!$Q$37</f>
        <v>0</v>
      </c>
      <c r="K447" t="s">
        <v>535</v>
      </c>
      <c r="L447" t="str">
        <f>IF(combinedMaturityTable[[#This Row],[Maturity Level]]="Baseline",LEFT(combinedMaturityTable[[#This Row],[DS]],FIND("(FFIEC ",combinedMaturityTable[[#This Row],[DS]])-1),"")</f>
        <v/>
      </c>
      <c r="M447" s="293" t="str">
        <f>CLEAN(TRIM(SUBSTITUTE(LEFT(combinedMaturityTable[[#This Row],[DSm]],MIN(250,LEN(combinedMaturityTable[[#This Row],[DSm]]))),CHAR(160)," ")))</f>
        <v/>
      </c>
    </row>
    <row r="448" spans="2:13" hidden="1" x14ac:dyDescent="0.25">
      <c r="B448" s="252" t="str">
        <f>'Cyber Incidence'!$M$38</f>
        <v>Cyber Incident Management and Resilience</v>
      </c>
      <c r="C448" s="252" t="str">
        <f>'Cyber Incidence'!$A$38</f>
        <v>Incident Resilience Planning and Strategy</v>
      </c>
      <c r="D448" s="252" t="str">
        <f>'Cyber Incidence'!$B$38</f>
        <v>Testing</v>
      </c>
      <c r="E448" s="252" t="str">
        <f>'Cyber Incidence'!$C$38</f>
        <v>Intermediate</v>
      </c>
      <c r="F448" s="252">
        <f>'Cyber Incidence'!$D$38</f>
        <v>0</v>
      </c>
      <c r="G448" s="252">
        <f>'Cyber Incidence'!$N$38</f>
        <v>0</v>
      </c>
      <c r="H448" s="252">
        <f>'Cyber Incidence'!$O$38</f>
        <v>0</v>
      </c>
      <c r="I448" s="252">
        <f>'Cyber Incidence'!$P$38</f>
        <v>0</v>
      </c>
      <c r="J448" s="252">
        <f>'Cyber Incidence'!$Q$38</f>
        <v>0</v>
      </c>
      <c r="K448" t="s">
        <v>536</v>
      </c>
      <c r="L448" t="str">
        <f>IF(combinedMaturityTable[[#This Row],[Maturity Level]]="Baseline",LEFT(combinedMaturityTable[[#This Row],[DS]],FIND("(FFIEC ",combinedMaturityTable[[#This Row],[DS]])-1),"")</f>
        <v/>
      </c>
      <c r="M448" s="293" t="str">
        <f>CLEAN(TRIM(SUBSTITUTE(LEFT(combinedMaturityTable[[#This Row],[DSm]],MIN(250,LEN(combinedMaturityTable[[#This Row],[DSm]]))),CHAR(160)," ")))</f>
        <v/>
      </c>
    </row>
    <row r="449" spans="2:13" hidden="1" x14ac:dyDescent="0.25">
      <c r="B449" s="252" t="str">
        <f>'Cyber Incidence'!$M$39</f>
        <v>Cyber Incident Management and Resilience</v>
      </c>
      <c r="C449" s="252" t="str">
        <f>'Cyber Incidence'!$A$39</f>
        <v>Incident Resilience Planning and Strategy</v>
      </c>
      <c r="D449" s="252" t="str">
        <f>'Cyber Incidence'!$B$39</f>
        <v>Testing</v>
      </c>
      <c r="E449" s="252" t="str">
        <f>'Cyber Incidence'!$C$39</f>
        <v>Intermediate</v>
      </c>
      <c r="F449" s="252">
        <f>'Cyber Incidence'!$D$39</f>
        <v>0</v>
      </c>
      <c r="G449" s="252">
        <f>'Cyber Incidence'!$N$39</f>
        <v>0</v>
      </c>
      <c r="H449" s="252">
        <f>'Cyber Incidence'!$O$39</f>
        <v>0</v>
      </c>
      <c r="I449" s="252">
        <f>'Cyber Incidence'!$P$39</f>
        <v>0</v>
      </c>
      <c r="J449" s="252">
        <f>'Cyber Incidence'!$Q$39</f>
        <v>0</v>
      </c>
      <c r="K449" t="s">
        <v>537</v>
      </c>
      <c r="L449" t="str">
        <f>IF(combinedMaturityTable[[#This Row],[Maturity Level]]="Baseline",LEFT(combinedMaturityTable[[#This Row],[DS]],FIND("(FFIEC ",combinedMaturityTable[[#This Row],[DS]])-1),"")</f>
        <v/>
      </c>
      <c r="M449" s="293" t="str">
        <f>CLEAN(TRIM(SUBSTITUTE(LEFT(combinedMaturityTable[[#This Row],[DSm]],MIN(250,LEN(combinedMaturityTable[[#This Row],[DSm]]))),CHAR(160)," ")))</f>
        <v/>
      </c>
    </row>
    <row r="450" spans="2:13" hidden="1" x14ac:dyDescent="0.25">
      <c r="B450" s="252" t="str">
        <f>'Cyber Incidence'!$M$40</f>
        <v>Cyber Incident Management and Resilience</v>
      </c>
      <c r="C450" s="252" t="str">
        <f>'Cyber Incidence'!$A$40</f>
        <v>Incident Resilience Planning and Strategy</v>
      </c>
      <c r="D450" s="252" t="str">
        <f>'Cyber Incidence'!$B$40</f>
        <v>Testing</v>
      </c>
      <c r="E450" s="252" t="str">
        <f>'Cyber Incidence'!$C$40</f>
        <v>Advanced</v>
      </c>
      <c r="F450" s="252">
        <f>'Cyber Incidence'!$D$40</f>
        <v>0</v>
      </c>
      <c r="G450" s="252">
        <f>'Cyber Incidence'!$N$40</f>
        <v>0</v>
      </c>
      <c r="H450" s="252">
        <f>'Cyber Incidence'!$O$40</f>
        <v>0</v>
      </c>
      <c r="I450" s="252">
        <f>'Cyber Incidence'!$P$40</f>
        <v>0</v>
      </c>
      <c r="J450" s="252">
        <f>'Cyber Incidence'!$Q$40</f>
        <v>0</v>
      </c>
      <c r="K450" t="s">
        <v>538</v>
      </c>
      <c r="L450" t="str">
        <f>IF(combinedMaturityTable[[#This Row],[Maturity Level]]="Baseline",LEFT(combinedMaturityTable[[#This Row],[DS]],FIND("(FFIEC ",combinedMaturityTable[[#This Row],[DS]])-1),"")</f>
        <v/>
      </c>
      <c r="M450" s="293" t="str">
        <f>CLEAN(TRIM(SUBSTITUTE(LEFT(combinedMaturityTable[[#This Row],[DSm]],MIN(250,LEN(combinedMaturityTable[[#This Row],[DSm]]))),CHAR(160)," ")))</f>
        <v/>
      </c>
    </row>
    <row r="451" spans="2:13" hidden="1" x14ac:dyDescent="0.25">
      <c r="B451" s="252" t="str">
        <f>'Cyber Incidence'!$M$41</f>
        <v>Cyber Incident Management and Resilience</v>
      </c>
      <c r="C451" s="252" t="str">
        <f>'Cyber Incidence'!$A$41</f>
        <v>Incident Resilience Planning and Strategy</v>
      </c>
      <c r="D451" s="252" t="str">
        <f>'Cyber Incidence'!$B$41</f>
        <v>Testing</v>
      </c>
      <c r="E451" s="252" t="str">
        <f>'Cyber Incidence'!$C$41</f>
        <v>Advanced</v>
      </c>
      <c r="F451" s="252">
        <f>'Cyber Incidence'!$D$41</f>
        <v>0</v>
      </c>
      <c r="G451" s="252">
        <f>'Cyber Incidence'!$N$41</f>
        <v>0</v>
      </c>
      <c r="H451" s="252">
        <f>'Cyber Incidence'!$O$41</f>
        <v>0</v>
      </c>
      <c r="I451" s="252">
        <f>'Cyber Incidence'!$P$41</f>
        <v>0</v>
      </c>
      <c r="J451" s="252">
        <f>'Cyber Incidence'!$Q$41</f>
        <v>0</v>
      </c>
      <c r="K451" t="s">
        <v>539</v>
      </c>
      <c r="L451" t="str">
        <f>IF(combinedMaturityTable[[#This Row],[Maturity Level]]="Baseline",LEFT(combinedMaturityTable[[#This Row],[DS]],FIND("(FFIEC ",combinedMaturityTable[[#This Row],[DS]])-1),"")</f>
        <v/>
      </c>
      <c r="M451" s="293" t="str">
        <f>CLEAN(TRIM(SUBSTITUTE(LEFT(combinedMaturityTable[[#This Row],[DSm]],MIN(250,LEN(combinedMaturityTable[[#This Row],[DSm]]))),CHAR(160)," ")))</f>
        <v/>
      </c>
    </row>
    <row r="452" spans="2:13" hidden="1" x14ac:dyDescent="0.25">
      <c r="B452" s="252" t="str">
        <f>'Cyber Incidence'!$M$42</f>
        <v>Cyber Incident Management and Resilience</v>
      </c>
      <c r="C452" s="252" t="str">
        <f>'Cyber Incidence'!$A$42</f>
        <v>Incident Resilience Planning and Strategy</v>
      </c>
      <c r="D452" s="252" t="str">
        <f>'Cyber Incidence'!$B$42</f>
        <v>Testing</v>
      </c>
      <c r="E452" s="252" t="str">
        <f>'Cyber Incidence'!$C$42</f>
        <v>Advanced</v>
      </c>
      <c r="F452" s="252">
        <f>'Cyber Incidence'!$D$42</f>
        <v>0</v>
      </c>
      <c r="G452" s="252">
        <f>'Cyber Incidence'!$N$42</f>
        <v>0</v>
      </c>
      <c r="H452" s="252">
        <f>'Cyber Incidence'!$O$42</f>
        <v>0</v>
      </c>
      <c r="I452" s="252">
        <f>'Cyber Incidence'!$P$42</f>
        <v>0</v>
      </c>
      <c r="J452" s="252">
        <f>'Cyber Incidence'!$Q$42</f>
        <v>0</v>
      </c>
      <c r="K452" t="s">
        <v>540</v>
      </c>
      <c r="L452" t="str">
        <f>IF(combinedMaturityTable[[#This Row],[Maturity Level]]="Baseline",LEFT(combinedMaturityTable[[#This Row],[DS]],FIND("(FFIEC ",combinedMaturityTable[[#This Row],[DS]])-1),"")</f>
        <v/>
      </c>
      <c r="M452" s="293" t="str">
        <f>CLEAN(TRIM(SUBSTITUTE(LEFT(combinedMaturityTable[[#This Row],[DSm]],MIN(250,LEN(combinedMaturityTable[[#This Row],[DSm]]))),CHAR(160)," ")))</f>
        <v/>
      </c>
    </row>
    <row r="453" spans="2:13" hidden="1" x14ac:dyDescent="0.25">
      <c r="B453" s="252" t="str">
        <f>'Cyber Incidence'!$M$43</f>
        <v>Cyber Incident Management and Resilience</v>
      </c>
      <c r="C453" s="252" t="str">
        <f>'Cyber Incidence'!$A$43</f>
        <v>Incident Resilience Planning and Strategy</v>
      </c>
      <c r="D453" s="252" t="str">
        <f>'Cyber Incidence'!$B$43</f>
        <v>Testing</v>
      </c>
      <c r="E453" s="252" t="str">
        <f>'Cyber Incidence'!$C$43</f>
        <v>Advanced</v>
      </c>
      <c r="F453" s="252">
        <f>'Cyber Incidence'!$D$43</f>
        <v>0</v>
      </c>
      <c r="G453" s="252">
        <f>'Cyber Incidence'!$N$43</f>
        <v>0</v>
      </c>
      <c r="H453" s="252">
        <f>'Cyber Incidence'!$O$43</f>
        <v>0</v>
      </c>
      <c r="I453" s="252">
        <f>'Cyber Incidence'!$P$43</f>
        <v>0</v>
      </c>
      <c r="J453" s="252">
        <f>'Cyber Incidence'!$Q$43</f>
        <v>0</v>
      </c>
      <c r="K453" t="s">
        <v>541</v>
      </c>
      <c r="L453" t="str">
        <f>IF(combinedMaturityTable[[#This Row],[Maturity Level]]="Baseline",LEFT(combinedMaturityTable[[#This Row],[DS]],FIND("(FFIEC ",combinedMaturityTable[[#This Row],[DS]])-1),"")</f>
        <v/>
      </c>
      <c r="M453" s="293" t="str">
        <f>CLEAN(TRIM(SUBSTITUTE(LEFT(combinedMaturityTable[[#This Row],[DSm]],MIN(250,LEN(combinedMaturityTable[[#This Row],[DSm]]))),CHAR(160)," ")))</f>
        <v/>
      </c>
    </row>
    <row r="454" spans="2:13" hidden="1" x14ac:dyDescent="0.25">
      <c r="B454" s="252" t="str">
        <f>'Cyber Incidence'!$M$44</f>
        <v>Cyber Incident Management and Resilience</v>
      </c>
      <c r="C454" s="252" t="str">
        <f>'Cyber Incidence'!$A$44</f>
        <v>Incident Resilience Planning and Strategy</v>
      </c>
      <c r="D454" s="252" t="str">
        <f>'Cyber Incidence'!$B$44</f>
        <v>Testing</v>
      </c>
      <c r="E454" s="252" t="str">
        <f>'Cyber Incidence'!$C$44</f>
        <v>Advanced</v>
      </c>
      <c r="F454" s="252">
        <f>'Cyber Incidence'!$D$44</f>
        <v>0</v>
      </c>
      <c r="G454" s="252">
        <f>'Cyber Incidence'!$N$44</f>
        <v>0</v>
      </c>
      <c r="H454" s="252">
        <f>'Cyber Incidence'!$O$44</f>
        <v>0</v>
      </c>
      <c r="I454" s="252">
        <f>'Cyber Incidence'!$P$44</f>
        <v>0</v>
      </c>
      <c r="J454" s="252">
        <f>'Cyber Incidence'!$Q$44</f>
        <v>0</v>
      </c>
      <c r="K454" t="s">
        <v>542</v>
      </c>
      <c r="L454" t="str">
        <f>IF(combinedMaturityTable[[#This Row],[Maturity Level]]="Baseline",LEFT(combinedMaturityTable[[#This Row],[DS]],FIND("(FFIEC ",combinedMaturityTable[[#This Row],[DS]])-1),"")</f>
        <v/>
      </c>
      <c r="M454" s="293" t="str">
        <f>CLEAN(TRIM(SUBSTITUTE(LEFT(combinedMaturityTable[[#This Row],[DSm]],MIN(250,LEN(combinedMaturityTable[[#This Row],[DSm]]))),CHAR(160)," ")))</f>
        <v/>
      </c>
    </row>
    <row r="455" spans="2:13" hidden="1" x14ac:dyDescent="0.25">
      <c r="B455" s="252" t="str">
        <f>'Cyber Incidence'!$M$45</f>
        <v>Cyber Incident Management and Resilience</v>
      </c>
      <c r="C455" s="252" t="str">
        <f>'Cyber Incidence'!$A$45</f>
        <v>Incident Resilience Planning and Strategy</v>
      </c>
      <c r="D455" s="252" t="str">
        <f>'Cyber Incidence'!$B$45</f>
        <v>Testing</v>
      </c>
      <c r="E455" s="252" t="str">
        <f>'Cyber Incidence'!$C$45</f>
        <v>Innovative</v>
      </c>
      <c r="F455" s="252">
        <f>'Cyber Incidence'!$D$45</f>
        <v>0</v>
      </c>
      <c r="G455" s="252">
        <f>'Cyber Incidence'!$N$45</f>
        <v>0</v>
      </c>
      <c r="H455" s="252">
        <f>'Cyber Incidence'!$O$45</f>
        <v>0</v>
      </c>
      <c r="I455" s="252">
        <f>'Cyber Incidence'!$P$45</f>
        <v>0</v>
      </c>
      <c r="J455" s="252">
        <f>'Cyber Incidence'!$Q$45</f>
        <v>0</v>
      </c>
      <c r="K455" t="s">
        <v>543</v>
      </c>
      <c r="L455" t="str">
        <f>IF(combinedMaturityTable[[#This Row],[Maturity Level]]="Baseline",LEFT(combinedMaturityTable[[#This Row],[DS]],FIND("(FFIEC ",combinedMaturityTable[[#This Row],[DS]])-1),"")</f>
        <v/>
      </c>
      <c r="M455" s="293" t="str">
        <f>CLEAN(TRIM(SUBSTITUTE(LEFT(combinedMaturityTable[[#This Row],[DSm]],MIN(250,LEN(combinedMaturityTable[[#This Row],[DSm]]))),CHAR(160)," ")))</f>
        <v/>
      </c>
    </row>
    <row r="456" spans="2:13" hidden="1" x14ac:dyDescent="0.25">
      <c r="B456" s="252" t="str">
        <f>'Cyber Incidence'!$M$46</f>
        <v>Cyber Incident Management and Resilience</v>
      </c>
      <c r="C456" s="252" t="str">
        <f>'Cyber Incidence'!$A$46</f>
        <v>Incident Resilience Planning and Strategy</v>
      </c>
      <c r="D456" s="252" t="str">
        <f>'Cyber Incidence'!$B$46</f>
        <v>Testing</v>
      </c>
      <c r="E456" s="252" t="str">
        <f>'Cyber Incidence'!$C$46</f>
        <v>Innovative</v>
      </c>
      <c r="F456" s="252">
        <f>'Cyber Incidence'!$D$46</f>
        <v>0</v>
      </c>
      <c r="G456" s="252">
        <f>'Cyber Incidence'!$N$46</f>
        <v>0</v>
      </c>
      <c r="H456" s="252">
        <f>'Cyber Incidence'!$O$46</f>
        <v>0</v>
      </c>
      <c r="I456" s="252">
        <f>'Cyber Incidence'!$P$46</f>
        <v>0</v>
      </c>
      <c r="J456" s="252">
        <f>'Cyber Incidence'!$Q$46</f>
        <v>0</v>
      </c>
      <c r="K456" t="s">
        <v>544</v>
      </c>
      <c r="L456" t="str">
        <f>IF(combinedMaturityTable[[#This Row],[Maturity Level]]="Baseline",LEFT(combinedMaturityTable[[#This Row],[DS]],FIND("(FFIEC ",combinedMaturityTable[[#This Row],[DS]])-1),"")</f>
        <v/>
      </c>
      <c r="M456" s="293" t="str">
        <f>CLEAN(TRIM(SUBSTITUTE(LEFT(combinedMaturityTable[[#This Row],[DSm]],MIN(250,LEN(combinedMaturityTable[[#This Row],[DSm]]))),CHAR(160)," ")))</f>
        <v/>
      </c>
    </row>
    <row r="457" spans="2:13" hidden="1" x14ac:dyDescent="0.25">
      <c r="B457" s="252" t="str">
        <f>'Cyber Incidence'!$M$47</f>
        <v>Cyber Incident Management and Resilience</v>
      </c>
      <c r="C457" s="252" t="str">
        <f>'Cyber Incidence'!$A$47</f>
        <v>Incident Resilience Planning and Strategy</v>
      </c>
      <c r="D457" s="252" t="str">
        <f>'Cyber Incidence'!$B$47</f>
        <v>Testing</v>
      </c>
      <c r="E457" s="252" t="str">
        <f>'Cyber Incidence'!$C$47</f>
        <v>Innovative</v>
      </c>
      <c r="F457" s="252">
        <f>'Cyber Incidence'!$D$47</f>
        <v>0</v>
      </c>
      <c r="G457" s="252">
        <f>'Cyber Incidence'!$N$47</f>
        <v>0</v>
      </c>
      <c r="H457" s="252">
        <f>'Cyber Incidence'!$O$47</f>
        <v>0</v>
      </c>
      <c r="I457" s="252">
        <f>'Cyber Incidence'!$P$47</f>
        <v>0</v>
      </c>
      <c r="J457" s="252">
        <f>'Cyber Incidence'!$Q$47</f>
        <v>0</v>
      </c>
      <c r="K457" t="s">
        <v>545</v>
      </c>
      <c r="L457" t="str">
        <f>IF(combinedMaturityTable[[#This Row],[Maturity Level]]="Baseline",LEFT(combinedMaturityTable[[#This Row],[DS]],FIND("(FFIEC ",combinedMaturityTable[[#This Row],[DS]])-1),"")</f>
        <v/>
      </c>
      <c r="M457" s="293" t="str">
        <f>CLEAN(TRIM(SUBSTITUTE(LEFT(combinedMaturityTable[[#This Row],[DSm]],MIN(250,LEN(combinedMaturityTable[[#This Row],[DSm]]))),CHAR(160)," ")))</f>
        <v/>
      </c>
    </row>
    <row r="458" spans="2:13" hidden="1" x14ac:dyDescent="0.25">
      <c r="B458" s="252" t="str">
        <f>'Cyber Incidence'!$M$48</f>
        <v>Cyber Incident Management and Resilience</v>
      </c>
      <c r="C458" s="252" t="str">
        <f>'Cyber Incidence'!$A$48</f>
        <v>Incident Resilience Planning and Strategy</v>
      </c>
      <c r="D458" s="252" t="str">
        <f>'Cyber Incidence'!$B$48</f>
        <v>Testing</v>
      </c>
      <c r="E458" s="252" t="str">
        <f>'Cyber Incidence'!$C$48</f>
        <v>Innovative</v>
      </c>
      <c r="F458" s="252">
        <f>'Cyber Incidence'!$D$48</f>
        <v>0</v>
      </c>
      <c r="G458" s="252">
        <f>'Cyber Incidence'!$N$48</f>
        <v>0</v>
      </c>
      <c r="H458" s="252">
        <f>'Cyber Incidence'!$O$48</f>
        <v>0</v>
      </c>
      <c r="I458" s="252">
        <f>'Cyber Incidence'!$P$48</f>
        <v>0</v>
      </c>
      <c r="J458" s="252">
        <f>'Cyber Incidence'!$Q$48</f>
        <v>0</v>
      </c>
      <c r="K458" t="s">
        <v>546</v>
      </c>
      <c r="L458" t="str">
        <f>IF(combinedMaturityTable[[#This Row],[Maturity Level]]="Baseline",LEFT(combinedMaturityTable[[#This Row],[DS]],FIND("(FFIEC ",combinedMaturityTable[[#This Row],[DS]])-1),"")</f>
        <v/>
      </c>
      <c r="M458" s="293" t="str">
        <f>CLEAN(TRIM(SUBSTITUTE(LEFT(combinedMaturityTable[[#This Row],[DSm]],MIN(250,LEN(combinedMaturityTable[[#This Row],[DSm]]))),CHAR(160)," ")))</f>
        <v/>
      </c>
    </row>
    <row r="459" spans="2:13" x14ac:dyDescent="0.25">
      <c r="B459" s="252" t="str">
        <f>'Cyber Incidence'!$M$49</f>
        <v>Cyber Incident Management and Resilience</v>
      </c>
      <c r="C459" s="252" t="str">
        <f>'Cyber Incidence'!$A$49</f>
        <v>Detection, Response, and Mitigation</v>
      </c>
      <c r="D459" s="252" t="str">
        <f>'Cyber Incidence'!$B$49</f>
        <v>Detection</v>
      </c>
      <c r="E459" s="252" t="str">
        <f>'Cyber Incidence'!$C$49</f>
        <v>Baseline</v>
      </c>
      <c r="F459" s="252">
        <f>'Cyber Incidence'!$D$49</f>
        <v>0</v>
      </c>
      <c r="G459" s="252">
        <f>'Cyber Incidence'!$N$49</f>
        <v>0</v>
      </c>
      <c r="H459" s="252">
        <f>'Cyber Incidence'!$O$49</f>
        <v>0</v>
      </c>
      <c r="I459" s="252">
        <f>'Cyber Incidence'!$P$49</f>
        <v>0</v>
      </c>
      <c r="J459" s="252">
        <f>'Cyber Incidence'!$Q$49</f>
        <v>0</v>
      </c>
      <c r="K459" t="s">
        <v>549</v>
      </c>
      <c r="L459" t="str">
        <f>IF(combinedMaturityTable[[#This Row],[Maturity Level]]="Baseline",LEFT(combinedMaturityTable[[#This Row],[DS]],FIND("(FFIEC ",combinedMaturityTable[[#This Row],[DS]])-1),"")</f>
        <v xml:space="preserve">Alert parameters are set for detecting information security incidents that prompt mitigating actions. </v>
      </c>
      <c r="M459" s="293" t="str">
        <f>CLEAN(TRIM(SUBSTITUTE(LEFT(combinedMaturityTable[[#This Row],[DSm]],MIN(250,LEN(combinedMaturityTable[[#This Row],[DSm]]))),CHAR(160)," ")))</f>
        <v>Alert parameters are set for detecting information security incidents that prompt mitigating actions.</v>
      </c>
    </row>
    <row r="460" spans="2:13" x14ac:dyDescent="0.25">
      <c r="B460" s="252" t="str">
        <f>'Cyber Incidence'!$M$50</f>
        <v>Cyber Incident Management and Resilience</v>
      </c>
      <c r="C460" s="252" t="str">
        <f>'Cyber Incidence'!$A$50</f>
        <v>Detection, Response, and Mitigation</v>
      </c>
      <c r="D460" s="252" t="str">
        <f>'Cyber Incidence'!$B$50</f>
        <v>Detection</v>
      </c>
      <c r="E460" s="252" t="str">
        <f>'Cyber Incidence'!$C$50</f>
        <v>Baseline</v>
      </c>
      <c r="F460" s="252">
        <f>'Cyber Incidence'!$D$50</f>
        <v>0</v>
      </c>
      <c r="G460" s="252">
        <f>'Cyber Incidence'!$N$50</f>
        <v>0</v>
      </c>
      <c r="H460" s="252">
        <f>'Cyber Incidence'!$O$50</f>
        <v>0</v>
      </c>
      <c r="I460" s="252">
        <f>'Cyber Incidence'!$P$50</f>
        <v>0</v>
      </c>
      <c r="J460" s="252">
        <f>'Cyber Incidence'!$Q$50</f>
        <v>0</v>
      </c>
      <c r="K460" t="s">
        <v>550</v>
      </c>
      <c r="L460" t="str">
        <f>IF(combinedMaturityTable[[#This Row],[Maturity Level]]="Baseline",LEFT(combinedMaturityTable[[#This Row],[DS]],FIND("(FFIEC ",combinedMaturityTable[[#This Row],[DS]])-1),"")</f>
        <v xml:space="preserve">System performance reports contain information that can be used as a risk indicator to detect information security incidents. </v>
      </c>
      <c r="M460" s="293" t="str">
        <f>CLEAN(TRIM(SUBSTITUTE(LEFT(combinedMaturityTable[[#This Row],[DSm]],MIN(250,LEN(combinedMaturityTable[[#This Row],[DSm]]))),CHAR(160)," ")))</f>
        <v>System performance reports contain information that can be used as a risk indicator to detect information security incidents.</v>
      </c>
    </row>
    <row r="461" spans="2:13" x14ac:dyDescent="0.25">
      <c r="B461" s="252" t="str">
        <f>'Cyber Incidence'!$M$51</f>
        <v>Cyber Incident Management and Resilience</v>
      </c>
      <c r="C461" s="252" t="str">
        <f>'Cyber Incidence'!$A$51</f>
        <v>Detection, Response, and Mitigation</v>
      </c>
      <c r="D461" s="252" t="str">
        <f>'Cyber Incidence'!$B$51</f>
        <v>Detection</v>
      </c>
      <c r="E461" s="252" t="str">
        <f>'Cyber Incidence'!$C$51</f>
        <v>Baseline</v>
      </c>
      <c r="F461" s="252">
        <f>'Cyber Incidence'!$D$51</f>
        <v>0</v>
      </c>
      <c r="G461" s="252">
        <f>'Cyber Incidence'!$N$51</f>
        <v>0</v>
      </c>
      <c r="H461" s="252">
        <f>'Cyber Incidence'!$O$51</f>
        <v>0</v>
      </c>
      <c r="I461" s="252">
        <f>'Cyber Incidence'!$P$51</f>
        <v>0</v>
      </c>
      <c r="J461" s="252">
        <f>'Cyber Incidence'!$Q$51</f>
        <v>0</v>
      </c>
      <c r="K461" t="s">
        <v>551</v>
      </c>
      <c r="L461" t="str">
        <f>IF(combinedMaturityTable[[#This Row],[Maturity Level]]="Baseline",LEFT(combinedMaturityTable[[#This Row],[DS]],FIND("(FFIEC ",combinedMaturityTable[[#This Row],[DS]])-1),"")</f>
        <v xml:space="preserve">Tools and processes are in place to detect, alert, and trigger the incident response program. </v>
      </c>
      <c r="M461" s="293" t="str">
        <f>CLEAN(TRIM(SUBSTITUTE(LEFT(combinedMaturityTable[[#This Row],[DSm]],MIN(250,LEN(combinedMaturityTable[[#This Row],[DSm]]))),CHAR(160)," ")))</f>
        <v>Tools and processes are in place to detect, alert, and trigger the incident response program.</v>
      </c>
    </row>
    <row r="462" spans="2:13" hidden="1" x14ac:dyDescent="0.25">
      <c r="B462" s="252" t="str">
        <f>'Cyber Incidence'!$M$52</f>
        <v>Cyber Incident Management and Resilience</v>
      </c>
      <c r="C462" s="252" t="str">
        <f>'Cyber Incidence'!$A$52</f>
        <v>Detection, Response, and Mitigation</v>
      </c>
      <c r="D462" s="252" t="str">
        <f>'Cyber Incidence'!$B$52</f>
        <v>Detection</v>
      </c>
      <c r="E462" s="252" t="str">
        <f>'Cyber Incidence'!$C$52</f>
        <v>Evolving</v>
      </c>
      <c r="F462" s="252">
        <f>'Cyber Incidence'!$D$52</f>
        <v>0</v>
      </c>
      <c r="G462" s="252">
        <f>'Cyber Incidence'!$N$52</f>
        <v>0</v>
      </c>
      <c r="H462" s="252">
        <f>'Cyber Incidence'!$O$52</f>
        <v>0</v>
      </c>
      <c r="I462" s="252">
        <f>'Cyber Incidence'!$P$52</f>
        <v>0</v>
      </c>
      <c r="J462" s="252">
        <f>'Cyber Incidence'!$Q$52</f>
        <v>0</v>
      </c>
      <c r="K462" t="s">
        <v>552</v>
      </c>
      <c r="L462" t="str">
        <f>IF(combinedMaturityTable[[#This Row],[Maturity Level]]="Baseline",LEFT(combinedMaturityTable[[#This Row],[DS]],FIND("(FFIEC ",combinedMaturityTable[[#This Row],[DS]])-1),"")</f>
        <v/>
      </c>
      <c r="M462" s="293" t="str">
        <f>CLEAN(TRIM(SUBSTITUTE(LEFT(combinedMaturityTable[[#This Row],[DSm]],MIN(250,LEN(combinedMaturityTable[[#This Row],[DSm]]))),CHAR(160)," ")))</f>
        <v/>
      </c>
    </row>
    <row r="463" spans="2:13" hidden="1" x14ac:dyDescent="0.25">
      <c r="B463" s="252" t="str">
        <f>'Cyber Incidence'!$M$53</f>
        <v>Cyber Incident Management and Resilience</v>
      </c>
      <c r="C463" s="252" t="str">
        <f>'Cyber Incidence'!$A$53</f>
        <v>Detection, Response, and Mitigation</v>
      </c>
      <c r="D463" s="252" t="str">
        <f>'Cyber Incidence'!$B$53</f>
        <v>Detection</v>
      </c>
      <c r="E463" s="252" t="str">
        <f>'Cyber Incidence'!$C$53</f>
        <v>Intermediate</v>
      </c>
      <c r="F463" s="252">
        <f>'Cyber Incidence'!$D$53</f>
        <v>0</v>
      </c>
      <c r="G463" s="252">
        <f>'Cyber Incidence'!$N$53</f>
        <v>0</v>
      </c>
      <c r="H463" s="252">
        <f>'Cyber Incidence'!$O$53</f>
        <v>0</v>
      </c>
      <c r="I463" s="252">
        <f>'Cyber Incidence'!$P$53</f>
        <v>0</v>
      </c>
      <c r="J463" s="252">
        <f>'Cyber Incidence'!$Q$53</f>
        <v>0</v>
      </c>
      <c r="K463" t="s">
        <v>553</v>
      </c>
      <c r="L463" t="str">
        <f>IF(combinedMaturityTable[[#This Row],[Maturity Level]]="Baseline",LEFT(combinedMaturityTable[[#This Row],[DS]],FIND("(FFIEC ",combinedMaturityTable[[#This Row],[DS]])-1),"")</f>
        <v/>
      </c>
      <c r="M463" s="293" t="str">
        <f>CLEAN(TRIM(SUBSTITUTE(LEFT(combinedMaturityTable[[#This Row],[DSm]],MIN(250,LEN(combinedMaturityTable[[#This Row],[DSm]]))),CHAR(160)," ")))</f>
        <v/>
      </c>
    </row>
    <row r="464" spans="2:13" hidden="1" x14ac:dyDescent="0.25">
      <c r="B464" s="252" t="str">
        <f>'Cyber Incidence'!$M$54</f>
        <v>Cyber Incident Management and Resilience</v>
      </c>
      <c r="C464" s="252" t="str">
        <f>'Cyber Incidence'!$A$54</f>
        <v>Detection, Response, and Mitigation</v>
      </c>
      <c r="D464" s="252" t="str">
        <f>'Cyber Incidence'!$B$54</f>
        <v>Detection</v>
      </c>
      <c r="E464" s="252" t="str">
        <f>'Cyber Incidence'!$C$54</f>
        <v>Intermediate</v>
      </c>
      <c r="F464" s="252">
        <f>'Cyber Incidence'!$D$54</f>
        <v>0</v>
      </c>
      <c r="G464" s="252">
        <f>'Cyber Incidence'!$N$54</f>
        <v>0</v>
      </c>
      <c r="H464" s="252">
        <f>'Cyber Incidence'!$O$54</f>
        <v>0</v>
      </c>
      <c r="I464" s="252">
        <f>'Cyber Incidence'!$P$54</f>
        <v>0</v>
      </c>
      <c r="J464" s="252">
        <f>'Cyber Incidence'!$Q$54</f>
        <v>0</v>
      </c>
      <c r="K464" t="s">
        <v>554</v>
      </c>
      <c r="L464" t="str">
        <f>IF(combinedMaturityTable[[#This Row],[Maturity Level]]="Baseline",LEFT(combinedMaturityTable[[#This Row],[DS]],FIND("(FFIEC ",combinedMaturityTable[[#This Row],[DS]])-1),"")</f>
        <v/>
      </c>
      <c r="M464" s="293" t="str">
        <f>CLEAN(TRIM(SUBSTITUTE(LEFT(combinedMaturityTable[[#This Row],[DSm]],MIN(250,LEN(combinedMaturityTable[[#This Row],[DSm]]))),CHAR(160)," ")))</f>
        <v/>
      </c>
    </row>
    <row r="465" spans="2:13" hidden="1" x14ac:dyDescent="0.25">
      <c r="B465" s="252" t="str">
        <f>'Cyber Incidence'!$M$55</f>
        <v>Cyber Incident Management and Resilience</v>
      </c>
      <c r="C465" s="252" t="str">
        <f>'Cyber Incidence'!$A$55</f>
        <v>Detection, Response, and Mitigation</v>
      </c>
      <c r="D465" s="252" t="str">
        <f>'Cyber Incidence'!$B$55</f>
        <v>Detection</v>
      </c>
      <c r="E465" s="252" t="str">
        <f>'Cyber Incidence'!$C$55</f>
        <v>Intermediate</v>
      </c>
      <c r="F465" s="252">
        <f>'Cyber Incidence'!$D$55</f>
        <v>0</v>
      </c>
      <c r="G465" s="252">
        <f>'Cyber Incidence'!$N$55</f>
        <v>0</v>
      </c>
      <c r="H465" s="252">
        <f>'Cyber Incidence'!$O$55</f>
        <v>0</v>
      </c>
      <c r="I465" s="252">
        <f>'Cyber Incidence'!$P$55</f>
        <v>0</v>
      </c>
      <c r="J465" s="252">
        <f>'Cyber Incidence'!$Q$55</f>
        <v>0</v>
      </c>
      <c r="K465" t="s">
        <v>555</v>
      </c>
      <c r="L465" t="str">
        <f>IF(combinedMaturityTable[[#This Row],[Maturity Level]]="Baseline",LEFT(combinedMaturityTable[[#This Row],[DS]],FIND("(FFIEC ",combinedMaturityTable[[#This Row],[DS]])-1),"")</f>
        <v/>
      </c>
      <c r="M465" s="293" t="str">
        <f>CLEAN(TRIM(SUBSTITUTE(LEFT(combinedMaturityTable[[#This Row],[DSm]],MIN(250,LEN(combinedMaturityTable[[#This Row],[DSm]]))),CHAR(160)," ")))</f>
        <v/>
      </c>
    </row>
    <row r="466" spans="2:13" hidden="1" x14ac:dyDescent="0.25">
      <c r="B466" s="252" t="str">
        <f>'Cyber Incidence'!$M$56</f>
        <v>Cyber Incident Management and Resilience</v>
      </c>
      <c r="C466" s="252" t="str">
        <f>'Cyber Incidence'!$A$56</f>
        <v>Detection, Response, and Mitigation</v>
      </c>
      <c r="D466" s="252" t="str">
        <f>'Cyber Incidence'!$B$56</f>
        <v>Detection</v>
      </c>
      <c r="E466" s="252" t="str">
        <f>'Cyber Incidence'!$C$56</f>
        <v>Intermediate</v>
      </c>
      <c r="F466" s="252">
        <f>'Cyber Incidence'!$D$56</f>
        <v>0</v>
      </c>
      <c r="G466" s="252">
        <f>'Cyber Incidence'!$N$56</f>
        <v>0</v>
      </c>
      <c r="H466" s="252">
        <f>'Cyber Incidence'!$O$56</f>
        <v>0</v>
      </c>
      <c r="I466" s="252">
        <f>'Cyber Incidence'!$P$56</f>
        <v>0</v>
      </c>
      <c r="J466" s="252">
        <f>'Cyber Incidence'!$Q$56</f>
        <v>0</v>
      </c>
      <c r="K466" t="s">
        <v>556</v>
      </c>
      <c r="L466" t="str">
        <f>IF(combinedMaturityTable[[#This Row],[Maturity Level]]="Baseline",LEFT(combinedMaturityTable[[#This Row],[DS]],FIND("(FFIEC ",combinedMaturityTable[[#This Row],[DS]])-1),"")</f>
        <v/>
      </c>
      <c r="M466" s="293" t="str">
        <f>CLEAN(TRIM(SUBSTITUTE(LEFT(combinedMaturityTable[[#This Row],[DSm]],MIN(250,LEN(combinedMaturityTable[[#This Row],[DSm]]))),CHAR(160)," ")))</f>
        <v/>
      </c>
    </row>
    <row r="467" spans="2:13" hidden="1" x14ac:dyDescent="0.25">
      <c r="B467" s="252" t="str">
        <f>'Cyber Incidence'!$M$57</f>
        <v>Cyber Incident Management and Resilience</v>
      </c>
      <c r="C467" s="252" t="str">
        <f>'Cyber Incidence'!$A$57</f>
        <v>Detection, Response, and Mitigation</v>
      </c>
      <c r="D467" s="252" t="str">
        <f>'Cyber Incidence'!$B$57</f>
        <v>Detection</v>
      </c>
      <c r="E467" s="252" t="str">
        <f>'Cyber Incidence'!$C$57</f>
        <v>Intermediate</v>
      </c>
      <c r="F467" s="252">
        <f>'Cyber Incidence'!$D$57</f>
        <v>0</v>
      </c>
      <c r="G467" s="252">
        <f>'Cyber Incidence'!$N$57</f>
        <v>0</v>
      </c>
      <c r="H467" s="252">
        <f>'Cyber Incidence'!$O$57</f>
        <v>0</v>
      </c>
      <c r="I467" s="252">
        <f>'Cyber Incidence'!$P$57</f>
        <v>0</v>
      </c>
      <c r="J467" s="252">
        <f>'Cyber Incidence'!$Q$57</f>
        <v>0</v>
      </c>
      <c r="K467" t="s">
        <v>557</v>
      </c>
      <c r="L467" t="str">
        <f>IF(combinedMaturityTable[[#This Row],[Maturity Level]]="Baseline",LEFT(combinedMaturityTable[[#This Row],[DS]],FIND("(FFIEC ",combinedMaturityTable[[#This Row],[DS]])-1),"")</f>
        <v/>
      </c>
      <c r="M467" s="293" t="str">
        <f>CLEAN(TRIM(SUBSTITUTE(LEFT(combinedMaturityTable[[#This Row],[DSm]],MIN(250,LEN(combinedMaturityTable[[#This Row],[DSm]]))),CHAR(160)," ")))</f>
        <v/>
      </c>
    </row>
    <row r="468" spans="2:13" hidden="1" x14ac:dyDescent="0.25">
      <c r="B468" s="252" t="str">
        <f>'Cyber Incidence'!$M$58</f>
        <v>Cyber Incident Management and Resilience</v>
      </c>
      <c r="C468" s="252" t="str">
        <f>'Cyber Incidence'!$A$58</f>
        <v>Detection, Response, and Mitigation</v>
      </c>
      <c r="D468" s="252" t="str">
        <f>'Cyber Incidence'!$B$58</f>
        <v>Detection</v>
      </c>
      <c r="E468" s="252" t="str">
        <f>'Cyber Incidence'!$C$58</f>
        <v>Advanced</v>
      </c>
      <c r="F468" s="252">
        <f>'Cyber Incidence'!$D$58</f>
        <v>0</v>
      </c>
      <c r="G468" s="252">
        <f>'Cyber Incidence'!$N$58</f>
        <v>0</v>
      </c>
      <c r="H468" s="252">
        <f>'Cyber Incidence'!$O$58</f>
        <v>0</v>
      </c>
      <c r="I468" s="252">
        <f>'Cyber Incidence'!$P$58</f>
        <v>0</v>
      </c>
      <c r="J468" s="252">
        <f>'Cyber Incidence'!$Q$58</f>
        <v>0</v>
      </c>
      <c r="K468" t="s">
        <v>558</v>
      </c>
      <c r="L468" t="str">
        <f>IF(combinedMaturityTable[[#This Row],[Maturity Level]]="Baseline",LEFT(combinedMaturityTable[[#This Row],[DS]],FIND("(FFIEC ",combinedMaturityTable[[#This Row],[DS]])-1),"")</f>
        <v/>
      </c>
      <c r="M468" s="293" t="str">
        <f>CLEAN(TRIM(SUBSTITUTE(LEFT(combinedMaturityTable[[#This Row],[DSm]],MIN(250,LEN(combinedMaturityTable[[#This Row],[DSm]]))),CHAR(160)," ")))</f>
        <v/>
      </c>
    </row>
    <row r="469" spans="2:13" hidden="1" x14ac:dyDescent="0.25">
      <c r="B469" s="252" t="str">
        <f>'Cyber Incidence'!$M$59</f>
        <v>Cyber Incident Management and Resilience</v>
      </c>
      <c r="C469" s="252" t="str">
        <f>'Cyber Incidence'!$A$59</f>
        <v>Detection, Response, and Mitigation</v>
      </c>
      <c r="D469" s="252" t="str">
        <f>'Cyber Incidence'!$B$59</f>
        <v>Detection</v>
      </c>
      <c r="E469" s="252" t="str">
        <f>'Cyber Incidence'!$C$59</f>
        <v>Advanced</v>
      </c>
      <c r="F469" s="252">
        <f>'Cyber Incidence'!$D$59</f>
        <v>0</v>
      </c>
      <c r="G469" s="252">
        <f>'Cyber Incidence'!$N$59</f>
        <v>0</v>
      </c>
      <c r="H469" s="252">
        <f>'Cyber Incidence'!$O$59</f>
        <v>0</v>
      </c>
      <c r="I469" s="252">
        <f>'Cyber Incidence'!$P$59</f>
        <v>0</v>
      </c>
      <c r="J469" s="252">
        <f>'Cyber Incidence'!$Q$59</f>
        <v>0</v>
      </c>
      <c r="K469" t="s">
        <v>559</v>
      </c>
      <c r="L469" t="str">
        <f>IF(combinedMaturityTable[[#This Row],[Maturity Level]]="Baseline",LEFT(combinedMaturityTable[[#This Row],[DS]],FIND("(FFIEC ",combinedMaturityTable[[#This Row],[DS]])-1),"")</f>
        <v/>
      </c>
      <c r="M469" s="293" t="str">
        <f>CLEAN(TRIM(SUBSTITUTE(LEFT(combinedMaturityTable[[#This Row],[DSm]],MIN(250,LEN(combinedMaturityTable[[#This Row],[DSm]]))),CHAR(160)," ")))</f>
        <v/>
      </c>
    </row>
    <row r="470" spans="2:13" hidden="1" x14ac:dyDescent="0.25">
      <c r="B470" s="252" t="str">
        <f>'Cyber Incidence'!$M$60</f>
        <v>Cyber Incident Management and Resilience</v>
      </c>
      <c r="C470" s="252" t="str">
        <f>'Cyber Incidence'!$A$60</f>
        <v>Detection, Response, and Mitigation</v>
      </c>
      <c r="D470" s="252" t="str">
        <f>'Cyber Incidence'!$B$60</f>
        <v>Detection</v>
      </c>
      <c r="E470" s="252" t="str">
        <f>'Cyber Incidence'!$C$60</f>
        <v>Innovative</v>
      </c>
      <c r="F470" s="252">
        <f>'Cyber Incidence'!$D$60</f>
        <v>0</v>
      </c>
      <c r="G470" s="252">
        <f>'Cyber Incidence'!$N$60</f>
        <v>0</v>
      </c>
      <c r="H470" s="252">
        <f>'Cyber Incidence'!$O$60</f>
        <v>0</v>
      </c>
      <c r="I470" s="252">
        <f>'Cyber Incidence'!$P$60</f>
        <v>0</v>
      </c>
      <c r="J470" s="252">
        <f>'Cyber Incidence'!$Q$60</f>
        <v>0</v>
      </c>
      <c r="K470" t="s">
        <v>560</v>
      </c>
      <c r="L470" t="str">
        <f>IF(combinedMaturityTable[[#This Row],[Maturity Level]]="Baseline",LEFT(combinedMaturityTable[[#This Row],[DS]],FIND("(FFIEC ",combinedMaturityTable[[#This Row],[DS]])-1),"")</f>
        <v/>
      </c>
      <c r="M470" s="293" t="str">
        <f>CLEAN(TRIM(SUBSTITUTE(LEFT(combinedMaturityTable[[#This Row],[DSm]],MIN(250,LEN(combinedMaturityTable[[#This Row],[DSm]]))),CHAR(160)," ")))</f>
        <v/>
      </c>
    </row>
    <row r="471" spans="2:13" x14ac:dyDescent="0.25">
      <c r="B471" s="252" t="str">
        <f>'Cyber Incidence'!$M$61</f>
        <v>Cyber Incident Management and Resilience</v>
      </c>
      <c r="C471" s="252" t="str">
        <f>'Cyber Incidence'!$A$61</f>
        <v>Detection, Response, and Mitigation</v>
      </c>
      <c r="D471" s="252" t="str">
        <f>'Cyber Incidence'!$B$61</f>
        <v>Response and Mitigation</v>
      </c>
      <c r="E471" s="252" t="str">
        <f>'Cyber Incidence'!$C$61</f>
        <v>Baseline</v>
      </c>
      <c r="F471" s="252">
        <f>'Cyber Incidence'!$D$61</f>
        <v>0</v>
      </c>
      <c r="G471" s="252">
        <f>'Cyber Incidence'!$N$61</f>
        <v>0</v>
      </c>
      <c r="H471" s="252">
        <f>'Cyber Incidence'!$O$61</f>
        <v>0</v>
      </c>
      <c r="I471" s="252">
        <f>'Cyber Incidence'!$P$61</f>
        <v>0</v>
      </c>
      <c r="J471" s="252">
        <f>'Cyber Incidence'!$Q$61</f>
        <v>0</v>
      </c>
      <c r="K471" t="s">
        <v>561</v>
      </c>
      <c r="L471" t="str">
        <f>IF(combinedMaturityTable[[#This Row],[Maturity Level]]="Baseline",LEFT(combinedMaturityTable[[#This Row],[DS]],FIND("(FFIEC ",combinedMaturityTable[[#This Row],[DS]])-1),"")</f>
        <v xml:space="preserve">Appropriate steps are taken to contain and control an incident to prevent further unauthorized access to or use of customer information. </v>
      </c>
      <c r="M471" s="293" t="str">
        <f>CLEAN(TRIM(SUBSTITUTE(LEFT(combinedMaturityTable[[#This Row],[DSm]],MIN(250,LEN(combinedMaturityTable[[#This Row],[DSm]]))),CHAR(160)," ")))</f>
        <v>Appropriate steps are taken to contain and control an incident to prevent further unauthorized access to or use of customer information.</v>
      </c>
    </row>
    <row r="472" spans="2:13" hidden="1" x14ac:dyDescent="0.25">
      <c r="B472" s="252" t="str">
        <f>'Cyber Incidence'!$M$62</f>
        <v>Cyber Incident Management and Resilience</v>
      </c>
      <c r="C472" s="252" t="str">
        <f>'Cyber Incidence'!$A$62</f>
        <v>Detection, Response, and Mitigation</v>
      </c>
      <c r="D472" s="252" t="str">
        <f>'Cyber Incidence'!$B$62</f>
        <v>Response and Mitigation</v>
      </c>
      <c r="E472" s="252" t="str">
        <f>'Cyber Incidence'!$C$62</f>
        <v>Evolving</v>
      </c>
      <c r="F472" s="252">
        <f>'Cyber Incidence'!$D$62</f>
        <v>0</v>
      </c>
      <c r="G472" s="252">
        <f>'Cyber Incidence'!$N$62</f>
        <v>0</v>
      </c>
      <c r="H472" s="252">
        <f>'Cyber Incidence'!$O$62</f>
        <v>0</v>
      </c>
      <c r="I472" s="252">
        <f>'Cyber Incidence'!$P$62</f>
        <v>0</v>
      </c>
      <c r="J472" s="252">
        <f>'Cyber Incidence'!$Q$62</f>
        <v>0</v>
      </c>
      <c r="K472" t="s">
        <v>563</v>
      </c>
      <c r="L472" t="str">
        <f>IF(combinedMaturityTable[[#This Row],[Maturity Level]]="Baseline",LEFT(combinedMaturityTable[[#This Row],[DS]],FIND("(FFIEC ",combinedMaturityTable[[#This Row],[DS]])-1),"")</f>
        <v/>
      </c>
      <c r="M472" s="293" t="str">
        <f>CLEAN(TRIM(SUBSTITUTE(LEFT(combinedMaturityTable[[#This Row],[DSm]],MIN(250,LEN(combinedMaturityTable[[#This Row],[DSm]]))),CHAR(160)," ")))</f>
        <v/>
      </c>
    </row>
    <row r="473" spans="2:13" hidden="1" x14ac:dyDescent="0.25">
      <c r="B473" s="252" t="str">
        <f>'Cyber Incidence'!$M$63</f>
        <v>Cyber Incident Management and Resilience</v>
      </c>
      <c r="C473" s="252" t="str">
        <f>'Cyber Incidence'!$A$63</f>
        <v>Detection, Response, and Mitigation</v>
      </c>
      <c r="D473" s="252" t="str">
        <f>'Cyber Incidence'!$B$63</f>
        <v>Response and Mitigation</v>
      </c>
      <c r="E473" s="252" t="str">
        <f>'Cyber Incidence'!$C$63</f>
        <v>Evolving</v>
      </c>
      <c r="F473" s="252">
        <f>'Cyber Incidence'!$D$63</f>
        <v>0</v>
      </c>
      <c r="G473" s="252">
        <f>'Cyber Incidence'!$N$63</f>
        <v>0</v>
      </c>
      <c r="H473" s="252">
        <f>'Cyber Incidence'!$O$63</f>
        <v>0</v>
      </c>
      <c r="I473" s="252">
        <f>'Cyber Incidence'!$P$63</f>
        <v>0</v>
      </c>
      <c r="J473" s="252">
        <f>'Cyber Incidence'!$Q$63</f>
        <v>0</v>
      </c>
      <c r="K473" t="s">
        <v>564</v>
      </c>
      <c r="L473" t="str">
        <f>IF(combinedMaturityTable[[#This Row],[Maturity Level]]="Baseline",LEFT(combinedMaturityTable[[#This Row],[DS]],FIND("(FFIEC ",combinedMaturityTable[[#This Row],[DS]])-1),"")</f>
        <v/>
      </c>
      <c r="M473" s="293" t="str">
        <f>CLEAN(TRIM(SUBSTITUTE(LEFT(combinedMaturityTable[[#This Row],[DSm]],MIN(250,LEN(combinedMaturityTable[[#This Row],[DSm]]))),CHAR(160)," ")))</f>
        <v/>
      </c>
    </row>
    <row r="474" spans="2:13" hidden="1" x14ac:dyDescent="0.25">
      <c r="B474" s="252" t="str">
        <f>'Cyber Incidence'!$M$64</f>
        <v>Cyber Incident Management and Resilience</v>
      </c>
      <c r="C474" s="252" t="str">
        <f>'Cyber Incidence'!$A$64</f>
        <v>Detection, Response, and Mitigation</v>
      </c>
      <c r="D474" s="252" t="str">
        <f>'Cyber Incidence'!$B$64</f>
        <v>Response and Mitigation</v>
      </c>
      <c r="E474" s="252" t="str">
        <f>'Cyber Incidence'!$C$64</f>
        <v>Evolving</v>
      </c>
      <c r="F474" s="252">
        <f>'Cyber Incidence'!$D$64</f>
        <v>0</v>
      </c>
      <c r="G474" s="252">
        <f>'Cyber Incidence'!$N$64</f>
        <v>0</v>
      </c>
      <c r="H474" s="252">
        <f>'Cyber Incidence'!$O$64</f>
        <v>0</v>
      </c>
      <c r="I474" s="252">
        <f>'Cyber Incidence'!$P$64</f>
        <v>0</v>
      </c>
      <c r="J474" s="252">
        <f>'Cyber Incidence'!$Q$64</f>
        <v>0</v>
      </c>
      <c r="K474" t="s">
        <v>565</v>
      </c>
      <c r="L474" t="str">
        <f>IF(combinedMaturityTable[[#This Row],[Maturity Level]]="Baseline",LEFT(combinedMaturityTable[[#This Row],[DS]],FIND("(FFIEC ",combinedMaturityTable[[#This Row],[DS]])-1),"")</f>
        <v/>
      </c>
      <c r="M474" s="293" t="str">
        <f>CLEAN(TRIM(SUBSTITUTE(LEFT(combinedMaturityTable[[#This Row],[DSm]],MIN(250,LEN(combinedMaturityTable[[#This Row],[DSm]]))),CHAR(160)," ")))</f>
        <v/>
      </c>
    </row>
    <row r="475" spans="2:13" hidden="1" x14ac:dyDescent="0.25">
      <c r="B475" s="252" t="str">
        <f>'Cyber Incidence'!$M$65</f>
        <v>Cyber Incident Management and Resilience</v>
      </c>
      <c r="C475" s="252" t="str">
        <f>'Cyber Incidence'!$A$65</f>
        <v>Detection, Response, and Mitigation</v>
      </c>
      <c r="D475" s="252" t="str">
        <f>'Cyber Incidence'!$B$65</f>
        <v>Response and Mitigation</v>
      </c>
      <c r="E475" s="252" t="str">
        <f>'Cyber Incidence'!$C$65</f>
        <v>Evolving</v>
      </c>
      <c r="F475" s="252">
        <f>'Cyber Incidence'!$D$65</f>
        <v>0</v>
      </c>
      <c r="G475" s="252">
        <f>'Cyber Incidence'!$N$65</f>
        <v>0</v>
      </c>
      <c r="H475" s="252">
        <f>'Cyber Incidence'!$O$65</f>
        <v>0</v>
      </c>
      <c r="I475" s="252">
        <f>'Cyber Incidence'!$P$65</f>
        <v>0</v>
      </c>
      <c r="J475" s="252">
        <f>'Cyber Incidence'!$Q$65</f>
        <v>0</v>
      </c>
      <c r="K475" t="s">
        <v>566</v>
      </c>
      <c r="L475" t="str">
        <f>IF(combinedMaturityTable[[#This Row],[Maturity Level]]="Baseline",LEFT(combinedMaturityTable[[#This Row],[DS]],FIND("(FFIEC ",combinedMaturityTable[[#This Row],[DS]])-1),"")</f>
        <v/>
      </c>
      <c r="M475" s="293" t="str">
        <f>CLEAN(TRIM(SUBSTITUTE(LEFT(combinedMaturityTable[[#This Row],[DSm]],MIN(250,LEN(combinedMaturityTable[[#This Row],[DSm]]))),CHAR(160)," ")))</f>
        <v/>
      </c>
    </row>
    <row r="476" spans="2:13" hidden="1" x14ac:dyDescent="0.25">
      <c r="B476" s="252" t="str">
        <f>'Cyber Incidence'!$M$66</f>
        <v>Cyber Incident Management and Resilience</v>
      </c>
      <c r="C476" s="252" t="str">
        <f>'Cyber Incidence'!$A$66</f>
        <v>Detection, Response, and Mitigation</v>
      </c>
      <c r="D476" s="252" t="str">
        <f>'Cyber Incidence'!$B$66</f>
        <v>Response and Mitigation</v>
      </c>
      <c r="E476" s="252" t="str">
        <f>'Cyber Incidence'!$C$66</f>
        <v>Evolving</v>
      </c>
      <c r="F476" s="252">
        <f>'Cyber Incidence'!$D$66</f>
        <v>0</v>
      </c>
      <c r="G476" s="252">
        <f>'Cyber Incidence'!$N$66</f>
        <v>0</v>
      </c>
      <c r="H476" s="252">
        <f>'Cyber Incidence'!$O$66</f>
        <v>0</v>
      </c>
      <c r="I476" s="252">
        <f>'Cyber Incidence'!$P$66</f>
        <v>0</v>
      </c>
      <c r="J476" s="252">
        <f>'Cyber Incidence'!$Q$66</f>
        <v>0</v>
      </c>
      <c r="K476" t="s">
        <v>567</v>
      </c>
      <c r="L476" t="str">
        <f>IF(combinedMaturityTable[[#This Row],[Maturity Level]]="Baseline",LEFT(combinedMaturityTable[[#This Row],[DS]],FIND("(FFIEC ",combinedMaturityTable[[#This Row],[DS]])-1),"")</f>
        <v/>
      </c>
      <c r="M476" s="293" t="str">
        <f>CLEAN(TRIM(SUBSTITUTE(LEFT(combinedMaturityTable[[#This Row],[DSm]],MIN(250,LEN(combinedMaturityTable[[#This Row],[DSm]]))),CHAR(160)," ")))</f>
        <v/>
      </c>
    </row>
    <row r="477" spans="2:13" hidden="1" x14ac:dyDescent="0.25">
      <c r="B477" s="252" t="str">
        <f>'Cyber Incidence'!$M$67</f>
        <v>Cyber Incident Management and Resilience</v>
      </c>
      <c r="C477" s="252" t="str">
        <f>'Cyber Incidence'!$A$67</f>
        <v>Detection, Response, and Mitigation</v>
      </c>
      <c r="D477" s="252" t="str">
        <f>'Cyber Incidence'!$B$67</f>
        <v>Response and Mitigation</v>
      </c>
      <c r="E477" s="252" t="str">
        <f>'Cyber Incidence'!$C$67</f>
        <v>Evolving</v>
      </c>
      <c r="F477" s="252">
        <f>'Cyber Incidence'!$D$67</f>
        <v>0</v>
      </c>
      <c r="G477" s="252">
        <f>'Cyber Incidence'!$N$67</f>
        <v>0</v>
      </c>
      <c r="H477" s="252">
        <f>'Cyber Incidence'!$O$67</f>
        <v>0</v>
      </c>
      <c r="I477" s="252">
        <f>'Cyber Incidence'!$P$67</f>
        <v>0</v>
      </c>
      <c r="J477" s="252">
        <f>'Cyber Incidence'!$Q$67</f>
        <v>0</v>
      </c>
      <c r="K477" t="s">
        <v>568</v>
      </c>
      <c r="L477" t="str">
        <f>IF(combinedMaturityTable[[#This Row],[Maturity Level]]="Baseline",LEFT(combinedMaturityTable[[#This Row],[DS]],FIND("(FFIEC ",combinedMaturityTable[[#This Row],[DS]])-1),"")</f>
        <v/>
      </c>
      <c r="M477" s="293" t="str">
        <f>CLEAN(TRIM(SUBSTITUTE(LEFT(combinedMaturityTable[[#This Row],[DSm]],MIN(250,LEN(combinedMaturityTable[[#This Row],[DSm]]))),CHAR(160)," ")))</f>
        <v/>
      </c>
    </row>
    <row r="478" spans="2:13" hidden="1" x14ac:dyDescent="0.25">
      <c r="B478" s="252" t="str">
        <f>'Cyber Incidence'!$M$68</f>
        <v>Cyber Incident Management and Resilience</v>
      </c>
      <c r="C478" s="252" t="str">
        <f>'Cyber Incidence'!$A$68</f>
        <v>Detection, Response, and Mitigation</v>
      </c>
      <c r="D478" s="252" t="str">
        <f>'Cyber Incidence'!$B$68</f>
        <v>Response and Mitigation</v>
      </c>
      <c r="E478" s="252" t="str">
        <f>'Cyber Incidence'!$C$68</f>
        <v>Evolving</v>
      </c>
      <c r="F478" s="252">
        <f>'Cyber Incidence'!$D$68</f>
        <v>0</v>
      </c>
      <c r="G478" s="252">
        <f>'Cyber Incidence'!$N$68</f>
        <v>0</v>
      </c>
      <c r="H478" s="252">
        <f>'Cyber Incidence'!$O$68</f>
        <v>0</v>
      </c>
      <c r="I478" s="252">
        <f>'Cyber Incidence'!$P$68</f>
        <v>0</v>
      </c>
      <c r="J478" s="252">
        <f>'Cyber Incidence'!$Q$68</f>
        <v>0</v>
      </c>
      <c r="K478" t="s">
        <v>569</v>
      </c>
      <c r="L478" t="str">
        <f>IF(combinedMaturityTable[[#This Row],[Maturity Level]]="Baseline",LEFT(combinedMaturityTable[[#This Row],[DS]],FIND("(FFIEC ",combinedMaturityTable[[#This Row],[DS]])-1),"")</f>
        <v/>
      </c>
      <c r="M478" s="293" t="str">
        <f>CLEAN(TRIM(SUBSTITUTE(LEFT(combinedMaturityTable[[#This Row],[DSm]],MIN(250,LEN(combinedMaturityTable[[#This Row],[DSm]]))),CHAR(160)," ")))</f>
        <v/>
      </c>
    </row>
    <row r="479" spans="2:13" hidden="1" x14ac:dyDescent="0.25">
      <c r="B479" s="252" t="str">
        <f>'Cyber Incidence'!$M$69</f>
        <v>Cyber Incident Management and Resilience</v>
      </c>
      <c r="C479" s="252" t="str">
        <f>'Cyber Incidence'!$A$69</f>
        <v>Detection, Response, and Mitigation</v>
      </c>
      <c r="D479" s="252" t="str">
        <f>'Cyber Incidence'!$B$69</f>
        <v>Response and Mitigation</v>
      </c>
      <c r="E479" s="252" t="str">
        <f>'Cyber Incidence'!$C$69</f>
        <v>Evolving</v>
      </c>
      <c r="F479" s="252">
        <f>'Cyber Incidence'!$D$69</f>
        <v>0</v>
      </c>
      <c r="G479" s="252">
        <f>'Cyber Incidence'!$N$69</f>
        <v>0</v>
      </c>
      <c r="H479" s="252">
        <f>'Cyber Incidence'!$O$69</f>
        <v>0</v>
      </c>
      <c r="I479" s="252">
        <f>'Cyber Incidence'!$P$69</f>
        <v>0</v>
      </c>
      <c r="J479" s="252">
        <f>'Cyber Incidence'!$Q$69</f>
        <v>0</v>
      </c>
      <c r="K479" t="s">
        <v>570</v>
      </c>
      <c r="L479" t="str">
        <f>IF(combinedMaturityTable[[#This Row],[Maturity Level]]="Baseline",LEFT(combinedMaturityTable[[#This Row],[DS]],FIND("(FFIEC ",combinedMaturityTable[[#This Row],[DS]])-1),"")</f>
        <v/>
      </c>
      <c r="M479" s="293" t="str">
        <f>CLEAN(TRIM(SUBSTITUTE(LEFT(combinedMaturityTable[[#This Row],[DSm]],MIN(250,LEN(combinedMaturityTable[[#This Row],[DSm]]))),CHAR(160)," ")))</f>
        <v/>
      </c>
    </row>
    <row r="480" spans="2:13" hidden="1" x14ac:dyDescent="0.25">
      <c r="B480" s="252" t="str">
        <f>'Cyber Incidence'!$M$70</f>
        <v>Cyber Incident Management and Resilience</v>
      </c>
      <c r="C480" s="252" t="str">
        <f>'Cyber Incidence'!$A$70</f>
        <v>Detection, Response, and Mitigation</v>
      </c>
      <c r="D480" s="252" t="str">
        <f>'Cyber Incidence'!$B$70</f>
        <v>Response and Mitigation</v>
      </c>
      <c r="E480" s="252" t="str">
        <f>'Cyber Incidence'!$C$70</f>
        <v>Intermediate</v>
      </c>
      <c r="F480" s="252">
        <f>'Cyber Incidence'!$D$70</f>
        <v>0</v>
      </c>
      <c r="G480" s="252">
        <f>'Cyber Incidence'!$N$70</f>
        <v>0</v>
      </c>
      <c r="H480" s="252">
        <f>'Cyber Incidence'!$O$70</f>
        <v>0</v>
      </c>
      <c r="I480" s="252">
        <f>'Cyber Incidence'!$P$70</f>
        <v>0</v>
      </c>
      <c r="J480" s="252">
        <f>'Cyber Incidence'!$Q$70</f>
        <v>0</v>
      </c>
      <c r="K480" t="s">
        <v>571</v>
      </c>
      <c r="L480" t="str">
        <f>IF(combinedMaturityTable[[#This Row],[Maturity Level]]="Baseline",LEFT(combinedMaturityTable[[#This Row],[DS]],FIND("(FFIEC ",combinedMaturityTable[[#This Row],[DS]])-1),"")</f>
        <v/>
      </c>
      <c r="M480" s="293" t="str">
        <f>CLEAN(TRIM(SUBSTITUTE(LEFT(combinedMaturityTable[[#This Row],[DSm]],MIN(250,LEN(combinedMaturityTable[[#This Row],[DSm]]))),CHAR(160)," ")))</f>
        <v/>
      </c>
    </row>
    <row r="481" spans="2:13" hidden="1" x14ac:dyDescent="0.25">
      <c r="B481" s="252" t="str">
        <f>'Cyber Incidence'!$M$71</f>
        <v>Cyber Incident Management and Resilience</v>
      </c>
      <c r="C481" s="252" t="str">
        <f>'Cyber Incidence'!$A$71</f>
        <v>Detection, Response, and Mitigation</v>
      </c>
      <c r="D481" s="252" t="str">
        <f>'Cyber Incidence'!$B$71</f>
        <v>Response and Mitigation</v>
      </c>
      <c r="E481" s="252" t="str">
        <f>'Cyber Incidence'!$C$71</f>
        <v>Intermediate</v>
      </c>
      <c r="F481" s="252">
        <f>'Cyber Incidence'!$D$71</f>
        <v>0</v>
      </c>
      <c r="G481" s="252">
        <f>'Cyber Incidence'!$N$71</f>
        <v>0</v>
      </c>
      <c r="H481" s="252">
        <f>'Cyber Incidence'!$O$71</f>
        <v>0</v>
      </c>
      <c r="I481" s="252">
        <f>'Cyber Incidence'!$P$71</f>
        <v>0</v>
      </c>
      <c r="J481" s="252">
        <f>'Cyber Incidence'!$Q$71</f>
        <v>0</v>
      </c>
      <c r="K481" t="s">
        <v>572</v>
      </c>
      <c r="L481" t="str">
        <f>IF(combinedMaturityTable[[#This Row],[Maturity Level]]="Baseline",LEFT(combinedMaturityTable[[#This Row],[DS]],FIND("(FFIEC ",combinedMaturityTable[[#This Row],[DS]])-1),"")</f>
        <v/>
      </c>
      <c r="M481" s="293" t="str">
        <f>CLEAN(TRIM(SUBSTITUTE(LEFT(combinedMaturityTable[[#This Row],[DSm]],MIN(250,LEN(combinedMaturityTable[[#This Row],[DSm]]))),CHAR(160)," ")))</f>
        <v/>
      </c>
    </row>
    <row r="482" spans="2:13" hidden="1" x14ac:dyDescent="0.25">
      <c r="B482" s="252" t="str">
        <f>'Cyber Incidence'!$M$72</f>
        <v>Cyber Incident Management and Resilience</v>
      </c>
      <c r="C482" s="252" t="str">
        <f>'Cyber Incidence'!$A$72</f>
        <v>Detection, Response, and Mitigation</v>
      </c>
      <c r="D482" s="252" t="str">
        <f>'Cyber Incidence'!$B$72</f>
        <v>Response and Mitigation</v>
      </c>
      <c r="E482" s="252" t="str">
        <f>'Cyber Incidence'!$C$72</f>
        <v>Intermediate</v>
      </c>
      <c r="F482" s="252">
        <f>'Cyber Incidence'!$D$72</f>
        <v>0</v>
      </c>
      <c r="G482" s="252">
        <f>'Cyber Incidence'!$N$72</f>
        <v>0</v>
      </c>
      <c r="H482" s="252">
        <f>'Cyber Incidence'!$O$72</f>
        <v>0</v>
      </c>
      <c r="I482" s="252">
        <f>'Cyber Incidence'!$P$72</f>
        <v>0</v>
      </c>
      <c r="J482" s="252">
        <f>'Cyber Incidence'!$Q$72</f>
        <v>0</v>
      </c>
      <c r="K482" t="s">
        <v>573</v>
      </c>
      <c r="L482" t="str">
        <f>IF(combinedMaturityTable[[#This Row],[Maturity Level]]="Baseline",LEFT(combinedMaturityTable[[#This Row],[DS]],FIND("(FFIEC ",combinedMaturityTable[[#This Row],[DS]])-1),"")</f>
        <v/>
      </c>
      <c r="M482" s="293" t="str">
        <f>CLEAN(TRIM(SUBSTITUTE(LEFT(combinedMaturityTable[[#This Row],[DSm]],MIN(250,LEN(combinedMaturityTable[[#This Row],[DSm]]))),CHAR(160)," ")))</f>
        <v/>
      </c>
    </row>
    <row r="483" spans="2:13" hidden="1" x14ac:dyDescent="0.25">
      <c r="B483" s="252" t="str">
        <f>'Cyber Incidence'!$M$73</f>
        <v>Cyber Incident Management and Resilience</v>
      </c>
      <c r="C483" s="252" t="str">
        <f>'Cyber Incidence'!$A$73</f>
        <v>Detection, Response, and Mitigation</v>
      </c>
      <c r="D483" s="252" t="str">
        <f>'Cyber Incidence'!$B$73</f>
        <v>Response and Mitigation</v>
      </c>
      <c r="E483" s="252" t="str">
        <f>'Cyber Incidence'!$C$73</f>
        <v>Intermediate</v>
      </c>
      <c r="F483" s="252">
        <f>'Cyber Incidence'!$D$73</f>
        <v>0</v>
      </c>
      <c r="G483" s="252">
        <f>'Cyber Incidence'!$N$73</f>
        <v>0</v>
      </c>
      <c r="H483" s="252">
        <f>'Cyber Incidence'!$O$73</f>
        <v>0</v>
      </c>
      <c r="I483" s="252">
        <f>'Cyber Incidence'!$P$73</f>
        <v>0</v>
      </c>
      <c r="J483" s="252">
        <f>'Cyber Incidence'!$Q$73</f>
        <v>0</v>
      </c>
      <c r="K483" t="s">
        <v>574</v>
      </c>
      <c r="L483" t="str">
        <f>IF(combinedMaturityTable[[#This Row],[Maturity Level]]="Baseline",LEFT(combinedMaturityTable[[#This Row],[DS]],FIND("(FFIEC ",combinedMaturityTable[[#This Row],[DS]])-1),"")</f>
        <v/>
      </c>
      <c r="M483" s="293" t="str">
        <f>CLEAN(TRIM(SUBSTITUTE(LEFT(combinedMaturityTable[[#This Row],[DSm]],MIN(250,LEN(combinedMaturityTable[[#This Row],[DSm]]))),CHAR(160)," ")))</f>
        <v/>
      </c>
    </row>
    <row r="484" spans="2:13" hidden="1" x14ac:dyDescent="0.25">
      <c r="B484" s="252" t="str">
        <f>'Cyber Incidence'!$M$74</f>
        <v>Cyber Incident Management and Resilience</v>
      </c>
      <c r="C484" s="252" t="str">
        <f>'Cyber Incidence'!$A$74</f>
        <v>Detection, Response, and Mitigation</v>
      </c>
      <c r="D484" s="252" t="str">
        <f>'Cyber Incidence'!$B$74</f>
        <v>Response and Mitigation</v>
      </c>
      <c r="E484" s="252" t="str">
        <f>'Cyber Incidence'!$C$74</f>
        <v>Advanced</v>
      </c>
      <c r="F484" s="252">
        <f>'Cyber Incidence'!$D$74</f>
        <v>0</v>
      </c>
      <c r="G484" s="252">
        <f>'Cyber Incidence'!$N$74</f>
        <v>0</v>
      </c>
      <c r="H484" s="252">
        <f>'Cyber Incidence'!$O$74</f>
        <v>0</v>
      </c>
      <c r="I484" s="252">
        <f>'Cyber Incidence'!$P$74</f>
        <v>0</v>
      </c>
      <c r="J484" s="252">
        <f>'Cyber Incidence'!$Q$74</f>
        <v>0</v>
      </c>
      <c r="K484" t="s">
        <v>575</v>
      </c>
      <c r="L484" t="str">
        <f>IF(combinedMaturityTable[[#This Row],[Maturity Level]]="Baseline",LEFT(combinedMaturityTable[[#This Row],[DS]],FIND("(FFIEC ",combinedMaturityTable[[#This Row],[DS]])-1),"")</f>
        <v/>
      </c>
      <c r="M484" s="293" t="str">
        <f>CLEAN(TRIM(SUBSTITUTE(LEFT(combinedMaturityTable[[#This Row],[DSm]],MIN(250,LEN(combinedMaturityTable[[#This Row],[DSm]]))),CHAR(160)," ")))</f>
        <v/>
      </c>
    </row>
    <row r="485" spans="2:13" hidden="1" x14ac:dyDescent="0.25">
      <c r="B485" s="252" t="str">
        <f>'Cyber Incidence'!$M$75</f>
        <v>Cyber Incident Management and Resilience</v>
      </c>
      <c r="C485" s="252" t="str">
        <f>'Cyber Incidence'!$A$75</f>
        <v>Detection, Response, and Mitigation</v>
      </c>
      <c r="D485" s="252" t="str">
        <f>'Cyber Incidence'!$B$75</f>
        <v>Response and Mitigation</v>
      </c>
      <c r="E485" s="252" t="str">
        <f>'Cyber Incidence'!$C$75</f>
        <v>Advanced</v>
      </c>
      <c r="F485" s="252">
        <f>'Cyber Incidence'!$D$75</f>
        <v>0</v>
      </c>
      <c r="G485" s="252">
        <f>'Cyber Incidence'!$N$75</f>
        <v>0</v>
      </c>
      <c r="H485" s="252">
        <f>'Cyber Incidence'!$O$75</f>
        <v>0</v>
      </c>
      <c r="I485" s="252">
        <f>'Cyber Incidence'!$P$75</f>
        <v>0</v>
      </c>
      <c r="J485" s="252">
        <f>'Cyber Incidence'!$Q$75</f>
        <v>0</v>
      </c>
      <c r="K485" t="s">
        <v>576</v>
      </c>
      <c r="L485" t="str">
        <f>IF(combinedMaturityTable[[#This Row],[Maturity Level]]="Baseline",LEFT(combinedMaturityTable[[#This Row],[DS]],FIND("(FFIEC ",combinedMaturityTable[[#This Row],[DS]])-1),"")</f>
        <v/>
      </c>
      <c r="M485" s="293" t="str">
        <f>CLEAN(TRIM(SUBSTITUTE(LEFT(combinedMaturityTable[[#This Row],[DSm]],MIN(250,LEN(combinedMaturityTable[[#This Row],[DSm]]))),CHAR(160)," ")))</f>
        <v/>
      </c>
    </row>
    <row r="486" spans="2:13" hidden="1" x14ac:dyDescent="0.25">
      <c r="B486" s="252" t="str">
        <f>'Cyber Incidence'!$M$76</f>
        <v>Cyber Incident Management and Resilience</v>
      </c>
      <c r="C486" s="252" t="str">
        <f>'Cyber Incidence'!$A$76</f>
        <v>Detection, Response, and Mitigation</v>
      </c>
      <c r="D486" s="252" t="str">
        <f>'Cyber Incidence'!$B$76</f>
        <v>Response and Mitigation</v>
      </c>
      <c r="E486" s="252" t="str">
        <f>'Cyber Incidence'!$C$76</f>
        <v>Advanced</v>
      </c>
      <c r="F486" s="252">
        <f>'Cyber Incidence'!$D$76</f>
        <v>0</v>
      </c>
      <c r="G486" s="252">
        <f>'Cyber Incidence'!$N$76</f>
        <v>0</v>
      </c>
      <c r="H486" s="252">
        <f>'Cyber Incidence'!$O$76</f>
        <v>0</v>
      </c>
      <c r="I486" s="252">
        <f>'Cyber Incidence'!$P$76</f>
        <v>0</v>
      </c>
      <c r="J486" s="252">
        <f>'Cyber Incidence'!$Q$76</f>
        <v>0</v>
      </c>
      <c r="K486" t="s">
        <v>577</v>
      </c>
      <c r="L486" t="str">
        <f>IF(combinedMaturityTable[[#This Row],[Maturity Level]]="Baseline",LEFT(combinedMaturityTable[[#This Row],[DS]],FIND("(FFIEC ",combinedMaturityTable[[#This Row],[DS]])-1),"")</f>
        <v/>
      </c>
      <c r="M486" s="293" t="str">
        <f>CLEAN(TRIM(SUBSTITUTE(LEFT(combinedMaturityTable[[#This Row],[DSm]],MIN(250,LEN(combinedMaturityTable[[#This Row],[DSm]]))),CHAR(160)," ")))</f>
        <v/>
      </c>
    </row>
    <row r="487" spans="2:13" hidden="1" x14ac:dyDescent="0.25">
      <c r="B487" s="252" t="str">
        <f>'Cyber Incidence'!$M$77</f>
        <v>Cyber Incident Management and Resilience</v>
      </c>
      <c r="C487" s="252" t="str">
        <f>'Cyber Incidence'!$A$77</f>
        <v>Detection, Response, and Mitigation</v>
      </c>
      <c r="D487" s="252" t="str">
        <f>'Cyber Incidence'!$B$77</f>
        <v>Response and Mitigation</v>
      </c>
      <c r="E487" s="252" t="str">
        <f>'Cyber Incidence'!$C$77</f>
        <v>Innovative</v>
      </c>
      <c r="F487" s="252">
        <f>'Cyber Incidence'!$D$77</f>
        <v>0</v>
      </c>
      <c r="G487" s="252">
        <f>'Cyber Incidence'!$N$77</f>
        <v>0</v>
      </c>
      <c r="H487" s="252">
        <f>'Cyber Incidence'!$O$77</f>
        <v>0</v>
      </c>
      <c r="I487" s="252">
        <f>'Cyber Incidence'!$P$77</f>
        <v>0</v>
      </c>
      <c r="J487" s="252">
        <f>'Cyber Incidence'!$Q$77</f>
        <v>0</v>
      </c>
      <c r="K487" t="s">
        <v>578</v>
      </c>
      <c r="L487" t="str">
        <f>IF(combinedMaturityTable[[#This Row],[Maturity Level]]="Baseline",LEFT(combinedMaturityTable[[#This Row],[DS]],FIND("(FFIEC ",combinedMaturityTable[[#This Row],[DS]])-1),"")</f>
        <v/>
      </c>
      <c r="M487" s="293" t="str">
        <f>CLEAN(TRIM(SUBSTITUTE(LEFT(combinedMaturityTable[[#This Row],[DSm]],MIN(250,LEN(combinedMaturityTable[[#This Row],[DSm]]))),CHAR(160)," ")))</f>
        <v/>
      </c>
    </row>
    <row r="488" spans="2:13" hidden="1" x14ac:dyDescent="0.25">
      <c r="B488" s="252" t="str">
        <f>'Cyber Incidence'!$M$78</f>
        <v>Cyber Incident Management and Resilience</v>
      </c>
      <c r="C488" s="252" t="str">
        <f>'Cyber Incidence'!$A$78</f>
        <v>Detection, Response, and Mitigation</v>
      </c>
      <c r="D488" s="252" t="str">
        <f>'Cyber Incidence'!$B$78</f>
        <v>Response and Mitigation</v>
      </c>
      <c r="E488" s="252" t="str">
        <f>'Cyber Incidence'!$C$78</f>
        <v>Innovative</v>
      </c>
      <c r="F488" s="252">
        <f>'Cyber Incidence'!$D$78</f>
        <v>0</v>
      </c>
      <c r="G488" s="252">
        <f>'Cyber Incidence'!$N$78</f>
        <v>0</v>
      </c>
      <c r="H488" s="252">
        <f>'Cyber Incidence'!$O$78</f>
        <v>0</v>
      </c>
      <c r="I488" s="252">
        <f>'Cyber Incidence'!$P$78</f>
        <v>0</v>
      </c>
      <c r="J488" s="252">
        <f>'Cyber Incidence'!$Q$78</f>
        <v>0</v>
      </c>
      <c r="K488" t="s">
        <v>579</v>
      </c>
      <c r="L488" t="str">
        <f>IF(combinedMaturityTable[[#This Row],[Maturity Level]]="Baseline",LEFT(combinedMaturityTable[[#This Row],[DS]],FIND("(FFIEC ",combinedMaturityTable[[#This Row],[DS]])-1),"")</f>
        <v/>
      </c>
      <c r="M488" s="293" t="str">
        <f>CLEAN(TRIM(SUBSTITUTE(LEFT(combinedMaturityTable[[#This Row],[DSm]],MIN(250,LEN(combinedMaturityTable[[#This Row],[DSm]]))),CHAR(160)," ")))</f>
        <v/>
      </c>
    </row>
    <row r="489" spans="2:13" x14ac:dyDescent="0.25">
      <c r="B489" s="252" t="str">
        <f>'Cyber Incidence'!$M$79</f>
        <v>Cyber Incident Management and Resilience</v>
      </c>
      <c r="C489" s="252" t="str">
        <f>'Cyber Incidence'!$A$79</f>
        <v>Escalation and Reporting</v>
      </c>
      <c r="D489" s="252" t="str">
        <f>'Cyber Incidence'!$B$79</f>
        <v>Escalation and Reporting</v>
      </c>
      <c r="E489" s="252" t="str">
        <f>'Cyber Incidence'!$C$79</f>
        <v>Baseline</v>
      </c>
      <c r="F489" s="252">
        <f>'Cyber Incidence'!$D$79</f>
        <v>0</v>
      </c>
      <c r="G489" s="252">
        <f>'Cyber Incidence'!$N$79</f>
        <v>0</v>
      </c>
      <c r="H489" s="252">
        <f>'Cyber Incidence'!$O$79</f>
        <v>0</v>
      </c>
      <c r="I489" s="252">
        <f>'Cyber Incidence'!$P$79</f>
        <v>0</v>
      </c>
      <c r="J489" s="252">
        <f>'Cyber Incidence'!$Q$79</f>
        <v>0</v>
      </c>
      <c r="K489" t="s">
        <v>581</v>
      </c>
      <c r="L489" t="str">
        <f>IF(combinedMaturityTable[[#This Row],[Maturity Level]]="Baseline",LEFT(combinedMaturityTable[[#This Row],[DS]],FIND("(FFIEC ",combinedMaturityTable[[#This Row],[DS]])-1),"")</f>
        <v xml:space="preserve">A process exists to contact personnel who are responsible for analyzing and responding to an incident. </v>
      </c>
      <c r="M489" s="293" t="str">
        <f>CLEAN(TRIM(SUBSTITUTE(LEFT(combinedMaturityTable[[#This Row],[DSm]],MIN(250,LEN(combinedMaturityTable[[#This Row],[DSm]]))),CHAR(160)," ")))</f>
        <v>A process exists to contact personnel who are responsible for analyzing and responding to an incident.</v>
      </c>
    </row>
    <row r="490" spans="2:13" x14ac:dyDescent="0.25">
      <c r="B490" s="252" t="str">
        <f>'Cyber Incidence'!$M$80</f>
        <v>Cyber Incident Management and Resilience</v>
      </c>
      <c r="C490" s="252" t="str">
        <f>'Cyber Incidence'!$A$80</f>
        <v>Escalation and Reporting</v>
      </c>
      <c r="D490" s="252" t="str">
        <f>'Cyber Incidence'!$B$80</f>
        <v>Escalation and Reporting</v>
      </c>
      <c r="E490" s="252" t="str">
        <f>'Cyber Incidence'!$C$80</f>
        <v>Baseline</v>
      </c>
      <c r="F490" s="252">
        <f>'Cyber Incidence'!$D$80</f>
        <v>0</v>
      </c>
      <c r="G490" s="252">
        <f>'Cyber Incidence'!$N$80</f>
        <v>0</v>
      </c>
      <c r="H490" s="252">
        <f>'Cyber Incidence'!$O$80</f>
        <v>0</v>
      </c>
      <c r="I490" s="252">
        <f>'Cyber Incidence'!$P$80</f>
        <v>0</v>
      </c>
      <c r="J490" s="252">
        <f>'Cyber Incidence'!$Q$80</f>
        <v>0</v>
      </c>
      <c r="K490" t="s">
        <v>582</v>
      </c>
      <c r="L490" t="str">
        <f>IF(combinedMaturityTable[[#This Row],[Maturity Level]]="Baseline",LEFT(combinedMaturityTable[[#This Row],[DS]],FIND("(FFIEC ",combinedMaturityTable[[#This Row],[DS]])-1),"")</f>
        <v xml:space="preserve">Procedures exist to notify customers, regulators, and law enforcement as required or necessary when the institution becomes aware of an incident involving the unauthorized access to or use of sensitive customer information. </v>
      </c>
      <c r="M490" s="293" t="str">
        <f>CLEAN(TRIM(SUBSTITUTE(LEFT(combinedMaturityTable[[#This Row],[DSm]],MIN(250,LEN(combinedMaturityTable[[#This Row],[DSm]]))),CHAR(160)," ")))</f>
        <v>Procedures exist to notify customers, regulators, and law enforcement as required or necessary when the institution becomes aware of an incident involving the unauthorized access to or use of sensitive customer information.</v>
      </c>
    </row>
    <row r="491" spans="2:13" x14ac:dyDescent="0.25">
      <c r="B491" s="252" t="str">
        <f>'Cyber Incidence'!$M$81</f>
        <v>Cyber Incident Management and Resilience</v>
      </c>
      <c r="C491" s="252" t="str">
        <f>'Cyber Incidence'!$A$81</f>
        <v>Escalation and Reporting</v>
      </c>
      <c r="D491" s="252" t="str">
        <f>'Cyber Incidence'!$B$81</f>
        <v>Escalation and Reporting</v>
      </c>
      <c r="E491" s="252" t="str">
        <f>'Cyber Incidence'!$C$81</f>
        <v>Baseline</v>
      </c>
      <c r="F491" s="252">
        <f>'Cyber Incidence'!$D$81</f>
        <v>0</v>
      </c>
      <c r="G491" s="252">
        <f>'Cyber Incidence'!$N$81</f>
        <v>0</v>
      </c>
      <c r="H491" s="252">
        <f>'Cyber Incidence'!$O$81</f>
        <v>0</v>
      </c>
      <c r="I491" s="252">
        <f>'Cyber Incidence'!$P$81</f>
        <v>0</v>
      </c>
      <c r="J491" s="252">
        <f>'Cyber Incidence'!$Q$81</f>
        <v>0</v>
      </c>
      <c r="K491" t="s">
        <v>583</v>
      </c>
      <c r="L491" t="str">
        <f>IF(combinedMaturityTable[[#This Row],[Maturity Level]]="Baseline",LEFT(combinedMaturityTable[[#This Row],[DS]],FIND("(FFIEC ",combinedMaturityTable[[#This Row],[DS]])-1),"")</f>
        <v xml:space="preserve">The institution prepares an annual report of security incidents or violations for the board or an appropriate board committee. </v>
      </c>
      <c r="M491" s="293" t="str">
        <f>CLEAN(TRIM(SUBSTITUTE(LEFT(combinedMaturityTable[[#This Row],[DSm]],MIN(250,LEN(combinedMaturityTable[[#This Row],[DSm]]))),CHAR(160)," ")))</f>
        <v>The institution prepares an annual report of security incidents or violations for the board or an appropriate board committee.</v>
      </c>
    </row>
    <row r="492" spans="2:13" x14ac:dyDescent="0.25">
      <c r="B492" s="252" t="str">
        <f>'Cyber Incidence'!$M$82</f>
        <v>Cyber Incident Management and Resilience</v>
      </c>
      <c r="C492" s="252" t="str">
        <f>'Cyber Incidence'!$A$82</f>
        <v>Escalation and Reporting</v>
      </c>
      <c r="D492" s="252" t="str">
        <f>'Cyber Incidence'!$B$82</f>
        <v>Escalation and Reporting</v>
      </c>
      <c r="E492" s="252" t="str">
        <f>'Cyber Incidence'!$C$82</f>
        <v>Baseline</v>
      </c>
      <c r="F492" s="252">
        <f>'Cyber Incidence'!$D$82</f>
        <v>0</v>
      </c>
      <c r="G492" s="252">
        <f>'Cyber Incidence'!$N$82</f>
        <v>0</v>
      </c>
      <c r="H492" s="252">
        <f>'Cyber Incidence'!$O$82</f>
        <v>0</v>
      </c>
      <c r="I492" s="252">
        <f>'Cyber Incidence'!$P$82</f>
        <v>0</v>
      </c>
      <c r="J492" s="252">
        <f>'Cyber Incidence'!$Q$82</f>
        <v>0</v>
      </c>
      <c r="K492" t="s">
        <v>584</v>
      </c>
      <c r="L492" t="str">
        <f>IF(combinedMaturityTable[[#This Row],[Maturity Level]]="Baseline",LEFT(combinedMaturityTable[[#This Row],[DS]],FIND("(FFIEC ",combinedMaturityTable[[#This Row],[DS]])-1),"")</f>
        <v xml:space="preserve">Incidents are classified, logged, and tracked. </v>
      </c>
      <c r="M492" s="293" t="str">
        <f>CLEAN(TRIM(SUBSTITUTE(LEFT(combinedMaturityTable[[#This Row],[DSm]],MIN(250,LEN(combinedMaturityTable[[#This Row],[DSm]]))),CHAR(160)," ")))</f>
        <v>Incidents are classified, logged, and tracked.</v>
      </c>
    </row>
    <row r="493" spans="2:13" hidden="1" x14ac:dyDescent="0.25">
      <c r="B493" s="252" t="str">
        <f>'Cyber Incidence'!$M$83</f>
        <v>Cyber Incident Management and Resilience</v>
      </c>
      <c r="C493" s="252" t="str">
        <f>'Cyber Incidence'!$A$83</f>
        <v>Escalation and Reporting</v>
      </c>
      <c r="D493" s="252" t="str">
        <f>'Cyber Incidence'!$B$83</f>
        <v>Escalation and Reporting</v>
      </c>
      <c r="E493" s="252" t="str">
        <f>'Cyber Incidence'!$C$83</f>
        <v>Evolving</v>
      </c>
      <c r="F493" s="252">
        <f>'Cyber Incidence'!$D$83</f>
        <v>0</v>
      </c>
      <c r="G493" s="252">
        <f>'Cyber Incidence'!$N$83</f>
        <v>0</v>
      </c>
      <c r="H493" s="252">
        <f>'Cyber Incidence'!$O$83</f>
        <v>0</v>
      </c>
      <c r="I493" s="252">
        <f>'Cyber Incidence'!$P$83</f>
        <v>0</v>
      </c>
      <c r="J493" s="252">
        <f>'Cyber Incidence'!$Q$83</f>
        <v>0</v>
      </c>
      <c r="K493" t="s">
        <v>585</v>
      </c>
      <c r="L493" t="str">
        <f>IF(combinedMaturityTable[[#This Row],[Maturity Level]]="Baseline",LEFT(combinedMaturityTable[[#This Row],[DS]],FIND("(FFIEC ",combinedMaturityTable[[#This Row],[DS]])-1),"")</f>
        <v/>
      </c>
      <c r="M493" s="293" t="str">
        <f>CLEAN(TRIM(SUBSTITUTE(LEFT(combinedMaturityTable[[#This Row],[DSm]],MIN(250,LEN(combinedMaturityTable[[#This Row],[DSm]]))),CHAR(160)," ")))</f>
        <v/>
      </c>
    </row>
    <row r="494" spans="2:13" hidden="1" x14ac:dyDescent="0.25">
      <c r="B494" s="252" t="str">
        <f>'Cyber Incidence'!$M$84</f>
        <v>Cyber Incident Management and Resilience</v>
      </c>
      <c r="C494" s="252" t="str">
        <f>'Cyber Incidence'!$A$84</f>
        <v>Escalation and Reporting</v>
      </c>
      <c r="D494" s="252" t="str">
        <f>'Cyber Incidence'!$B$84</f>
        <v>Escalation and Reporting</v>
      </c>
      <c r="E494" s="252" t="str">
        <f>'Cyber Incidence'!$C$84</f>
        <v>Evolving</v>
      </c>
      <c r="F494" s="252">
        <f>'Cyber Incidence'!$D$84</f>
        <v>0</v>
      </c>
      <c r="G494" s="252">
        <f>'Cyber Incidence'!$N$84</f>
        <v>0</v>
      </c>
      <c r="H494" s="252">
        <f>'Cyber Incidence'!$O$84</f>
        <v>0</v>
      </c>
      <c r="I494" s="252">
        <f>'Cyber Incidence'!$P$84</f>
        <v>0</v>
      </c>
      <c r="J494" s="252">
        <f>'Cyber Incidence'!$Q$84</f>
        <v>0</v>
      </c>
      <c r="K494" t="s">
        <v>586</v>
      </c>
      <c r="L494" t="str">
        <f>IF(combinedMaturityTable[[#This Row],[Maturity Level]]="Baseline",LEFT(combinedMaturityTable[[#This Row],[DS]],FIND("(FFIEC ",combinedMaturityTable[[#This Row],[DS]])-1),"")</f>
        <v/>
      </c>
      <c r="M494" s="293" t="str">
        <f>CLEAN(TRIM(SUBSTITUTE(LEFT(combinedMaturityTable[[#This Row],[DSm]],MIN(250,LEN(combinedMaturityTable[[#This Row],[DSm]]))),CHAR(160)," ")))</f>
        <v/>
      </c>
    </row>
    <row r="495" spans="2:13" hidden="1" x14ac:dyDescent="0.25">
      <c r="B495" s="252" t="str">
        <f>'Cyber Incidence'!$M$85</f>
        <v>Cyber Incident Management and Resilience</v>
      </c>
      <c r="C495" s="252" t="str">
        <f>'Cyber Incidence'!$A$85</f>
        <v>Escalation and Reporting</v>
      </c>
      <c r="D495" s="252" t="str">
        <f>'Cyber Incidence'!$B$85</f>
        <v>Escalation and Reporting</v>
      </c>
      <c r="E495" s="252" t="str">
        <f>'Cyber Incidence'!$C$85</f>
        <v>Evolving</v>
      </c>
      <c r="F495" s="252">
        <f>'Cyber Incidence'!$D$85</f>
        <v>0</v>
      </c>
      <c r="G495" s="252">
        <f>'Cyber Incidence'!$N$85</f>
        <v>0</v>
      </c>
      <c r="H495" s="252">
        <f>'Cyber Incidence'!$O$85</f>
        <v>0</v>
      </c>
      <c r="I495" s="252">
        <f>'Cyber Incidence'!$P$85</f>
        <v>0</v>
      </c>
      <c r="J495" s="252">
        <f>'Cyber Incidence'!$Q$85</f>
        <v>0</v>
      </c>
      <c r="K495" t="s">
        <v>587</v>
      </c>
      <c r="L495" t="str">
        <f>IF(combinedMaturityTable[[#This Row],[Maturity Level]]="Baseline",LEFT(combinedMaturityTable[[#This Row],[DS]],FIND("(FFIEC ",combinedMaturityTable[[#This Row],[DS]])-1),"")</f>
        <v/>
      </c>
      <c r="M495" s="293" t="str">
        <f>CLEAN(TRIM(SUBSTITUTE(LEFT(combinedMaturityTable[[#This Row],[DSm]],MIN(250,LEN(combinedMaturityTable[[#This Row],[DSm]]))),CHAR(160)," ")))</f>
        <v/>
      </c>
    </row>
    <row r="496" spans="2:13" hidden="1" x14ac:dyDescent="0.25">
      <c r="B496" s="252" t="str">
        <f>'Cyber Incidence'!$M$86</f>
        <v>Cyber Incident Management and Resilience</v>
      </c>
      <c r="C496" s="252" t="str">
        <f>'Cyber Incidence'!$A$86</f>
        <v>Escalation and Reporting</v>
      </c>
      <c r="D496" s="252" t="str">
        <f>'Cyber Incidence'!$B$86</f>
        <v>Escalation and Reporting</v>
      </c>
      <c r="E496" s="252" t="str">
        <f>'Cyber Incidence'!$C$86</f>
        <v>Intermediate</v>
      </c>
      <c r="F496" s="252">
        <f>'Cyber Incidence'!$D$86</f>
        <v>0</v>
      </c>
      <c r="G496" s="252">
        <f>'Cyber Incidence'!$N$86</f>
        <v>0</v>
      </c>
      <c r="H496" s="252">
        <f>'Cyber Incidence'!$O$86</f>
        <v>0</v>
      </c>
      <c r="I496" s="252">
        <f>'Cyber Incidence'!$P$86</f>
        <v>0</v>
      </c>
      <c r="J496" s="252">
        <f>'Cyber Incidence'!$Q$86</f>
        <v>0</v>
      </c>
      <c r="K496" t="s">
        <v>588</v>
      </c>
      <c r="L496" t="str">
        <f>IF(combinedMaturityTable[[#This Row],[Maturity Level]]="Baseline",LEFT(combinedMaturityTable[[#This Row],[DS]],FIND("(FFIEC ",combinedMaturityTable[[#This Row],[DS]])-1),"")</f>
        <v/>
      </c>
      <c r="M496" s="293" t="str">
        <f>CLEAN(TRIM(SUBSTITUTE(LEFT(combinedMaturityTable[[#This Row],[DSm]],MIN(250,LEN(combinedMaturityTable[[#This Row],[DSm]]))),CHAR(160)," ")))</f>
        <v/>
      </c>
    </row>
    <row r="497" spans="2:13" hidden="1" x14ac:dyDescent="0.25">
      <c r="B497" s="252" t="str">
        <f>'Cyber Incidence'!$M$87</f>
        <v>Cyber Incident Management and Resilience</v>
      </c>
      <c r="C497" s="252" t="str">
        <f>'Cyber Incidence'!$A$87</f>
        <v>Escalation and Reporting</v>
      </c>
      <c r="D497" s="252" t="str">
        <f>'Cyber Incidence'!$B$87</f>
        <v>Escalation and Reporting</v>
      </c>
      <c r="E497" s="252" t="str">
        <f>'Cyber Incidence'!$C$87</f>
        <v>Intermediate</v>
      </c>
      <c r="F497" s="252">
        <f>'Cyber Incidence'!$D$87</f>
        <v>0</v>
      </c>
      <c r="G497" s="252">
        <f>'Cyber Incidence'!$N$87</f>
        <v>0</v>
      </c>
      <c r="H497" s="252">
        <f>'Cyber Incidence'!$O$87</f>
        <v>0</v>
      </c>
      <c r="I497" s="252">
        <f>'Cyber Incidence'!$P$87</f>
        <v>0</v>
      </c>
      <c r="J497" s="252">
        <f>'Cyber Incidence'!$Q$87</f>
        <v>0</v>
      </c>
      <c r="K497" t="s">
        <v>589</v>
      </c>
      <c r="L497" t="str">
        <f>IF(combinedMaturityTable[[#This Row],[Maturity Level]]="Baseline",LEFT(combinedMaturityTable[[#This Row],[DS]],FIND("(FFIEC ",combinedMaturityTable[[#This Row],[DS]])-1),"")</f>
        <v/>
      </c>
      <c r="M497" s="293" t="str">
        <f>CLEAN(TRIM(SUBSTITUTE(LEFT(combinedMaturityTable[[#This Row],[DSm]],MIN(250,LEN(combinedMaturityTable[[#This Row],[DSm]]))),CHAR(160)," ")))</f>
        <v/>
      </c>
    </row>
    <row r="498" spans="2:13" hidden="1" x14ac:dyDescent="0.25">
      <c r="B498" s="252" t="str">
        <f>'Cyber Incidence'!$M$88</f>
        <v>Cyber Incident Management and Resilience</v>
      </c>
      <c r="C498" s="252" t="str">
        <f>'Cyber Incidence'!$A$88</f>
        <v>Escalation and Reporting</v>
      </c>
      <c r="D498" s="252" t="str">
        <f>'Cyber Incidence'!$B$88</f>
        <v>Escalation and Reporting</v>
      </c>
      <c r="E498" s="252" t="str">
        <f>'Cyber Incidence'!$C$88</f>
        <v>Intermediate</v>
      </c>
      <c r="F498" s="252">
        <f>'Cyber Incidence'!$D$88</f>
        <v>0</v>
      </c>
      <c r="G498" s="252">
        <f>'Cyber Incidence'!$N$88</f>
        <v>0</v>
      </c>
      <c r="H498" s="252">
        <f>'Cyber Incidence'!$O$88</f>
        <v>0</v>
      </c>
      <c r="I498" s="252">
        <f>'Cyber Incidence'!$P$88</f>
        <v>0</v>
      </c>
      <c r="J498" s="252">
        <f>'Cyber Incidence'!$Q$88</f>
        <v>0</v>
      </c>
      <c r="K498" t="s">
        <v>590</v>
      </c>
      <c r="L498" t="str">
        <f>IF(combinedMaturityTable[[#This Row],[Maturity Level]]="Baseline",LEFT(combinedMaturityTable[[#This Row],[DS]],FIND("(FFIEC ",combinedMaturityTable[[#This Row],[DS]])-1),"")</f>
        <v/>
      </c>
      <c r="M498" s="293" t="str">
        <f>CLEAN(TRIM(SUBSTITUTE(LEFT(combinedMaturityTable[[#This Row],[DSm]],MIN(250,LEN(combinedMaturityTable[[#This Row],[DSm]]))),CHAR(160)," ")))</f>
        <v/>
      </c>
    </row>
    <row r="499" spans="2:13" hidden="1" x14ac:dyDescent="0.25">
      <c r="B499" s="252" t="str">
        <f>'Cyber Incidence'!$M$89</f>
        <v>Cyber Incident Management and Resilience</v>
      </c>
      <c r="C499" s="252" t="str">
        <f>'Cyber Incidence'!$A$89</f>
        <v>Escalation and Reporting</v>
      </c>
      <c r="D499" s="252" t="str">
        <f>'Cyber Incidence'!$B$89</f>
        <v>Escalation and Reporting</v>
      </c>
      <c r="E499" s="252" t="str">
        <f>'Cyber Incidence'!$C$89</f>
        <v>Advanced</v>
      </c>
      <c r="F499" s="252">
        <f>'Cyber Incidence'!$D$89</f>
        <v>0</v>
      </c>
      <c r="G499" s="252">
        <f>'Cyber Incidence'!$N$89</f>
        <v>0</v>
      </c>
      <c r="H499" s="252">
        <f>'Cyber Incidence'!$O$89</f>
        <v>0</v>
      </c>
      <c r="I499" s="252">
        <f>'Cyber Incidence'!$P$89</f>
        <v>0</v>
      </c>
      <c r="J499" s="252">
        <f>'Cyber Incidence'!$Q$89</f>
        <v>0</v>
      </c>
      <c r="K499" t="s">
        <v>591</v>
      </c>
      <c r="L499" t="str">
        <f>IF(combinedMaturityTable[[#This Row],[Maturity Level]]="Baseline",LEFT(combinedMaturityTable[[#This Row],[DS]],FIND("(FFIEC ",combinedMaturityTable[[#This Row],[DS]])-1),"")</f>
        <v/>
      </c>
      <c r="M499" s="293" t="str">
        <f>CLEAN(TRIM(SUBSTITUTE(LEFT(combinedMaturityTable[[#This Row],[DSm]],MIN(250,LEN(combinedMaturityTable[[#This Row],[DSm]]))),CHAR(160)," ")))</f>
        <v/>
      </c>
    </row>
    <row r="500" spans="2:13" hidden="1" x14ac:dyDescent="0.25">
      <c r="B500" s="252" t="str">
        <f>'Cyber Incidence'!$M$90</f>
        <v>Cyber Incident Management and Resilience</v>
      </c>
      <c r="C500" s="252" t="str">
        <f>'Cyber Incidence'!$A$90</f>
        <v>Escalation and Reporting</v>
      </c>
      <c r="D500" s="252" t="str">
        <f>'Cyber Incidence'!$B$90</f>
        <v>Escalation and Reporting</v>
      </c>
      <c r="E500" s="252" t="str">
        <f>'Cyber Incidence'!$C$90</f>
        <v>Advanced</v>
      </c>
      <c r="F500" s="252">
        <f>'Cyber Incidence'!$D$90</f>
        <v>0</v>
      </c>
      <c r="G500" s="252">
        <f>'Cyber Incidence'!$N$90</f>
        <v>0</v>
      </c>
      <c r="H500" s="252">
        <f>'Cyber Incidence'!$O$90</f>
        <v>0</v>
      </c>
      <c r="I500" s="252">
        <f>'Cyber Incidence'!$P$90</f>
        <v>0</v>
      </c>
      <c r="J500" s="252">
        <f>'Cyber Incidence'!$Q$90</f>
        <v>0</v>
      </c>
      <c r="K500" t="s">
        <v>592</v>
      </c>
      <c r="L500" t="str">
        <f>IF(combinedMaturityTable[[#This Row],[Maturity Level]]="Baseline",LEFT(combinedMaturityTable[[#This Row],[DS]],FIND("(FFIEC ",combinedMaturityTable[[#This Row],[DS]])-1),"")</f>
        <v/>
      </c>
      <c r="M500" s="293" t="str">
        <f>CLEAN(TRIM(SUBSTITUTE(LEFT(combinedMaturityTable[[#This Row],[DSm]],MIN(250,LEN(combinedMaturityTable[[#This Row],[DSm]]))),CHAR(160)," ")))</f>
        <v/>
      </c>
    </row>
    <row r="501" spans="2:13" hidden="1" x14ac:dyDescent="0.25">
      <c r="B501" s="252" t="str">
        <f>'Cyber Incidence'!$M$91</f>
        <v>Cyber Incident Management and Resilience</v>
      </c>
      <c r="C501" s="252" t="str">
        <f>'Cyber Incidence'!$A$91</f>
        <v>Escalation and Reporting</v>
      </c>
      <c r="D501" s="252" t="str">
        <f>'Cyber Incidence'!$B$91</f>
        <v>Escalation and Reporting</v>
      </c>
      <c r="E501" s="252" t="str">
        <f>'Cyber Incidence'!$C$91</f>
        <v>Innovative</v>
      </c>
      <c r="F501" s="252">
        <f>'Cyber Incidence'!$D$91</f>
        <v>0</v>
      </c>
      <c r="G501" s="252">
        <f>'Cyber Incidence'!$N$91</f>
        <v>0</v>
      </c>
      <c r="H501" s="252">
        <f>'Cyber Incidence'!$O$91</f>
        <v>0</v>
      </c>
      <c r="I501" s="252">
        <f>'Cyber Incidence'!$P$91</f>
        <v>0</v>
      </c>
      <c r="J501" s="252">
        <f>'Cyber Incidence'!$Q$91</f>
        <v>0</v>
      </c>
      <c r="K501" t="s">
        <v>593</v>
      </c>
      <c r="L501" t="str">
        <f>IF(combinedMaturityTable[[#This Row],[Maturity Level]]="Baseline",LEFT(combinedMaturityTable[[#This Row],[DS]],FIND("(FFIEC ",combinedMaturityTable[[#This Row],[DS]])-1),"")</f>
        <v/>
      </c>
      <c r="M501" s="293" t="str">
        <f>CLEAN(TRIM(SUBSTITUTE(LEFT(combinedMaturityTable[[#This Row],[DSm]],MIN(250,LEN(combinedMaturityTable[[#This Row],[DSm]]))),CHAR(160)," ")))</f>
        <v/>
      </c>
    </row>
    <row r="502" spans="2:13" x14ac:dyDescent="0.25">
      <c r="C502" s="252"/>
      <c r="D502" s="252"/>
      <c r="E502" s="252"/>
      <c r="F502" s="252"/>
      <c r="G502" s="252"/>
      <c r="H502" s="252"/>
      <c r="I502" s="252"/>
      <c r="J502" s="252"/>
      <c r="K502" s="252"/>
    </row>
    <row r="503" spans="2:13" x14ac:dyDescent="0.25">
      <c r="C503" s="252"/>
      <c r="D503" s="252"/>
      <c r="E503" s="252"/>
      <c r="F503" s="252"/>
      <c r="G503" s="252"/>
      <c r="H503" s="252"/>
      <c r="I503" s="252"/>
      <c r="J503" s="252"/>
      <c r="K503" s="252"/>
    </row>
    <row r="504" spans="2:13" x14ac:dyDescent="0.25">
      <c r="C504" s="252"/>
      <c r="D504" s="252"/>
      <c r="E504" s="252"/>
      <c r="F504" s="252"/>
      <c r="G504" s="252"/>
      <c r="H504" s="252"/>
      <c r="I504" s="252"/>
      <c r="J504" s="252"/>
      <c r="K504" s="252"/>
    </row>
    <row r="505" spans="2:13" x14ac:dyDescent="0.25">
      <c r="C505" s="252"/>
      <c r="D505" s="252"/>
      <c r="E505" s="252"/>
      <c r="F505" s="252"/>
      <c r="G505" s="252"/>
      <c r="H505" s="252"/>
      <c r="I505" s="252"/>
      <c r="J505" s="252"/>
      <c r="K505" s="252"/>
    </row>
    <row r="506" spans="2:13" x14ac:dyDescent="0.25">
      <c r="C506" s="252"/>
      <c r="D506" s="252"/>
      <c r="E506" s="252"/>
      <c r="F506" s="252"/>
      <c r="G506" s="252"/>
      <c r="H506" s="252"/>
      <c r="I506" s="252"/>
      <c r="J506" s="252"/>
      <c r="K506" s="252"/>
    </row>
    <row r="507" spans="2:13" x14ac:dyDescent="0.25">
      <c r="C507" s="252"/>
      <c r="D507" s="252"/>
      <c r="E507" s="252"/>
      <c r="F507" s="252"/>
      <c r="G507" s="252"/>
      <c r="H507" s="252"/>
      <c r="I507" s="252"/>
      <c r="J507" s="252"/>
      <c r="K507" s="252"/>
    </row>
    <row r="508" spans="2:13" x14ac:dyDescent="0.25">
      <c r="C508" s="252"/>
      <c r="D508" s="252"/>
      <c r="E508" s="252"/>
      <c r="F508" s="252"/>
      <c r="G508" s="252"/>
      <c r="H508" s="252"/>
      <c r="I508" s="252"/>
      <c r="J508" s="252"/>
      <c r="K508" s="252"/>
    </row>
    <row r="509" spans="2:13" x14ac:dyDescent="0.25">
      <c r="C509" s="252"/>
      <c r="D509" s="252"/>
      <c r="E509" s="252"/>
      <c r="F509" s="252"/>
      <c r="G509" s="252"/>
      <c r="H509" s="252"/>
      <c r="I509" s="252"/>
      <c r="J509" s="252"/>
      <c r="K509" s="252"/>
    </row>
    <row r="510" spans="2:13" x14ac:dyDescent="0.25">
      <c r="C510" s="252"/>
      <c r="D510" s="252"/>
      <c r="E510" s="252"/>
      <c r="F510" s="252"/>
      <c r="G510" s="252"/>
      <c r="H510" s="252"/>
      <c r="I510" s="252"/>
      <c r="J510" s="252"/>
      <c r="K510" s="252"/>
    </row>
    <row r="511" spans="2:13" x14ac:dyDescent="0.25">
      <c r="C511" s="252"/>
      <c r="D511" s="252"/>
      <c r="E511" s="252"/>
      <c r="F511" s="252"/>
      <c r="G511" s="252"/>
      <c r="H511" s="252"/>
      <c r="I511" s="252"/>
      <c r="J511" s="252"/>
      <c r="K511" s="252"/>
    </row>
    <row r="512" spans="2:13" x14ac:dyDescent="0.25">
      <c r="C512" s="252"/>
      <c r="D512" s="252"/>
      <c r="E512" s="252"/>
      <c r="F512" s="252"/>
      <c r="G512" s="252"/>
      <c r="H512" s="252"/>
      <c r="I512" s="252"/>
      <c r="J512" s="252"/>
      <c r="K512" s="252"/>
    </row>
    <row r="513" spans="3:11" x14ac:dyDescent="0.25">
      <c r="C513" s="252"/>
      <c r="D513" s="252"/>
      <c r="E513" s="252"/>
      <c r="F513" s="252"/>
      <c r="G513" s="252"/>
      <c r="H513" s="252"/>
      <c r="I513" s="252"/>
      <c r="J513" s="252"/>
      <c r="K513" s="252"/>
    </row>
    <row r="514" spans="3:11" x14ac:dyDescent="0.25">
      <c r="C514" s="252"/>
      <c r="D514" s="252"/>
      <c r="E514" s="252"/>
      <c r="F514" s="252"/>
      <c r="G514" s="252"/>
      <c r="H514" s="252"/>
      <c r="I514" s="252"/>
      <c r="J514" s="252"/>
      <c r="K514" s="252"/>
    </row>
    <row r="515" spans="3:11" x14ac:dyDescent="0.25">
      <c r="C515" s="252"/>
      <c r="D515" s="252"/>
      <c r="E515" s="252"/>
      <c r="F515" s="252"/>
      <c r="G515" s="252"/>
      <c r="H515" s="252"/>
      <c r="I515" s="252"/>
      <c r="J515" s="252"/>
      <c r="K515" s="252"/>
    </row>
    <row r="516" spans="3:11" x14ac:dyDescent="0.25">
      <c r="C516" s="252"/>
      <c r="D516" s="252"/>
      <c r="E516" s="252"/>
      <c r="F516" s="252"/>
      <c r="G516" s="252"/>
      <c r="H516" s="252"/>
      <c r="I516" s="252"/>
      <c r="J516" s="252"/>
      <c r="K516" s="252"/>
    </row>
    <row r="517" spans="3:11" x14ac:dyDescent="0.25">
      <c r="C517" s="252"/>
      <c r="D517" s="252"/>
      <c r="E517" s="252"/>
      <c r="F517" s="252"/>
      <c r="G517" s="252"/>
      <c r="H517" s="252"/>
      <c r="I517" s="252"/>
      <c r="J517" s="252"/>
      <c r="K517" s="252"/>
    </row>
    <row r="518" spans="3:11" x14ac:dyDescent="0.25">
      <c r="C518" s="252"/>
      <c r="D518" s="252"/>
      <c r="E518" s="252"/>
      <c r="F518" s="252"/>
      <c r="G518" s="252"/>
      <c r="H518" s="252"/>
      <c r="I518" s="252"/>
      <c r="J518" s="252"/>
      <c r="K518" s="252"/>
    </row>
    <row r="519" spans="3:11" x14ac:dyDescent="0.25">
      <c r="C519" s="252"/>
      <c r="D519" s="252"/>
      <c r="E519" s="252"/>
      <c r="F519" s="252"/>
      <c r="G519" s="252"/>
      <c r="H519" s="252"/>
      <c r="I519" s="252"/>
      <c r="J519" s="252"/>
      <c r="K519" s="252"/>
    </row>
    <row r="520" spans="3:11" x14ac:dyDescent="0.25">
      <c r="C520" s="252"/>
      <c r="D520" s="252"/>
      <c r="E520" s="252"/>
      <c r="F520" s="252"/>
      <c r="G520" s="252"/>
      <c r="H520" s="252"/>
      <c r="I520" s="252"/>
      <c r="J520" s="252"/>
      <c r="K520" s="252"/>
    </row>
    <row r="521" spans="3:11" x14ac:dyDescent="0.25">
      <c r="C521" s="252"/>
      <c r="D521" s="252"/>
      <c r="E521" s="252"/>
      <c r="F521" s="252"/>
      <c r="G521" s="252"/>
      <c r="H521" s="252"/>
      <c r="I521" s="252"/>
      <c r="J521" s="252"/>
      <c r="K521" s="252"/>
    </row>
    <row r="522" spans="3:11" x14ac:dyDescent="0.25">
      <c r="C522" s="252"/>
      <c r="D522" s="252"/>
      <c r="E522" s="252"/>
      <c r="F522" s="252"/>
      <c r="G522" s="252"/>
      <c r="H522" s="252"/>
      <c r="I522" s="252"/>
      <c r="J522" s="252"/>
      <c r="K522" s="252"/>
    </row>
    <row r="523" spans="3:11" x14ac:dyDescent="0.25">
      <c r="C523" s="252"/>
      <c r="D523" s="252"/>
      <c r="E523" s="252"/>
      <c r="F523" s="252"/>
      <c r="G523" s="252"/>
      <c r="H523" s="252"/>
      <c r="I523" s="252"/>
      <c r="J523" s="252"/>
      <c r="K523" s="252"/>
    </row>
    <row r="524" spans="3:11" x14ac:dyDescent="0.25">
      <c r="C524" s="252"/>
      <c r="D524" s="252"/>
      <c r="E524" s="252"/>
      <c r="F524" s="252"/>
      <c r="G524" s="252"/>
      <c r="H524" s="252"/>
      <c r="I524" s="252"/>
      <c r="J524" s="252"/>
      <c r="K524" s="252"/>
    </row>
    <row r="525" spans="3:11" x14ac:dyDescent="0.25">
      <c r="C525" s="252"/>
      <c r="D525" s="252"/>
      <c r="E525" s="252"/>
      <c r="F525" s="252"/>
      <c r="G525" s="252"/>
      <c r="H525" s="252"/>
      <c r="I525" s="252"/>
      <c r="J525" s="252"/>
      <c r="K525" s="252"/>
    </row>
    <row r="526" spans="3:11" x14ac:dyDescent="0.25">
      <c r="C526" s="252"/>
      <c r="D526" s="252"/>
      <c r="E526" s="252"/>
      <c r="F526" s="252"/>
      <c r="G526" s="252"/>
      <c r="H526" s="252"/>
      <c r="I526" s="252"/>
      <c r="J526" s="252"/>
      <c r="K526" s="252"/>
    </row>
    <row r="527" spans="3:11" x14ac:dyDescent="0.25">
      <c r="C527" s="252"/>
      <c r="D527" s="252"/>
      <c r="E527" s="252"/>
      <c r="F527" s="252"/>
      <c r="G527" s="252"/>
      <c r="H527" s="252"/>
      <c r="I527" s="252"/>
      <c r="J527" s="252"/>
      <c r="K527" s="252"/>
    </row>
    <row r="528" spans="3:11" x14ac:dyDescent="0.25">
      <c r="C528" s="252"/>
      <c r="D528" s="252"/>
      <c r="E528" s="252"/>
      <c r="F528" s="252"/>
      <c r="G528" s="252"/>
      <c r="H528" s="252"/>
      <c r="I528" s="252"/>
      <c r="J528" s="252"/>
      <c r="K528" s="252"/>
    </row>
    <row r="529" spans="3:11" x14ac:dyDescent="0.25">
      <c r="C529" s="252"/>
      <c r="D529" s="252"/>
      <c r="E529" s="252"/>
      <c r="F529" s="252"/>
      <c r="G529" s="252"/>
      <c r="H529" s="252"/>
      <c r="I529" s="252"/>
      <c r="J529" s="252"/>
      <c r="K529" s="252"/>
    </row>
    <row r="530" spans="3:11" x14ac:dyDescent="0.25">
      <c r="C530" s="252"/>
      <c r="D530" s="252"/>
      <c r="E530" s="252"/>
      <c r="F530" s="252"/>
      <c r="G530" s="252"/>
      <c r="H530" s="252"/>
      <c r="I530" s="252"/>
      <c r="J530" s="252"/>
      <c r="K530" s="252"/>
    </row>
    <row r="531" spans="3:11" x14ac:dyDescent="0.25">
      <c r="C531" s="252"/>
      <c r="D531" s="252"/>
      <c r="E531" s="252"/>
      <c r="F531" s="252"/>
      <c r="G531" s="252"/>
      <c r="H531" s="252"/>
      <c r="I531" s="252"/>
      <c r="J531" s="252"/>
      <c r="K531" s="252"/>
    </row>
    <row r="532" spans="3:11" x14ac:dyDescent="0.25">
      <c r="C532" s="252"/>
      <c r="D532" s="252"/>
      <c r="E532" s="252"/>
      <c r="F532" s="252"/>
      <c r="G532" s="252"/>
      <c r="H532" s="252"/>
      <c r="I532" s="252"/>
      <c r="J532" s="252"/>
      <c r="K532" s="252"/>
    </row>
    <row r="533" spans="3:11" x14ac:dyDescent="0.25">
      <c r="C533" s="252"/>
      <c r="D533" s="252"/>
      <c r="E533" s="252"/>
      <c r="F533" s="252"/>
      <c r="G533" s="252"/>
      <c r="H533" s="252"/>
      <c r="I533" s="252"/>
      <c r="J533" s="252"/>
      <c r="K533" s="252"/>
    </row>
    <row r="534" spans="3:11" x14ac:dyDescent="0.25">
      <c r="C534" s="252"/>
      <c r="D534" s="252"/>
      <c r="E534" s="252"/>
      <c r="F534" s="252"/>
      <c r="G534" s="252"/>
      <c r="H534" s="252"/>
      <c r="I534" s="252"/>
      <c r="J534" s="252"/>
      <c r="K534" s="252"/>
    </row>
    <row r="535" spans="3:11" x14ac:dyDescent="0.25">
      <c r="C535" s="252"/>
      <c r="D535" s="252"/>
      <c r="E535" s="252"/>
      <c r="F535" s="252"/>
      <c r="G535" s="252"/>
      <c r="H535" s="252"/>
      <c r="I535" s="252"/>
      <c r="J535" s="252"/>
      <c r="K535" s="252"/>
    </row>
    <row r="536" spans="3:11" x14ac:dyDescent="0.25">
      <c r="C536" s="252"/>
      <c r="D536" s="252"/>
      <c r="E536" s="252"/>
      <c r="F536" s="252"/>
      <c r="G536" s="252"/>
      <c r="H536" s="252"/>
      <c r="I536" s="252"/>
      <c r="J536" s="252"/>
      <c r="K536" s="252"/>
    </row>
    <row r="537" spans="3:11" x14ac:dyDescent="0.25">
      <c r="C537" s="252"/>
      <c r="D537" s="252"/>
      <c r="E537" s="252"/>
      <c r="F537" s="252"/>
      <c r="G537" s="252"/>
      <c r="H537" s="252"/>
      <c r="I537" s="252"/>
      <c r="J537" s="252"/>
      <c r="K537" s="252"/>
    </row>
  </sheetData>
  <sheetProtection algorithmName="SHA-512" hashValue="5u5tm7PkdVJzClAciPwrcKeSu6QxqC9YuK/n7DaH+ENGiQj586PgsKZX+A8hXm19x/aaoktVCZyCUhAd7IPp7g==" saltValue="y5lJnJl21dUQ/+1xo613kg==" spinCount="100000" sheet="1" objects="1" scenarios="1" formatCells="0" formatColumns="0" formatRows="0" sort="0" autoFilter="0"/>
  <mergeCells count="1">
    <mergeCell ref="B5:J5"/>
  </mergeCells>
  <hyperlinks>
    <hyperlink ref="J3" location="disclaimer" display="disclaimer" xr:uid="{00000000-0004-0000-1500-000000000000}"/>
    <hyperlink ref="J2" location="workbookInfo" display="Workbook Information" xr:uid="{00000000-0004-0000-1500-000001000000}"/>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6"/>
  <dimension ref="A1:BB124"/>
  <sheetViews>
    <sheetView zoomScale="70" zoomScaleNormal="70" workbookViewId="0">
      <pane ySplit="3" topLeftCell="A4" activePane="bottomLeft" state="frozen"/>
      <selection pane="bottomLeft" activeCell="N4" sqref="N4"/>
    </sheetView>
  </sheetViews>
  <sheetFormatPr defaultRowHeight="15" x14ac:dyDescent="0.25"/>
  <cols>
    <col min="1" max="1" width="19.85546875" customWidth="1"/>
    <col min="2" max="2" width="3.140625" style="170" customWidth="1"/>
    <col min="3" max="3" width="17.28515625" customWidth="1"/>
    <col min="4" max="4" width="2.42578125" customWidth="1"/>
    <col min="5" max="5" width="21.85546875" customWidth="1"/>
    <col min="6" max="6" width="2.85546875" customWidth="1"/>
    <col min="7" max="7" width="16.42578125" customWidth="1"/>
    <col min="8" max="8" width="3.28515625" customWidth="1"/>
    <col min="9" max="9" width="21.85546875" customWidth="1"/>
    <col min="10" max="10" width="2.42578125" customWidth="1"/>
    <col min="11" max="11" width="10.7109375" style="176" customWidth="1"/>
    <col min="12" max="12" width="2.7109375" style="176" customWidth="1"/>
    <col min="13" max="13" width="26.140625" customWidth="1"/>
    <col min="14" max="14" width="53.42578125" customWidth="1"/>
    <col min="15" max="15" width="3.140625" customWidth="1"/>
    <col min="16" max="16" width="44.5703125" customWidth="1"/>
    <col min="18" max="18" width="53.85546875" customWidth="1"/>
    <col min="19" max="19" width="11" style="176" customWidth="1"/>
    <col min="20" max="20" width="35.5703125" style="176" customWidth="1"/>
    <col min="21" max="21" width="8" style="176" customWidth="1"/>
    <col min="22" max="22" width="15.42578125" style="176" customWidth="1"/>
    <col min="23" max="23" width="15.85546875" style="176" hidden="1" customWidth="1"/>
    <col min="24" max="24" width="83.7109375" style="176" customWidth="1"/>
    <col min="25" max="27" width="12.85546875" style="176" hidden="1" customWidth="1"/>
    <col min="28" max="28" width="88.5703125" customWidth="1"/>
    <col min="29" max="29" width="17.42578125" customWidth="1"/>
    <col min="30" max="30" width="70.85546875" customWidth="1"/>
    <col min="33" max="33" width="7.5703125" customWidth="1"/>
    <col min="34" max="34" width="79.28515625" customWidth="1"/>
    <col min="35" max="35" width="3.5703125" style="274" customWidth="1"/>
    <col min="36" max="36" width="9.5703125" customWidth="1"/>
    <col min="37" max="37" width="15.85546875" customWidth="1"/>
    <col min="40" max="40" width="51.5703125" customWidth="1"/>
    <col min="42" max="42" width="33.5703125" customWidth="1"/>
    <col min="43" max="43" width="24.7109375" customWidth="1"/>
    <col min="44" max="44" width="45.85546875" customWidth="1"/>
    <col min="45" max="45" width="14.85546875" customWidth="1"/>
    <col min="46" max="46" width="15.85546875" customWidth="1"/>
    <col min="48" max="48" width="26.7109375" customWidth="1"/>
    <col min="49" max="49" width="9.42578125" style="302" customWidth="1"/>
    <col min="51" max="51" width="11.85546875" customWidth="1"/>
    <col min="52" max="52" width="12.7109375" customWidth="1"/>
  </cols>
  <sheetData>
    <row r="1" spans="1:54" s="170" customFormat="1" x14ac:dyDescent="0.25">
      <c r="A1" s="209"/>
      <c r="B1" s="209"/>
      <c r="C1" s="209"/>
      <c r="D1" s="209"/>
      <c r="E1" s="209"/>
      <c r="F1" s="209"/>
      <c r="G1" s="209"/>
      <c r="H1" s="209"/>
      <c r="I1" s="209"/>
      <c r="J1" s="209"/>
      <c r="K1" s="209" t="s">
        <v>1098</v>
      </c>
      <c r="L1" s="209"/>
      <c r="M1" s="209"/>
      <c r="N1" s="209"/>
      <c r="O1" s="209"/>
      <c r="P1" s="209"/>
      <c r="R1" s="176">
        <f>COUNTA(hyperlinkLU[Reference])</f>
        <v>121</v>
      </c>
      <c r="S1" s="176"/>
      <c r="T1" s="176"/>
      <c r="U1" s="176"/>
      <c r="V1" s="176"/>
      <c r="W1" s="4" t="s">
        <v>953</v>
      </c>
      <c r="X1" s="231" t="s">
        <v>1089</v>
      </c>
      <c r="Y1" s="176"/>
      <c r="Z1" s="176"/>
      <c r="AA1" s="176"/>
      <c r="AB1" s="4" t="str">
        <f>"exclude: "&amp;handbookURLBase</f>
        <v>exclude: https://ithandbook.ffiec.gov/it-booklets/</v>
      </c>
      <c r="AC1" s="176"/>
      <c r="AD1" s="176"/>
      <c r="AI1" s="274"/>
      <c r="AW1" s="302"/>
    </row>
    <row r="2" spans="1:54" s="170" customFormat="1" ht="15.75" thickBot="1" x14ac:dyDescent="0.3">
      <c r="K2" s="176"/>
      <c r="L2" s="176"/>
      <c r="R2" s="348" t="s">
        <v>892</v>
      </c>
      <c r="S2" s="348"/>
      <c r="T2" s="348"/>
      <c r="U2" s="348"/>
      <c r="V2" s="348"/>
      <c r="W2" s="348"/>
      <c r="X2" s="348"/>
      <c r="Y2" s="348"/>
      <c r="Z2" s="348"/>
      <c r="AA2" s="348"/>
      <c r="AB2" s="348"/>
      <c r="AC2" s="348"/>
      <c r="AD2" s="348"/>
      <c r="AI2" s="274"/>
      <c r="AW2" s="302"/>
    </row>
    <row r="3" spans="1:54" ht="16.5" thickTop="1" thickBot="1" x14ac:dyDescent="0.3">
      <c r="A3" s="174" t="s">
        <v>880</v>
      </c>
      <c r="C3" s="174" t="s">
        <v>881</v>
      </c>
      <c r="D3" s="170"/>
      <c r="E3" s="174" t="s">
        <v>882</v>
      </c>
      <c r="F3" s="170"/>
      <c r="G3" s="174" t="s">
        <v>883</v>
      </c>
      <c r="H3" s="170"/>
      <c r="I3" s="174" t="s">
        <v>884</v>
      </c>
      <c r="J3" s="170"/>
      <c r="K3" s="174" t="s">
        <v>924</v>
      </c>
      <c r="M3" s="348" t="s">
        <v>886</v>
      </c>
      <c r="N3" s="348"/>
      <c r="O3" s="170"/>
      <c r="P3" s="174" t="s">
        <v>885</v>
      </c>
      <c r="R3" s="177" t="s">
        <v>894</v>
      </c>
      <c r="S3" s="177" t="s">
        <v>954</v>
      </c>
      <c r="T3" s="197" t="s">
        <v>915</v>
      </c>
      <c r="U3" s="177" t="s">
        <v>949</v>
      </c>
      <c r="V3" s="197" t="s">
        <v>948</v>
      </c>
      <c r="W3" s="177" t="s">
        <v>920</v>
      </c>
      <c r="X3" s="197" t="s">
        <v>921</v>
      </c>
      <c r="Y3" s="177" t="s">
        <v>950</v>
      </c>
      <c r="Z3" s="197" t="s">
        <v>951</v>
      </c>
      <c r="AA3" s="197" t="s">
        <v>952</v>
      </c>
      <c r="AB3" s="177" t="s">
        <v>896</v>
      </c>
      <c r="AC3" s="197" t="s">
        <v>895</v>
      </c>
      <c r="AD3" s="177" t="s">
        <v>897</v>
      </c>
      <c r="AE3" s="220" t="s">
        <v>1109</v>
      </c>
      <c r="AF3" t="s">
        <v>1189</v>
      </c>
      <c r="AH3" s="174" t="s">
        <v>1292</v>
      </c>
      <c r="AJ3" s="174" t="s">
        <v>1274</v>
      </c>
      <c r="AK3" s="174" t="s">
        <v>1275</v>
      </c>
      <c r="AL3" s="174"/>
      <c r="AN3" t="s">
        <v>1934</v>
      </c>
      <c r="AO3" t="s">
        <v>1937</v>
      </c>
      <c r="AP3" t="s">
        <v>915</v>
      </c>
      <c r="AQ3" t="s">
        <v>1935</v>
      </c>
      <c r="AR3" t="s">
        <v>1938</v>
      </c>
      <c r="AS3" t="s">
        <v>919</v>
      </c>
      <c r="AT3" t="s">
        <v>1967</v>
      </c>
      <c r="AV3" t="s">
        <v>1973</v>
      </c>
      <c r="AW3" s="302" t="s">
        <v>2087</v>
      </c>
      <c r="AX3" t="s">
        <v>1976</v>
      </c>
      <c r="AY3" t="s">
        <v>921</v>
      </c>
      <c r="AZ3" t="s">
        <v>1982</v>
      </c>
    </row>
    <row r="4" spans="1:54" x14ac:dyDescent="0.25">
      <c r="A4" t="s">
        <v>206</v>
      </c>
      <c r="C4" t="s">
        <v>850</v>
      </c>
      <c r="E4" s="2" t="s">
        <v>207</v>
      </c>
      <c r="G4" t="s">
        <v>1</v>
      </c>
      <c r="I4" t="s">
        <v>223</v>
      </c>
      <c r="K4" s="176" t="s">
        <v>925</v>
      </c>
      <c r="M4" s="4" t="s">
        <v>604</v>
      </c>
      <c r="N4" s="177" t="s">
        <v>2118</v>
      </c>
      <c r="P4" t="s">
        <v>636</v>
      </c>
      <c r="R4" t="s">
        <v>898</v>
      </c>
      <c r="S4" s="176">
        <v>1</v>
      </c>
      <c r="T4" s="176" t="str">
        <f>MID(hyperlinkLU[[#This Row],[Reference]],7,FIND(",",hyperlinkLU[[#This Row],[Reference]],8)-7)</f>
        <v>Information Security Booklet</v>
      </c>
      <c r="U4" s="176">
        <v>3</v>
      </c>
      <c r="V4" s="176">
        <f>hyperlinkLU[[#This Row],[Page]]+IFERROR(INDEX(FFIECBooklets[Page Offset],MATCH(hyperlinkLU[[#This Row],[Booklet]],FFIECBooklets[Booklet],0)),0)</f>
        <v>6</v>
      </c>
      <c r="W4" s="176">
        <v>6</v>
      </c>
      <c r="X4"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v>
      </c>
      <c r="Y4" t="s">
        <v>923</v>
      </c>
      <c r="Z4" s="176" t="str">
        <f>IFERROR(INDEX(FFIECBooklets[Booklet URL],MATCH(hyperlinkLU[[#This Row],[Booklet]],FFIECBooklets[Booklet],0))&amp;IF(LEN(hyperlinkLU[[#This Row],[PDFPage]])&gt;0,"#Page="&amp;TEXT(hyperlinkLU[[#This Row],[PDFPage]],0),""),"")</f>
        <v>https://ithandbook.ffiec.gov/media/274793/ffiec_itbooklet_informationsecurity.pdf#Page=6</v>
      </c>
      <c r="AA4" s="176" t="str">
        <f>IF(LEN(hyperlinkLU[[#This Row],[alt PDF Note]])&gt;0,hyperlinkLU[[#This Row],[alt PDF Note]]&amp;" ","")&amp;"(PDF link)"</f>
        <v>I Governance of the Information Security Program (PDF link)</v>
      </c>
      <c r="AB4" s="176" t="s">
        <v>922</v>
      </c>
      <c r="AC4" s="176" t="str">
        <f>handbookURLBase&amp;hyperlinkLU[[#This Row],[URL fragment]]</f>
        <v>https://ithandbook.ffiec.gov/it-booklets/information-security/i-governance-of-the-information-security-program.aspx</v>
      </c>
      <c r="AD4" s="176" t="s">
        <v>923</v>
      </c>
      <c r="AE4" t="s">
        <v>1110</v>
      </c>
      <c r="AH4" t="s">
        <v>1293</v>
      </c>
      <c r="AJ4" s="112" t="s">
        <v>30</v>
      </c>
      <c r="AK4" s="112" t="s">
        <v>1279</v>
      </c>
      <c r="AN4" t="s">
        <v>1925</v>
      </c>
      <c r="AO4" t="s">
        <v>1948</v>
      </c>
      <c r="AP4" t="s">
        <v>40</v>
      </c>
      <c r="AQ4" t="s">
        <v>1936</v>
      </c>
      <c r="AR4" t="s">
        <v>967</v>
      </c>
      <c r="AS4" t="s">
        <v>1085</v>
      </c>
      <c r="AT4">
        <v>2</v>
      </c>
      <c r="AU4" s="286"/>
      <c r="AV4" s="286" t="s">
        <v>40</v>
      </c>
      <c r="AW4" s="302" t="s">
        <v>1948</v>
      </c>
      <c r="AX4" s="286" t="s">
        <v>1974</v>
      </c>
      <c r="AY4" s="286" t="s">
        <v>1968</v>
      </c>
      <c r="AZ4" s="286" t="s">
        <v>1983</v>
      </c>
      <c r="BB4" s="13" t="s">
        <v>206</v>
      </c>
    </row>
    <row r="5" spans="1:54" x14ac:dyDescent="0.25">
      <c r="A5" s="164" t="s">
        <v>866</v>
      </c>
      <c r="C5" t="s">
        <v>849</v>
      </c>
      <c r="E5" s="1" t="s">
        <v>27</v>
      </c>
      <c r="G5" t="s">
        <v>2</v>
      </c>
      <c r="I5" t="s">
        <v>222</v>
      </c>
      <c r="K5" s="176" t="s">
        <v>926</v>
      </c>
      <c r="M5" s="4" t="s">
        <v>605</v>
      </c>
      <c r="N5" s="177" t="s">
        <v>1090</v>
      </c>
      <c r="R5" s="176" t="s">
        <v>900</v>
      </c>
      <c r="S5" s="176">
        <v>2</v>
      </c>
      <c r="T5" s="176" t="str">
        <f>MID(hyperlinkLU[[#This Row],[Reference]],7,FIND(",",hyperlinkLU[[#This Row],[Reference]],8)-7)</f>
        <v>Information Security Booklet</v>
      </c>
      <c r="U5" s="176">
        <v>6</v>
      </c>
      <c r="V5" s="176">
        <f>hyperlinkLU[[#This Row],[Page]]+IFERROR(INDEX(FFIECBooklets[Page Offset],MATCH(hyperlinkLU[[#This Row],[Booklet]],FFIECBooklets[Booklet],0)),0)</f>
        <v>9</v>
      </c>
      <c r="W5" s="176">
        <v>9</v>
      </c>
      <c r="X5"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https://ithandbook.ffiec.gov/media/274793/ffiec_itbooklet_informationsecurity.pdf#Page=9</v>
      </c>
      <c r="Y5" s="176" t="s">
        <v>934</v>
      </c>
      <c r="Z5" s="176" t="str">
        <f>IFERROR(INDEX(FFIECBooklets[Booklet URL],MATCH(hyperlinkLU[[#This Row],[Booklet]],FFIECBooklets[Booklet],0))&amp;IF(LEN(hyperlinkLU[[#This Row],[PDFPage]])&gt;0,"#Page="&amp;TEXT(hyperlinkLU[[#This Row],[PDFPage]],0),""),"")</f>
        <v>https://ithandbook.ffiec.gov/media/274793/ffiec_itbooklet_informationsecurity.pdf#Page=9</v>
      </c>
      <c r="AA5" s="176" t="str">
        <f>IF(LEN(hyperlinkLU[[#This Row],[alt PDF Note]])&gt;0,hyperlinkLU[[#This Row],[alt PDF Note]]&amp;" ","")&amp;"(PDF link)"</f>
        <v>II Information Security Program Management (PDF link)</v>
      </c>
      <c r="AB5" s="176" t="s">
        <v>899</v>
      </c>
      <c r="AC5" s="176" t="str">
        <f>handbookURLBase&amp;hyperlinkLU[[#This Row],[URL fragment]]</f>
        <v>https://ithandbook.ffiec.gov/it-booklets/information-security/ii-information-security-program-management.aspx</v>
      </c>
      <c r="AD5" s="176" t="s">
        <v>934</v>
      </c>
      <c r="AE5" t="s">
        <v>1110</v>
      </c>
      <c r="AH5" t="s">
        <v>1294</v>
      </c>
      <c r="AJ5" s="112" t="s">
        <v>27</v>
      </c>
      <c r="AK5" s="112" t="s">
        <v>1276</v>
      </c>
      <c r="AN5" t="s">
        <v>1926</v>
      </c>
      <c r="AO5" t="s">
        <v>1949</v>
      </c>
      <c r="AP5" t="s">
        <v>1950</v>
      </c>
      <c r="AQ5" t="s">
        <v>1936</v>
      </c>
      <c r="AR5" t="s">
        <v>917</v>
      </c>
      <c r="AS5" t="s">
        <v>1081</v>
      </c>
      <c r="AT5">
        <v>3</v>
      </c>
      <c r="AU5" s="286"/>
      <c r="AV5" s="286" t="s">
        <v>1950</v>
      </c>
      <c r="AW5" s="302" t="s">
        <v>1949</v>
      </c>
      <c r="AX5" s="286" t="s">
        <v>1974</v>
      </c>
      <c r="AY5" s="286" t="s">
        <v>1969</v>
      </c>
      <c r="AZ5" s="286" t="s">
        <v>1984</v>
      </c>
      <c r="BB5" s="13" t="s">
        <v>208</v>
      </c>
    </row>
    <row r="6" spans="1:54" x14ac:dyDescent="0.25">
      <c r="A6" t="s">
        <v>208</v>
      </c>
      <c r="C6" t="s">
        <v>851</v>
      </c>
      <c r="E6" s="1" t="s">
        <v>28</v>
      </c>
      <c r="G6" t="s">
        <v>3</v>
      </c>
      <c r="K6" s="176" t="s">
        <v>955</v>
      </c>
      <c r="M6" s="4" t="s">
        <v>606</v>
      </c>
      <c r="N6" s="5" t="s">
        <v>1091</v>
      </c>
      <c r="R6" s="176" t="s">
        <v>902</v>
      </c>
      <c r="S6" s="176">
        <v>3</v>
      </c>
      <c r="T6" s="176" t="str">
        <f>MID(hyperlinkLU[[#This Row],[Reference]],7,FIND(",",hyperlinkLU[[#This Row],[Reference]],8)-7)</f>
        <v>Information Security Booklet</v>
      </c>
      <c r="U6" s="176">
        <v>5</v>
      </c>
      <c r="V6" s="176">
        <f>hyperlinkLU[[#This Row],[Page]]+IFERROR(INDEX(FFIECBooklets[Page Offset],MATCH(hyperlinkLU[[#This Row],[Booklet]],FFIECBooklets[Booklet],0)),0)</f>
        <v>8</v>
      </c>
      <c r="W6" s="176">
        <v>8</v>
      </c>
      <c r="X6"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v>
      </c>
      <c r="Y6" s="176" t="s">
        <v>935</v>
      </c>
      <c r="Z6" s="176" t="str">
        <f>IFERROR(INDEX(FFIECBooklets[Booklet URL],MATCH(hyperlinkLU[[#This Row],[Booklet]],FFIECBooklets[Booklet],0))&amp;IF(LEN(hyperlinkLU[[#This Row],[PDFPage]])&gt;0,"#Page="&amp;TEXT(hyperlinkLU[[#This Row],[PDFPage]],0),""),"")</f>
        <v>https://ithandbook.ffiec.gov/media/274793/ffiec_itbooklet_informationsecurity.pdf#Page=8</v>
      </c>
      <c r="AA6" s="176" t="str">
        <f>IF(LEN(hyperlinkLU[[#This Row],[alt PDF Note]])&gt;0,hyperlinkLU[[#This Row],[alt PDF Note]]&amp;" ","")&amp;"(PDF link)"</f>
        <v>Information Security Booklet, page 5 (PDF link)</v>
      </c>
      <c r="AB6" s="176" t="s">
        <v>901</v>
      </c>
      <c r="AC6" s="176" t="str">
        <f>handbookURLBase&amp;hyperlinkLU[[#This Row],[URL fragment]]</f>
        <v>https://ithandbook.ffiec.gov/it-booklets/information-security/i-governance-of-the-information-security-program/ib-responsibility-and-accountability.aspx</v>
      </c>
      <c r="AD6" s="176" t="s">
        <v>1099</v>
      </c>
      <c r="AE6" t="s">
        <v>1110</v>
      </c>
      <c r="AJ6" s="10" t="s">
        <v>28</v>
      </c>
      <c r="AK6" s="10" t="s">
        <v>1277</v>
      </c>
      <c r="AN6" t="s">
        <v>1927</v>
      </c>
      <c r="AO6" t="s">
        <v>1951</v>
      </c>
      <c r="AP6" t="s">
        <v>1952</v>
      </c>
      <c r="AQ6" t="s">
        <v>1936</v>
      </c>
      <c r="AR6" t="s">
        <v>1026</v>
      </c>
      <c r="AS6" t="s">
        <v>1087</v>
      </c>
      <c r="AT6">
        <v>4</v>
      </c>
      <c r="AV6" s="286" t="s">
        <v>1952</v>
      </c>
      <c r="AW6" s="302" t="s">
        <v>1951</v>
      </c>
      <c r="AX6" s="286" t="s">
        <v>1974</v>
      </c>
      <c r="AY6" s="286" t="s">
        <v>1981</v>
      </c>
      <c r="AZ6" s="286" t="s">
        <v>1985</v>
      </c>
    </row>
    <row r="7" spans="1:54" x14ac:dyDescent="0.25">
      <c r="A7" t="s">
        <v>209</v>
      </c>
      <c r="E7" s="1" t="s">
        <v>29</v>
      </c>
      <c r="G7" t="s">
        <v>4</v>
      </c>
      <c r="M7" s="187" t="s">
        <v>893</v>
      </c>
      <c r="N7" s="177" t="s">
        <v>1097</v>
      </c>
      <c r="R7" s="176" t="s">
        <v>904</v>
      </c>
      <c r="S7" s="176">
        <v>4</v>
      </c>
      <c r="T7" s="176" t="str">
        <f>MID(hyperlinkLU[[#This Row],[Reference]],7,FIND(",",hyperlinkLU[[#This Row],[Reference]],8)-7)</f>
        <v>E-Banking Booklet</v>
      </c>
      <c r="U7" s="176">
        <v>20</v>
      </c>
      <c r="V7" s="176">
        <f>hyperlinkLU[[#This Row],[Page]]+IFERROR(INDEX(FFIECBooklets[Page Offset],MATCH(hyperlinkLU[[#This Row],[Booklet]],FFIECBooklets[Booklet],0)),0)</f>
        <v>23</v>
      </c>
      <c r="W7" s="176">
        <v>23</v>
      </c>
      <c r="X7" s="176" t="str">
        <f>IFERROR(INDEX(FFIECBooklets[Booklet URL],MATCH(hyperlinkLU[[#This Row],[Booklet]],FFIECBooklets[Booklet],0))&amp;IF(LEN(hyperlinkLU[[#This Row],[Physical Page]])&gt;0,"#Page="&amp;TEXT(hyperlinkLU[[#This Row],[Physical Page]],0),""),defaultHandbookURL)</f>
        <v>https://ithandbook.ffiec.gov/media/274777/ffiec_itbooklet_e-banking.pdf#Page=23</v>
      </c>
      <c r="Y7" s="176" t="s">
        <v>936</v>
      </c>
      <c r="Z7" s="176" t="str">
        <f>IFERROR(INDEX(FFIECBooklets[Booklet URL],MATCH(hyperlinkLU[[#This Row],[Booklet]],FFIECBooklets[Booklet],0))&amp;IF(LEN(hyperlinkLU[[#This Row],[PDFPage]])&gt;0,"#Page="&amp;TEXT(hyperlinkLU[[#This Row],[PDFPage]],0),""),"")</f>
        <v>https://ithandbook.ffiec.gov/media/274777/ffiec_itbooklet_e-banking.pdf#Page=23</v>
      </c>
      <c r="AA7" s="176" t="str">
        <f>IF(LEN(hyperlinkLU[[#This Row],[alt PDF Note]])&gt;0,hyperlinkLU[[#This Row],[alt PDF Note]]&amp;" ","")&amp;"(PDF link)"</f>
        <v>E-Banking Booklet, page 20 (PDF link)</v>
      </c>
      <c r="AB7" s="176" t="s">
        <v>903</v>
      </c>
      <c r="AC7" s="176" t="str">
        <f>handbookURLBase&amp;hyperlinkLU[[#This Row],[URL fragment]]</f>
        <v>https://ithandbook.ffiec.gov/it-booklets/e-banking/risk-management-of-e-banking-activities/board-and-management-oversight/cost-benefit-analysis-and-risk-assessment.aspx</v>
      </c>
      <c r="AD7" s="176" t="s">
        <v>1100</v>
      </c>
      <c r="AE7" t="s">
        <v>1110</v>
      </c>
      <c r="AJ7" s="10" t="s">
        <v>31</v>
      </c>
      <c r="AK7" s="10" t="s">
        <v>1280</v>
      </c>
      <c r="AN7" t="s">
        <v>1939</v>
      </c>
      <c r="AO7" t="s">
        <v>1953</v>
      </c>
      <c r="AP7" t="s">
        <v>1954</v>
      </c>
      <c r="AQ7" t="s">
        <v>1936</v>
      </c>
      <c r="AR7" t="s">
        <v>853</v>
      </c>
      <c r="AS7" t="s">
        <v>1082</v>
      </c>
      <c r="AT7">
        <v>3</v>
      </c>
      <c r="AV7" s="286" t="s">
        <v>1954</v>
      </c>
      <c r="AW7" s="302" t="s">
        <v>1953</v>
      </c>
      <c r="AX7" s="286" t="s">
        <v>1974</v>
      </c>
      <c r="AY7" s="286" t="s">
        <v>1980</v>
      </c>
      <c r="AZ7" s="286" t="s">
        <v>1986</v>
      </c>
    </row>
    <row r="8" spans="1:54" x14ac:dyDescent="0.25">
      <c r="E8" s="1" t="s">
        <v>30</v>
      </c>
      <c r="G8" t="s">
        <v>5</v>
      </c>
      <c r="R8" s="176" t="s">
        <v>906</v>
      </c>
      <c r="S8" s="176">
        <v>5</v>
      </c>
      <c r="T8" s="176" t="str">
        <f>MID(hyperlinkLU[[#This Row],[Reference]],7,FIND(",",hyperlinkLU[[#This Row],[Reference]],8)-7)</f>
        <v>Business Continuity Planning Booklet</v>
      </c>
      <c r="U8" s="176">
        <v>128</v>
      </c>
      <c r="V8" s="176">
        <f>hyperlinkLU[[#This Row],[Page]]+IFERROR(INDEX(FFIECBooklets[Page Offset],MATCH(hyperlinkLU[[#This Row],[Booklet]],FFIECBooklets[Booklet],0)),0)</f>
        <v>131</v>
      </c>
      <c r="W8" s="176">
        <v>131</v>
      </c>
      <c r="X8" s="176"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https://ithandbook.ffiec.gov/media/274725/ffiec_itbooklet_businesscontinuityplanning.pdf#Page=131</v>
      </c>
      <c r="Y8" s="176" t="s">
        <v>937</v>
      </c>
      <c r="Z8" s="176" t="str">
        <f>IFERROR(INDEX(FFIECBooklets[Booklet URL],MATCH(hyperlinkLU[[#This Row],[Booklet]],FFIECBooklets[Booklet],0))&amp;IF(LEN(hyperlinkLU[[#This Row],[PDFPage]])&gt;0,"#Page="&amp;TEXT(hyperlinkLU[[#This Row],[PDFPage]],0),""),"")</f>
        <v>https://ithandbook.ffiec.gov/media/274725/ffiec_itbooklet_businesscontinuityplanning.pdf#Page=131</v>
      </c>
      <c r="AA8" s="176" t="str">
        <f>IF(LEN(hyperlinkLU[[#This Row],[alt PDF Note]])&gt;0,hyperlinkLU[[#This Row],[alt PDF Note]]&amp;" ","")&amp;"(PDF link)"</f>
        <v>BCP Booklet, page J-12 (PDF link)</v>
      </c>
      <c r="AB8" s="176" t="s">
        <v>905</v>
      </c>
      <c r="AC8" s="176" t="str">
        <f>handbookURLBase&amp;hyperlinkLU[[#This Row],[URL fragment]]</f>
        <v>https://ithandbook.ffiec.gov/it-booklets/business-continuity-planning/appendix-j-strengthening-the-resilience-of-outsourced-technology-services.aspx</v>
      </c>
      <c r="AD8" s="176" t="s">
        <v>1101</v>
      </c>
      <c r="AE8" t="s">
        <v>1110</v>
      </c>
      <c r="AJ8" s="10" t="s">
        <v>29</v>
      </c>
      <c r="AK8" s="10" t="s">
        <v>1278</v>
      </c>
      <c r="AN8" t="s">
        <v>1928</v>
      </c>
      <c r="AO8" t="s">
        <v>1955</v>
      </c>
      <c r="AP8" t="s">
        <v>1186</v>
      </c>
      <c r="AQ8" t="s">
        <v>1936</v>
      </c>
      <c r="AR8" t="s">
        <v>916</v>
      </c>
      <c r="AS8" t="s">
        <v>1083</v>
      </c>
      <c r="AT8">
        <v>3</v>
      </c>
      <c r="AV8" s="286" t="s">
        <v>1186</v>
      </c>
      <c r="AW8" s="302" t="s">
        <v>1955</v>
      </c>
      <c r="AX8" s="286" t="s">
        <v>1974</v>
      </c>
      <c r="AY8" s="286" t="s">
        <v>1979</v>
      </c>
      <c r="AZ8" s="286" t="s">
        <v>1987</v>
      </c>
    </row>
    <row r="9" spans="1:54" x14ac:dyDescent="0.25">
      <c r="E9" s="3" t="s">
        <v>31</v>
      </c>
      <c r="R9" s="176" t="s">
        <v>910</v>
      </c>
      <c r="S9" s="176">
        <v>6</v>
      </c>
      <c r="T9" s="176" t="str">
        <f>MID(hyperlinkLU[[#This Row],[Reference]],7,FIND(",",hyperlinkLU[[#This Row],[Reference]],8)-7)</f>
        <v>Information Security Booklet</v>
      </c>
      <c r="U9" s="176">
        <v>16</v>
      </c>
      <c r="V9" s="176">
        <f>hyperlinkLU[[#This Row],[Page]]+IFERROR(INDEX(FFIECBooklets[Page Offset],MATCH(hyperlinkLU[[#This Row],[Booklet]],FFIECBooklets[Booklet],0)),0)</f>
        <v>19</v>
      </c>
      <c r="W9" s="176">
        <v>19</v>
      </c>
      <c r="X9"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https://ithandbook.ffiec.gov/media/274793/ffiec_itbooklet_informationsecurity.pdf#Page=19</v>
      </c>
      <c r="Y9" s="176" t="s">
        <v>940</v>
      </c>
      <c r="Z9" s="176" t="str">
        <f>IFERROR(INDEX(FFIECBooklets[Booklet URL],MATCH(hyperlinkLU[[#This Row],[Booklet]],FFIECBooklets[Booklet],0))&amp;IF(LEN(hyperlinkLU[[#This Row],[PDFPage]])&gt;0,"#Page="&amp;TEXT(hyperlinkLU[[#This Row],[PDFPage]],0),""),"")</f>
        <v>https://ithandbook.ffiec.gov/media/274793/ffiec_itbooklet_informationsecurity.pdf#Page=19</v>
      </c>
      <c r="AA9" s="176" t="str">
        <f>IF(LEN(hyperlinkLU[[#This Row],[alt PDF Note]])&gt;0,hyperlinkLU[[#This Row],[alt PDF Note]]&amp;" ","")&amp;"(PDF link)"</f>
        <v>II.C.1 Policies, Standards, and Procedures, pg 11, better match (PDF link)</v>
      </c>
      <c r="AB9" s="176" t="s">
        <v>899</v>
      </c>
      <c r="AC9" s="176" t="str">
        <f>handbookURLBase&amp;hyperlinkLU[[#This Row],[URL fragment]]</f>
        <v>https://ithandbook.ffiec.gov/it-booklets/information-security/ii-information-security-program-management.aspx</v>
      </c>
      <c r="AD9" s="236" t="s">
        <v>934</v>
      </c>
      <c r="AE9" t="s">
        <v>1110</v>
      </c>
      <c r="AN9" t="s">
        <v>1929</v>
      </c>
      <c r="AO9" t="s">
        <v>1956</v>
      </c>
      <c r="AP9" t="s">
        <v>1957</v>
      </c>
      <c r="AQ9" t="s">
        <v>1936</v>
      </c>
      <c r="AR9" t="s">
        <v>1940</v>
      </c>
      <c r="AS9" t="s">
        <v>1941</v>
      </c>
      <c r="AT9">
        <v>1</v>
      </c>
      <c r="AV9" s="286" t="s">
        <v>1957</v>
      </c>
      <c r="AW9" s="302" t="s">
        <v>1956</v>
      </c>
      <c r="AX9" s="286" t="s">
        <v>1974</v>
      </c>
      <c r="AY9" s="239" t="s">
        <v>1978</v>
      </c>
      <c r="AZ9" s="286" t="s">
        <v>1988</v>
      </c>
    </row>
    <row r="10" spans="1:54" x14ac:dyDescent="0.25">
      <c r="R10" s="236" t="s">
        <v>910</v>
      </c>
      <c r="S10" s="236">
        <v>6.1</v>
      </c>
      <c r="T10" s="236" t="s">
        <v>916</v>
      </c>
      <c r="U10" s="236">
        <v>16</v>
      </c>
      <c r="V10" s="236">
        <v>19</v>
      </c>
      <c r="W10" s="236">
        <v>19</v>
      </c>
      <c r="X10" s="236" t="s">
        <v>1121</v>
      </c>
      <c r="Y10" s="236" t="s">
        <v>940</v>
      </c>
      <c r="Z10" s="236" t="s">
        <v>1122</v>
      </c>
      <c r="AA10" s="236" t="s">
        <v>1123</v>
      </c>
      <c r="AB10" s="236" t="s">
        <v>922</v>
      </c>
      <c r="AC10" s="236" t="s">
        <v>1124</v>
      </c>
      <c r="AD10" s="236" t="s">
        <v>923</v>
      </c>
      <c r="AE10" s="236" t="s">
        <v>1110</v>
      </c>
      <c r="AN10" t="s">
        <v>1930</v>
      </c>
      <c r="AO10" t="s">
        <v>1958</v>
      </c>
      <c r="AP10" t="s">
        <v>1959</v>
      </c>
      <c r="AQ10" t="s">
        <v>1936</v>
      </c>
      <c r="AR10" t="s">
        <v>974</v>
      </c>
      <c r="AS10" t="s">
        <v>1086</v>
      </c>
      <c r="AT10">
        <v>3</v>
      </c>
      <c r="AV10" s="286" t="s">
        <v>1959</v>
      </c>
      <c r="AW10" s="302" t="s">
        <v>1958</v>
      </c>
      <c r="AX10" s="286" t="s">
        <v>1974</v>
      </c>
      <c r="AY10" s="286" t="s">
        <v>1977</v>
      </c>
      <c r="AZ10" s="286" t="s">
        <v>1989</v>
      </c>
    </row>
    <row r="11" spans="1:54" x14ac:dyDescent="0.25">
      <c r="R11" s="176" t="s">
        <v>908</v>
      </c>
      <c r="S11" s="176">
        <v>7</v>
      </c>
      <c r="T11" s="176" t="str">
        <f>MID(hyperlinkLU[[#This Row],[Reference]],7,FIND(",",hyperlinkLU[[#This Row],[Reference]],8)-7)</f>
        <v>E-Banking Booklet</v>
      </c>
      <c r="U11" s="176">
        <v>28</v>
      </c>
      <c r="V11" s="176">
        <f>hyperlinkLU[[#This Row],[Page]]+IFERROR(INDEX(FFIECBooklets[Page Offset],MATCH(hyperlinkLU[[#This Row],[Booklet]],FFIECBooklets[Booklet],0)),0)</f>
        <v>31</v>
      </c>
      <c r="W11" s="176">
        <v>31</v>
      </c>
      <c r="X11" s="176" t="str">
        <f>IFERROR(INDEX(FFIECBooklets[Booklet URL],MATCH(hyperlinkLU[[#This Row],[Booklet]],FFIECBooklets[Booklet],0))&amp;IF(LEN(hyperlinkLU[[#This Row],[Physical Page]])&gt;0,"#Page="&amp;TEXT(hyperlinkLU[[#This Row],[Physical Page]],0),""),defaultHandbookURL)</f>
        <v>https://ithandbook.ffiec.gov/media/274777/ffiec_itbooklet_e-banking.pdf#Page=31</v>
      </c>
      <c r="Y11" s="176" t="s">
        <v>938</v>
      </c>
      <c r="Z11" s="176" t="str">
        <f>IFERROR(INDEX(FFIECBooklets[Booklet URL],MATCH(hyperlinkLU[[#This Row],[Booklet]],FFIECBooklets[Booklet],0))&amp;IF(LEN(hyperlinkLU[[#This Row],[PDFPage]])&gt;0,"#Page="&amp;TEXT(hyperlinkLU[[#This Row],[PDFPage]],0),""),"")</f>
        <v>https://ithandbook.ffiec.gov/media/274777/ffiec_itbooklet_e-banking.pdf#Page=31</v>
      </c>
      <c r="AA11" s="176" t="str">
        <f>IF(LEN(hyperlinkLU[[#This Row],[alt PDF Note]])&gt;0,hyperlinkLU[[#This Row],[alt PDF Note]]&amp;" ","")&amp;"(PDF link)"</f>
        <v>E-Banking Booklet, page 28 (PDF link)</v>
      </c>
      <c r="AB11" s="176" t="s">
        <v>1111</v>
      </c>
      <c r="AC11" s="176" t="str">
        <f>handbookURLBase&amp;hyperlinkLU[[#This Row],[URL fragment]]</f>
        <v>https://ithandbook.ffiec.gov/it-booklets/e-banking/risk-management-of-e-banking-activities/information-security-program/security-guidelines.aspx</v>
      </c>
      <c r="AD11" s="236" t="s">
        <v>1112</v>
      </c>
      <c r="AE11" t="s">
        <v>1110</v>
      </c>
      <c r="AN11" t="s">
        <v>1942</v>
      </c>
      <c r="AO11" t="s">
        <v>1960</v>
      </c>
      <c r="AP11" t="s">
        <v>1931</v>
      </c>
      <c r="AQ11" t="s">
        <v>1936</v>
      </c>
      <c r="AR11" t="s">
        <v>918</v>
      </c>
      <c r="AS11" t="s">
        <v>1084</v>
      </c>
      <c r="AT11">
        <v>3</v>
      </c>
      <c r="AU11" s="286"/>
      <c r="AV11" s="286" t="s">
        <v>1931</v>
      </c>
      <c r="AW11" s="302" t="s">
        <v>1960</v>
      </c>
      <c r="AX11" s="286" t="s">
        <v>1974</v>
      </c>
      <c r="AY11" s="286" t="s">
        <v>1972</v>
      </c>
      <c r="AZ11" s="286" t="s">
        <v>1990</v>
      </c>
    </row>
    <row r="12" spans="1:54" x14ac:dyDescent="0.25">
      <c r="N12" s="321"/>
      <c r="R12" s="176" t="s">
        <v>911</v>
      </c>
      <c r="S12" s="176">
        <v>8</v>
      </c>
      <c r="T12" s="176" t="str">
        <f>MID(hyperlinkLU[[#This Row],[Reference]],7,FIND(",",hyperlinkLU[[#This Row],[Reference]],8)-7)</f>
        <v>Outsourcing Booklet</v>
      </c>
      <c r="U12" s="176">
        <v>2</v>
      </c>
      <c r="V12" s="176">
        <f>hyperlinkLU[[#This Row],[Page]]+IFERROR(INDEX(FFIECBooklets[Page Offset],MATCH(hyperlinkLU[[#This Row],[Booklet]],FFIECBooklets[Booklet],0)),0)</f>
        <v>5</v>
      </c>
      <c r="W12" s="176">
        <v>5</v>
      </c>
      <c r="X12" s="176"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https://ithandbook.ffiec.gov/media/274841/ffiec_itbooklet_outsourcingtechnologyservices.pdf#Page=5</v>
      </c>
      <c r="Y12" s="176" t="s">
        <v>939</v>
      </c>
      <c r="Z12" s="176" t="str">
        <f>IFERROR(INDEX(FFIECBooklets[Booklet URL],MATCH(hyperlinkLU[[#This Row],[Booklet]],FFIECBooklets[Booklet],0))&amp;IF(LEN(hyperlinkLU[[#This Row],[PDFPage]])&gt;0,"#Page="&amp;TEXT(hyperlinkLU[[#This Row],[PDFPage]],0),""),"")</f>
        <v>https://ithandbook.ffiec.gov/media/274841/ffiec_itbooklet_outsourcingtechnologyservices.pdf#Page=5</v>
      </c>
      <c r="AA12" s="176" t="str">
        <f>IF(LEN(hyperlinkLU[[#This Row],[alt PDF Note]])&gt;0,hyperlinkLU[[#This Row],[alt PDF Note]]&amp;" ","")&amp;"(PDF link)"</f>
        <v>Outsourcing Booklet, page 2 (PDF link)</v>
      </c>
      <c r="AB12" s="176" t="s">
        <v>912</v>
      </c>
      <c r="AC12" s="176" t="str">
        <f>handbookURLBase&amp;hyperlinkLU[[#This Row],[URL fragment]]</f>
        <v>https://ithandbook.ffiec.gov/it-booklets/outsourcing-technology-services/board-and-management-responsibilities.aspx</v>
      </c>
      <c r="AD12" t="s">
        <v>1102</v>
      </c>
      <c r="AE12" t="s">
        <v>1110</v>
      </c>
      <c r="AN12" t="s">
        <v>1932</v>
      </c>
      <c r="AO12" t="s">
        <v>1961</v>
      </c>
      <c r="AP12" t="s">
        <v>1962</v>
      </c>
      <c r="AQ12" t="s">
        <v>1936</v>
      </c>
      <c r="AR12" t="s">
        <v>1943</v>
      </c>
      <c r="AS12" t="s">
        <v>1944</v>
      </c>
      <c r="AT12">
        <v>3</v>
      </c>
      <c r="AU12" s="286"/>
      <c r="AV12" s="286" t="s">
        <v>1931</v>
      </c>
      <c r="AW12" s="302" t="s">
        <v>1961</v>
      </c>
      <c r="AX12" s="286" t="s">
        <v>1975</v>
      </c>
      <c r="AY12" s="286" t="s">
        <v>1971</v>
      </c>
      <c r="AZ12" s="286" t="s">
        <v>1991</v>
      </c>
    </row>
    <row r="13" spans="1:54" x14ac:dyDescent="0.25">
      <c r="R13" s="176" t="s">
        <v>913</v>
      </c>
      <c r="S13" s="176">
        <v>9</v>
      </c>
      <c r="T13" s="176" t="str">
        <f>MID(hyperlinkLU[[#This Row],[Reference]],7,FIND(",",hyperlinkLU[[#This Row],[Reference]],8)-7)</f>
        <v>Information Security Booklet</v>
      </c>
      <c r="U13" s="176">
        <v>83</v>
      </c>
      <c r="V13" s="176">
        <f>hyperlinkLU[[#This Row],[Page]]+IFERROR(INDEX(FFIECBooklets[Page Offset],MATCH(hyperlinkLU[[#This Row],[Booklet]],FFIECBooklets[Booklet],0)),0)</f>
        <v>86</v>
      </c>
      <c r="W13" s="176">
        <v>14</v>
      </c>
      <c r="X13"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13" s="176" t="s">
        <v>941</v>
      </c>
      <c r="Z13" s="176" t="str">
        <f>IFERROR(INDEX(FFIECBooklets[Booklet URL],MATCH(hyperlinkLU[[#This Row],[Booklet]],FFIECBooklets[Booklet],0))&amp;IF(LEN(hyperlinkLU[[#This Row],[PDFPage]])&gt;0,"#Page="&amp;TEXT(hyperlinkLU[[#This Row],[PDFPage]],0),""),"")</f>
        <v>https://ithandbook.ffiec.gov/media/274793/ffiec_itbooklet_informationsecurity.pdf#Page=14</v>
      </c>
      <c r="AA13" s="176" t="str">
        <f>IF(LEN(hyperlinkLU[[#This Row],[alt PDF Note]])&gt;0,hyperlinkLU[[#This Row],[alt PDF Note]]&amp;" ","")&amp;"(PDF link)"</f>
        <v>II.C.1 Policies, Standards, and Procedures, pg 14, closest match (PDF link)</v>
      </c>
      <c r="AB13" t="s">
        <v>1116</v>
      </c>
      <c r="AC13" s="176" t="str">
        <f>handbookURLBase&amp;hyperlinkLU[[#This Row],[URL fragment]]</f>
        <v>https://ithandbook.ffiec.gov/it-booklets/information-security/ii-information-security-program-management/iic-risk-mitigation/iic21-business-continuity-considerations.aspx</v>
      </c>
      <c r="AD13" t="s">
        <v>1125</v>
      </c>
      <c r="AE13" t="s">
        <v>1110</v>
      </c>
      <c r="AN13" t="s">
        <v>1945</v>
      </c>
      <c r="AO13" t="s">
        <v>1963</v>
      </c>
      <c r="AP13" t="s">
        <v>1964</v>
      </c>
      <c r="AQ13" t="s">
        <v>1936</v>
      </c>
      <c r="AR13" t="s">
        <v>1946</v>
      </c>
      <c r="AS13" t="s">
        <v>1947</v>
      </c>
      <c r="AT13">
        <v>3</v>
      </c>
      <c r="AU13" s="286"/>
      <c r="AV13" s="286" t="s">
        <v>1962</v>
      </c>
      <c r="AW13" s="302" t="s">
        <v>1963</v>
      </c>
      <c r="AX13" s="286" t="s">
        <v>1974</v>
      </c>
      <c r="AY13" s="286" t="s">
        <v>1970</v>
      </c>
      <c r="AZ13" s="286" t="s">
        <v>1992</v>
      </c>
    </row>
    <row r="14" spans="1:54" x14ac:dyDescent="0.25">
      <c r="R14" s="176" t="s">
        <v>914</v>
      </c>
      <c r="S14" s="176">
        <v>10</v>
      </c>
      <c r="T14" s="176" t="str">
        <f>MID(hyperlinkLU[[#This Row],[Reference]],7,FIND(",",hyperlinkLU[[#This Row],[Reference]],8)-7)</f>
        <v>Information Security Booklet</v>
      </c>
      <c r="U14" s="176">
        <v>7</v>
      </c>
      <c r="V14" s="176">
        <f>hyperlinkLU[[#This Row],[Page]]+IFERROR(INDEX(FFIECBooklets[Page Offset],MATCH(hyperlinkLU[[#This Row],[Booklet]],FFIECBooklets[Booklet],0)),0)</f>
        <v>10</v>
      </c>
      <c r="W14" s="176">
        <v>5</v>
      </c>
      <c r="X14"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14" s="176" t="s">
        <v>942</v>
      </c>
      <c r="Z14" s="176" t="str">
        <f>IFERROR(INDEX(FFIECBooklets[Booklet URL],MATCH(hyperlinkLU[[#This Row],[Booklet]],FFIECBooklets[Booklet],0))&amp;IF(LEN(hyperlinkLU[[#This Row],[PDFPage]])&gt;0,"#Page="&amp;TEXT(hyperlinkLU[[#This Row],[PDFPage]],0),""),"")</f>
        <v>https://ithandbook.ffiec.gov/media/274793/ffiec_itbooklet_informationsecurity.pdf#Page=5</v>
      </c>
      <c r="AA14" s="176" t="str">
        <f>IF(LEN(hyperlinkLU[[#This Row],[alt PDF Note]])&gt;0,hyperlinkLU[[#This Row],[alt PDF Note]]&amp;" ","")&amp;"(PDF link)"</f>
        <v>Introduction, page 5, better match (PDF link)</v>
      </c>
      <c r="AB14" s="176" t="s">
        <v>997</v>
      </c>
      <c r="AC14" s="176" t="str">
        <f>handbookURLBase&amp;hyperlinkLU[[#This Row],[URL fragment]]</f>
        <v>https://ithandbook.ffiec.gov/it-booklets/information-security/introduction.aspx</v>
      </c>
      <c r="AD14" s="176" t="s">
        <v>971</v>
      </c>
      <c r="AE14" t="s">
        <v>1110</v>
      </c>
      <c r="AN14" t="s">
        <v>1933</v>
      </c>
      <c r="AO14" t="s">
        <v>1965</v>
      </c>
      <c r="AP14" t="s">
        <v>1966</v>
      </c>
      <c r="AQ14" t="s">
        <v>1936</v>
      </c>
      <c r="AR14" t="s">
        <v>1034</v>
      </c>
      <c r="AS14" t="s">
        <v>1088</v>
      </c>
      <c r="AT14">
        <v>3</v>
      </c>
      <c r="AV14" s="286" t="s">
        <v>1966</v>
      </c>
      <c r="AW14" s="302" t="s">
        <v>1965</v>
      </c>
      <c r="AX14" s="286" t="s">
        <v>1974</v>
      </c>
      <c r="AY14" s="286" t="s">
        <v>1994</v>
      </c>
      <c r="AZ14" s="286" t="s">
        <v>1993</v>
      </c>
    </row>
    <row r="15" spans="1:54" x14ac:dyDescent="0.25">
      <c r="R15" s="176" t="s">
        <v>928</v>
      </c>
      <c r="S15" s="176">
        <v>11</v>
      </c>
      <c r="T15" s="176" t="str">
        <f>MID(hyperlinkLU[[#This Row],[Reference]],7,FIND(",",hyperlinkLU[[#This Row],[Reference]],8)-7)</f>
        <v>Information Security Booklet</v>
      </c>
      <c r="U15" s="176">
        <v>9</v>
      </c>
      <c r="V15" s="176">
        <f>hyperlinkLU[[#This Row],[Page]]+IFERROR(INDEX(FFIECBooklets[Page Offset],MATCH(hyperlinkLU[[#This Row],[Booklet]],FFIECBooklets[Booklet],0)),0)</f>
        <v>12</v>
      </c>
      <c r="W15" s="176">
        <v>17</v>
      </c>
      <c r="X15"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https://ithandbook.ffiec.gov/media/274793/ffiec_itbooklet_informationsecurity.pdf#Page=12</v>
      </c>
      <c r="Y15" s="176" t="s">
        <v>943</v>
      </c>
      <c r="Z15" s="176" t="str">
        <f>IFERROR(INDEX(FFIECBooklets[Booklet URL],MATCH(hyperlinkLU[[#This Row],[Booklet]],FFIECBooklets[Booklet],0))&amp;IF(LEN(hyperlinkLU[[#This Row],[PDFPage]])&gt;0,"#Page="&amp;TEXT(hyperlinkLU[[#This Row],[PDFPage]],0),""),"")</f>
        <v>https://ithandbook.ffiec.gov/media/274793/ffiec_itbooklet_informationsecurity.pdf#Page=17</v>
      </c>
      <c r="AA15" s="176" t="str">
        <f>IF(LEN(hyperlinkLU[[#This Row],[alt PDF Note]])&gt;0,hyperlinkLU[[#This Row],[alt PDF Note]]&amp;" ","")&amp;"(PDF link)"</f>
        <v>II.C.5 Inventory and Classification of Assets, page 14, better match (PDF link)</v>
      </c>
      <c r="AB15" s="176" t="s">
        <v>929</v>
      </c>
      <c r="AC15" s="176" t="str">
        <f>handbookURLBase&amp;hyperlinkLU[[#This Row],[URL fragment]]</f>
        <v>https://ithandbook.ffiec.gov/it-booklets/information-security/ii-information-security-program-management/iic-risk-mitigation/iic5-inventory-and-classification-of-assets.aspx</v>
      </c>
      <c r="AD15" t="s">
        <v>1126</v>
      </c>
      <c r="AE15" t="s">
        <v>1110</v>
      </c>
      <c r="AY15" s="286"/>
    </row>
    <row r="16" spans="1:54" x14ac:dyDescent="0.25">
      <c r="R16" s="176" t="s">
        <v>930</v>
      </c>
      <c r="S16" s="176">
        <v>12</v>
      </c>
      <c r="T16" s="176" t="str">
        <f>MID(hyperlinkLU[[#This Row],[Reference]],7,FIND(",",hyperlinkLU[[#This Row],[Reference]],8)-7)</f>
        <v>Information Security Booklet</v>
      </c>
      <c r="U16" s="176">
        <v>12</v>
      </c>
      <c r="V16" s="176">
        <f>hyperlinkLU[[#This Row],[Page]]+IFERROR(INDEX(FFIECBooklets[Page Offset],MATCH(hyperlinkLU[[#This Row],[Booklet]],FFIECBooklets[Booklet],0)),0)</f>
        <v>15</v>
      </c>
      <c r="W16" s="176">
        <v>17</v>
      </c>
      <c r="X16"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Y16" s="176" t="s">
        <v>943</v>
      </c>
      <c r="Z16" s="176" t="str">
        <f>IFERROR(INDEX(FFIECBooklets[Booklet URL],MATCH(hyperlinkLU[[#This Row],[Booklet]],FFIECBooklets[Booklet],0))&amp;IF(LEN(hyperlinkLU[[#This Row],[PDFPage]])&gt;0,"#Page="&amp;TEXT(hyperlinkLU[[#This Row],[PDFPage]],0),""),"")</f>
        <v>https://ithandbook.ffiec.gov/media/274793/ffiec_itbooklet_informationsecurity.pdf#Page=17</v>
      </c>
      <c r="AA16" s="176" t="str">
        <f>IF(LEN(hyperlinkLU[[#This Row],[alt PDF Note]])&gt;0,hyperlinkLU[[#This Row],[alt PDF Note]]&amp;" ","")&amp;"(PDF link)"</f>
        <v>II.C.5 Inventory and Classification of Assets, page 14, better match (PDF link)</v>
      </c>
      <c r="AB16" s="176" t="s">
        <v>929</v>
      </c>
      <c r="AC16" s="176" t="str">
        <f>handbookURLBase&amp;hyperlinkLU[[#This Row],[URL fragment]]</f>
        <v>https://ithandbook.ffiec.gov/it-booklets/information-security/ii-information-security-program-management/iic-risk-mitigation/iic5-inventory-and-classification-of-assets.aspx</v>
      </c>
      <c r="AD16" s="176" t="s">
        <v>1126</v>
      </c>
      <c r="AE16" t="s">
        <v>1110</v>
      </c>
    </row>
    <row r="17" spans="18:31" x14ac:dyDescent="0.25">
      <c r="R17" s="176" t="s">
        <v>932</v>
      </c>
      <c r="S17" s="176">
        <v>13</v>
      </c>
      <c r="T17" s="176" t="str">
        <f>MID(hyperlinkLU[[#This Row],[Reference]],7,FIND(",",hyperlinkLU[[#This Row],[Reference]],8)-7)</f>
        <v>Information Security Booklet</v>
      </c>
      <c r="U17" s="176">
        <v>56</v>
      </c>
      <c r="V17" s="176">
        <f>hyperlinkLU[[#This Row],[Page]]+IFERROR(INDEX(FFIECBooklets[Page Offset],MATCH(hyperlinkLU[[#This Row],[Booklet]],FFIECBooklets[Booklet],0)),0)</f>
        <v>59</v>
      </c>
      <c r="W17" s="176">
        <v>24</v>
      </c>
      <c r="X17"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Y17" s="130" t="s">
        <v>933</v>
      </c>
      <c r="Z17" s="176" t="str">
        <f>IFERROR(INDEX(FFIECBooklets[Booklet URL],MATCH(hyperlinkLU[[#This Row],[Booklet]],FFIECBooklets[Booklet],0))&amp;IF(LEN(hyperlinkLU[[#This Row],[PDFPage]])&gt;0,"#Page="&amp;TEXT(hyperlinkLU[[#This Row],[PDFPage]],0),""),"")</f>
        <v>https://ithandbook.ffiec.gov/media/274793/ffiec_itbooklet_informationsecurity.pdf#Page=24</v>
      </c>
      <c r="AA17" s="176" t="str">
        <f>IF(LEN(hyperlinkLU[[#This Row],[alt PDF Note]])&gt;0,hyperlinkLU[[#This Row],[alt PDF Note]]&amp;" ","")&amp;"(PDF link)"</f>
        <v>II.C.10 Change Management Within the IT Environment, better match (PDF link)</v>
      </c>
      <c r="AB17" s="176" t="s">
        <v>931</v>
      </c>
      <c r="AC17" s="176" t="str">
        <f>handbookURLBase&amp;hyperlinkLU[[#This Row],[URL fragment]]</f>
        <v>https://ithandbook.ffiec.gov/it-booklets/information-security/ii-information-security-program-management/iic-risk-mitigation/iic10-change-management-within-the-it-environment.aspx</v>
      </c>
      <c r="AD17" t="s">
        <v>1127</v>
      </c>
      <c r="AE17" t="s">
        <v>1110</v>
      </c>
    </row>
    <row r="18" spans="18:31" x14ac:dyDescent="0.25">
      <c r="R18" s="176" t="s">
        <v>944</v>
      </c>
      <c r="S18" s="176">
        <v>14</v>
      </c>
      <c r="T18" s="176" t="str">
        <f>MID(hyperlinkLU[[#This Row],[Reference]],7,FIND(",",hyperlinkLU[[#This Row],[Reference]],8)-7)</f>
        <v>Information Security Booklet</v>
      </c>
      <c r="U18" s="176">
        <v>68</v>
      </c>
      <c r="V18" s="176">
        <f>hyperlinkLU[[#This Row],[Page]]+IFERROR(INDEX(FFIECBooklets[Page Offset],MATCH(hyperlinkLU[[#This Row],[Booklet]],FFIECBooklets[Booklet],0)),0)</f>
        <v>71</v>
      </c>
      <c r="W18" s="176">
        <v>61</v>
      </c>
      <c r="X18"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https://ithandbook.ffiec.gov/media/274793/ffiec_itbooklet_informationsecurity.pdf#Page=71</v>
      </c>
      <c r="Y18" s="176" t="s">
        <v>945</v>
      </c>
      <c r="Z18" s="176" t="str">
        <f>IFERROR(INDEX(FFIECBooklets[Booklet URL],MATCH(hyperlinkLU[[#This Row],[Booklet]],FFIECBooklets[Booklet],0))&amp;IF(LEN(hyperlinkLU[[#This Row],[PDFPage]])&gt;0,"#Page="&amp;TEXT(hyperlinkLU[[#This Row],[PDFPage]],0),""),"")</f>
        <v>https://ithandbook.ffiec.gov/media/274793/ffiec_itbooklet_informationsecurity.pdf#Page=61</v>
      </c>
      <c r="AA18" s="176" t="str">
        <f>IF(LEN(hyperlinkLU[[#This Row],[alt PDF Note]])&gt;0,hyperlinkLU[[#This Row],[alt PDF Note]]&amp;" ","")&amp;"(PDF link)"</f>
        <v>Apendix A: Objective 2: Part 5 (information security) (PDF link)</v>
      </c>
      <c r="AB18" s="176" t="s">
        <v>1116</v>
      </c>
      <c r="AC18" s="176" t="str">
        <f>handbookURLBase&amp;hyperlinkLU[[#This Row],[URL fragment]]</f>
        <v>https://ithandbook.ffiec.gov/it-booklets/information-security/ii-information-security-program-management/iic-risk-mitigation/iic21-business-continuity-considerations.aspx</v>
      </c>
      <c r="AD18" s="236" t="s">
        <v>1117</v>
      </c>
      <c r="AE18" t="s">
        <v>1110</v>
      </c>
    </row>
    <row r="19" spans="18:31" x14ac:dyDescent="0.25">
      <c r="R19" s="176" t="s">
        <v>958</v>
      </c>
      <c r="S19" s="176">
        <v>15</v>
      </c>
      <c r="T19" s="176" t="str">
        <f>MID(hyperlinkLU[[#This Row],[Reference]],7,FIND(",",hyperlinkLU[[#This Row],[Reference]],8)-7)</f>
        <v>Information Security Booklet</v>
      </c>
      <c r="U19" s="176">
        <v>8</v>
      </c>
      <c r="V19" s="176">
        <f>hyperlinkLU[[#This Row],[Page]]+IFERROR(INDEX(FFIECBooklets[Page Offset],MATCH(hyperlinkLU[[#This Row],[Booklet]],FFIECBooklets[Booklet],0)),0)</f>
        <v>11</v>
      </c>
      <c r="W19" s="176">
        <v>8</v>
      </c>
      <c r="X19"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https://ithandbook.ffiec.gov/media/274793/ffiec_itbooklet_informationsecurity.pdf#Page=11</v>
      </c>
      <c r="Y19" s="176" t="s">
        <v>959</v>
      </c>
      <c r="Z19" s="176" t="str">
        <f>IFERROR(INDEX(FFIECBooklets[Booklet URL],MATCH(hyperlinkLU[[#This Row],[Booklet]],FFIECBooklets[Booklet],0))&amp;IF(LEN(hyperlinkLU[[#This Row],[PDFPage]])&gt;0,"#Page="&amp;TEXT(hyperlinkLU[[#This Row],[PDFPage]],0),""),"")</f>
        <v>https://ithandbook.ffiec.gov/media/274793/ffiec_itbooklet_informationsecurity.pdf#Page=8</v>
      </c>
      <c r="AA19" s="176" t="str">
        <f>IF(LEN(hyperlinkLU[[#This Row],[alt PDF Note]])&gt;0,hyperlinkLU[[#This Row],[alt PDF Note]]&amp;" ","")&amp;"(PDF link)"</f>
        <v>II.A.1 Threats (PDF link)</v>
      </c>
      <c r="AB19" s="176" t="s">
        <v>960</v>
      </c>
      <c r="AC19" s="176" t="str">
        <f>handbookURLBase&amp;hyperlinkLU[[#This Row],[URL fragment]]</f>
        <v>https://ithandbook.ffiec.gov/it-booklets/information-security/ii-information-security-program-management/iia-risk-identification/iia1-threats.aspx</v>
      </c>
      <c r="AD19" s="176" t="s">
        <v>1103</v>
      </c>
      <c r="AE19" t="s">
        <v>1110</v>
      </c>
    </row>
    <row r="20" spans="18:31" x14ac:dyDescent="0.25">
      <c r="R20" s="176" t="s">
        <v>930</v>
      </c>
      <c r="S20" s="176">
        <v>16</v>
      </c>
      <c r="T20" s="176" t="str">
        <f>MID(hyperlinkLU[[#This Row],[Reference]],7,FIND(",",hyperlinkLU[[#This Row],[Reference]],8)-7)</f>
        <v>Information Security Booklet</v>
      </c>
      <c r="U20" s="176">
        <v>12</v>
      </c>
      <c r="V20" s="176">
        <f>hyperlinkLU[[#This Row],[Page]]+IFERROR(INDEX(FFIECBooklets[Page Offset],MATCH(hyperlinkLU[[#This Row],[Booklet]],FFIECBooklets[Booklet],0)),0)</f>
        <v>15</v>
      </c>
      <c r="W20" s="176">
        <v>15</v>
      </c>
      <c r="X20"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Y20" s="176" t="s">
        <v>961</v>
      </c>
      <c r="Z20" s="176" t="str">
        <f>IFERROR(INDEX(FFIECBooklets[Booklet URL],MATCH(hyperlinkLU[[#This Row],[Booklet]],FFIECBooklets[Booklet],0))&amp;IF(LEN(hyperlinkLU[[#This Row],[PDFPage]])&gt;0,"#Page="&amp;TEXT(hyperlinkLU[[#This Row],[PDFPage]],0),""),"")</f>
        <v>https://ithandbook.ffiec.gov/media/274793/ffiec_itbooklet_informationsecurity.pdf#Page=15</v>
      </c>
      <c r="AA20" s="176" t="str">
        <f>IF(LEN(hyperlinkLU[[#This Row],[alt PDF Note]])&gt;0,hyperlinkLU[[#This Row],[alt PDF Note]]&amp;" ","")&amp;"(PDF link)"</f>
        <v>II.C.2 Technology Design (PDF link)</v>
      </c>
      <c r="AB20" s="176" t="s">
        <v>962</v>
      </c>
      <c r="AC20" s="176" t="str">
        <f>handbookURLBase&amp;hyperlinkLU[[#This Row],[URL fragment]]</f>
        <v>https://ithandbook.ffiec.gov/it-booklets/information-security/ii-information-security-program-management/iic-risk-mitigation/iic2-technology-design.aspx</v>
      </c>
      <c r="AD20" s="176" t="s">
        <v>1104</v>
      </c>
      <c r="AE20" t="s">
        <v>1110</v>
      </c>
    </row>
    <row r="21" spans="18:31" x14ac:dyDescent="0.25">
      <c r="R21" s="176" t="s">
        <v>963</v>
      </c>
      <c r="S21" s="176">
        <v>17</v>
      </c>
      <c r="T21" s="176" t="str">
        <f>MID(hyperlinkLU[[#This Row],[Reference]],7,FIND(",",hyperlinkLU[[#This Row],[Reference]],8)-7)</f>
        <v>Information Security Booklet</v>
      </c>
      <c r="U21" s="176">
        <v>13</v>
      </c>
      <c r="V21" s="176">
        <f>hyperlinkLU[[#This Row],[Page]]+IFERROR(INDEX(FFIECBooklets[Page Offset],MATCH(hyperlinkLU[[#This Row],[Booklet]],FFIECBooklets[Booklet],0)),0)</f>
        <v>16</v>
      </c>
      <c r="W21" s="176">
        <v>16</v>
      </c>
      <c r="X21"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https://ithandbook.ffiec.gov/media/274793/ffiec_itbooklet_informationsecurity.pdf#Page=16</v>
      </c>
      <c r="Y21" s="176" t="s">
        <v>964</v>
      </c>
      <c r="Z21" s="176" t="str">
        <f>IFERROR(INDEX(FFIECBooklets[Booklet URL],MATCH(hyperlinkLU[[#This Row],[Booklet]],FFIECBooklets[Booklet],0))&amp;IF(LEN(hyperlinkLU[[#This Row],[PDFPage]])&gt;0,"#Page="&amp;TEXT(hyperlinkLU[[#This Row],[PDFPage]],0),""),"")</f>
        <v>https://ithandbook.ffiec.gov/media/274793/ffiec_itbooklet_informationsecurity.pdf#Page=16</v>
      </c>
      <c r="AA21" s="176" t="str">
        <f>IF(LEN(hyperlinkLU[[#This Row],[alt PDF Note]])&gt;0,hyperlinkLU[[#This Row],[alt PDF Note]]&amp;" ","")&amp;"(PDF link)"</f>
        <v>II.C.4 Control Implementation (PDF link)</v>
      </c>
      <c r="AB21" s="176" t="s">
        <v>965</v>
      </c>
      <c r="AC21" s="176" t="str">
        <f>handbookURLBase&amp;hyperlinkLU[[#This Row],[URL fragment]]</f>
        <v>https://ithandbook.ffiec.gov/it-booklets/information-security/ii-information-security-program-management/iic-risk-mitigation/iic4-control-implementation.aspx</v>
      </c>
      <c r="AD21" s="176" t="s">
        <v>1105</v>
      </c>
      <c r="AE21" t="s">
        <v>1110</v>
      </c>
    </row>
    <row r="22" spans="18:31" x14ac:dyDescent="0.25">
      <c r="R22" s="176" t="s">
        <v>966</v>
      </c>
      <c r="S22" s="176">
        <v>18</v>
      </c>
      <c r="T22" s="176" t="str">
        <f>MID(hyperlinkLU[[#This Row],[Reference]],7,FIND(",",hyperlinkLU[[#This Row],[Reference]],8)-7)</f>
        <v>Audit Booklet</v>
      </c>
      <c r="U22" s="176">
        <v>4</v>
      </c>
      <c r="V22" s="176">
        <f>hyperlinkLU[[#This Row],[Page]]+IFERROR(INDEX(FFIECBooklets[Page Offset],MATCH(hyperlinkLU[[#This Row],[Booklet]],FFIECBooklets[Booklet],0)),0)</f>
        <v>6</v>
      </c>
      <c r="W22" s="176">
        <v>6</v>
      </c>
      <c r="X22" s="176" t="str">
        <f>IFERROR(INDEX(FFIECBooklets[Booklet URL],MATCH(hyperlinkLU[[#This Row],[Booklet]],FFIECBooklets[Booklet],0))&amp;IF(LEN(hyperlinkLU[[#This Row],[Physical Page]])&gt;0,"#Page="&amp;TEXT(hyperlinkLU[[#This Row],[Physical Page]],0),""),defaultHandbookURL)</f>
        <v>https://ithandbook.ffiec.gov/media/274709/ffiec_itbooklet_audit.pdf#Page=6</v>
      </c>
      <c r="Y22" s="176" t="s">
        <v>969</v>
      </c>
      <c r="Z22" s="176" t="str">
        <f>IFERROR(INDEX(FFIECBooklets[Booklet URL],MATCH(hyperlinkLU[[#This Row],[Booklet]],FFIECBooklets[Booklet],0))&amp;IF(LEN(hyperlinkLU[[#This Row],[PDFPage]])&gt;0,"#Page="&amp;TEXT(hyperlinkLU[[#This Row],[PDFPage]],0),""),"")</f>
        <v>https://ithandbook.ffiec.gov/media/274709/ffiec_itbooklet_audit.pdf#Page=6</v>
      </c>
      <c r="AA22" s="176" t="str">
        <f>IF(LEN(hyperlinkLU[[#This Row],[alt PDF Note]])&gt;0,hyperlinkLU[[#This Row],[alt PDF Note]]&amp;" ","")&amp;"(PDF link)"</f>
        <v>Audit Management (PDF link)</v>
      </c>
      <c r="AB22" s="176" t="s">
        <v>968</v>
      </c>
      <c r="AC22" s="176" t="str">
        <f>handbookURLBase&amp;hyperlinkLU[[#This Row],[URL fragment]]</f>
        <v>https://ithandbook.ffiec.gov/it-booklets/audit/it-audit-roles-and-responsibilities/audit-management.aspx</v>
      </c>
      <c r="AD22" t="s">
        <v>1106</v>
      </c>
      <c r="AE22" t="s">
        <v>1110</v>
      </c>
    </row>
    <row r="23" spans="18:31" x14ac:dyDescent="0.25">
      <c r="R23" s="176" t="s">
        <v>970</v>
      </c>
      <c r="S23" s="176">
        <v>19</v>
      </c>
      <c r="T23" s="176" t="str">
        <f>MID(hyperlinkLU[[#This Row],[Reference]],7,FIND(",",hyperlinkLU[[#This Row],[Reference]],8)-7)</f>
        <v>Audit Booklet</v>
      </c>
      <c r="U23" s="176">
        <v>1</v>
      </c>
      <c r="V23" s="176">
        <f>hyperlinkLU[[#This Row],[Page]]+IFERROR(INDEX(FFIECBooklets[Page Offset],MATCH(hyperlinkLU[[#This Row],[Booklet]],FFIECBooklets[Booklet],0)),0)</f>
        <v>3</v>
      </c>
      <c r="W23" s="176">
        <v>3</v>
      </c>
      <c r="X23" s="176" t="str">
        <f>IFERROR(INDEX(FFIECBooklets[Booklet URL],MATCH(hyperlinkLU[[#This Row],[Booklet]],FFIECBooklets[Booklet],0))&amp;IF(LEN(hyperlinkLU[[#This Row],[Physical Page]])&gt;0,"#Page="&amp;TEXT(hyperlinkLU[[#This Row],[Physical Page]],0),""),defaultHandbookURL)</f>
        <v>https://ithandbook.ffiec.gov/media/274709/ffiec_itbooklet_audit.pdf#Page=3</v>
      </c>
      <c r="Y23" s="176" t="s">
        <v>971</v>
      </c>
      <c r="Z23" s="176" t="str">
        <f>IFERROR(INDEX(FFIECBooklets[Booklet URL],MATCH(hyperlinkLU[[#This Row],[Booklet]],FFIECBooklets[Booklet],0))&amp;IF(LEN(hyperlinkLU[[#This Row],[PDFPage]])&gt;0,"#Page="&amp;TEXT(hyperlinkLU[[#This Row],[PDFPage]],0),""),"")</f>
        <v>https://ithandbook.ffiec.gov/media/274709/ffiec_itbooklet_audit.pdf#Page=3</v>
      </c>
      <c r="AA23" s="176" t="str">
        <f>IF(LEN(hyperlinkLU[[#This Row],[alt PDF Note]])&gt;0,hyperlinkLU[[#This Row],[alt PDF Note]]&amp;" ","")&amp;"(PDF link)"</f>
        <v>Introduction (PDF link)</v>
      </c>
      <c r="AB23" s="176" t="s">
        <v>972</v>
      </c>
      <c r="AC23" s="176" t="str">
        <f>handbookURLBase&amp;hyperlinkLU[[#This Row],[URL fragment]]</f>
        <v>https://ithandbook.ffiec.gov/it-booklets/audit/introduction.aspx</v>
      </c>
      <c r="AD23" t="s">
        <v>1107</v>
      </c>
      <c r="AE23" t="s">
        <v>1110</v>
      </c>
    </row>
    <row r="24" spans="18:31" x14ac:dyDescent="0.25">
      <c r="R24" s="176" t="s">
        <v>973</v>
      </c>
      <c r="S24" s="176">
        <v>20</v>
      </c>
      <c r="T24" s="176" t="str">
        <f>MID(hyperlinkLU[[#This Row],[Reference]],7,FIND(",",hyperlinkLU[[#This Row],[Reference]],8)-7)</f>
        <v>Operations Booklet</v>
      </c>
      <c r="U24" s="176">
        <v>29</v>
      </c>
      <c r="V24" s="176">
        <f>hyperlinkLU[[#This Row],[Page]]+IFERROR(INDEX(FFIECBooklets[Page Offset],MATCH(hyperlinkLU[[#This Row],[Booklet]],FFIECBooklets[Booklet],0)),0)</f>
        <v>32</v>
      </c>
      <c r="W24" s="176">
        <v>32</v>
      </c>
      <c r="X24" s="176" t="str">
        <f>IFERROR(INDEX(FFIECBooklets[Booklet URL],MATCH(hyperlinkLU[[#This Row],[Booklet]],FFIECBooklets[Booklet],0))&amp;IF(LEN(hyperlinkLU[[#This Row],[Physical Page]])&gt;0,"#Page="&amp;TEXT(hyperlinkLU[[#This Row],[Physical Page]],0),""),defaultHandbookURL)</f>
        <v>https://ithandbook.ffiec.gov/media/274825/ffiec_itbooklet_operations.pdf#Page=32</v>
      </c>
      <c r="Y24" s="176" t="s">
        <v>979</v>
      </c>
      <c r="Z24" s="176" t="s">
        <v>977</v>
      </c>
      <c r="AA24" s="176" t="str">
        <f>IF(LEN(hyperlinkLU[[#This Row],[alt PDF Note]])&gt;0,hyperlinkLU[[#This Row],[alt PDF Note]]&amp;" ","")&amp;"(PDF link)"</f>
        <v>Information Security II.C.22 Log Management, better match (PDF link)</v>
      </c>
      <c r="AB24" s="176" t="s">
        <v>1118</v>
      </c>
      <c r="AC24" s="176" t="str">
        <f>handbookURLBase&amp;hyperlinkLU[[#This Row],[URL fragment]]</f>
        <v>https://ithandbook.ffiec.gov/it-booklets/operations/risk-mitigation-and-control-implementation/eventproblem-management.aspx</v>
      </c>
      <c r="AD24" s="236" t="s">
        <v>1119</v>
      </c>
      <c r="AE24" t="s">
        <v>1110</v>
      </c>
    </row>
    <row r="25" spans="18:31" x14ac:dyDescent="0.25">
      <c r="R25" s="176" t="s">
        <v>900</v>
      </c>
      <c r="S25" s="176">
        <v>21</v>
      </c>
      <c r="T25" s="176" t="str">
        <f>MID(hyperlinkLU[[#This Row],[Reference]],7,FIND(",",hyperlinkLU[[#This Row],[Reference]],8)-7)</f>
        <v>Information Security Booklet</v>
      </c>
      <c r="U25" s="176">
        <v>6</v>
      </c>
      <c r="V25" s="176">
        <f>hyperlinkLU[[#This Row],[Page]]+IFERROR(INDEX(FFIECBooklets[Page Offset],MATCH(hyperlinkLU[[#This Row],[Booklet]],FFIECBooklets[Booklet],0)),0)</f>
        <v>9</v>
      </c>
      <c r="W25" s="176">
        <v>59</v>
      </c>
      <c r="X25"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https://ithandbook.ffiec.gov/media/274793/ffiec_itbooklet_informationsecurity.pdf#Page=9</v>
      </c>
      <c r="Y25" s="176" t="s">
        <v>976</v>
      </c>
      <c r="Z25" s="176" t="str">
        <f>IFERROR(INDEX(FFIECBooklets[Booklet URL],MATCH(hyperlinkLU[[#This Row],[Booklet]],FFIECBooklets[Booklet],0))&amp;IF(LEN(hyperlinkLU[[#This Row],[PDFPage]])&gt;0,"#Page="&amp;TEXT(hyperlinkLU[[#This Row],[PDFPage]],0),""),"")</f>
        <v>https://ithandbook.ffiec.gov/media/274793/ffiec_itbooklet_informationsecurity.pdf#Page=59</v>
      </c>
      <c r="AA25" s="176" t="str">
        <f>IF(LEN(hyperlinkLU[[#This Row],[alt PDF Note]])&gt;0,hyperlinkLU[[#This Row],[alt PDF Note]]&amp;" ","")&amp;"(PDF link)"</f>
        <v>IV.A.2(d) Audits, page 56 (PDF link)</v>
      </c>
      <c r="AB25" s="176" t="s">
        <v>975</v>
      </c>
      <c r="AC25" s="176" t="str">
        <f>handbookURLBase&amp;hyperlinkLU[[#This Row],[URL fragment]]</f>
        <v>https://ithandbook.ffiec.gov/it-booklets/information-security/iv-information-security-program-effectiveness/iva-assurance-and-testing/iva2-types-of-tests-and-evaluations/iva2(d)-audits.aspx</v>
      </c>
      <c r="AD25" s="176" t="s">
        <v>1160</v>
      </c>
      <c r="AE25" t="s">
        <v>1110</v>
      </c>
    </row>
    <row r="26" spans="18:31" x14ac:dyDescent="0.25">
      <c r="R26" s="176" t="s">
        <v>914</v>
      </c>
      <c r="S26" s="176">
        <v>22</v>
      </c>
      <c r="T26" s="176" t="str">
        <f>MID(hyperlinkLU[[#This Row],[Reference]],7,FIND(",",hyperlinkLU[[#This Row],[Reference]],8)-7)</f>
        <v>Information Security Booklet</v>
      </c>
      <c r="U26" s="176">
        <v>7</v>
      </c>
      <c r="V26" s="176">
        <f>hyperlinkLU[[#This Row],[Page]]+IFERROR(INDEX(FFIECBooklets[Page Offset],MATCH(hyperlinkLU[[#This Row],[Booklet]],FFIECBooklets[Booklet],0)),0)</f>
        <v>10</v>
      </c>
      <c r="W26" s="176">
        <v>5</v>
      </c>
      <c r="X26"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26" s="176" t="s">
        <v>942</v>
      </c>
      <c r="Z26" s="176" t="str">
        <f>IFERROR(INDEX(FFIECBooklets[Booklet URL],MATCH(hyperlinkLU[[#This Row],[Booklet]],FFIECBooklets[Booklet],0))&amp;IF(LEN(hyperlinkLU[[#This Row],[PDFPage]])&gt;0,"#Page="&amp;TEXT(hyperlinkLU[[#This Row],[PDFPage]],0),""),"")</f>
        <v>https://ithandbook.ffiec.gov/media/274793/ffiec_itbooklet_informationsecurity.pdf#Page=5</v>
      </c>
      <c r="AA26" s="176" t="str">
        <f>IF(LEN(hyperlinkLU[[#This Row],[alt PDF Note]])&gt;0,hyperlinkLU[[#This Row],[alt PDF Note]]&amp;" ","")&amp;"(PDF link)"</f>
        <v>Introduction, page 5, better match (PDF link)</v>
      </c>
      <c r="AB26" s="176" t="s">
        <v>907</v>
      </c>
      <c r="AC26" s="176" t="str">
        <f>handbookURLBase&amp;hyperlinkLU[[#This Row],[URL fragment]]</f>
        <v>https://ithandbook.ffiec.gov/it-booklets/information-security/ii-information-security-program-management/iic-risk-mitigation/iic1-policies,-standards,-and-procedures.aspx</v>
      </c>
      <c r="AD26" s="236" t="s">
        <v>1161</v>
      </c>
      <c r="AE26" t="s">
        <v>1110</v>
      </c>
    </row>
    <row r="27" spans="18:31" x14ac:dyDescent="0.25">
      <c r="R27" s="176" t="s">
        <v>980</v>
      </c>
      <c r="S27" s="176">
        <v>23</v>
      </c>
      <c r="T27" s="194" t="s">
        <v>916</v>
      </c>
      <c r="U27" s="176">
        <v>57</v>
      </c>
      <c r="V27" s="194">
        <f>hyperlinkLU[[#This Row],[Page]]+IFERROR(INDEX(FFIECBooklets[Page Offset],MATCH(hyperlinkLU[[#This Row],[Booklet]],FFIECBooklets[Booklet],0)),0)</f>
        <v>60</v>
      </c>
      <c r="W27" s="176">
        <v>60</v>
      </c>
      <c r="X2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https://ithandbook.ffiec.gov/media/274793/ffiec_itbooklet_informationsecurity.pdf#Page=60</v>
      </c>
      <c r="Y27" t="s">
        <v>990</v>
      </c>
      <c r="Z27" s="194" t="str">
        <f>IFERROR(INDEX(FFIECBooklets[Booklet URL],MATCH(hyperlinkLU[[#This Row],[Booklet]],FFIECBooklets[Booklet],0))&amp;IF(LEN(hyperlinkLU[[#This Row],[PDFPage]])&gt;0,"#Page="&amp;TEXT(hyperlinkLU[[#This Row],[PDFPage]],0),""),"")</f>
        <v>https://ithandbook.ffiec.gov/media/274793/ffiec_itbooklet_informationsecurity.pdf#Page=60</v>
      </c>
      <c r="AA27" s="194" t="str">
        <f>IF(LEN(hyperlinkLU[[#This Row],[alt PDF Note]])&gt;0,hyperlinkLU[[#This Row],[alt PDF Note]]&amp;" ","")&amp;"(PDF link)"</f>
        <v>Objective 1 (PDF link)</v>
      </c>
      <c r="AB27" s="194" t="s">
        <v>1120</v>
      </c>
      <c r="AC27" s="194" t="str">
        <f>handbookURLBase&amp;hyperlinkLU[[#This Row],[URL fragment]]</f>
        <v>https://ithandbook.ffiec.gov/it-booklets/information-security/i-governance-of-the-information-security-program/ic-resources.aspx</v>
      </c>
      <c r="AD27" s="236" t="s">
        <v>1162</v>
      </c>
      <c r="AE27" t="s">
        <v>1110</v>
      </c>
    </row>
    <row r="28" spans="18:31" x14ac:dyDescent="0.25">
      <c r="R28" s="176" t="s">
        <v>981</v>
      </c>
      <c r="S28" s="176">
        <v>24</v>
      </c>
      <c r="T28" s="176" t="str">
        <f>MID(hyperlinkLU[[#This Row],[Reference]],7,FIND(",",hyperlinkLU[[#This Row],[Reference]],8)-7)</f>
        <v>Information Security Booklet</v>
      </c>
      <c r="U28" s="176">
        <v>66</v>
      </c>
      <c r="V28" s="176">
        <f>hyperlinkLU[[#This Row],[Page]]+IFERROR(INDEX(FFIECBooklets[Page Offset],MATCH(hyperlinkLU[[#This Row],[Booklet]],FFIECBooklets[Booklet],0)),0)</f>
        <v>69</v>
      </c>
      <c r="W28" s="176">
        <v>5</v>
      </c>
      <c r="X28"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Y28" s="176" t="s">
        <v>982</v>
      </c>
      <c r="Z28" s="176" t="str">
        <f>IFERROR(INDEX(FFIECBooklets[Booklet URL],MATCH(hyperlinkLU[[#This Row],[Booklet]],FFIECBooklets[Booklet],0))&amp;IF(LEN(hyperlinkLU[[#This Row],[PDFPage]])&gt;0,"#Page="&amp;TEXT(hyperlinkLU[[#This Row],[PDFPage]],0),""),"")</f>
        <v>https://ithandbook.ffiec.gov/media/274793/ffiec_itbooklet_informationsecurity.pdf#Page=5</v>
      </c>
      <c r="AA28" s="176" t="str">
        <f>IF(LEN(hyperlinkLU[[#This Row],[alt PDF Note]])&gt;0,hyperlinkLU[[#This Row],[alt PDF Note]]&amp;" ","")&amp;"(PDF link)"</f>
        <v>I.B Responsibility and Accountability, page 5 (PDF link)</v>
      </c>
      <c r="AB28" s="176" t="s">
        <v>901</v>
      </c>
      <c r="AC28" s="176" t="str">
        <f>handbookURLBase&amp;hyperlinkLU[[#This Row],[URL fragment]]</f>
        <v>https://ithandbook.ffiec.gov/it-booklets/information-security/i-governance-of-the-information-security-program/ib-responsibility-and-accountability.aspx</v>
      </c>
      <c r="AD28" s="176" t="s">
        <v>1128</v>
      </c>
      <c r="AE28" t="s">
        <v>1110</v>
      </c>
    </row>
    <row r="29" spans="18:31" x14ac:dyDescent="0.25">
      <c r="R29" s="176" t="s">
        <v>981</v>
      </c>
      <c r="S29" s="176">
        <v>25</v>
      </c>
      <c r="T29" s="176" t="str">
        <f>MID(hyperlinkLU[[#This Row],[Reference]],7,FIND(",",hyperlinkLU[[#This Row],[Reference]],8)-7)</f>
        <v>Information Security Booklet</v>
      </c>
      <c r="U29" s="176">
        <v>66</v>
      </c>
      <c r="V29" s="176">
        <f>hyperlinkLU[[#This Row],[Page]]+IFERROR(INDEX(FFIECBooklets[Page Offset],MATCH(hyperlinkLU[[#This Row],[Booklet]],FFIECBooklets[Booklet],0)),0)</f>
        <v>69</v>
      </c>
      <c r="W29" s="176">
        <v>20</v>
      </c>
      <c r="X29"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Y29" s="176" t="s">
        <v>983</v>
      </c>
      <c r="Z29" s="176" t="str">
        <f>IFERROR(INDEX(FFIECBooklets[Booklet URL],MATCH(hyperlinkLU[[#This Row],[Booklet]],FFIECBooklets[Booklet],0))&amp;IF(LEN(hyperlinkLU[[#This Row],[PDFPage]])&gt;0,"#Page="&amp;TEXT(hyperlinkLU[[#This Row],[PDFPage]],0),""),"")</f>
        <v>https://ithandbook.ffiec.gov/media/274793/ffiec_itbooklet_informationsecurity.pdf#Page=20</v>
      </c>
      <c r="AA29" s="176" t="str">
        <f>IF(LEN(hyperlinkLU[[#This Row],[alt PDF Note]])&gt;0,hyperlinkLU[[#This Row],[alt PDF Note]]&amp;" ","")&amp;"(PDF link)"</f>
        <v>II.C.7(e) Training, better match (PDF link)</v>
      </c>
      <c r="AB29" s="176" t="s">
        <v>984</v>
      </c>
      <c r="AC29" s="176" t="str">
        <f>handbookURLBase&amp;hyperlinkLU[[#This Row],[URL fragment]]</f>
        <v>https://ithandbook.ffiec.gov/it-booklets/information-security/ii-information-security-program-management/iic-risk-mitigation/iic7-user-security-controls/iic7(e)-training.aspx</v>
      </c>
      <c r="AD29" s="176" t="s">
        <v>1129</v>
      </c>
      <c r="AE29" t="s">
        <v>1110</v>
      </c>
    </row>
    <row r="30" spans="18:31" x14ac:dyDescent="0.25">
      <c r="R30" s="176" t="s">
        <v>914</v>
      </c>
      <c r="S30" s="176">
        <v>26</v>
      </c>
      <c r="T30" s="176" t="str">
        <f>MID(hyperlinkLU[[#This Row],[Reference]],7,FIND(",",hyperlinkLU[[#This Row],[Reference]],8)-7)</f>
        <v>Information Security Booklet</v>
      </c>
      <c r="U30" s="176">
        <v>7</v>
      </c>
      <c r="V30" s="176">
        <f>hyperlinkLU[[#This Row],[Page]]+IFERROR(INDEX(FFIECBooklets[Page Offset],MATCH(hyperlinkLU[[#This Row],[Booklet]],FFIECBooklets[Booklet],0)),0)</f>
        <v>10</v>
      </c>
      <c r="W30" s="176">
        <v>61</v>
      </c>
      <c r="X30" s="1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30" s="176" t="s">
        <v>985</v>
      </c>
      <c r="Z30" s="176" t="str">
        <f>IFERROR(INDEX(FFIECBooklets[Booklet URL],MATCH(hyperlinkLU[[#This Row],[Booklet]],FFIECBooklets[Booklet],0))&amp;IF(LEN(hyperlinkLU[[#This Row],[PDFPage]])&gt;0,"#Page="&amp;TEXT(hyperlinkLU[[#This Row],[PDFPage]],0),""),"")</f>
        <v>https://ithandbook.ffiec.gov/media/274793/ffiec_itbooklet_informationsecurity.pdf#Page=61</v>
      </c>
      <c r="AA30" s="176" t="str">
        <f>IF(LEN(hyperlinkLU[[#This Row],[alt PDF Note]])&gt;0,hyperlinkLU[[#This Row],[alt PDF Note]]&amp;" ","")&amp;"(PDF link)"</f>
        <v>Appendix A: Objective 2: 5.l, closest match (PDF link)</v>
      </c>
      <c r="AB30" s="176" t="s">
        <v>946</v>
      </c>
      <c r="AC30" s="176" t="str">
        <f>handbookURLBase&amp;hyperlinkLU[[#This Row],[URL fragment]]</f>
        <v>https://ithandbook.ffiec.gov/it-booklets/information-security/appendix-a-examination-procedures.aspx</v>
      </c>
      <c r="AD30" s="176" t="s">
        <v>1108</v>
      </c>
      <c r="AE30" t="s">
        <v>1130</v>
      </c>
    </row>
    <row r="31" spans="18:31" x14ac:dyDescent="0.25">
      <c r="R31" s="176" t="s">
        <v>986</v>
      </c>
      <c r="S31" s="176">
        <v>27</v>
      </c>
      <c r="T31" s="176" t="s">
        <v>853</v>
      </c>
      <c r="U31" s="176">
        <v>55</v>
      </c>
      <c r="V31" s="176">
        <f>hyperlinkLU[[#This Row],[Page]]+IFERROR(INDEX(FFIECBooklets[Page Offset],MATCH(hyperlinkLU[[#This Row],[Booklet]],FFIECBooklets[Booklet],0)),0)</f>
        <v>58</v>
      </c>
      <c r="W31" s="176">
        <v>58</v>
      </c>
      <c r="X31" s="194" t="str">
        <f>IFERROR(INDEX(FFIECBooklets[Booklet URL],MATCH(hyperlinkLU[[#This Row],[Booklet]],FFIECBooklets[Booklet],0))&amp;IF(LEN(hyperlinkLU[[#This Row],[Physical Page]])&gt;0,"#Page="&amp;TEXT(hyperlinkLU[[#This Row],[Physical Page]],0),""),defaultHandbookURL)</f>
        <v>https://ithandbook.ffiec.gov/media/274777/ffiec_itbooklet_e-banking.pdf#Page=58</v>
      </c>
      <c r="Y31" s="176" t="s">
        <v>987</v>
      </c>
      <c r="Z31" s="176" t="str">
        <f>IFERROR(INDEX(FFIECBooklets[Booklet URL],MATCH(hyperlinkLU[[#This Row],[Booklet]],FFIECBooklets[Booklet],0))&amp;IF(LEN(hyperlinkLU[[#This Row],[PDFPage]])&gt;0,"#Page="&amp;TEXT(hyperlinkLU[[#This Row],[PDFPage]],0),""),"")</f>
        <v>https://ithandbook.ffiec.gov/media/274777/ffiec_itbooklet_e-banking.pdf#Page=58</v>
      </c>
      <c r="AA31" s="176" t="str">
        <f>IF(LEN(hyperlinkLU[[#This Row],[alt PDF Note]])&gt;0,hyperlinkLU[[#This Row],[alt PDF Note]]&amp;" ","")&amp;"(PDF link)"</f>
        <v>E-Banking Work Program, Objective 6-3 (PDF link)</v>
      </c>
      <c r="AB31" s="176" t="s">
        <v>1132</v>
      </c>
      <c r="AC31" s="176" t="str">
        <f>handbookURLBase&amp;hyperlinkLU[[#This Row],[URL fragment]]</f>
        <v>https://ithandbook.ffiec.gov/it-booklets/information-security/ii-information-security-program-management/iic-risk-mitigation/iic16-customer-remote-access-to-financial-services.aspx</v>
      </c>
      <c r="AD31" s="236" t="s">
        <v>1131</v>
      </c>
      <c r="AE31" t="s">
        <v>1110</v>
      </c>
    </row>
    <row r="32" spans="18:31" x14ac:dyDescent="0.25">
      <c r="R32" s="176" t="s">
        <v>914</v>
      </c>
      <c r="S32" s="176">
        <v>28</v>
      </c>
      <c r="T32" s="176" t="str">
        <f>MID(hyperlinkLU[[#This Row],[Reference]],7,FIND(",",hyperlinkLU[[#This Row],[Reference]],8)-7)</f>
        <v>Information Security Booklet</v>
      </c>
      <c r="U32" s="176">
        <v>7</v>
      </c>
      <c r="V32" s="176">
        <f>hyperlinkLU[[#This Row],[Page]]+IFERROR(INDEX(FFIECBooklets[Page Offset],MATCH(hyperlinkLU[[#This Row],[Booklet]],FFIECBooklets[Booklet],0)),0)</f>
        <v>10</v>
      </c>
      <c r="W32" s="176">
        <v>6</v>
      </c>
      <c r="X32"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32" s="176" t="s">
        <v>988</v>
      </c>
      <c r="Z32" s="176" t="str">
        <f>IFERROR(INDEX(FFIECBooklets[Booklet URL],MATCH(hyperlinkLU[[#This Row],[Booklet]],FFIECBooklets[Booklet],0))&amp;IF(LEN(hyperlinkLU[[#This Row],[PDFPage]])&gt;0,"#Page="&amp;TEXT(hyperlinkLU[[#This Row],[PDFPage]],0),""),"")</f>
        <v>https://ithandbook.ffiec.gov/media/274793/ffiec_itbooklet_informationsecurity.pdf#Page=6</v>
      </c>
      <c r="AA32" s="176" t="str">
        <f>IF(LEN(hyperlinkLU[[#This Row],[alt PDF Note]])&gt;0,hyperlinkLU[[#This Row],[alt PDF Note]]&amp;" ","")&amp;"(PDF link)"</f>
        <v>I.A Security Culture, page 3  (PDF link)</v>
      </c>
      <c r="AB32" s="176" t="s">
        <v>984</v>
      </c>
      <c r="AC32" s="176" t="str">
        <f>handbookURLBase&amp;hyperlinkLU[[#This Row],[URL fragment]]</f>
        <v>https://ithandbook.ffiec.gov/it-booklets/information-security/ii-information-security-program-management/iic-risk-mitigation/iic7-user-security-controls/iic7(e)-training.aspx</v>
      </c>
      <c r="AD32" s="176" t="s">
        <v>1129</v>
      </c>
      <c r="AE32" t="s">
        <v>1110</v>
      </c>
    </row>
    <row r="33" spans="18:31" x14ac:dyDescent="0.25">
      <c r="R33" s="194" t="s">
        <v>989</v>
      </c>
      <c r="S33" s="176">
        <v>29</v>
      </c>
      <c r="T33" s="194" t="s">
        <v>853</v>
      </c>
      <c r="U33" s="176">
        <v>28</v>
      </c>
      <c r="V33" s="194">
        <f>hyperlinkLU[[#This Row],[Page]]+IFERROR(INDEX(FFIECBooklets[Page Offset],MATCH(hyperlinkLU[[#This Row],[Booklet]],FFIECBooklets[Booklet],0)),0)</f>
        <v>31</v>
      </c>
      <c r="X33" s="194" t="str">
        <f>IFERROR(INDEX(FFIECBooklets[Booklet URL],MATCH(hyperlinkLU[[#This Row],[Booklet]],FFIECBooklets[Booklet],0))&amp;IF(LEN(hyperlinkLU[[#This Row],[Physical Page]])&gt;0,"#Page="&amp;TEXT(hyperlinkLU[[#This Row],[Physical Page]],0),""),defaultHandbookURL)</f>
        <v>https://ithandbook.ffiec.gov/media/274777/ffiec_itbooklet_e-banking.pdf#Page=31</v>
      </c>
      <c r="Z33" s="194"/>
      <c r="AA33" s="194"/>
      <c r="AB33" s="239" t="s">
        <v>1133</v>
      </c>
      <c r="AC33" s="236" t="str">
        <f>handbookURLBase&amp;hyperlinkLU[[#This Row],[URL fragment]]</f>
        <v>https://ithandbook.ffiec.gov/it-booklets/information-security/ii-information-security-program-management/iic-risk-mitigation.aspx</v>
      </c>
      <c r="AD33" s="236" t="s">
        <v>1134</v>
      </c>
      <c r="AE33" t="s">
        <v>1110</v>
      </c>
    </row>
    <row r="34" spans="18:31" x14ac:dyDescent="0.25">
      <c r="R34" s="194" t="s">
        <v>913</v>
      </c>
      <c r="S34" s="176">
        <v>30</v>
      </c>
      <c r="T34" s="194" t="str">
        <f>MID(hyperlinkLU[[#This Row],[Reference]],7,FIND(",",hyperlinkLU[[#This Row],[Reference]],8)-7)</f>
        <v>Information Security Booklet</v>
      </c>
      <c r="U34" s="176">
        <v>83</v>
      </c>
      <c r="V34" s="194">
        <f>hyperlinkLU[[#This Row],[Page]]+IFERROR(INDEX(FFIECBooklets[Page Offset],MATCH(hyperlinkLU[[#This Row],[Booklet]],FFIECBooklets[Booklet],0)),0)</f>
        <v>86</v>
      </c>
      <c r="W34" s="176">
        <v>74</v>
      </c>
      <c r="X3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34" s="176" t="s">
        <v>991</v>
      </c>
      <c r="Z34" s="194" t="str">
        <f>IFERROR(INDEX(FFIECBooklets[Booklet URL],MATCH(hyperlinkLU[[#This Row],[Booklet]],FFIECBooklets[Booklet],0))&amp;IF(LEN(hyperlinkLU[[#This Row],[PDFPage]])&gt;0,"#Page="&amp;TEXT(hyperlinkLU[[#This Row],[PDFPage]],0),""),"")</f>
        <v>https://ithandbook.ffiec.gov/media/274793/ffiec_itbooklet_informationsecurity.pdf#Page=74</v>
      </c>
      <c r="AA34" s="194" t="str">
        <f>IF(LEN(hyperlinkLU[[#This Row],[alt PDF Note]])&gt;0,hyperlinkLU[[#This Row],[alt PDF Note]]&amp;" ","")&amp;"(PDF link)"</f>
        <v>Objective 8 part 3, closest match (PDF link)</v>
      </c>
      <c r="AB34" s="236" t="s">
        <v>1135</v>
      </c>
      <c r="AC34" s="194" t="str">
        <f>handbookURLBase&amp;hyperlinkLU[[#This Row],[URL fragment]]</f>
        <v>https://ithandbook.ffiec.gov/it-booklets/https://ithandbook.ffiec.gov/it-booklets/information-security/iii-security-operations.aspx</v>
      </c>
      <c r="AD34" s="236" t="s">
        <v>1136</v>
      </c>
      <c r="AE34" t="s">
        <v>1110</v>
      </c>
    </row>
    <row r="35" spans="18:31" x14ac:dyDescent="0.25">
      <c r="R35" s="194" t="s">
        <v>992</v>
      </c>
      <c r="S35" s="176">
        <v>31</v>
      </c>
      <c r="T35" s="194" t="str">
        <f>MID(hyperlinkLU[[#This Row],[Reference]],7,FIND(",",hyperlinkLU[[#This Row],[Reference]],8)-7)</f>
        <v>Information Security Booklet</v>
      </c>
      <c r="U35" s="176">
        <v>4</v>
      </c>
      <c r="V35" s="194">
        <f>hyperlinkLU[[#This Row],[Page]]+IFERROR(INDEX(FFIECBooklets[Page Offset],MATCH(hyperlinkLU[[#This Row],[Booklet]],FFIECBooklets[Booklet],0)),0)</f>
        <v>7</v>
      </c>
      <c r="W35" s="176">
        <v>50</v>
      </c>
      <c r="X35"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v>
      </c>
      <c r="Y35" s="176" t="s">
        <v>993</v>
      </c>
      <c r="Z35" s="194" t="str">
        <f>IFERROR(INDEX(FFIECBooklets[Booklet URL],MATCH(hyperlinkLU[[#This Row],[Booklet]],FFIECBooklets[Booklet],0))&amp;IF(LEN(hyperlinkLU[[#This Row],[PDFPage]])&gt;0,"#Page="&amp;TEXT(hyperlinkLU[[#This Row],[PDFPage]],0),""),"")</f>
        <v>https://ithandbook.ffiec.gov/media/274793/ffiec_itbooklet_informationsecurity.pdf#Page=50</v>
      </c>
      <c r="AA35" s="194" t="str">
        <f>IF(LEN(hyperlinkLU[[#This Row],[alt PDF Note]])&gt;0,hyperlinkLU[[#This Row],[alt PDF Note]]&amp;" ","")&amp;"(PDF link)"</f>
        <v>III.A Threat Identification and Assessment, better match (PDF link)</v>
      </c>
      <c r="AB35" s="236" t="s">
        <v>996</v>
      </c>
      <c r="AC35" s="194" t="str">
        <f>handbookURLBase&amp;hyperlinkLU[[#This Row],[URL fragment]]</f>
        <v>https://ithandbook.ffiec.gov/it-booklets/information-security/iii-security-operations/iiia-threat-identification-and-assessment.aspx</v>
      </c>
      <c r="AD35" s="236" t="s">
        <v>1137</v>
      </c>
      <c r="AE35" t="s">
        <v>1110</v>
      </c>
    </row>
    <row r="36" spans="18:31" x14ac:dyDescent="0.25">
      <c r="R36" s="194" t="s">
        <v>994</v>
      </c>
      <c r="S36" s="176">
        <v>32</v>
      </c>
      <c r="T36" s="194" t="str">
        <f>MID(hyperlinkLU[[#This Row],[Reference]],7,FIND(",",hyperlinkLU[[#This Row],[Reference]],8)-7)</f>
        <v>Information Security Booklet</v>
      </c>
      <c r="U36" s="176">
        <v>79</v>
      </c>
      <c r="V36" s="194">
        <f>hyperlinkLU[[#This Row],[Page]]+IFERROR(INDEX(FFIECBooklets[Page Offset],MATCH(hyperlinkLU[[#This Row],[Booklet]],FFIECBooklets[Booklet],0)),0)</f>
        <v>82</v>
      </c>
      <c r="W36" s="176">
        <v>73</v>
      </c>
      <c r="X3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https://ithandbook.ffiec.gov/media/274793/ffiec_itbooklet_informationsecurity.pdf#Page=82</v>
      </c>
      <c r="Y36" s="176" t="s">
        <v>995</v>
      </c>
      <c r="Z36" s="194" t="str">
        <f>IFERROR(INDEX(FFIECBooklets[Booklet URL],MATCH(hyperlinkLU[[#This Row],[Booklet]],FFIECBooklets[Booklet],0))&amp;IF(LEN(hyperlinkLU[[#This Row],[PDFPage]])&gt;0,"#Page="&amp;TEXT(hyperlinkLU[[#This Row],[PDFPage]],0),""),"")</f>
        <v>https://ithandbook.ffiec.gov/media/274793/ffiec_itbooklet_informationsecurity.pdf#Page=73</v>
      </c>
      <c r="AA36" s="194" t="str">
        <f>IF(LEN(hyperlinkLU[[#This Row],[alt PDF Note]])&gt;0,hyperlinkLU[[#This Row],[alt PDF Note]]&amp;" ","")&amp;"(PDF link)"</f>
        <v>Objective 6:35, closest match (PDF link)</v>
      </c>
      <c r="AB36" s="194" t="s">
        <v>978</v>
      </c>
      <c r="AC36" s="194" t="str">
        <f>handbookURLBase&amp;hyperlinkLU[[#This Row],[URL fragment]]</f>
        <v>https://ithandbook.ffiec.gov/it-booklets/information-security/ii-information-security-program-management/iic-risk-mitigation/iic22-log-management.aspx</v>
      </c>
      <c r="AD36" t="s">
        <v>1138</v>
      </c>
      <c r="AE36" t="s">
        <v>1110</v>
      </c>
    </row>
    <row r="37" spans="18:31" x14ac:dyDescent="0.25">
      <c r="R37" s="194" t="s">
        <v>913</v>
      </c>
      <c r="S37" s="176">
        <v>33</v>
      </c>
      <c r="T37" s="194" t="str">
        <f>MID(hyperlinkLU[[#This Row],[Reference]],7,FIND(",",hyperlinkLU[[#This Row],[Reference]],8)-7)</f>
        <v>Information Security Booklet</v>
      </c>
      <c r="U37" s="176">
        <v>83</v>
      </c>
      <c r="V37" s="194">
        <f>hyperlinkLU[[#This Row],[Page]]+IFERROR(INDEX(FFIECBooklets[Page Offset],MATCH(hyperlinkLU[[#This Row],[Booklet]],FFIECBooklets[Booklet],0)),0)</f>
        <v>86</v>
      </c>
      <c r="W37" s="176">
        <v>47</v>
      </c>
      <c r="X3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37" s="176" t="s">
        <v>998</v>
      </c>
      <c r="Z37" s="194" t="str">
        <f>IFERROR(INDEX(FFIECBooklets[Booklet URL],MATCH(hyperlinkLU[[#This Row],[Booklet]],FFIECBooklets[Booklet],0))&amp;IF(LEN(hyperlinkLU[[#This Row],[PDFPage]])&gt;0,"#Page="&amp;TEXT(hyperlinkLU[[#This Row],[PDFPage]],0),""),"")</f>
        <v>https://ithandbook.ffiec.gov/media/274793/ffiec_itbooklet_informationsecurity.pdf#Page=47</v>
      </c>
      <c r="AA37" s="194" t="str">
        <f>IF(LEN(hyperlinkLU[[#This Row],[alt PDF Note]])&gt;0,hyperlinkLU[[#This Row],[alt PDF Note]]&amp;" ","")&amp;"(PDF link)"</f>
        <v>II.C.22 Log Management, closest match (PDF link)</v>
      </c>
      <c r="AB37" s="194" t="s">
        <v>978</v>
      </c>
      <c r="AC37" s="194" t="str">
        <f>handbookURLBase&amp;hyperlinkLU[[#This Row],[URL fragment]]</f>
        <v>https://ithandbook.ffiec.gov/it-booklets/information-security/ii-information-security-program-management/iic-risk-mitigation/iic22-log-management.aspx</v>
      </c>
      <c r="AD37" s="236" t="s">
        <v>1138</v>
      </c>
      <c r="AE37" t="s">
        <v>1110</v>
      </c>
    </row>
    <row r="38" spans="18:31" x14ac:dyDescent="0.25">
      <c r="R38" s="194" t="s">
        <v>913</v>
      </c>
      <c r="S38" s="176">
        <v>34</v>
      </c>
      <c r="T38" s="194" t="str">
        <f>MID(hyperlinkLU[[#This Row],[Reference]],7,FIND(",",hyperlinkLU[[#This Row],[Reference]],8)-7)</f>
        <v>Information Security Booklet</v>
      </c>
      <c r="U38" s="176">
        <v>83</v>
      </c>
      <c r="V38" s="194">
        <f>hyperlinkLU[[#This Row],[Page]]+IFERROR(INDEX(FFIECBooklets[Page Offset],MATCH(hyperlinkLU[[#This Row],[Booklet]],FFIECBooklets[Booklet],0)),0)</f>
        <v>86</v>
      </c>
      <c r="W38" s="176">
        <v>51</v>
      </c>
      <c r="X38"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38" s="176" t="s">
        <v>999</v>
      </c>
      <c r="Z38" s="194" t="str">
        <f>IFERROR(INDEX(FFIECBooklets[Booklet URL],MATCH(hyperlinkLU[[#This Row],[Booklet]],FFIECBooklets[Booklet],0))&amp;IF(LEN(hyperlinkLU[[#This Row],[PDFPage]])&gt;0,"#Page="&amp;TEXT(hyperlinkLU[[#This Row],[PDFPage]],0),""),"")</f>
        <v>https://ithandbook.ffiec.gov/media/274793/ffiec_itbooklet_informationsecurity.pdf#Page=51</v>
      </c>
      <c r="AA38" s="194" t="str">
        <f>IF(LEN(hyperlinkLU[[#This Row],[alt PDF Note]])&gt;0,hyperlinkLU[[#This Row],[alt PDF Note]]&amp;" ","")&amp;"(PDF link)"</f>
        <v>III.A Threat Identification and Assessment, pg. 48 closest match (PDF link)</v>
      </c>
      <c r="AB38" s="236" t="s">
        <v>1140</v>
      </c>
      <c r="AC38" s="194" t="str">
        <f>handbookURLBase&amp;hyperlinkLU[[#This Row],[URL fragment]]</f>
        <v>https://ithandbook.ffiec.gov/it-booklets/information-security/ii-information-security-program-management/iid-risk-monitoring-and-reporting.aspx</v>
      </c>
      <c r="AD38" s="236" t="s">
        <v>1139</v>
      </c>
    </row>
    <row r="39" spans="18:31" ht="30" x14ac:dyDescent="0.25">
      <c r="R39" s="168" t="s">
        <v>1000</v>
      </c>
      <c r="S39" s="176">
        <v>35</v>
      </c>
      <c r="T39" s="194" t="s">
        <v>917</v>
      </c>
      <c r="U39" s="176">
        <v>39</v>
      </c>
      <c r="V39" s="194">
        <f>hyperlinkLU[[#This Row],[Page]]+IFERROR(INDEX(FFIECBooklets[Page Offset],MATCH(hyperlinkLU[[#This Row],[Booklet]],FFIECBooklets[Booklet],0)),0)</f>
        <v>42</v>
      </c>
      <c r="W39" s="176">
        <v>42</v>
      </c>
      <c r="X39" s="194"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https://ithandbook.ffiec.gov/media/274725/ffiec_itbooklet_businesscontinuityplanning.pdf#Page=42</v>
      </c>
      <c r="Y39" s="194" t="s">
        <v>1001</v>
      </c>
      <c r="Z39" s="194" t="str">
        <f>IFERROR(INDEX(FFIECBooklets[Booklet URL],MATCH(hyperlinkLU[[#This Row],[Booklet]],FFIECBooklets[Booklet],0))&amp;IF(LEN(hyperlinkLU[[#This Row],[PDFPage]])&gt;0,"#Page="&amp;TEXT(hyperlinkLU[[#This Row],[PDFPage]],0),""),"")</f>
        <v>https://ithandbook.ffiec.gov/media/274725/ffiec_itbooklet_businesscontinuityplanning.pdf#Page=42</v>
      </c>
      <c r="AA39" s="194" t="str">
        <f>IF(LEN(hyperlinkLU[[#This Row],[alt PDF Note]])&gt;0,hyperlinkLU[[#This Row],[alt PDF Note]]&amp;" ","")&amp;"(PDF link)"</f>
        <v>BCP Objective 4 part 5:9, closest match (PDF link)</v>
      </c>
      <c r="AB39" s="194" t="s">
        <v>1002</v>
      </c>
      <c r="AC39" s="194" t="str">
        <f>handbookURLBase&amp;hyperlinkLU[[#This Row],[URL fragment]]</f>
        <v>https://ithandbook.ffiec.gov/it-booklets/business-continuity-planning/appendix-a-examination-procedures.aspx</v>
      </c>
      <c r="AD39" s="236" t="s">
        <v>1141</v>
      </c>
      <c r="AE39" t="s">
        <v>1110</v>
      </c>
    </row>
    <row r="40" spans="18:31" x14ac:dyDescent="0.25">
      <c r="R40" s="194" t="s">
        <v>1003</v>
      </c>
      <c r="S40" s="176">
        <v>36</v>
      </c>
      <c r="T40" s="194" t="str">
        <f>MID(hyperlinkLU[[#This Row],[Reference]],7,FIND(",",hyperlinkLU[[#This Row],[Reference]],8)-7)</f>
        <v>Information Security Booklet</v>
      </c>
      <c r="U40" s="176">
        <v>84</v>
      </c>
      <c r="V40" s="194">
        <f>hyperlinkLU[[#This Row],[Page]]+IFERROR(INDEX(FFIECBooklets[Page Offset],MATCH(hyperlinkLU[[#This Row],[Booklet]],FFIECBooklets[Booklet],0)),0)</f>
        <v>87</v>
      </c>
      <c r="W40" s="176">
        <v>55</v>
      </c>
      <c r="X4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Y40" s="176" t="s">
        <v>1004</v>
      </c>
      <c r="Z40" s="194" t="str">
        <f>IFERROR(INDEX(FFIECBooklets[Booklet URL],MATCH(hyperlinkLU[[#This Row],[Booklet]],FFIECBooklets[Booklet],0))&amp;IF(LEN(hyperlinkLU[[#This Row],[PDFPage]])&gt;0,"#Page="&amp;TEXT(hyperlinkLU[[#This Row],[PDFPage]],0),""),"")</f>
        <v>https://ithandbook.ffiec.gov/media/274793/ffiec_itbooklet_informationsecurity.pdf#Page=55</v>
      </c>
      <c r="AA40" s="194" t="str">
        <f>IF(LEN(hyperlinkLU[[#This Row],[alt PDF Note]])&gt;0,hyperlinkLU[[#This Row],[alt PDF Note]]&amp;" ","")&amp;"(PDF link)"</f>
        <v>III.D Incident Response, pg. 52, best match (PDF link)</v>
      </c>
      <c r="AB40" s="194" t="s">
        <v>1005</v>
      </c>
      <c r="AC40" s="194" t="str">
        <f>handbookURLBase&amp;hyperlinkLU[[#This Row],[URL fragment]]</f>
        <v>https://ithandbook.ffiec.gov/it-booklets/information-security/iii-security-operations/iiid-incident-response.aspx</v>
      </c>
      <c r="AD40" s="194" t="s">
        <v>1142</v>
      </c>
      <c r="AE40" t="s">
        <v>1110</v>
      </c>
    </row>
    <row r="41" spans="18:31" x14ac:dyDescent="0.25">
      <c r="R41" s="194" t="s">
        <v>1006</v>
      </c>
      <c r="S41" s="176">
        <v>37</v>
      </c>
      <c r="T41" s="194" t="str">
        <f>MID(hyperlinkLU[[#This Row],[Reference]],7,FIND(",",hyperlinkLU[[#This Row],[Reference]],8)-7)</f>
        <v>Information Security Booklet</v>
      </c>
      <c r="U41" s="176">
        <v>33</v>
      </c>
      <c r="V41" s="194">
        <f>hyperlinkLU[[#This Row],[Page]]+IFERROR(INDEX(FFIECBooklets[Page Offset],MATCH(hyperlinkLU[[#This Row],[Booklet]],FFIECBooklets[Booklet],0)),0)</f>
        <v>36</v>
      </c>
      <c r="X4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https://ithandbook.ffiec.gov/media/274793/ffiec_itbooklet_informationsecurity.pdf#Page=36</v>
      </c>
      <c r="AB41" s="238" t="s">
        <v>1143</v>
      </c>
      <c r="AC41" s="238" t="str">
        <f>handbookURLBase&amp;hyperlinkLU[[#This Row],[URL fragment]]</f>
        <v>https://ithandbook.ffiec.gov/it-booklets/information-security/ii-information-security-program-management/iic-risk-mitigation/iic9-network-controls.aspx</v>
      </c>
      <c r="AD41" s="238" t="s">
        <v>1146</v>
      </c>
      <c r="AE41" t="s">
        <v>1110</v>
      </c>
    </row>
    <row r="42" spans="18:31" x14ac:dyDescent="0.25">
      <c r="R42" s="194" t="s">
        <v>1007</v>
      </c>
      <c r="S42" s="194">
        <v>38</v>
      </c>
      <c r="T42" s="194" t="str">
        <f>MID(hyperlinkLU[[#This Row],[Reference]],7,FIND(",",hyperlinkLU[[#This Row],[Reference]],8)-7)</f>
        <v>Information Security Booklet</v>
      </c>
      <c r="U42" s="176">
        <v>46</v>
      </c>
      <c r="V42" s="194">
        <f>hyperlinkLU[[#This Row],[Page]]+IFERROR(INDEX(FFIECBooklets[Page Offset],MATCH(hyperlinkLU[[#This Row],[Booklet]],FFIECBooklets[Booklet],0)),0)</f>
        <v>49</v>
      </c>
      <c r="X42"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https://ithandbook.ffiec.gov/media/274793/ffiec_itbooklet_informationsecurity.pdf#Page=49</v>
      </c>
      <c r="AB42" s="238" t="s">
        <v>1145</v>
      </c>
      <c r="AC42" s="238" t="str">
        <f>handbookURLBase&amp;hyperlinkLU[[#This Row],[URL fragment]]</f>
        <v>https://ithandbook.ffiec.gov/it-booklets/information-security/ii-information-security-program-management/iic-risk-mitigation/iic17-application-security.aspx</v>
      </c>
      <c r="AD42" s="238" t="s">
        <v>1144</v>
      </c>
      <c r="AE42" t="s">
        <v>1110</v>
      </c>
    </row>
    <row r="43" spans="18:31" x14ac:dyDescent="0.25">
      <c r="R43" s="194" t="s">
        <v>1008</v>
      </c>
      <c r="S43" s="194">
        <v>39</v>
      </c>
      <c r="T43" s="194" t="str">
        <f>MID(hyperlinkLU[[#This Row],[Reference]],7,FIND(",",hyperlinkLU[[#This Row],[Reference]],8)-7)</f>
        <v>Information Security Booklet</v>
      </c>
      <c r="U43" s="176">
        <v>50</v>
      </c>
      <c r="V43" s="194">
        <f>hyperlinkLU[[#This Row],[Page]]+IFERROR(INDEX(FFIECBooklets[Page Offset],MATCH(hyperlinkLU[[#This Row],[Booklet]],FFIECBooklets[Booklet],0)),0)</f>
        <v>53</v>
      </c>
      <c r="X43"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https://ithandbook.ffiec.gov/media/274793/ffiec_itbooklet_informationsecurity.pdf#Page=53</v>
      </c>
      <c r="AB43" s="238" t="s">
        <v>1148</v>
      </c>
      <c r="AC43" s="238" t="str">
        <f>handbookURLBase&amp;hyperlinkLU[[#This Row],[URL fragment]]</f>
        <v>https://ithandbook.ffiec.gov/it-booklets/information-security/ii-information-security-program-management/iic-risk-mitigation/iic12-malware-mitigation.aspx</v>
      </c>
      <c r="AD43" t="s">
        <v>1147</v>
      </c>
      <c r="AE43" t="s">
        <v>1110</v>
      </c>
    </row>
    <row r="44" spans="18:31" x14ac:dyDescent="0.25">
      <c r="R44" s="194" t="s">
        <v>1009</v>
      </c>
      <c r="S44" s="194">
        <v>40</v>
      </c>
      <c r="T44" s="194" t="str">
        <f>MID(hyperlinkLU[[#This Row],[Reference]],7,FIND(",",hyperlinkLU[[#This Row],[Reference]],8)-7)</f>
        <v>Information Security Booklet</v>
      </c>
      <c r="U44" s="176">
        <v>78</v>
      </c>
      <c r="V44" s="194">
        <f>hyperlinkLU[[#This Row],[Page]]+IFERROR(INDEX(FFIECBooklets[Page Offset],MATCH(hyperlinkLU[[#This Row],[Booklet]],FFIECBooklets[Booklet],0)),0)</f>
        <v>81</v>
      </c>
      <c r="X4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https://ithandbook.ffiec.gov/media/274793/ffiec_itbooklet_informationsecurity.pdf#Page=81</v>
      </c>
      <c r="AB44" s="238" t="s">
        <v>1148</v>
      </c>
      <c r="AC44" s="238" t="str">
        <f>handbookURLBase&amp;hyperlinkLU[[#This Row],[URL fragment]]</f>
        <v>https://ithandbook.ffiec.gov/it-booklets/information-security/ii-information-security-program-management/iic-risk-mitigation/iic12-malware-mitigation.aspx</v>
      </c>
      <c r="AD44" s="238" t="s">
        <v>1147</v>
      </c>
      <c r="AE44" s="238" t="s">
        <v>1110</v>
      </c>
    </row>
    <row r="45" spans="18:31" x14ac:dyDescent="0.25">
      <c r="R45" s="194" t="s">
        <v>932</v>
      </c>
      <c r="S45" s="194">
        <v>41</v>
      </c>
      <c r="T45" s="194" t="str">
        <f>MID(hyperlinkLU[[#This Row],[Reference]],7,FIND(",",hyperlinkLU[[#This Row],[Reference]],8)-7)</f>
        <v>Information Security Booklet</v>
      </c>
      <c r="U45" s="176">
        <v>56</v>
      </c>
      <c r="V45" s="194">
        <f>hyperlinkLU[[#This Row],[Page]]+IFERROR(INDEX(FFIECBooklets[Page Offset],MATCH(hyperlinkLU[[#This Row],[Booklet]],FFIECBooklets[Booklet],0)),0)</f>
        <v>59</v>
      </c>
      <c r="X45"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AB45" s="238" t="s">
        <v>1149</v>
      </c>
      <c r="AC45" s="238" t="str">
        <f>handbookURLBase&amp;hyperlinkLU[[#This Row],[URL fragment]]</f>
        <v>https://ithandbook.ffiec.gov/it-booklets/information-security/ii-information-security-program-management/iic-risk-mitigation/iic10-change-management-within-the-it-environment/iic10(c)-standard-builds.aspx</v>
      </c>
      <c r="AD45" s="238" t="s">
        <v>1150</v>
      </c>
      <c r="AE45" t="s">
        <v>1110</v>
      </c>
    </row>
    <row r="46" spans="18:31" x14ac:dyDescent="0.25">
      <c r="R46" s="194" t="s">
        <v>1008</v>
      </c>
      <c r="S46" s="194">
        <v>42</v>
      </c>
      <c r="T46" s="194" t="str">
        <f>MID(hyperlinkLU[[#This Row],[Reference]],7,FIND(",",hyperlinkLU[[#This Row],[Reference]],8)-7)</f>
        <v>Information Security Booklet</v>
      </c>
      <c r="U46" s="176">
        <v>50</v>
      </c>
      <c r="V46" s="194">
        <f>hyperlinkLU[[#This Row],[Page]]+IFERROR(INDEX(FFIECBooklets[Page Offset],MATCH(hyperlinkLU[[#This Row],[Booklet]],FFIECBooklets[Booklet],0)),0)</f>
        <v>53</v>
      </c>
      <c r="X4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https://ithandbook.ffiec.gov/media/274793/ffiec_itbooklet_informationsecurity.pdf#Page=53</v>
      </c>
      <c r="AB46" s="238" t="s">
        <v>1152</v>
      </c>
      <c r="AC46" s="238" t="str">
        <f>handbookURLBase&amp;hyperlinkLU[[#This Row],[URL fragment]]</f>
        <v>https://ithandbook.ffiec.gov/it-booklets/information-security/ii-information-security-program-management/iic-risk-mitigation/iic10-change-management-within-the-it-environment/iic10(b)-hardening.aspx</v>
      </c>
      <c r="AD46" s="238" t="s">
        <v>1151</v>
      </c>
      <c r="AE46" t="s">
        <v>1110</v>
      </c>
    </row>
    <row r="47" spans="18:31" x14ac:dyDescent="0.25">
      <c r="R47" s="194" t="s">
        <v>932</v>
      </c>
      <c r="S47" s="194">
        <v>43</v>
      </c>
      <c r="T47" s="194" t="str">
        <f>MID(hyperlinkLU[[#This Row],[Reference]],7,FIND(",",hyperlinkLU[[#This Row],[Reference]],8)-7)</f>
        <v>Information Security Booklet</v>
      </c>
      <c r="U47" s="176">
        <v>56</v>
      </c>
      <c r="V47" s="194">
        <f>hyperlinkLU[[#This Row],[Page]]+IFERROR(INDEX(FFIECBooklets[Page Offset],MATCH(hyperlinkLU[[#This Row],[Booklet]],FFIECBooklets[Booklet],0)),0)</f>
        <v>59</v>
      </c>
      <c r="X4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AB47" s="238" t="s">
        <v>931</v>
      </c>
      <c r="AC47" s="238" t="str">
        <f>handbookURLBase&amp;hyperlinkLU[[#This Row],[URL fragment]]</f>
        <v>https://ithandbook.ffiec.gov/it-booklets/information-security/ii-information-security-program-management/iic-risk-mitigation/iic10-change-management-within-the-it-environment.aspx</v>
      </c>
      <c r="AD47" s="238" t="s">
        <v>1153</v>
      </c>
      <c r="AE47" t="s">
        <v>1110</v>
      </c>
    </row>
    <row r="48" spans="18:31" x14ac:dyDescent="0.25">
      <c r="R48" s="194" t="s">
        <v>1010</v>
      </c>
      <c r="S48" s="194">
        <v>44</v>
      </c>
      <c r="T48" s="194" t="str">
        <f>MID(hyperlinkLU[[#This Row],[Reference]],7,FIND(",",hyperlinkLU[[#This Row],[Reference]],8)-7)</f>
        <v>Information Security Booklet</v>
      </c>
      <c r="U48" s="176">
        <v>41</v>
      </c>
      <c r="V48" s="194">
        <f>hyperlinkLU[[#This Row],[Page]]+IFERROR(INDEX(FFIECBooklets[Page Offset],MATCH(hyperlinkLU[[#This Row],[Booklet]],FFIECBooklets[Booklet],0)),0)</f>
        <v>44</v>
      </c>
      <c r="X48"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https://ithandbook.ffiec.gov/media/274793/ffiec_itbooklet_informationsecurity.pdf#Page=44</v>
      </c>
      <c r="AB48" s="238" t="s">
        <v>1155</v>
      </c>
      <c r="AC48" s="238" t="str">
        <f>handbookURLBase&amp;hyperlinkLU[[#This Row],[URL fragment]]</f>
        <v>https://ithandbook.ffiec.gov/it-booklets/information-security/ii-information-security-program-management/iic-risk-mitigation/iic15-logical-security/iic15(a)-operating-system-access.aspx</v>
      </c>
      <c r="AD48" s="238" t="s">
        <v>1154</v>
      </c>
      <c r="AE48" t="s">
        <v>1110</v>
      </c>
    </row>
    <row r="49" spans="18:31" x14ac:dyDescent="0.25">
      <c r="R49" s="194" t="s">
        <v>1011</v>
      </c>
      <c r="S49" s="194">
        <v>45</v>
      </c>
      <c r="T49" s="194" t="str">
        <f>MID(hyperlinkLU[[#This Row],[Reference]],7,FIND(",",hyperlinkLU[[#This Row],[Reference]],8)-7)</f>
        <v>Information Security Booklet</v>
      </c>
      <c r="U49" s="176">
        <v>23</v>
      </c>
      <c r="V49" s="194">
        <f>hyperlinkLU[[#This Row],[Page]]+IFERROR(INDEX(FFIECBooklets[Page Offset],MATCH(hyperlinkLU[[#This Row],[Booklet]],FFIECBooklets[Booklet],0)),0)</f>
        <v>26</v>
      </c>
      <c r="X49"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https://ithandbook.ffiec.gov/media/274793/ffiec_itbooklet_informationsecurity.pdf#Page=26</v>
      </c>
      <c r="AB49" s="238" t="s">
        <v>1132</v>
      </c>
      <c r="AC49" s="238" t="str">
        <f>handbookURLBase&amp;hyperlinkLU[[#This Row],[URL fragment]]</f>
        <v>https://ithandbook.ffiec.gov/it-booklets/information-security/ii-information-security-program-management/iic-risk-mitigation/iic16-customer-remote-access-to-financial-services.aspx</v>
      </c>
      <c r="AD49" s="238" t="s">
        <v>1131</v>
      </c>
      <c r="AE49" t="s">
        <v>1110</v>
      </c>
    </row>
    <row r="50" spans="18:31" x14ac:dyDescent="0.25">
      <c r="R50" s="194" t="s">
        <v>1012</v>
      </c>
      <c r="S50" s="194">
        <v>46</v>
      </c>
      <c r="T50" s="194" t="str">
        <f>MID(hyperlinkLU[[#This Row],[Reference]],7,FIND(",",hyperlinkLU[[#This Row],[Reference]],8)-7)</f>
        <v>Information Security Booklet</v>
      </c>
      <c r="U50" s="176">
        <v>40</v>
      </c>
      <c r="V50" s="194">
        <f>hyperlinkLU[[#This Row],[Page]]+IFERROR(INDEX(FFIECBooklets[Page Offset],MATCH(hyperlinkLU[[#This Row],[Booklet]],FFIECBooklets[Booklet],0)),0)</f>
        <v>43</v>
      </c>
      <c r="X5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https://ithandbook.ffiec.gov/media/274793/ffiec_itbooklet_informationsecurity.pdf#Page=43</v>
      </c>
      <c r="AB50" s="238" t="s">
        <v>1157</v>
      </c>
      <c r="AC50" s="238" t="str">
        <f>handbookURLBase&amp;hyperlinkLU[[#This Row],[URL fragment]]</f>
        <v>https://ithandbook.ffiec.gov/it-booklets/information-security/ii-information-security-program-management/iic-risk-mitigation/iic9-network-controls/iic9(a)-wireless-network-considerations.aspx</v>
      </c>
      <c r="AD50" s="238" t="s">
        <v>1156</v>
      </c>
      <c r="AE50" t="s">
        <v>1110</v>
      </c>
    </row>
    <row r="51" spans="18:31" x14ac:dyDescent="0.25">
      <c r="R51" t="s">
        <v>1013</v>
      </c>
      <c r="S51" s="194">
        <v>47</v>
      </c>
      <c r="T51" s="194" t="str">
        <f>MID(hyperlinkLU[[#This Row],[Reference]],7,FIND(",",hyperlinkLU[[#This Row],[Reference]],8)-7)</f>
        <v>Information Security Booklet</v>
      </c>
      <c r="U51" s="176">
        <f>RIGHT(hyperlinkLU[[#This Row],[Reference]],2)*1</f>
        <v>19</v>
      </c>
      <c r="V51" s="194">
        <f>hyperlinkLU[[#This Row],[Page]]+IFERROR(INDEX(FFIECBooklets[Page Offset],MATCH(hyperlinkLU[[#This Row],[Booklet]],FFIECBooklets[Booklet],0)),0)</f>
        <v>22</v>
      </c>
      <c r="X5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51" s="238" t="s">
        <v>1159</v>
      </c>
      <c r="AC51" s="238" t="str">
        <f>handbookURLBase&amp;hyperlinkLU[[#This Row],[URL fragment]]</f>
        <v>https://ithandbook.ffiec.gov/it-booklets/information-security/ii-information-security-program-management/iic-risk-mitigation/iic7-user-security-controls.aspx</v>
      </c>
      <c r="AD51" s="238" t="s">
        <v>1158</v>
      </c>
      <c r="AE51" t="s">
        <v>1110</v>
      </c>
    </row>
    <row r="52" spans="18:31" x14ac:dyDescent="0.25">
      <c r="R52" t="s">
        <v>1013</v>
      </c>
      <c r="S52" s="194">
        <v>48</v>
      </c>
      <c r="T52" s="194" t="str">
        <f>MID(hyperlinkLU[[#This Row],[Reference]],7,FIND(",",hyperlinkLU[[#This Row],[Reference]],8)-7)</f>
        <v>Information Security Booklet</v>
      </c>
      <c r="U52" s="194">
        <f>RIGHT(hyperlinkLU[[#This Row],[Reference]],2)*1</f>
        <v>19</v>
      </c>
      <c r="V52" s="194">
        <f>hyperlinkLU[[#This Row],[Page]]+IFERROR(INDEX(FFIECBooklets[Page Offset],MATCH(hyperlinkLU[[#This Row],[Booklet]],FFIECBooklets[Booklet],0)),0)</f>
        <v>22</v>
      </c>
      <c r="X52"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52" s="243" t="s">
        <v>1159</v>
      </c>
      <c r="AC52" s="243" t="str">
        <f>handbookURLBase&amp;hyperlinkLU[[#This Row],[URL fragment]]</f>
        <v>https://ithandbook.ffiec.gov/it-booklets/information-security/ii-information-security-program-management/iic-risk-mitigation/iic7-user-security-controls.aspx</v>
      </c>
      <c r="AD52" s="243" t="s">
        <v>1158</v>
      </c>
      <c r="AE52" t="s">
        <v>1110</v>
      </c>
    </row>
    <row r="53" spans="18:31" x14ac:dyDescent="0.25">
      <c r="R53" t="s">
        <v>1013</v>
      </c>
      <c r="S53" s="194">
        <v>49</v>
      </c>
      <c r="T53" s="194" t="str">
        <f>MID(hyperlinkLU[[#This Row],[Reference]],7,FIND(",",hyperlinkLU[[#This Row],[Reference]],8)-7)</f>
        <v>Information Security Booklet</v>
      </c>
      <c r="U53" s="194">
        <f>RIGHT(hyperlinkLU[[#This Row],[Reference]],2)*1</f>
        <v>19</v>
      </c>
      <c r="V53" s="194">
        <f>hyperlinkLU[[#This Row],[Page]]+IFERROR(INDEX(FFIECBooklets[Page Offset],MATCH(hyperlinkLU[[#This Row],[Booklet]],FFIECBooklets[Booklet],0)),0)</f>
        <v>22</v>
      </c>
      <c r="X53"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53" t="s">
        <v>1163</v>
      </c>
      <c r="AC53" s="238" t="str">
        <f>handbookURLBase&amp;hyperlinkLU[[#This Row],[URL fragment]]</f>
        <v>https://ithandbook.ffiec.gov/it-booklets/information-security/ii-information-security-program-management/iic-risk-mitigation/iic15-logical-security.aspx</v>
      </c>
      <c r="AD53" s="238" t="s">
        <v>1164</v>
      </c>
      <c r="AE53" t="s">
        <v>1110</v>
      </c>
    </row>
    <row r="54" spans="18:31" x14ac:dyDescent="0.25">
      <c r="R54" t="s">
        <v>1014</v>
      </c>
      <c r="S54" s="194">
        <v>50</v>
      </c>
      <c r="T54" s="194" t="str">
        <f>MID(hyperlinkLU[[#This Row],[Reference]],7,FIND(",",hyperlinkLU[[#This Row],[Reference]],8)-7)</f>
        <v>Information Security Booklet</v>
      </c>
      <c r="U54" s="194">
        <f>RIGHT(hyperlinkLU[[#This Row],[Reference]],2)*1</f>
        <v>18</v>
      </c>
      <c r="V54" s="194">
        <f>hyperlinkLU[[#This Row],[Page]]+IFERROR(INDEX(FFIECBooklets[Page Offset],MATCH(hyperlinkLU[[#This Row],[Booklet]],FFIECBooklets[Booklet],0)),0)</f>
        <v>21</v>
      </c>
      <c r="X5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https://ithandbook.ffiec.gov/media/274793/ffiec_itbooklet_informationsecurity.pdf#Page=21</v>
      </c>
      <c r="AB54" s="243" t="s">
        <v>1163</v>
      </c>
      <c r="AC54" s="243" t="str">
        <f>handbookURLBase&amp;hyperlinkLU[[#This Row],[URL fragment]]</f>
        <v>https://ithandbook.ffiec.gov/it-booklets/information-security/ii-information-security-program-management/iic-risk-mitigation/iic15-logical-security.aspx</v>
      </c>
      <c r="AD54" s="243" t="s">
        <v>1164</v>
      </c>
      <c r="AE54" s="243" t="s">
        <v>1110</v>
      </c>
    </row>
    <row r="55" spans="18:31" x14ac:dyDescent="0.25">
      <c r="R55" t="s">
        <v>1014</v>
      </c>
      <c r="S55" s="194">
        <v>51</v>
      </c>
      <c r="T55" s="194" t="str">
        <f>MID(hyperlinkLU[[#This Row],[Reference]],7,FIND(",",hyperlinkLU[[#This Row],[Reference]],8)-7)</f>
        <v>Information Security Booklet</v>
      </c>
      <c r="U55" s="194">
        <f>RIGHT(hyperlinkLU[[#This Row],[Reference]],2)*1</f>
        <v>18</v>
      </c>
      <c r="V55" s="194">
        <f>hyperlinkLU[[#This Row],[Page]]+IFERROR(INDEX(FFIECBooklets[Page Offset],MATCH(hyperlinkLU[[#This Row],[Booklet]],FFIECBooklets[Booklet],0)),0)</f>
        <v>21</v>
      </c>
      <c r="X55"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https://ithandbook.ffiec.gov/media/274793/ffiec_itbooklet_informationsecurity.pdf#Page=21</v>
      </c>
      <c r="AB55" s="243" t="s">
        <v>1165</v>
      </c>
      <c r="AC55" s="238" t="str">
        <f>handbookURLBase&amp;hyperlinkLU[[#This Row],[URL fragment]]</f>
        <v>https://ithandbook.ffiec.gov/it-booklets/information-security/ii-information-security-program-management/iic-risk-mitigation/iic7-user-security-controls/iic7(b)-user-access-program.aspx</v>
      </c>
      <c r="AD55" s="238" t="s">
        <v>1166</v>
      </c>
      <c r="AE55" t="s">
        <v>1110</v>
      </c>
    </row>
    <row r="56" spans="18:31" x14ac:dyDescent="0.25">
      <c r="R56" t="s">
        <v>1015</v>
      </c>
      <c r="S56" s="194">
        <v>52</v>
      </c>
      <c r="T56" s="194" t="str">
        <f>MID(hyperlinkLU[[#This Row],[Reference]],7,FIND(",",hyperlinkLU[[#This Row],[Reference]],8)-7)</f>
        <v>Information Security Booklet</v>
      </c>
      <c r="U56" s="194">
        <f>RIGHT(hyperlinkLU[[#This Row],[Reference]],2)*1</f>
        <v>21</v>
      </c>
      <c r="V56" s="194">
        <f>hyperlinkLU[[#This Row],[Page]]+IFERROR(INDEX(FFIECBooklets[Page Offset],MATCH(hyperlinkLU[[#This Row],[Booklet]],FFIECBooklets[Booklet],0)),0)</f>
        <v>24</v>
      </c>
      <c r="X5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https://ithandbook.ffiec.gov/media/274793/ffiec_itbooklet_informationsecurity.pdf#Page=24</v>
      </c>
      <c r="AB56" s="243" t="s">
        <v>1168</v>
      </c>
      <c r="AC56" s="238" t="str">
        <f>handbookURLBase&amp;hyperlinkLU[[#This Row],[URL fragment]]</f>
        <v>https://ithandbook.ffiec.gov/it-booklets/information-security/ii-information-security-program-management/iic-risk-mitigation/iic15-logical-security/iic15(b)-application-access.aspx</v>
      </c>
      <c r="AD56" s="238" t="s">
        <v>1167</v>
      </c>
      <c r="AE56" t="s">
        <v>1110</v>
      </c>
    </row>
    <row r="57" spans="18:31" x14ac:dyDescent="0.25">
      <c r="R57" t="s">
        <v>981</v>
      </c>
      <c r="S57" s="194">
        <v>53</v>
      </c>
      <c r="T57" s="194" t="str">
        <f>MID(hyperlinkLU[[#This Row],[Reference]],7,FIND(",",hyperlinkLU[[#This Row],[Reference]],8)-7)</f>
        <v>Information Security Booklet</v>
      </c>
      <c r="U57" s="194">
        <f>RIGHT(hyperlinkLU[[#This Row],[Reference]],2)*1</f>
        <v>66</v>
      </c>
      <c r="V57" s="194">
        <f>hyperlinkLU[[#This Row],[Page]]+IFERROR(INDEX(FFIECBooklets[Page Offset],MATCH(hyperlinkLU[[#This Row],[Booklet]],FFIECBooklets[Booklet],0)),0)</f>
        <v>69</v>
      </c>
      <c r="X5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AB57" s="244" t="s">
        <v>1159</v>
      </c>
      <c r="AC57" s="238" t="str">
        <f>handbookURLBase&amp;hyperlinkLU[[#This Row],[URL fragment]]</f>
        <v>https://ithandbook.ffiec.gov/it-booklets/information-security/ii-information-security-program-management/iic-risk-mitigation/iic7-user-security-controls.aspx</v>
      </c>
      <c r="AD57" s="238" t="s">
        <v>1158</v>
      </c>
      <c r="AE57" t="s">
        <v>1110</v>
      </c>
    </row>
    <row r="58" spans="18:31" x14ac:dyDescent="0.25">
      <c r="R58" t="s">
        <v>1016</v>
      </c>
      <c r="S58" s="194">
        <v>54</v>
      </c>
      <c r="T58" s="194" t="str">
        <f>MID(hyperlinkLU[[#This Row],[Reference]],7,FIND(",",hyperlinkLU[[#This Row],[Reference]],8)-7)</f>
        <v>Information Security Booklet</v>
      </c>
      <c r="U58" s="194">
        <f>RIGHT(hyperlinkLU[[#This Row],[Reference]],2)*1</f>
        <v>61</v>
      </c>
      <c r="V58" s="194">
        <f>hyperlinkLU[[#This Row],[Page]]+IFERROR(INDEX(FFIECBooklets[Page Offset],MATCH(hyperlinkLU[[#This Row],[Booklet]],FFIECBooklets[Booklet],0)),0)</f>
        <v>64</v>
      </c>
      <c r="X58"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https://ithandbook.ffiec.gov/media/274793/ffiec_itbooklet_informationsecurity.pdf#Page=64</v>
      </c>
      <c r="AB58" s="244" t="s">
        <v>1163</v>
      </c>
      <c r="AC58" s="244" t="str">
        <f>handbookURLBase&amp;hyperlinkLU[[#This Row],[URL fragment]]</f>
        <v>https://ithandbook.ffiec.gov/it-booklets/information-security/ii-information-security-program-management/iic-risk-mitigation/iic15-logical-security.aspx</v>
      </c>
      <c r="AD58" s="244" t="s">
        <v>1164</v>
      </c>
      <c r="AE58" s="244" t="s">
        <v>1110</v>
      </c>
    </row>
    <row r="59" spans="18:31" x14ac:dyDescent="0.25">
      <c r="R59" t="s">
        <v>1015</v>
      </c>
      <c r="S59" s="194">
        <v>55</v>
      </c>
      <c r="T59" s="194" t="str">
        <f>MID(hyperlinkLU[[#This Row],[Reference]],7,FIND(",",hyperlinkLU[[#This Row],[Reference]],8)-7)</f>
        <v>Information Security Booklet</v>
      </c>
      <c r="U59" s="194">
        <f>RIGHT(hyperlinkLU[[#This Row],[Reference]],2)*1</f>
        <v>21</v>
      </c>
      <c r="V59" s="194">
        <f>hyperlinkLU[[#This Row],[Page]]+IFERROR(INDEX(FFIECBooklets[Page Offset],MATCH(hyperlinkLU[[#This Row],[Booklet]],FFIECBooklets[Booklet],0)),0)</f>
        <v>24</v>
      </c>
      <c r="X59"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https://ithandbook.ffiec.gov/media/274793/ffiec_itbooklet_informationsecurity.pdf#Page=24</v>
      </c>
      <c r="AB59" s="244" t="s">
        <v>1132</v>
      </c>
      <c r="AC59" s="238" t="str">
        <f>handbookURLBase&amp;hyperlinkLU[[#This Row],[URL fragment]]</f>
        <v>https://ithandbook.ffiec.gov/it-booklets/information-security/ii-information-security-program-management/iic-risk-mitigation/iic16-customer-remote-access-to-financial-services.aspx</v>
      </c>
      <c r="AD59" s="238" t="s">
        <v>1131</v>
      </c>
      <c r="AE59" t="s">
        <v>1110</v>
      </c>
    </row>
    <row r="60" spans="18:31" x14ac:dyDescent="0.25">
      <c r="R60" t="s">
        <v>1017</v>
      </c>
      <c r="S60" s="194">
        <v>56</v>
      </c>
      <c r="T60" s="194" t="str">
        <f>MID(hyperlinkLU[[#This Row],[Reference]],7,FIND(",",hyperlinkLU[[#This Row],[Reference]],8)-7)</f>
        <v>Information Security Booklet</v>
      </c>
      <c r="U60" s="194">
        <f>RIGHT(hyperlinkLU[[#This Row],[Reference]],2)*1</f>
        <v>64</v>
      </c>
      <c r="V60" s="194">
        <f>hyperlinkLU[[#This Row],[Page]]+IFERROR(INDEX(FFIECBooklets[Page Offset],MATCH(hyperlinkLU[[#This Row],[Booklet]],FFIECBooklets[Booklet],0)),0)</f>
        <v>67</v>
      </c>
      <c r="X6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https://ithandbook.ffiec.gov/media/274793/ffiec_itbooklet_informationsecurity.pdf#Page=67</v>
      </c>
      <c r="AB60" s="244" t="s">
        <v>1143</v>
      </c>
      <c r="AC60" s="238" t="str">
        <f>handbookURLBase&amp;hyperlinkLU[[#This Row],[URL fragment]]</f>
        <v>https://ithandbook.ffiec.gov/it-booklets/information-security/ii-information-security-program-management/iic-risk-mitigation/iic9-network-controls.aspx</v>
      </c>
      <c r="AD60" s="238" t="s">
        <v>1146</v>
      </c>
      <c r="AE60" t="s">
        <v>1110</v>
      </c>
    </row>
    <row r="61" spans="18:31" x14ac:dyDescent="0.25">
      <c r="R61" t="s">
        <v>1018</v>
      </c>
      <c r="S61" s="194">
        <v>57</v>
      </c>
      <c r="T61" s="194" t="str">
        <f>MID(hyperlinkLU[[#This Row],[Reference]],7,FIND(",",hyperlinkLU[[#This Row],[Reference]],8)-7)</f>
        <v>Information Security Booklet</v>
      </c>
      <c r="U61" s="194">
        <f>RIGHT(hyperlinkLU[[#This Row],[Reference]],2)*1</f>
        <v>47</v>
      </c>
      <c r="V61" s="194">
        <f>hyperlinkLU[[#This Row],[Page]]+IFERROR(INDEX(FFIECBooklets[Page Offset],MATCH(hyperlinkLU[[#This Row],[Booklet]],FFIECBooklets[Booklet],0)),0)</f>
        <v>50</v>
      </c>
      <c r="X6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https://ithandbook.ffiec.gov/media/274793/ffiec_itbooklet_informationsecurity.pdf#Page=50</v>
      </c>
      <c r="AB61" s="244" t="s">
        <v>1172</v>
      </c>
      <c r="AC61" s="238" t="str">
        <f>handbookURLBase&amp;hyperlinkLU[[#This Row],[URL fragment]]</f>
        <v>https://ithandbook.ffiec.gov/it-booklets/information-security/ii-information-security-program-management/iic-risk-mitigation/iic8-physical-security.aspx</v>
      </c>
      <c r="AD61" s="238" t="s">
        <v>1171</v>
      </c>
      <c r="AE61" t="s">
        <v>1110</v>
      </c>
    </row>
    <row r="62" spans="18:31" x14ac:dyDescent="0.25">
      <c r="R62" t="s">
        <v>1015</v>
      </c>
      <c r="S62" s="194">
        <v>58</v>
      </c>
      <c r="T62" s="194" t="str">
        <f>MID(hyperlinkLU[[#This Row],[Reference]],7,FIND(",",hyperlinkLU[[#This Row],[Reference]],8)-7)</f>
        <v>Information Security Booklet</v>
      </c>
      <c r="U62" s="194">
        <f>RIGHT(hyperlinkLU[[#This Row],[Reference]],2)*1</f>
        <v>21</v>
      </c>
      <c r="V62" s="194">
        <f>hyperlinkLU[[#This Row],[Page]]+IFERROR(INDEX(FFIECBooklets[Page Offset],MATCH(hyperlinkLU[[#This Row],[Booklet]],FFIECBooklets[Booklet],0)),0)</f>
        <v>24</v>
      </c>
      <c r="X62"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https://ithandbook.ffiec.gov/media/274793/ffiec_itbooklet_informationsecurity.pdf#Page=24</v>
      </c>
      <c r="AB62" s="244" t="s">
        <v>1174</v>
      </c>
      <c r="AC62" s="238" t="str">
        <f>handbookURLBase&amp;hyperlinkLU[[#This Row],[URL fragment]]</f>
        <v>https://ithandbook.ffiec.gov/it-booklets/information-security/ii-information-security-program-management/iic-risk-mitigation/iic19-encryption.aspx</v>
      </c>
      <c r="AD62" s="238" t="s">
        <v>1173</v>
      </c>
      <c r="AE62" t="s">
        <v>1110</v>
      </c>
    </row>
    <row r="63" spans="18:31" x14ac:dyDescent="0.25">
      <c r="R63" t="s">
        <v>1019</v>
      </c>
      <c r="S63" s="194">
        <v>59</v>
      </c>
      <c r="T63" s="194" t="str">
        <f>MID(hyperlinkLU[[#This Row],[Reference]],7,FIND(",",hyperlinkLU[[#This Row],[Reference]],8)-7)</f>
        <v>Information Security Booklet</v>
      </c>
      <c r="U63" s="194">
        <f>RIGHT(hyperlinkLU[[#This Row],[Reference]],2)*1</f>
        <v>51</v>
      </c>
      <c r="V63" s="194">
        <f>hyperlinkLU[[#This Row],[Page]]+IFERROR(INDEX(FFIECBooklets[Page Offset],MATCH(hyperlinkLU[[#This Row],[Booklet]],FFIECBooklets[Booklet],0)),0)</f>
        <v>54</v>
      </c>
      <c r="X63"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https://ithandbook.ffiec.gov/media/274793/ffiec_itbooklet_informationsecurity.pdf#Page=54</v>
      </c>
      <c r="AB63" t="s">
        <v>1176</v>
      </c>
      <c r="AC63" s="238" t="str">
        <f>handbookURLBase&amp;hyperlinkLU[[#This Row],[URL fragment]]</f>
        <v>https://ithandbook.ffiec.gov/it-booklets/information-security/ii-information-security-program-management/iic-risk-mitigation/iic13-control-of-information/iic13(b)-electronic-transmission-of-information.aspx</v>
      </c>
      <c r="AD63" s="238" t="s">
        <v>1175</v>
      </c>
      <c r="AE63" t="s">
        <v>1110</v>
      </c>
    </row>
    <row r="64" spans="18:31" x14ac:dyDescent="0.25">
      <c r="R64" t="s">
        <v>1019</v>
      </c>
      <c r="S64" s="194">
        <v>60</v>
      </c>
      <c r="T64" s="194" t="str">
        <f>MID(hyperlinkLU[[#This Row],[Reference]],7,FIND(",",hyperlinkLU[[#This Row],[Reference]],8)-7)</f>
        <v>Information Security Booklet</v>
      </c>
      <c r="U64" s="194">
        <f>RIGHT(hyperlinkLU[[#This Row],[Reference]],2)*1</f>
        <v>51</v>
      </c>
      <c r="V64" s="194">
        <f>hyperlinkLU[[#This Row],[Page]]+IFERROR(INDEX(FFIECBooklets[Page Offset],MATCH(hyperlinkLU[[#This Row],[Booklet]],FFIECBooklets[Booklet],0)),0)</f>
        <v>54</v>
      </c>
      <c r="X6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https://ithandbook.ffiec.gov/media/274793/ffiec_itbooklet_informationsecurity.pdf#Page=54</v>
      </c>
      <c r="AB64" s="244" t="s">
        <v>1178</v>
      </c>
      <c r="AC64" s="238" t="str">
        <f>handbookURLBase&amp;hyperlinkLU[[#This Row],[URL fragment]]</f>
        <v>https://ithandbook.ffiec.gov/it-booklets/information-security/ii-information-security-program-management/iic-risk-mitigation/iic13-control-of-information/iic13(a)-storage.aspx</v>
      </c>
      <c r="AD64" s="238" t="s">
        <v>1177</v>
      </c>
      <c r="AE64" t="s">
        <v>1110</v>
      </c>
    </row>
    <row r="65" spans="18:32" x14ac:dyDescent="0.25">
      <c r="R65" t="s">
        <v>1020</v>
      </c>
      <c r="S65" s="194">
        <v>61</v>
      </c>
      <c r="T65" s="194" t="str">
        <f>MID(hyperlinkLU[[#This Row],[Reference]],7,FIND(",",hyperlinkLU[[#This Row],[Reference]],8)-7)</f>
        <v>Information Security Booklet</v>
      </c>
      <c r="U65" s="194">
        <f>RIGHT(hyperlinkLU[[#This Row],[Reference]],2)*1</f>
        <v>45</v>
      </c>
      <c r="V65" s="194">
        <f>hyperlinkLU[[#This Row],[Page]]+IFERROR(INDEX(FFIECBooklets[Page Offset],MATCH(hyperlinkLU[[#This Row],[Booklet]],FFIECBooklets[Booklet],0)),0)</f>
        <v>48</v>
      </c>
      <c r="X65"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https://ithandbook.ffiec.gov/media/274793/ffiec_itbooklet_informationsecurity.pdf#Page=48</v>
      </c>
      <c r="AB65" s="244" t="s">
        <v>1180</v>
      </c>
      <c r="AC65" s="238" t="str">
        <f>handbookURLBase&amp;hyperlinkLU[[#This Row],[URL fragment]]</f>
        <v>https://ithandbook.ffiec.gov/it-booklets/information-security/ii-information-security-program-management/iic-risk-mitigation/iic15-logical-security/iic15(c)-remote-access.aspx</v>
      </c>
      <c r="AD65" s="238" t="s">
        <v>1179</v>
      </c>
      <c r="AE65" t="s">
        <v>1110</v>
      </c>
    </row>
    <row r="66" spans="18:32" x14ac:dyDescent="0.25">
      <c r="R66" t="s">
        <v>1021</v>
      </c>
      <c r="S66" s="194">
        <v>62</v>
      </c>
      <c r="T66" s="194" t="str">
        <f>MID(hyperlinkLU[[#This Row],[Reference]],7,FIND(",",hyperlinkLU[[#This Row],[Reference]],8)-7)</f>
        <v>Information Security Booklet</v>
      </c>
      <c r="U66" s="194">
        <f>RIGHT(hyperlinkLU[[#This Row],[Reference]],2)*1</f>
        <v>25</v>
      </c>
      <c r="V66" s="194">
        <f>hyperlinkLU[[#This Row],[Page]]+IFERROR(INDEX(FFIECBooklets[Page Offset],MATCH(hyperlinkLU[[#This Row],[Booklet]],FFIECBooklets[Booklet],0)),0)</f>
        <v>28</v>
      </c>
      <c r="X6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https://ithandbook.ffiec.gov/media/274793/ffiec_itbooklet_informationsecurity.pdf#Page=28</v>
      </c>
      <c r="AB66" s="244" t="s">
        <v>1148</v>
      </c>
      <c r="AC66" s="238" t="str">
        <f>handbookURLBase&amp;hyperlinkLU[[#This Row],[URL fragment]]</f>
        <v>https://ithandbook.ffiec.gov/it-booklets/information-security/ii-information-security-program-management/iic-risk-mitigation/iic12-malware-mitigation.aspx</v>
      </c>
      <c r="AD66" s="238" t="s">
        <v>1147</v>
      </c>
      <c r="AE66" t="s">
        <v>1110</v>
      </c>
    </row>
    <row r="67" spans="18:32" x14ac:dyDescent="0.25">
      <c r="R67" t="s">
        <v>1013</v>
      </c>
      <c r="S67" s="194">
        <v>63</v>
      </c>
      <c r="T67" s="194" t="str">
        <f>MID(hyperlinkLU[[#This Row],[Reference]],7,FIND(",",hyperlinkLU[[#This Row],[Reference]],8)-7)</f>
        <v>Information Security Booklet</v>
      </c>
      <c r="U67" s="194">
        <f>RIGHT(hyperlinkLU[[#This Row],[Reference]],2)*1</f>
        <v>19</v>
      </c>
      <c r="V67" s="194">
        <f>hyperlinkLU[[#This Row],[Page]]+IFERROR(INDEX(FFIECBooklets[Page Offset],MATCH(hyperlinkLU[[#This Row],[Booklet]],FFIECBooklets[Booklet],0)),0)</f>
        <v>22</v>
      </c>
      <c r="X6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67" s="244" t="s">
        <v>1132</v>
      </c>
      <c r="AC67" s="238" t="str">
        <f>handbookURLBase&amp;hyperlinkLU[[#This Row],[URL fragment]]</f>
        <v>https://ithandbook.ffiec.gov/it-booklets/information-security/ii-information-security-program-management/iic-risk-mitigation/iic16-customer-remote-access-to-financial-services.aspx</v>
      </c>
      <c r="AD67" s="238" t="s">
        <v>1131</v>
      </c>
      <c r="AE67" t="s">
        <v>1110</v>
      </c>
    </row>
    <row r="68" spans="18:32" x14ac:dyDescent="0.25">
      <c r="R68" t="s">
        <v>981</v>
      </c>
      <c r="S68" s="194">
        <v>64</v>
      </c>
      <c r="T68" s="194" t="str">
        <f>MID(hyperlinkLU[[#This Row],[Reference]],7,FIND(",",hyperlinkLU[[#This Row],[Reference]],8)-7)</f>
        <v>Information Security Booklet</v>
      </c>
      <c r="U68" s="194">
        <f>RIGHT(hyperlinkLU[[#This Row],[Reference]],2)*1</f>
        <v>66</v>
      </c>
      <c r="V68" s="194">
        <f>hyperlinkLU[[#This Row],[Page]]+IFERROR(INDEX(FFIECBooklets[Page Offset],MATCH(hyperlinkLU[[#This Row],[Booklet]],FFIECBooklets[Booklet],0)),0)</f>
        <v>69</v>
      </c>
      <c r="X68"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AB68" s="244" t="s">
        <v>1183</v>
      </c>
      <c r="AC68" s="238" t="str">
        <f>handbookURLBase&amp;hyperlinkLU[[#This Row],[URL fragment]]</f>
        <v>https://ithandbook.ffiec.gov/it-booklets/information-security/ii-information-security-program-management/iic-risk-mitigation/iic13-control-of-information/iic13(c)-disposal-of-information.aspx</v>
      </c>
      <c r="AD68" s="238" t="s">
        <v>1182</v>
      </c>
      <c r="AE68" t="s">
        <v>1110</v>
      </c>
    </row>
    <row r="69" spans="18:32" x14ac:dyDescent="0.25">
      <c r="R69" s="194" t="s">
        <v>1022</v>
      </c>
      <c r="S69" s="176">
        <v>65</v>
      </c>
      <c r="T69" s="176" t="s">
        <v>916</v>
      </c>
      <c r="U69" s="176">
        <v>61</v>
      </c>
      <c r="V69" s="194">
        <f>hyperlinkLU[[#This Row],[Page]]+IFERROR(INDEX(FFIECBooklets[Page Offset],MATCH(hyperlinkLU[[#This Row],[Booklet]],FFIECBooklets[Booklet],0)),0)</f>
        <v>64</v>
      </c>
      <c r="X69"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https://ithandbook.ffiec.gov/media/274793/ffiec_itbooklet_informationsecurity.pdf#Page=64</v>
      </c>
      <c r="AB69" s="244" t="s">
        <v>1178</v>
      </c>
      <c r="AC69" s="238" t="str">
        <f>handbookURLBase&amp;hyperlinkLU[[#This Row],[URL fragment]]</f>
        <v>https://ithandbook.ffiec.gov/it-booklets/information-security/ii-information-security-program-management/iic-risk-mitigation/iic13-control-of-information/iic13(a)-storage.aspx</v>
      </c>
      <c r="AD69" s="238" t="s">
        <v>1177</v>
      </c>
      <c r="AE69" t="s">
        <v>1110</v>
      </c>
    </row>
    <row r="70" spans="18:32" x14ac:dyDescent="0.25">
      <c r="R70" t="s">
        <v>932</v>
      </c>
      <c r="S70" s="194">
        <v>66</v>
      </c>
      <c r="T70" s="194" t="str">
        <f>MID(hyperlinkLU[[#This Row],[Reference]],7,FIND(",",hyperlinkLU[[#This Row],[Reference]],8)-7)</f>
        <v>Information Security Booklet</v>
      </c>
      <c r="U70" s="176">
        <v>56</v>
      </c>
      <c r="V70" s="194">
        <f>hyperlinkLU[[#This Row],[Page]]+IFERROR(INDEX(FFIECBooklets[Page Offset],MATCH(hyperlinkLU[[#This Row],[Booklet]],FFIECBooklets[Booklet],0)),0)</f>
        <v>59</v>
      </c>
      <c r="X7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AB70" t="s">
        <v>1145</v>
      </c>
      <c r="AC70" s="238" t="str">
        <f>handbookURLBase&amp;hyperlinkLU[[#This Row],[URL fragment]]</f>
        <v>https://ithandbook.ffiec.gov/it-booklets/information-security/ii-information-security-program-management/iic-risk-mitigation/iic17-application-security.aspx</v>
      </c>
      <c r="AD70" s="238" t="s">
        <v>1144</v>
      </c>
      <c r="AE70" t="s">
        <v>1110</v>
      </c>
    </row>
    <row r="71" spans="18:32" x14ac:dyDescent="0.25">
      <c r="R71" t="s">
        <v>1023</v>
      </c>
      <c r="S71" s="194">
        <v>67</v>
      </c>
      <c r="T71" s="194" t="str">
        <f>MID(hyperlinkLU[[#This Row],[Reference]],7,FIND(",",hyperlinkLU[[#This Row],[Reference]],8)-7)</f>
        <v>Information Security Booklet</v>
      </c>
      <c r="U71" s="176">
        <v>59</v>
      </c>
      <c r="V71" s="194">
        <f>hyperlinkLU[[#This Row],[Page]]+IFERROR(INDEX(FFIECBooklets[Page Offset],MATCH(hyperlinkLU[[#This Row],[Booklet]],FFIECBooklets[Booklet],0)),0)</f>
        <v>62</v>
      </c>
      <c r="X7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https://ithandbook.ffiec.gov/media/274793/ffiec_itbooklet_informationsecurity.pdf#Page=62</v>
      </c>
      <c r="AB71" s="244" t="s">
        <v>931</v>
      </c>
      <c r="AC71" s="238" t="str">
        <f>handbookURLBase&amp;hyperlinkLU[[#This Row],[URL fragment]]</f>
        <v>https://ithandbook.ffiec.gov/it-booklets/information-security/ii-information-security-program-management/iic-risk-mitigation/iic10-change-management-within-the-it-environment.aspx</v>
      </c>
      <c r="AD71" s="238" t="s">
        <v>1153</v>
      </c>
      <c r="AE71" t="s">
        <v>1110</v>
      </c>
    </row>
    <row r="72" spans="18:32" x14ac:dyDescent="0.25">
      <c r="R72" t="s">
        <v>1024</v>
      </c>
      <c r="S72" s="194">
        <v>68</v>
      </c>
      <c r="T72" s="194" t="str">
        <f>MID(hyperlinkLU[[#This Row],[Reference]],7,FIND(",",hyperlinkLU[[#This Row],[Reference]],8)-7)</f>
        <v>Development and Acquisition Booklet</v>
      </c>
      <c r="U72" s="176">
        <v>2</v>
      </c>
      <c r="V72" s="194">
        <f>hyperlinkLU[[#This Row],[Page]]+IFERROR(INDEX(FFIECBooklets[Page Offset],MATCH(hyperlinkLU[[#This Row],[Booklet]],FFIECBooklets[Booklet],0)),0)</f>
        <v>6</v>
      </c>
      <c r="X72" s="194" t="str">
        <f>IFERROR(INDEX(FFIECBooklets[Booklet URL],MATCH(hyperlinkLU[[#This Row],[Booklet]],FFIECBooklets[Booklet],0))&amp;IF(LEN(hyperlinkLU[[#This Row],[Physical Page]])&gt;0,"#Page="&amp;TEXT(hyperlinkLU[[#This Row],[Physical Page]],0),""),defaultHandbookURL)</f>
        <v>https://ithandbook.ffiec.gov/media/274741/ffiec_itbooklet_developmentandacquisition.pdf#Page=6</v>
      </c>
      <c r="AB72" t="s">
        <v>1184</v>
      </c>
      <c r="AC72" s="238" t="str">
        <f>handbookURLBase&amp;hyperlinkLU[[#This Row],[URL fragment]]</f>
        <v>https://ithandbook.ffiec.gov/it-booklets/development-and-acquisition/introduction/information-security.aspx</v>
      </c>
      <c r="AD72" s="238" t="s">
        <v>1186</v>
      </c>
      <c r="AE72" t="s">
        <v>1110</v>
      </c>
    </row>
    <row r="73" spans="18:32" x14ac:dyDescent="0.25">
      <c r="R73" t="s">
        <v>1025</v>
      </c>
      <c r="S73" s="194">
        <v>69</v>
      </c>
      <c r="T73" s="194" t="str">
        <f>MID(hyperlinkLU[[#This Row],[Reference]],7,FIND(",",hyperlinkLU[[#This Row],[Reference]],8)-7)</f>
        <v>Development and Acquisition Booklet</v>
      </c>
      <c r="U73" s="176">
        <v>39</v>
      </c>
      <c r="V73" s="194">
        <f>hyperlinkLU[[#This Row],[Page]]+IFERROR(INDEX(FFIECBooklets[Page Offset],MATCH(hyperlinkLU[[#This Row],[Booklet]],FFIECBooklets[Booklet],0)),0)</f>
        <v>43</v>
      </c>
      <c r="X73" s="194" t="str">
        <f>IFERROR(INDEX(FFIECBooklets[Booklet URL],MATCH(hyperlinkLU[[#This Row],[Booklet]],FFIECBooklets[Booklet],0))&amp;IF(LEN(hyperlinkLU[[#This Row],[Physical Page]])&gt;0,"#Page="&amp;TEXT(hyperlinkLU[[#This Row],[Physical Page]],0),""),defaultHandbookURL)</f>
        <v>https://ithandbook.ffiec.gov/media/274741/ffiec_itbooklet_developmentandacquisition.pdf#Page=43</v>
      </c>
      <c r="AB73" s="244" t="s">
        <v>1187</v>
      </c>
      <c r="AC73" s="238" t="str">
        <f>handbookURLBase&amp;hyperlinkLU[[#This Row],[URL fragment]]</f>
        <v>https://ithandbook.ffiec.gov/it-booklets/development-and-acquisition/acquisition/escrowed-documentation.aspx</v>
      </c>
      <c r="AD73" s="238" t="s">
        <v>1185</v>
      </c>
      <c r="AE73" t="s">
        <v>1110</v>
      </c>
    </row>
    <row r="74" spans="18:32" x14ac:dyDescent="0.25">
      <c r="R74" t="s">
        <v>1016</v>
      </c>
      <c r="S74" s="194">
        <v>70</v>
      </c>
      <c r="T74" s="194" t="str">
        <f>MID(hyperlinkLU[[#This Row],[Reference]],7,FIND(",",hyperlinkLU[[#This Row],[Reference]],8)-7)</f>
        <v>Information Security Booklet</v>
      </c>
      <c r="U74" s="194">
        <f>RIGHT(hyperlinkLU[[#This Row],[Reference]],2)*1</f>
        <v>61</v>
      </c>
      <c r="V74" s="194">
        <f>hyperlinkLU[[#This Row],[Page]]+IFERROR(INDEX(FFIECBooklets[Page Offset],MATCH(hyperlinkLU[[#This Row],[Booklet]],FFIECBooklets[Booklet],0)),0)</f>
        <v>64</v>
      </c>
      <c r="W74" s="194"/>
      <c r="X7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https://ithandbook.ffiec.gov/media/274793/ffiec_itbooklet_informationsecurity.pdf#Page=64</v>
      </c>
      <c r="AB74" s="244" t="s">
        <v>1145</v>
      </c>
      <c r="AC74" s="238" t="str">
        <f>handbookURLBase&amp;hyperlinkLU[[#This Row],[URL fragment]]</f>
        <v>https://ithandbook.ffiec.gov/it-booklets/information-security/ii-information-security-program-management/iic-risk-mitigation/iic17-application-security.aspx</v>
      </c>
      <c r="AD74" s="238" t="s">
        <v>1144</v>
      </c>
      <c r="AE74" t="s">
        <v>1110</v>
      </c>
    </row>
    <row r="75" spans="18:32" x14ac:dyDescent="0.25">
      <c r="R75" t="s">
        <v>1027</v>
      </c>
      <c r="S75" s="194">
        <v>71</v>
      </c>
      <c r="T75" s="194" t="str">
        <f>MID(hyperlinkLU[[#This Row],[Reference]],7,FIND(",",hyperlinkLU[[#This Row],[Reference]],8)-7)</f>
        <v>Information Security Booklet</v>
      </c>
      <c r="U75" s="194">
        <f>RIGHT(hyperlinkLU[[#This Row],[Reference]],2)*1</f>
        <v>55</v>
      </c>
      <c r="V75" s="194">
        <f>hyperlinkLU[[#This Row],[Page]]+IFERROR(INDEX(FFIECBooklets[Page Offset],MATCH(hyperlinkLU[[#This Row],[Booklet]],FFIECBooklets[Booklet],0)),0)</f>
        <v>58</v>
      </c>
      <c r="W75" s="194"/>
      <c r="X75"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https://ithandbook.ffiec.gov/media/274793/ffiec_itbooklet_informationsecurity.pdf#Page=58</v>
      </c>
      <c r="AB75" s="244" t="s">
        <v>1148</v>
      </c>
      <c r="AC75" s="244" t="str">
        <f>handbookURLBase&amp;hyperlinkLU[[#This Row],[URL fragment]]</f>
        <v>https://ithandbook.ffiec.gov/it-booklets/information-security/ii-information-security-program-management/iic-risk-mitigation/iic12-malware-mitigation.aspx</v>
      </c>
      <c r="AD75" s="244" t="s">
        <v>1147</v>
      </c>
      <c r="AE75" s="244" t="s">
        <v>1110</v>
      </c>
    </row>
    <row r="76" spans="18:32" x14ac:dyDescent="0.25">
      <c r="R76" t="s">
        <v>1028</v>
      </c>
      <c r="S76" s="194">
        <v>72</v>
      </c>
      <c r="T76" s="194" t="str">
        <f>MID(hyperlinkLU[[#This Row],[Reference]],7,FIND(",",hyperlinkLU[[#This Row],[Reference]],8)-7)</f>
        <v>Information Security Booklet</v>
      </c>
      <c r="U76" s="194">
        <f>RIGHT(hyperlinkLU[[#This Row],[Reference]],2)*1</f>
        <v>82</v>
      </c>
      <c r="V76" s="194">
        <f>hyperlinkLU[[#This Row],[Page]]+IFERROR(INDEX(FFIECBooklets[Page Offset],MATCH(hyperlinkLU[[#This Row],[Booklet]],FFIECBooklets[Booklet],0)),0)</f>
        <v>85</v>
      </c>
      <c r="W76" s="194"/>
      <c r="X7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https://ithandbook.ffiec.gov/media/274793/ffiec_itbooklet_informationsecurity.pdf#Page=85</v>
      </c>
      <c r="AB76" s="244" t="s">
        <v>1190</v>
      </c>
      <c r="AC76" s="244" t="str">
        <f>handbookURLBase&amp;hyperlinkLU[[#This Row],[URL fragment]]</f>
        <v>https://ithandbook.ffiec.gov/it-booklets/information-security/iii-security-operations.aspx</v>
      </c>
      <c r="AD76" s="244" t="s">
        <v>1136</v>
      </c>
      <c r="AE76" s="244" t="s">
        <v>1110</v>
      </c>
      <c r="AF76" s="244" t="s">
        <v>1188</v>
      </c>
    </row>
    <row r="77" spans="18:32" x14ac:dyDescent="0.25">
      <c r="R77" t="s">
        <v>1029</v>
      </c>
      <c r="S77" s="194">
        <v>73</v>
      </c>
      <c r="T77" s="194" t="str">
        <f>MID(hyperlinkLU[[#This Row],[Reference]],7,FIND(",",hyperlinkLU[[#This Row],[Reference]],8)-7)</f>
        <v>Information Security Booklet</v>
      </c>
      <c r="U77" s="194">
        <f>RIGHT(hyperlinkLU[[#This Row],[Reference]],2)*1</f>
        <v>39</v>
      </c>
      <c r="V77" s="194">
        <f>hyperlinkLU[[#This Row],[Page]]+IFERROR(INDEX(FFIECBooklets[Page Offset],MATCH(hyperlinkLU[[#This Row],[Booklet]],FFIECBooklets[Booklet],0)),0)</f>
        <v>42</v>
      </c>
      <c r="W77" s="194"/>
      <c r="X7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https://ithandbook.ffiec.gov/media/274793/ffiec_itbooklet_informationsecurity.pdf#Page=42</v>
      </c>
      <c r="AB77" s="244" t="s">
        <v>1148</v>
      </c>
      <c r="AC77" s="244" t="str">
        <f>handbookURLBase&amp;hyperlinkLU[[#This Row],[URL fragment]]</f>
        <v>https://ithandbook.ffiec.gov/it-booklets/information-security/ii-information-security-program-management/iic-risk-mitigation/iic12-malware-mitigation.aspx</v>
      </c>
      <c r="AD77" s="244" t="s">
        <v>1147</v>
      </c>
      <c r="AE77" s="244" t="s">
        <v>1110</v>
      </c>
      <c r="AF77" s="244" t="s">
        <v>1181</v>
      </c>
    </row>
    <row r="78" spans="18:32" x14ac:dyDescent="0.25">
      <c r="R78" t="s">
        <v>1030</v>
      </c>
      <c r="S78" s="194">
        <v>74</v>
      </c>
      <c r="T78" s="194" t="str">
        <f>MID(hyperlinkLU[[#This Row],[Reference]],7,FIND(",",hyperlinkLU[[#This Row],[Reference]],8)-7)</f>
        <v>Information Security Booklet</v>
      </c>
      <c r="U78" s="194">
        <f>RIGHT(hyperlinkLU[[#This Row],[Reference]],2)*1</f>
        <v>32</v>
      </c>
      <c r="V78" s="194">
        <f>hyperlinkLU[[#This Row],[Page]]+IFERROR(INDEX(FFIECBooklets[Page Offset],MATCH(hyperlinkLU[[#This Row],[Booklet]],FFIECBooklets[Booklet],0)),0)</f>
        <v>35</v>
      </c>
      <c r="W78" s="194"/>
      <c r="X78"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https://ithandbook.ffiec.gov/media/274793/ffiec_itbooklet_informationsecurity.pdf#Page=35</v>
      </c>
      <c r="AB78" s="244" t="s">
        <v>1148</v>
      </c>
      <c r="AC78" s="244" t="str">
        <f>handbookURLBase&amp;hyperlinkLU[[#This Row],[URL fragment]]</f>
        <v>https://ithandbook.ffiec.gov/it-booklets/information-security/ii-information-security-program-management/iic-risk-mitigation/iic12-malware-mitigation.aspx</v>
      </c>
      <c r="AD78" s="244" t="s">
        <v>1147</v>
      </c>
      <c r="AE78" s="244" t="s">
        <v>1110</v>
      </c>
      <c r="AF78" s="244" t="s">
        <v>1181</v>
      </c>
    </row>
    <row r="79" spans="18:32" x14ac:dyDescent="0.25">
      <c r="R79" t="s">
        <v>1032</v>
      </c>
      <c r="S79" s="194">
        <v>75</v>
      </c>
      <c r="T79" s="194" t="str">
        <f>MID(hyperlinkLU[[#This Row],[Reference]],7,FIND(",",hyperlinkLU[[#This Row],[Reference]],8)-7)</f>
        <v>Wholesale Payments Booklet</v>
      </c>
      <c r="U79" s="194">
        <f>RIGHT(hyperlinkLU[[#This Row],[Reference]],2)*1</f>
        <v>12</v>
      </c>
      <c r="V79" s="194">
        <f>hyperlinkLU[[#This Row],[Page]]+IFERROR(INDEX(FFIECBooklets[Page Offset],MATCH(hyperlinkLU[[#This Row],[Booklet]],FFIECBooklets[Booklet],0)),0)</f>
        <v>15</v>
      </c>
      <c r="W79" s="194"/>
      <c r="X79" s="194" t="str">
        <f>IFERROR(INDEX(FFIECBooklets[Booklet URL],MATCH(hyperlinkLU[[#This Row],[Booklet]],FFIECBooklets[Booklet],0))&amp;IF(LEN(hyperlinkLU[[#This Row],[Physical Page]])&gt;0,"#Page="&amp;TEXT(hyperlinkLU[[#This Row],[Physical Page]],0),""),defaultHandbookURL)</f>
        <v>https://ithandbook.ffiec.gov/media/274899/ffiec_itbooklet_wholesalepaymentsystems.pdf#Page=15</v>
      </c>
      <c r="AB79" s="244" t="s">
        <v>1191</v>
      </c>
      <c r="AC79" s="244" t="str">
        <f>handbookURLBase&amp;hyperlinkLU[[#This Row],[URL fragment]]</f>
        <v>https://ithandbook.ffiec.gov/it-booklets/wholesale-payment-systems/intrabank-payment-and-messaging-systems/internally-developed-and-off-the-shelf-funds-transfer-systems.aspx</v>
      </c>
      <c r="AD79" s="244" t="s">
        <v>1192</v>
      </c>
      <c r="AE79" t="s">
        <v>1110</v>
      </c>
      <c r="AF79" s="244" t="s">
        <v>1193</v>
      </c>
    </row>
    <row r="80" spans="18:32" x14ac:dyDescent="0.25">
      <c r="R80" t="s">
        <v>1031</v>
      </c>
      <c r="S80" s="194">
        <v>76</v>
      </c>
      <c r="T80" s="194" t="str">
        <f>MID(hyperlinkLU[[#This Row],[Reference]],7,FIND(",",hyperlinkLU[[#This Row],[Reference]],8)-7)</f>
        <v>Information Security Booklet</v>
      </c>
      <c r="U80" s="194">
        <f>RIGHT(hyperlinkLU[[#This Row],[Reference]],2)*1</f>
        <v>73</v>
      </c>
      <c r="V80" s="194">
        <f>hyperlinkLU[[#This Row],[Page]]+IFERROR(INDEX(FFIECBooklets[Page Offset],MATCH(hyperlinkLU[[#This Row],[Booklet]],FFIECBooklets[Booklet],0)),0)</f>
        <v>76</v>
      </c>
      <c r="W80" s="194"/>
      <c r="X8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https://ithandbook.ffiec.gov/media/274793/ffiec_itbooklet_informationsecurity.pdf#Page=76</v>
      </c>
      <c r="AB80" s="244" t="s">
        <v>978</v>
      </c>
      <c r="AC80" s="244" t="str">
        <f>handbookURLBase&amp;hyperlinkLU[[#This Row],[URL fragment]]</f>
        <v>https://ithandbook.ffiec.gov/it-booklets/information-security/ii-information-security-program-management/iic-risk-mitigation/iic22-log-management.aspx</v>
      </c>
      <c r="AD80" s="244" t="s">
        <v>1138</v>
      </c>
      <c r="AE80" s="244" t="s">
        <v>1110</v>
      </c>
      <c r="AF80" s="244" t="s">
        <v>1194</v>
      </c>
    </row>
    <row r="81" spans="18:32" x14ac:dyDescent="0.25">
      <c r="R81" t="s">
        <v>1033</v>
      </c>
      <c r="S81" s="194">
        <v>77</v>
      </c>
      <c r="T81" s="194" t="str">
        <f>MID(hyperlinkLU[[#This Row],[Reference]],7,FIND(",",hyperlinkLU[[#This Row],[Reference]],8)-7)</f>
        <v>Outsourcing Booklet</v>
      </c>
      <c r="U81" s="194">
        <f>RIGHT(hyperlinkLU[[#This Row],[Reference]],2)*1</f>
        <v>26</v>
      </c>
      <c r="V81" s="194">
        <f>hyperlinkLU[[#This Row],[Page]]+IFERROR(INDEX(FFIECBooklets[Page Offset],MATCH(hyperlinkLU[[#This Row],[Booklet]],FFIECBooklets[Booklet],0)),0)</f>
        <v>29</v>
      </c>
      <c r="W81" s="194"/>
      <c r="X81" s="19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https://ithandbook.ffiec.gov/media/274841/ffiec_itbooklet_outsourcingtechnologyservices.pdf#Page=29</v>
      </c>
      <c r="AB81" s="244" t="s">
        <v>1197</v>
      </c>
      <c r="AC81" s="244" t="str">
        <f>handbookURLBase&amp;hyperlinkLU[[#This Row],[URL fragment]]</f>
        <v>https://ithandbook.ffiec.gov/it-booklets/outsourcing-technology-services/related-topics/information-securitysafeguarding.aspx</v>
      </c>
      <c r="AD81" s="244" t="s">
        <v>1196</v>
      </c>
      <c r="AE81" s="244" t="s">
        <v>1110</v>
      </c>
      <c r="AF81" s="244" t="s">
        <v>1195</v>
      </c>
    </row>
    <row r="82" spans="18:32" x14ac:dyDescent="0.25">
      <c r="R82" t="s">
        <v>1013</v>
      </c>
      <c r="S82" s="194">
        <v>78</v>
      </c>
      <c r="T82" s="194" t="str">
        <f>MID(hyperlinkLU[[#This Row],[Reference]],7,FIND(",",hyperlinkLU[[#This Row],[Reference]],8)-7)</f>
        <v>Information Security Booklet</v>
      </c>
      <c r="U82" s="194">
        <f>RIGHT(hyperlinkLU[[#This Row],[Reference]],2)*1</f>
        <v>19</v>
      </c>
      <c r="V82" s="194">
        <f>hyperlinkLU[[#This Row],[Page]]+IFERROR(INDEX(FFIECBooklets[Page Offset],MATCH(hyperlinkLU[[#This Row],[Booklet]],FFIECBooklets[Booklet],0)),0)</f>
        <v>22</v>
      </c>
      <c r="W82" s="194"/>
      <c r="X82"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82" s="244" t="s">
        <v>1163</v>
      </c>
      <c r="AC82" s="244" t="str">
        <f>handbookURLBase&amp;hyperlinkLU[[#This Row],[URL fragment]]</f>
        <v>https://ithandbook.ffiec.gov/it-booklets/information-security/ii-information-security-program-management/iic-risk-mitigation/iic15-logical-security.aspx</v>
      </c>
      <c r="AD82" s="244" t="s">
        <v>1164</v>
      </c>
      <c r="AE82" s="244" t="s">
        <v>1110</v>
      </c>
      <c r="AF82" s="244" t="s">
        <v>1169</v>
      </c>
    </row>
    <row r="83" spans="18:32" x14ac:dyDescent="0.25">
      <c r="R83" s="194" t="s">
        <v>1035</v>
      </c>
      <c r="S83" s="194">
        <v>79</v>
      </c>
      <c r="T83" s="194" t="str">
        <f>MID(hyperlinkLU[[#This Row],[Reference]],7,FIND(",",hyperlinkLU[[#This Row],[Reference]],8)-7)</f>
        <v>Information Security Booklet</v>
      </c>
      <c r="U83" s="194">
        <f>RIGHT(hyperlinkLU[[#This Row],[Reference]],2)*1</f>
        <v>77</v>
      </c>
      <c r="V83" s="194">
        <f>hyperlinkLU[[#This Row],[Page]]+IFERROR(INDEX(FFIECBooklets[Page Offset],MATCH(hyperlinkLU[[#This Row],[Booklet]],FFIECBooklets[Booklet],0)),0)</f>
        <v>80</v>
      </c>
      <c r="W83" s="194"/>
      <c r="X83"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https://ithandbook.ffiec.gov/media/274793/ffiec_itbooklet_informationsecurity.pdf#Page=80</v>
      </c>
      <c r="AB83" s="244" t="s">
        <v>1200</v>
      </c>
      <c r="AC83" s="244" t="str">
        <f>handbookURLBase&amp;hyperlinkLU[[#This Row],[URL fragment]]</f>
        <v>https://ithandbook.ffiec.gov/it-booklets/information-security/iii-security-operations/iiic-incident-identification-and-assessment.aspx</v>
      </c>
      <c r="AD83" s="244" t="s">
        <v>1199</v>
      </c>
      <c r="AE83" s="244" t="s">
        <v>1110</v>
      </c>
      <c r="AF83" s="244" t="s">
        <v>1198</v>
      </c>
    </row>
    <row r="84" spans="18:32" x14ac:dyDescent="0.25">
      <c r="R84" s="194" t="s">
        <v>1009</v>
      </c>
      <c r="S84" s="194">
        <v>80</v>
      </c>
      <c r="T84" s="194" t="str">
        <f>MID(hyperlinkLU[[#This Row],[Reference]],7,FIND(",",hyperlinkLU[[#This Row],[Reference]],8)-7)</f>
        <v>Information Security Booklet</v>
      </c>
      <c r="U84" s="194">
        <f>RIGHT(hyperlinkLU[[#This Row],[Reference]],2)*1</f>
        <v>78</v>
      </c>
      <c r="V84" s="194">
        <f>hyperlinkLU[[#This Row],[Page]]+IFERROR(INDEX(FFIECBooklets[Page Offset],MATCH(hyperlinkLU[[#This Row],[Booklet]],FFIECBooklets[Booklet],0)),0)</f>
        <v>81</v>
      </c>
      <c r="W84" s="194"/>
      <c r="X8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https://ithandbook.ffiec.gov/media/274793/ffiec_itbooklet_informationsecurity.pdf#Page=81</v>
      </c>
      <c r="AB84" s="244" t="s">
        <v>1203</v>
      </c>
      <c r="AC84" s="244" t="str">
        <f>handbookURLBase&amp;hyperlinkLU[[#This Row],[URL fragment]]</f>
        <v>https://ithandbook.ffiec.gov/it-booklets/information-security/iii-security-operations/iiib-threat-monitoring.aspx</v>
      </c>
      <c r="AD84" s="244" t="s">
        <v>1202</v>
      </c>
      <c r="AE84" s="244" t="s">
        <v>1110</v>
      </c>
      <c r="AF84" s="244" t="s">
        <v>1201</v>
      </c>
    </row>
    <row r="85" spans="18:32" x14ac:dyDescent="0.25">
      <c r="R85" s="194" t="s">
        <v>160</v>
      </c>
      <c r="S85" s="194">
        <v>81</v>
      </c>
      <c r="T85" s="194" t="s">
        <v>916</v>
      </c>
      <c r="U85" s="194">
        <v>57</v>
      </c>
      <c r="V85" s="194">
        <f>hyperlinkLU[[#This Row],[Page]]+IFERROR(INDEX(FFIECBooklets[Page Offset],MATCH(hyperlinkLU[[#This Row],[Booklet]],FFIECBooklets[Booklet],0)),0)</f>
        <v>60</v>
      </c>
      <c r="W85" s="194"/>
      <c r="X85"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https://ithandbook.ffiec.gov/media/274793/ffiec_itbooklet_informationsecurity.pdf#Page=60</v>
      </c>
      <c r="AB85" s="244" t="s">
        <v>997</v>
      </c>
      <c r="AC85" s="244" t="str">
        <f>handbookURLBase&amp;hyperlinkLU[[#This Row],[URL fragment]]</f>
        <v>https://ithandbook.ffiec.gov/it-booklets/information-security/introduction.aspx</v>
      </c>
      <c r="AD85" s="244" t="s">
        <v>1205</v>
      </c>
      <c r="AE85" s="244" t="s">
        <v>1110</v>
      </c>
      <c r="AF85" s="244" t="s">
        <v>1204</v>
      </c>
    </row>
    <row r="86" spans="18:32" x14ac:dyDescent="0.25">
      <c r="R86" s="194" t="s">
        <v>913</v>
      </c>
      <c r="S86" s="194">
        <v>82</v>
      </c>
      <c r="T86" s="194" t="str">
        <f>MID(hyperlinkLU[[#This Row],[Reference]],7,FIND(",",hyperlinkLU[[#This Row],[Reference]],8)-7)</f>
        <v>Information Security Booklet</v>
      </c>
      <c r="U86" s="194">
        <f>RIGHT(hyperlinkLU[[#This Row],[Reference]],2)*1</f>
        <v>83</v>
      </c>
      <c r="V86" s="194">
        <f>hyperlinkLU[[#This Row],[Page]]+IFERROR(INDEX(FFIECBooklets[Page Offset],MATCH(hyperlinkLU[[#This Row],[Booklet]],FFIECBooklets[Booklet],0)),0)</f>
        <v>86</v>
      </c>
      <c r="W86" s="194"/>
      <c r="X8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AB86" s="244" t="s">
        <v>1203</v>
      </c>
      <c r="AC86" s="244" t="str">
        <f>handbookURLBase&amp;hyperlinkLU[[#This Row],[URL fragment]]</f>
        <v>https://ithandbook.ffiec.gov/it-booklets/information-security/iii-security-operations/iiib-threat-monitoring.aspx</v>
      </c>
      <c r="AD86" s="244" t="s">
        <v>1202</v>
      </c>
      <c r="AE86" s="244" t="s">
        <v>1110</v>
      </c>
      <c r="AF86" s="244" t="s">
        <v>1201</v>
      </c>
    </row>
    <row r="87" spans="18:32" x14ac:dyDescent="0.25">
      <c r="R87" s="194" t="s">
        <v>1018</v>
      </c>
      <c r="S87" s="194">
        <v>83</v>
      </c>
      <c r="T87" s="194" t="str">
        <f>MID(hyperlinkLU[[#This Row],[Reference]],7,FIND(",",hyperlinkLU[[#This Row],[Reference]],8)-7)</f>
        <v>Information Security Booklet</v>
      </c>
      <c r="U87" s="194">
        <f>RIGHT(hyperlinkLU[[#This Row],[Reference]],2)*1</f>
        <v>47</v>
      </c>
      <c r="V87" s="194">
        <f>hyperlinkLU[[#This Row],[Page]]+IFERROR(INDEX(FFIECBooklets[Page Offset],MATCH(hyperlinkLU[[#This Row],[Booklet]],FFIECBooklets[Booklet],0)),0)</f>
        <v>50</v>
      </c>
      <c r="W87" s="194"/>
      <c r="X8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https://ithandbook.ffiec.gov/media/274793/ffiec_itbooklet_informationsecurity.pdf#Page=50</v>
      </c>
      <c r="AB87" s="244" t="s">
        <v>1172</v>
      </c>
      <c r="AC87" s="244" t="str">
        <f>handbookURLBase&amp;hyperlinkLU[[#This Row],[URL fragment]]</f>
        <v>https://ithandbook.ffiec.gov/it-booklets/information-security/ii-information-security-program-management/iic-risk-mitigation/iic8-physical-security.aspx</v>
      </c>
      <c r="AD87" s="244" t="s">
        <v>1171</v>
      </c>
      <c r="AE87" s="244" t="s">
        <v>1110</v>
      </c>
      <c r="AF87" s="244" t="s">
        <v>1170</v>
      </c>
    </row>
    <row r="88" spans="18:32" x14ac:dyDescent="0.25">
      <c r="R88" t="s">
        <v>1036</v>
      </c>
      <c r="S88" s="194">
        <v>84</v>
      </c>
      <c r="T88" s="194" t="str">
        <f>MID(hyperlinkLU[[#This Row],[Reference]],7,FIND(",",hyperlinkLU[[#This Row],[Reference]],8)-7)</f>
        <v>Information Security Booklet</v>
      </c>
      <c r="U88" s="194">
        <f>RIGHT(hyperlinkLU[[#This Row],[Reference]],2)*1</f>
        <v>62</v>
      </c>
      <c r="V88" s="194">
        <f>hyperlinkLU[[#This Row],[Page]]+IFERROR(INDEX(FFIECBooklets[Page Offset],MATCH(hyperlinkLU[[#This Row],[Booklet]],FFIECBooklets[Booklet],0)),0)</f>
        <v>65</v>
      </c>
      <c r="W88" s="194"/>
      <c r="X88"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https://ithandbook.ffiec.gov/media/274793/ffiec_itbooklet_informationsecurity.pdf#Page=65</v>
      </c>
      <c r="AB88" s="244" t="s">
        <v>1208</v>
      </c>
      <c r="AC88" s="244" t="str">
        <f>handbookURLBase&amp;hyperlinkLU[[#This Row],[URL fragment]]</f>
        <v>https://ithandbook.ffiec.gov/it-booklets/information-security/ii-information-security-program-management/iic-risk-mitigation/iic10-change-management-within-the-it-environment/iic10(d)-patch-management.aspx</v>
      </c>
      <c r="AD88" s="244" t="s">
        <v>1207</v>
      </c>
      <c r="AE88" s="244" t="s">
        <v>1110</v>
      </c>
      <c r="AF88" s="244" t="s">
        <v>1206</v>
      </c>
    </row>
    <row r="89" spans="18:32" x14ac:dyDescent="0.25">
      <c r="R89" t="s">
        <v>1037</v>
      </c>
      <c r="S89" s="194">
        <v>85</v>
      </c>
      <c r="T89" s="194" t="str">
        <f>MID(hyperlinkLU[[#This Row],[Reference]],7,FIND(",",hyperlinkLU[[#This Row],[Reference]],8)-7)</f>
        <v>Operations Booklet</v>
      </c>
      <c r="U89" s="194">
        <f>RIGHT(hyperlinkLU[[#This Row],[Reference]],2)*1</f>
        <v>22</v>
      </c>
      <c r="V89" s="194">
        <f>hyperlinkLU[[#This Row],[Page]]+IFERROR(INDEX(FFIECBooklets[Page Offset],MATCH(hyperlinkLU[[#This Row],[Booklet]],FFIECBooklets[Booklet],0)),0)</f>
        <v>25</v>
      </c>
      <c r="W89" s="194"/>
      <c r="X89" s="194" t="str">
        <f>IFERROR(INDEX(FFIECBooklets[Booklet URL],MATCH(hyperlinkLU[[#This Row],[Booklet]],FFIECBooklets[Booklet],0))&amp;IF(LEN(hyperlinkLU[[#This Row],[Physical Page]])&gt;0,"#Page="&amp;TEXT(hyperlinkLU[[#This Row],[Physical Page]],0),""),defaultHandbookURL)</f>
        <v>https://ithandbook.ffiec.gov/media/274825/ffiec_itbooklet_operations.pdf#Page=25</v>
      </c>
      <c r="AB89" s="244" t="s">
        <v>1211</v>
      </c>
      <c r="AC89" s="244" t="str">
        <f>handbookURLBase&amp;hyperlinkLU[[#This Row],[URL fragment]]</f>
        <v>https://ithandbook.ffiec.gov/it-booklets/operations/risk-mitigation-and-control-implementation/database-management.aspx</v>
      </c>
      <c r="AD89" s="244" t="s">
        <v>1210</v>
      </c>
      <c r="AE89" s="244" t="s">
        <v>1110</v>
      </c>
      <c r="AF89" s="244" t="s">
        <v>1209</v>
      </c>
    </row>
    <row r="90" spans="18:32" x14ac:dyDescent="0.25">
      <c r="R90" t="s">
        <v>1038</v>
      </c>
      <c r="S90" s="194">
        <v>86</v>
      </c>
      <c r="T90" s="194" t="str">
        <f>MID(hyperlinkLU[[#This Row],[Reference]],7,FIND(",",hyperlinkLU[[#This Row],[Reference]],8)-7)</f>
        <v>Development and Acquisition Booklet</v>
      </c>
      <c r="U90" s="194">
        <f>RIGHT(hyperlinkLU[[#This Row],[Reference]],2)*1</f>
        <v>50</v>
      </c>
      <c r="V90" s="194">
        <f>hyperlinkLU[[#This Row],[Page]]+IFERROR(INDEX(FFIECBooklets[Page Offset],MATCH(hyperlinkLU[[#This Row],[Booklet]],FFIECBooklets[Booklet],0)),0)</f>
        <v>54</v>
      </c>
      <c r="W90" s="194"/>
      <c r="X90" s="194" t="str">
        <f>IFERROR(INDEX(FFIECBooklets[Booklet URL],MATCH(hyperlinkLU[[#This Row],[Booklet]],FFIECBooklets[Booklet],0))&amp;IF(LEN(hyperlinkLU[[#This Row],[Physical Page]])&gt;0,"#Page="&amp;TEXT(hyperlinkLU[[#This Row],[Physical Page]],0),""),defaultHandbookURL)</f>
        <v>https://ithandbook.ffiec.gov/media/274741/ffiec_itbooklet_developmentandacquisition.pdf#Page=54</v>
      </c>
      <c r="AB90" s="244" t="s">
        <v>1212</v>
      </c>
      <c r="AC90" s="244" t="str">
        <f>handbookURLBase&amp;hyperlinkLU[[#This Row],[URL fragment]]</f>
        <v>https://ithandbook.ffiec.gov/it-booklets/development-and-acquisition/maintenance/patch-management.aspx</v>
      </c>
      <c r="AD90" s="244" t="s">
        <v>422</v>
      </c>
      <c r="AE90" s="244" t="s">
        <v>1110</v>
      </c>
      <c r="AF90" s="244" t="s">
        <v>1213</v>
      </c>
    </row>
    <row r="91" spans="18:32" x14ac:dyDescent="0.25">
      <c r="R91" s="194" t="s">
        <v>1039</v>
      </c>
      <c r="S91" s="176">
        <v>87</v>
      </c>
      <c r="T91" s="194" t="str">
        <f>MID(hyperlinkLU[[#This Row],[Reference]],7,FIND(",",hyperlinkLU[[#This Row],[Reference]],8)-7)</f>
        <v>Information Security Booklet</v>
      </c>
      <c r="U91" s="194">
        <f>RIGHT(hyperlinkLU[[#This Row],[Reference]],2)*1</f>
        <v>87</v>
      </c>
      <c r="V91" s="194">
        <f>hyperlinkLU[[#This Row],[Page]]+IFERROR(INDEX(FFIECBooklets[Page Offset],MATCH(hyperlinkLU[[#This Row],[Booklet]],FFIECBooklets[Booklet],0)),0)</f>
        <v>90</v>
      </c>
      <c r="W91" s="194"/>
      <c r="X9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https://ithandbook.ffiec.gov/media/274793/ffiec_itbooklet_informationsecurity.pdf#Page=90</v>
      </c>
      <c r="AB91" t="s">
        <v>1216</v>
      </c>
      <c r="AC91" s="244" t="str">
        <f>handbookURLBase&amp;hyperlinkLU[[#This Row],[URL fragment]]</f>
        <v>https://ithandbook.ffiec.gov/it-booklets/information-security/iv-information-security-program-effectiveness/iva-assurance-and-testing/iva4-assurance-reporting.aspx</v>
      </c>
      <c r="AD91" s="244" t="s">
        <v>1215</v>
      </c>
      <c r="AE91" s="244" t="s">
        <v>1110</v>
      </c>
      <c r="AF91" s="244" t="s">
        <v>1214</v>
      </c>
    </row>
    <row r="92" spans="18:32" x14ac:dyDescent="0.25">
      <c r="R92" s="194" t="s">
        <v>928</v>
      </c>
      <c r="S92" s="194">
        <v>88</v>
      </c>
      <c r="T92" s="194" t="str">
        <f>MID(hyperlinkLU[[#This Row],[Reference]],7,FIND(",",hyperlinkLU[[#This Row],[Reference]],8)-7)</f>
        <v>Information Security Booklet</v>
      </c>
      <c r="U92" s="194">
        <f>RIGHT(hyperlinkLU[[#This Row],[Reference]],2)*1</f>
        <v>9</v>
      </c>
      <c r="V92" s="194">
        <f>hyperlinkLU[[#This Row],[Page]]+IFERROR(INDEX(FFIECBooklets[Page Offset],MATCH(hyperlinkLU[[#This Row],[Booklet]],FFIECBooklets[Booklet],0)),0)</f>
        <v>12</v>
      </c>
      <c r="W92" s="194"/>
      <c r="X92"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https://ithandbook.ffiec.gov/media/274793/ffiec_itbooklet_informationsecurity.pdf#Page=12</v>
      </c>
      <c r="AB92" s="244" t="s">
        <v>1219</v>
      </c>
      <c r="AC92" s="244" t="str">
        <f>handbookURLBase&amp;hyperlinkLU[[#This Row],[URL fragment]]</f>
        <v>https://ithandbook.ffiec.gov/it-booklets/information-security/ii-information-security-program-management/iic-risk-mitigation/iic6-mitigating-interconnectivity-risk.aspx</v>
      </c>
      <c r="AD92" s="244" t="s">
        <v>1218</v>
      </c>
      <c r="AE92" s="244" t="s">
        <v>1110</v>
      </c>
      <c r="AF92" s="244" t="s">
        <v>1217</v>
      </c>
    </row>
    <row r="93" spans="18:32" x14ac:dyDescent="0.25">
      <c r="R93" t="s">
        <v>1040</v>
      </c>
      <c r="S93" s="194">
        <v>89</v>
      </c>
      <c r="T93" s="194" t="str">
        <f>MID(hyperlinkLU[[#This Row],[Reference]],7,FIND(",",hyperlinkLU[[#This Row],[Reference]],8)-7)</f>
        <v>Information Security Booklet</v>
      </c>
      <c r="U93" s="194">
        <f>RIGHT(hyperlinkLU[[#This Row],[Reference]],2)*1</f>
        <v>17</v>
      </c>
      <c r="V93" s="194">
        <f>hyperlinkLU[[#This Row],[Page]]+IFERROR(INDEX(FFIECBooklets[Page Offset],MATCH(hyperlinkLU[[#This Row],[Booklet]],FFIECBooklets[Booklet],0)),0)</f>
        <v>20</v>
      </c>
      <c r="W93" s="194"/>
      <c r="X93"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https://ithandbook.ffiec.gov/media/274793/ffiec_itbooklet_informationsecurity.pdf#Page=20</v>
      </c>
      <c r="AB93" s="244" t="s">
        <v>1219</v>
      </c>
      <c r="AC93" s="244" t="str">
        <f>handbookURLBase&amp;hyperlinkLU[[#This Row],[URL fragment]]</f>
        <v>https://ithandbook.ffiec.gov/it-booklets/information-security/ii-information-security-program-management/iic-risk-mitigation/iic6-mitigating-interconnectivity-risk.aspx</v>
      </c>
      <c r="AD93" s="244" t="s">
        <v>1218</v>
      </c>
      <c r="AE93" t="s">
        <v>1110</v>
      </c>
      <c r="AF93" s="244" t="s">
        <v>1217</v>
      </c>
    </row>
    <row r="94" spans="18:32" x14ac:dyDescent="0.25">
      <c r="R94" t="s">
        <v>928</v>
      </c>
      <c r="S94" s="194">
        <v>90</v>
      </c>
      <c r="T94" s="194" t="str">
        <f>MID(hyperlinkLU[[#This Row],[Reference]],7,FIND(",",hyperlinkLU[[#This Row],[Reference]],8)-7)</f>
        <v>Information Security Booklet</v>
      </c>
      <c r="U94" s="194">
        <f>RIGHT(hyperlinkLU[[#This Row],[Reference]],2)*1</f>
        <v>9</v>
      </c>
      <c r="V94" s="194">
        <f>hyperlinkLU[[#This Row],[Page]]+IFERROR(INDEX(FFIECBooklets[Page Offset],MATCH(hyperlinkLU[[#This Row],[Booklet]],FFIECBooklets[Booklet],0)),0)</f>
        <v>12</v>
      </c>
      <c r="W94" s="194"/>
      <c r="X9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https://ithandbook.ffiec.gov/media/274793/ffiec_itbooklet_informationsecurity.pdf#Page=12</v>
      </c>
      <c r="AB94" s="244" t="s">
        <v>1143</v>
      </c>
      <c r="AC94" s="244" t="str">
        <f>handbookURLBase&amp;hyperlinkLU[[#This Row],[URL fragment]]</f>
        <v>https://ithandbook.ffiec.gov/it-booklets/information-security/ii-information-security-program-management/iic-risk-mitigation/iic9-network-controls.aspx</v>
      </c>
      <c r="AD94" s="244" t="s">
        <v>1146</v>
      </c>
      <c r="AE94" t="s">
        <v>1110</v>
      </c>
      <c r="AF94" s="244" t="s">
        <v>1220</v>
      </c>
    </row>
    <row r="95" spans="18:32" x14ac:dyDescent="0.25">
      <c r="R95" t="s">
        <v>1041</v>
      </c>
      <c r="S95" s="194">
        <v>91</v>
      </c>
      <c r="T95" s="194" t="str">
        <f>MID(hyperlinkLU[[#This Row],[Reference]],7,FIND(",",hyperlinkLU[[#This Row],[Reference]],8)-7)</f>
        <v>Information Security Booklet</v>
      </c>
      <c r="U95" s="194">
        <f>RIGHT(hyperlinkLU[[#This Row],[Reference]],2)*1</f>
        <v>10</v>
      </c>
      <c r="V95" s="194">
        <f>hyperlinkLU[[#This Row],[Page]]+IFERROR(INDEX(FFIECBooklets[Page Offset],MATCH(hyperlinkLU[[#This Row],[Booklet]],FFIECBooklets[Booklet],0)),0)</f>
        <v>13</v>
      </c>
      <c r="W95" s="194"/>
      <c r="X95"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https://ithandbook.ffiec.gov/media/274793/ffiec_itbooklet_informationsecurity.pdf#Page=13</v>
      </c>
      <c r="AB95" s="244" t="s">
        <v>1143</v>
      </c>
      <c r="AC95" s="244" t="str">
        <f>handbookURLBase&amp;hyperlinkLU[[#This Row],[URL fragment]]</f>
        <v>https://ithandbook.ffiec.gov/it-booklets/information-security/ii-information-security-program-management/iic-risk-mitigation/iic9-network-controls.aspx</v>
      </c>
      <c r="AD95" s="244" t="s">
        <v>1146</v>
      </c>
      <c r="AE95" s="244" t="s">
        <v>1110</v>
      </c>
      <c r="AF95" s="244" t="s">
        <v>1221</v>
      </c>
    </row>
    <row r="96" spans="18:32" x14ac:dyDescent="0.25">
      <c r="R96" t="s">
        <v>1042</v>
      </c>
      <c r="S96" s="194">
        <v>92</v>
      </c>
      <c r="T96" s="194" t="str">
        <f>MID(hyperlinkLU[[#This Row],[Reference]],7,FIND(",",hyperlinkLU[[#This Row],[Reference]],8)-7)</f>
        <v>Information Security Booklet</v>
      </c>
      <c r="U96" s="194">
        <f>RIGHT(hyperlinkLU[[#This Row],[Reference]],2)*1</f>
        <v>69</v>
      </c>
      <c r="V96" s="194">
        <f>hyperlinkLU[[#This Row],[Page]]+IFERROR(INDEX(FFIECBooklets[Page Offset],MATCH(hyperlinkLU[[#This Row],[Booklet]],FFIECBooklets[Booklet],0)),0)</f>
        <v>72</v>
      </c>
      <c r="W96" s="194"/>
      <c r="X9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https://ithandbook.ffiec.gov/media/274793/ffiec_itbooklet_informationsecurity.pdf#Page=72</v>
      </c>
      <c r="AB96" s="244" t="s">
        <v>1224</v>
      </c>
      <c r="AC96" s="244" t="str">
        <f>handbookURLBase&amp;hyperlinkLU[[#This Row],[URL fragment]]</f>
        <v>https://ithandbook.ffiec.gov/it-booklets/information-security/ii-information-security-program-management/iic-risk-mitigation/iic20-oversight-of-third-party-service-providers.aspx</v>
      </c>
      <c r="AD96" s="244" t="s">
        <v>1223</v>
      </c>
      <c r="AE96" s="244" t="s">
        <v>1110</v>
      </c>
      <c r="AF96" s="244" t="s">
        <v>1222</v>
      </c>
    </row>
    <row r="97" spans="18:32" x14ac:dyDescent="0.25">
      <c r="R97" t="s">
        <v>1043</v>
      </c>
      <c r="S97" s="194">
        <v>93</v>
      </c>
      <c r="T97" s="194" t="str">
        <f>MID(hyperlinkLU[[#This Row],[Reference]],7,FIND(",",hyperlinkLU[[#This Row],[Reference]],8)-7)</f>
        <v>Outsourcing Booklet</v>
      </c>
      <c r="U97" s="194">
        <f>RIGHT(hyperlinkLU[[#This Row],[Reference]],2)*1</f>
        <v>19</v>
      </c>
      <c r="V97" s="194">
        <f>hyperlinkLU[[#This Row],[Page]]+IFERROR(INDEX(FFIECBooklets[Page Offset],MATCH(hyperlinkLU[[#This Row],[Booklet]],FFIECBooklets[Booklet],0)),0)</f>
        <v>22</v>
      </c>
      <c r="W97" s="194"/>
      <c r="X97" s="19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https://ithandbook.ffiec.gov/media/274841/ffiec_itbooklet_outsourcingtechnologyservices.pdf#Page=22</v>
      </c>
      <c r="AB97" s="244" t="s">
        <v>1225</v>
      </c>
      <c r="AC97" s="244" t="str">
        <f>handbookURLBase&amp;hyperlinkLU[[#This Row],[URL fragment]]</f>
        <v>https://ithandbook.ffiec.gov/it-booklets/outsourcing-technology-services/risk-management/ongoing-monitoring.aspx</v>
      </c>
      <c r="AD97" s="244" t="s">
        <v>492</v>
      </c>
      <c r="AE97" s="244" t="s">
        <v>1110</v>
      </c>
      <c r="AF97" s="244" t="s">
        <v>1238</v>
      </c>
    </row>
    <row r="98" spans="18:32" x14ac:dyDescent="0.25">
      <c r="R98" t="s">
        <v>1044</v>
      </c>
      <c r="S98" s="194">
        <v>94</v>
      </c>
      <c r="T98" s="194" t="str">
        <f>MID(hyperlinkLU[[#This Row],[Reference]],7,FIND(",",hyperlinkLU[[#This Row],[Reference]],8)-7)</f>
        <v>Outsourcing Booklet</v>
      </c>
      <c r="U98" s="194">
        <f>RIGHT(hyperlinkLU[[#This Row],[Reference]],2)*1</f>
        <v>6</v>
      </c>
      <c r="V98" s="194">
        <f>hyperlinkLU[[#This Row],[Page]]+IFERROR(INDEX(FFIECBooklets[Page Offset],MATCH(hyperlinkLU[[#This Row],[Booklet]],FFIECBooklets[Booklet],0)),0)</f>
        <v>9</v>
      </c>
      <c r="W98" s="194"/>
      <c r="X98" s="19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https://ithandbook.ffiec.gov/media/274841/ffiec_itbooklet_outsourcingtechnologyservices.pdf#Page=9</v>
      </c>
      <c r="AB98" s="244" t="s">
        <v>1228</v>
      </c>
      <c r="AC98" s="244" t="str">
        <f>handbookURLBase&amp;hyperlinkLU[[#This Row],[URL fragment]]</f>
        <v>https://ithandbook.ffiec.gov/it-booklets/outsourcing-technology-services/risk-management/risk-assessment-and-requirements/quantity-of-risk-considerations.aspx</v>
      </c>
      <c r="AD98" s="244" t="s">
        <v>1227</v>
      </c>
      <c r="AE98" s="244" t="s">
        <v>1110</v>
      </c>
      <c r="AF98" s="244" t="s">
        <v>1226</v>
      </c>
    </row>
    <row r="99" spans="18:32" x14ac:dyDescent="0.25">
      <c r="R99" t="s">
        <v>914</v>
      </c>
      <c r="S99" s="194">
        <v>95</v>
      </c>
      <c r="T99" s="194" t="str">
        <f>MID(hyperlinkLU[[#This Row],[Reference]],7,FIND(",",hyperlinkLU[[#This Row],[Reference]],8)-7)</f>
        <v>Information Security Booklet</v>
      </c>
      <c r="U99" s="194">
        <f>RIGHT(hyperlinkLU[[#This Row],[Reference]],2)*1</f>
        <v>7</v>
      </c>
      <c r="V99" s="194">
        <f>hyperlinkLU[[#This Row],[Page]]+IFERROR(INDEX(FFIECBooklets[Page Offset],MATCH(hyperlinkLU[[#This Row],[Booklet]],FFIECBooklets[Booklet],0)),0)</f>
        <v>10</v>
      </c>
      <c r="W99" s="194"/>
      <c r="X99"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AB99" s="244" t="s">
        <v>1224</v>
      </c>
      <c r="AC99" s="244" t="str">
        <f>handbookURLBase&amp;hyperlinkLU[[#This Row],[URL fragment]]</f>
        <v>https://ithandbook.ffiec.gov/it-booklets/information-security/ii-information-security-program-management/iic-risk-mitigation/iic20-oversight-of-third-party-service-providers.aspx</v>
      </c>
      <c r="AD99" s="244" t="s">
        <v>1223</v>
      </c>
      <c r="AE99" s="244" t="s">
        <v>1110</v>
      </c>
      <c r="AF99" s="244" t="s">
        <v>1229</v>
      </c>
    </row>
    <row r="100" spans="18:32" x14ac:dyDescent="0.25">
      <c r="R100" t="s">
        <v>930</v>
      </c>
      <c r="S100" s="194">
        <v>96</v>
      </c>
      <c r="T100" s="194" t="str">
        <f>MID(hyperlinkLU[[#This Row],[Reference]],7,FIND(",",hyperlinkLU[[#This Row],[Reference]],8)-7)</f>
        <v>Information Security Booklet</v>
      </c>
      <c r="U100" s="194">
        <f>RIGHT(hyperlinkLU[[#This Row],[Reference]],2)*1</f>
        <v>12</v>
      </c>
      <c r="V100" s="194">
        <f>hyperlinkLU[[#This Row],[Page]]+IFERROR(INDEX(FFIECBooklets[Page Offset],MATCH(hyperlinkLU[[#This Row],[Booklet]],FFIECBooklets[Booklet],0)),0)</f>
        <v>15</v>
      </c>
      <c r="W100" s="194"/>
      <c r="X10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AB100" s="244" t="s">
        <v>1224</v>
      </c>
      <c r="AC100" s="244" t="str">
        <f>handbookURLBase&amp;hyperlinkLU[[#This Row],[URL fragment]]</f>
        <v>https://ithandbook.ffiec.gov/it-booklets/information-security/ii-information-security-program-management/iic-risk-mitigation/iic20-oversight-of-third-party-service-providers.aspx</v>
      </c>
      <c r="AD100" s="244" t="s">
        <v>1223</v>
      </c>
      <c r="AE100" s="244" t="s">
        <v>1110</v>
      </c>
      <c r="AF100" s="244" t="s">
        <v>1229</v>
      </c>
    </row>
    <row r="101" spans="18:32" x14ac:dyDescent="0.25">
      <c r="R101" t="s">
        <v>930</v>
      </c>
      <c r="S101" s="194">
        <v>97</v>
      </c>
      <c r="T101" s="194" t="str">
        <f>MID(hyperlinkLU[[#This Row],[Reference]],7,FIND(",",hyperlinkLU[[#This Row],[Reference]],8)-7)</f>
        <v>Information Security Booklet</v>
      </c>
      <c r="U101" s="194">
        <f>RIGHT(hyperlinkLU[[#This Row],[Reference]],2)*1</f>
        <v>12</v>
      </c>
      <c r="V101" s="194">
        <f>hyperlinkLU[[#This Row],[Page]]+IFERROR(INDEX(FFIECBooklets[Page Offset],MATCH(hyperlinkLU[[#This Row],[Booklet]],FFIECBooklets[Booklet],0)),0)</f>
        <v>15</v>
      </c>
      <c r="W101" s="194"/>
      <c r="X10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AB101" s="244" t="s">
        <v>1224</v>
      </c>
      <c r="AC101" s="244" t="str">
        <f>handbookURLBase&amp;hyperlinkLU[[#This Row],[URL fragment]]</f>
        <v>https://ithandbook.ffiec.gov/it-booklets/information-security/ii-information-security-program-management/iic-risk-mitigation/iic20-oversight-of-third-party-service-providers.aspx</v>
      </c>
      <c r="AD101" s="244" t="s">
        <v>1223</v>
      </c>
      <c r="AE101" s="244" t="s">
        <v>1110</v>
      </c>
      <c r="AF101" s="244" t="s">
        <v>1229</v>
      </c>
    </row>
    <row r="102" spans="18:32" x14ac:dyDescent="0.25">
      <c r="R102" t="s">
        <v>1045</v>
      </c>
      <c r="S102" s="194">
        <v>98</v>
      </c>
      <c r="T102" s="194" t="str">
        <f>MID(hyperlinkLU[[#This Row],[Reference]],7,FIND(",",hyperlinkLU[[#This Row],[Reference]],8)-7)</f>
        <v>Outsourcing Booklet</v>
      </c>
      <c r="U102" s="194">
        <f>RIGHT(hyperlinkLU[[#This Row],[Reference]],2)*1</f>
        <v>12</v>
      </c>
      <c r="V102" s="194">
        <f>hyperlinkLU[[#This Row],[Page]]+IFERROR(INDEX(FFIECBooklets[Page Offset],MATCH(hyperlinkLU[[#This Row],[Booklet]],FFIECBooklets[Booklet],0)),0)</f>
        <v>15</v>
      </c>
      <c r="W102" s="194"/>
      <c r="X102" s="19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https://ithandbook.ffiec.gov/media/274841/ffiec_itbooklet_outsourcingtechnologyservices.pdf#Page=15</v>
      </c>
      <c r="AB102" s="244" t="s">
        <v>1230</v>
      </c>
      <c r="AC102" s="244" t="str">
        <f>handbookURLBase&amp;hyperlinkLU[[#This Row],[URL fragment]]</f>
        <v>https://ithandbook.ffiec.gov/it-booklets/outsourcing-technology-services/risk-management/contract-issues.aspx</v>
      </c>
      <c r="AD102" s="244" t="s">
        <v>1231</v>
      </c>
      <c r="AE102" s="244" t="s">
        <v>1110</v>
      </c>
      <c r="AF102" s="244" t="s">
        <v>1232</v>
      </c>
    </row>
    <row r="103" spans="18:32" x14ac:dyDescent="0.25">
      <c r="R103" t="s">
        <v>1046</v>
      </c>
      <c r="S103" s="194">
        <v>99</v>
      </c>
      <c r="T103" s="194" t="str">
        <f>MID(hyperlinkLU[[#This Row],[Reference]],7,FIND(",",hyperlinkLU[[#This Row],[Reference]],8)-7)</f>
        <v>E-Banking Booklet</v>
      </c>
      <c r="U103" s="194">
        <f>RIGHT(hyperlinkLU[[#This Row],[Reference]],2)*1</f>
        <v>22</v>
      </c>
      <c r="V103" s="194">
        <f>hyperlinkLU[[#This Row],[Page]]+IFERROR(INDEX(FFIECBooklets[Page Offset],MATCH(hyperlinkLU[[#This Row],[Booklet]],FFIECBooklets[Booklet],0)),0)</f>
        <v>25</v>
      </c>
      <c r="W103" s="194"/>
      <c r="X103" s="194" t="str">
        <f>IFERROR(INDEX(FFIECBooklets[Booklet URL],MATCH(hyperlinkLU[[#This Row],[Booklet]],FFIECBooklets[Booklet],0))&amp;IF(LEN(hyperlinkLU[[#This Row],[Physical Page]])&gt;0,"#Page="&amp;TEXT(hyperlinkLU[[#This Row],[Physical Page]],0),""),defaultHandbookURL)</f>
        <v>https://ithandbook.ffiec.gov/media/274777/ffiec_itbooklet_e-banking.pdf#Page=25</v>
      </c>
      <c r="AB103" s="244" t="s">
        <v>1224</v>
      </c>
      <c r="AC103" s="244" t="str">
        <f>handbookURLBase&amp;hyperlinkLU[[#This Row],[URL fragment]]</f>
        <v>https://ithandbook.ffiec.gov/it-booklets/information-security/ii-information-security-program-management/iic-risk-mitigation/iic20-oversight-of-third-party-service-providers.aspx</v>
      </c>
      <c r="AD103" s="244" t="s">
        <v>1223</v>
      </c>
      <c r="AE103" s="244" t="s">
        <v>1110</v>
      </c>
      <c r="AF103" s="244" t="s">
        <v>1229</v>
      </c>
    </row>
    <row r="104" spans="18:32" x14ac:dyDescent="0.25">
      <c r="R104" t="s">
        <v>1047</v>
      </c>
      <c r="S104" s="194">
        <v>100</v>
      </c>
      <c r="T104" s="194" t="str">
        <f>MID(hyperlinkLU[[#This Row],[Reference]],7,FIND(",",hyperlinkLU[[#This Row],[Reference]],8)-7)</f>
        <v>Outsourcing Booklet</v>
      </c>
      <c r="U104" s="194">
        <f>RIGHT(hyperlinkLU[[#This Row],[Reference]],2)*1</f>
        <v>15</v>
      </c>
      <c r="V104" s="194">
        <f>hyperlinkLU[[#This Row],[Page]]+IFERROR(INDEX(FFIECBooklets[Page Offset],MATCH(hyperlinkLU[[#This Row],[Booklet]],FFIECBooklets[Booklet],0)),0)</f>
        <v>18</v>
      </c>
      <c r="W104" s="194"/>
      <c r="X104" s="19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https://ithandbook.ffiec.gov/media/274841/ffiec_itbooklet_outsourcingtechnologyservices.pdf#Page=18</v>
      </c>
      <c r="AB104" s="244" t="s">
        <v>1235</v>
      </c>
      <c r="AC104" s="244" t="str">
        <f>handbookURLBase&amp;hyperlinkLU[[#This Row],[URL fragment]]</f>
        <v>https://ithandbook.ffiec.gov/it-booklets/outsourcing-technology-services/risk-management/contract-issues/service-level-agreements-(slas).aspx</v>
      </c>
      <c r="AD104" s="244" t="s">
        <v>1234</v>
      </c>
      <c r="AE104" s="244" t="s">
        <v>1110</v>
      </c>
      <c r="AF104" s="244" t="s">
        <v>1233</v>
      </c>
    </row>
    <row r="105" spans="18:32" x14ac:dyDescent="0.25">
      <c r="R105" t="s">
        <v>1048</v>
      </c>
      <c r="S105" s="194">
        <v>101</v>
      </c>
      <c r="T105" s="194" t="str">
        <f>MID(hyperlinkLU[[#This Row],[Reference]],7,FIND(",",hyperlinkLU[[#This Row],[Reference]],8)-7)</f>
        <v>Outsourcing Booklet</v>
      </c>
      <c r="U105" s="194">
        <f>RIGHT(hyperlinkLU[[#This Row],[Reference]],2)*1</f>
        <v>3</v>
      </c>
      <c r="V105" s="194">
        <f>hyperlinkLU[[#This Row],[Page]]+IFERROR(INDEX(FFIECBooklets[Page Offset],MATCH(hyperlinkLU[[#This Row],[Booklet]],FFIECBooklets[Booklet],0)),0)</f>
        <v>6</v>
      </c>
      <c r="W105" s="194"/>
      <c r="X105" s="19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https://ithandbook.ffiec.gov/media/274841/ffiec_itbooklet_outsourcingtechnologyservices.pdf#Page=6</v>
      </c>
      <c r="AB105" s="244" t="s">
        <v>1237</v>
      </c>
      <c r="AC105" s="244" t="str">
        <f>handbookURLBase&amp;hyperlinkLU[[#This Row],[URL fragment]]</f>
        <v>https://ithandbook.ffiec.gov/it-booklets/outsourcing-technology-services/risk-management.aspx</v>
      </c>
      <c r="AD105" s="244" t="s">
        <v>37</v>
      </c>
      <c r="AE105" s="244" t="s">
        <v>1110</v>
      </c>
      <c r="AF105" s="244" t="s">
        <v>1236</v>
      </c>
    </row>
    <row r="106" spans="18:32" x14ac:dyDescent="0.25">
      <c r="R106" t="s">
        <v>1049</v>
      </c>
      <c r="S106" s="194">
        <v>102</v>
      </c>
      <c r="T106" s="194" t="str">
        <f>MID(hyperlinkLU[[#This Row],[Reference]],7,FIND(",",hyperlinkLU[[#This Row],[Reference]],8)-7)</f>
        <v>Information Security Booklet</v>
      </c>
      <c r="U106" s="194">
        <f>RIGHT(hyperlinkLU[[#This Row],[Reference]],2)*1</f>
        <v>86</v>
      </c>
      <c r="V106" s="194">
        <f>hyperlinkLU[[#This Row],[Page]]+IFERROR(INDEX(FFIECBooklets[Page Offset],MATCH(hyperlinkLU[[#This Row],[Booklet]],FFIECBooklets[Booklet],0)),0)</f>
        <v>89</v>
      </c>
      <c r="W106" s="194"/>
      <c r="X106"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https://ithandbook.ffiec.gov/media/274793/ffiec_itbooklet_informationsecurity.pdf#Page=89</v>
      </c>
      <c r="AB106" s="244" t="s">
        <v>1224</v>
      </c>
      <c r="AC106" s="244" t="str">
        <f>handbookURLBase&amp;hyperlinkLU[[#This Row],[URL fragment]]</f>
        <v>https://ithandbook.ffiec.gov/it-booklets/information-security/ii-information-security-program-management/iic-risk-mitigation/iic20-oversight-of-third-party-service-providers.aspx</v>
      </c>
      <c r="AD106" s="244" t="s">
        <v>1223</v>
      </c>
      <c r="AE106" s="244" t="s">
        <v>1110</v>
      </c>
      <c r="AF106" s="244" t="s">
        <v>1229</v>
      </c>
    </row>
    <row r="107" spans="18:32" x14ac:dyDescent="0.25">
      <c r="R107" t="s">
        <v>1043</v>
      </c>
      <c r="S107" s="194">
        <v>103</v>
      </c>
      <c r="T107" s="194" t="str">
        <f>MID(hyperlinkLU[[#This Row],[Reference]],7,FIND(",",hyperlinkLU[[#This Row],[Reference]],8)-7)</f>
        <v>Outsourcing Booklet</v>
      </c>
      <c r="U107" s="194">
        <f>RIGHT(hyperlinkLU[[#This Row],[Reference]],2)*1</f>
        <v>19</v>
      </c>
      <c r="V107" s="194">
        <f>hyperlinkLU[[#This Row],[Page]]+IFERROR(INDEX(FFIECBooklets[Page Offset],MATCH(hyperlinkLU[[#This Row],[Booklet]],FFIECBooklets[Booklet],0)),0)</f>
        <v>22</v>
      </c>
      <c r="W107" s="194"/>
      <c r="X107" s="19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https://ithandbook.ffiec.gov/media/274841/ffiec_itbooklet_outsourcingtechnologyservices.pdf#Page=22</v>
      </c>
      <c r="AB107" s="244" t="s">
        <v>1225</v>
      </c>
      <c r="AC107" s="244" t="str">
        <f>handbookURLBase&amp;hyperlinkLU[[#This Row],[URL fragment]]</f>
        <v>https://ithandbook.ffiec.gov/it-booklets/outsourcing-technology-services/risk-management/ongoing-monitoring.aspx</v>
      </c>
      <c r="AD107" s="244" t="s">
        <v>492</v>
      </c>
      <c r="AE107" s="244" t="s">
        <v>1110</v>
      </c>
      <c r="AF107" s="244" t="s">
        <v>1238</v>
      </c>
    </row>
    <row r="108" spans="18:32" x14ac:dyDescent="0.25">
      <c r="R108" s="194" t="s">
        <v>1051</v>
      </c>
      <c r="S108" s="194">
        <v>104</v>
      </c>
      <c r="T108" s="194" t="str">
        <f>MID(hyperlinkLU[[#This Row],[Reference]],7,FIND(",",hyperlinkLU[[#This Row],[Reference]],8)-7)</f>
        <v>Business Continuity Planning Booklet</v>
      </c>
      <c r="U108" s="194">
        <f>RIGHT(hyperlinkLU[[#This Row],[Reference]],2)*1</f>
        <v>4</v>
      </c>
      <c r="V108" s="194">
        <f>hyperlinkLU[[#This Row],[Page]]+IFERROR(INDEX(FFIECBooklets[Page Offset],MATCH(hyperlinkLU[[#This Row],[Booklet]],FFIECBooklets[Booklet],0)),0)</f>
        <v>7</v>
      </c>
      <c r="W108" s="194"/>
      <c r="X108" s="194"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https://ithandbook.ffiec.gov/media/274725/ffiec_itbooklet_businesscontinuityplanning.pdf#Page=7</v>
      </c>
      <c r="AB108" s="244" t="s">
        <v>1241</v>
      </c>
      <c r="AC108" s="244" t="str">
        <f>handbookURLBase&amp;hyperlinkLU[[#This Row],[URL fragment]]</f>
        <v>https://ithandbook.ffiec.gov/it-booklets/business-continuity-planning/business-continuity-planning-process.aspx</v>
      </c>
      <c r="AD108" s="244" t="s">
        <v>1240</v>
      </c>
      <c r="AE108" s="244" t="s">
        <v>1110</v>
      </c>
      <c r="AF108" s="244" t="s">
        <v>1239</v>
      </c>
    </row>
    <row r="109" spans="18:32" x14ac:dyDescent="0.25">
      <c r="R109" s="194" t="s">
        <v>913</v>
      </c>
      <c r="S109" s="194">
        <v>105</v>
      </c>
      <c r="T109" s="194" t="str">
        <f>MID(hyperlinkLU[[#This Row],[Reference]],7,FIND(",",hyperlinkLU[[#This Row],[Reference]],8)-7)</f>
        <v>Information Security Booklet</v>
      </c>
      <c r="U109" s="194">
        <f>RIGHT(hyperlinkLU[[#This Row],[Reference]],2)*1</f>
        <v>83</v>
      </c>
      <c r="V109" s="194">
        <f>hyperlinkLU[[#This Row],[Page]]+IFERROR(INDEX(FFIECBooklets[Page Offset],MATCH(hyperlinkLU[[#This Row],[Booklet]],FFIECBooklets[Booklet],0)),0)</f>
        <v>86</v>
      </c>
      <c r="W109" s="194"/>
      <c r="X109"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AB109" s="244" t="s">
        <v>1190</v>
      </c>
      <c r="AC109" s="244" t="str">
        <f>handbookURLBase&amp;hyperlinkLU[[#This Row],[URL fragment]]</f>
        <v>https://ithandbook.ffiec.gov/it-booklets/information-security/iii-security-operations.aspx</v>
      </c>
      <c r="AD109" s="244" t="s">
        <v>1136</v>
      </c>
      <c r="AE109" s="244" t="s">
        <v>1110</v>
      </c>
      <c r="AF109" s="244" t="s">
        <v>1242</v>
      </c>
    </row>
    <row r="110" spans="18:32" x14ac:dyDescent="0.25">
      <c r="R110" s="194" t="s">
        <v>1003</v>
      </c>
      <c r="S110" s="194">
        <v>106</v>
      </c>
      <c r="T110" s="194" t="str">
        <f>MID(hyperlinkLU[[#This Row],[Reference]],7,FIND(",",hyperlinkLU[[#This Row],[Reference]],8)-7)</f>
        <v>Information Security Booklet</v>
      </c>
      <c r="U110" s="194">
        <f>RIGHT(hyperlinkLU[[#This Row],[Reference]],2)*1</f>
        <v>84</v>
      </c>
      <c r="V110" s="194">
        <f>hyperlinkLU[[#This Row],[Page]]+IFERROR(INDEX(FFIECBooklets[Page Offset],MATCH(hyperlinkLU[[#This Row],[Booklet]],FFIECBooklets[Booklet],0)),0)</f>
        <v>87</v>
      </c>
      <c r="W110" s="194"/>
      <c r="X11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10" s="244" t="s">
        <v>1005</v>
      </c>
      <c r="AC110" s="244" t="str">
        <f>handbookURLBase&amp;hyperlinkLU[[#This Row],[URL fragment]]</f>
        <v>https://ithandbook.ffiec.gov/it-booklets/information-security/iii-security-operations/iiid-incident-response.aspx</v>
      </c>
      <c r="AD110" s="244" t="s">
        <v>1142</v>
      </c>
      <c r="AE110" s="244" t="s">
        <v>1110</v>
      </c>
      <c r="AF110" s="244" t="s">
        <v>1243</v>
      </c>
    </row>
    <row r="111" spans="18:32" x14ac:dyDescent="0.25">
      <c r="R111" s="194" t="s">
        <v>1003</v>
      </c>
      <c r="S111" s="194">
        <v>107</v>
      </c>
      <c r="T111" s="194" t="str">
        <f>MID(hyperlinkLU[[#This Row],[Reference]],7,FIND(",",hyperlinkLU[[#This Row],[Reference]],8)-7)</f>
        <v>Information Security Booklet</v>
      </c>
      <c r="U111" s="194">
        <f>RIGHT(hyperlinkLU[[#This Row],[Reference]],2)*1</f>
        <v>84</v>
      </c>
      <c r="V111" s="194">
        <f>hyperlinkLU[[#This Row],[Page]]+IFERROR(INDEX(FFIECBooklets[Page Offset],MATCH(hyperlinkLU[[#This Row],[Booklet]],FFIECBooklets[Booklet],0)),0)</f>
        <v>87</v>
      </c>
      <c r="W111" s="194"/>
      <c r="X11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11" s="244" t="s">
        <v>1005</v>
      </c>
      <c r="AC111" s="244" t="str">
        <f>handbookURLBase&amp;hyperlinkLU[[#This Row],[URL fragment]]</f>
        <v>https://ithandbook.ffiec.gov/it-booklets/information-security/iii-security-operations/iiid-incident-response.aspx</v>
      </c>
      <c r="AD111" s="244" t="s">
        <v>1142</v>
      </c>
      <c r="AE111" s="244" t="s">
        <v>1110</v>
      </c>
      <c r="AF111" s="244" t="s">
        <v>1244</v>
      </c>
    </row>
    <row r="112" spans="18:32" x14ac:dyDescent="0.25">
      <c r="R112" s="194" t="s">
        <v>1052</v>
      </c>
      <c r="S112" s="194">
        <v>108</v>
      </c>
      <c r="T112" s="194" t="str">
        <f>MID(hyperlinkLU[[#This Row],[Reference]],7,FIND(",",hyperlinkLU[[#This Row],[Reference]],8)-7)</f>
        <v>Business Continuity Planning Booklet</v>
      </c>
      <c r="U112" s="194">
        <f>RIGHT(hyperlinkLU[[#This Row],[Reference]],2)*1</f>
        <v>4</v>
      </c>
      <c r="V112" s="194">
        <f>hyperlinkLU[[#This Row],[Page]]+IFERROR(INDEX(FFIECBooklets[Page Offset],MATCH(hyperlinkLU[[#This Row],[Booklet]],FFIECBooklets[Booklet],0)),0)</f>
        <v>7</v>
      </c>
      <c r="W112" s="194"/>
      <c r="X112" s="194"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https://ithandbook.ffiec.gov/media/274725/ffiec_itbooklet_businesscontinuityplanning.pdf#Page=7</v>
      </c>
      <c r="AB112" s="244" t="s">
        <v>1241</v>
      </c>
      <c r="AC112" s="244" t="str">
        <f>handbookURLBase&amp;hyperlinkLU[[#This Row],[URL fragment]]</f>
        <v>https://ithandbook.ffiec.gov/it-booklets/business-continuity-planning/business-continuity-planning-process.aspx</v>
      </c>
      <c r="AD112" s="244" t="s">
        <v>1240</v>
      </c>
      <c r="AE112" s="244" t="s">
        <v>1110</v>
      </c>
      <c r="AF112" s="244" t="s">
        <v>1239</v>
      </c>
    </row>
    <row r="113" spans="18:32" x14ac:dyDescent="0.25">
      <c r="R113" s="194" t="s">
        <v>1050</v>
      </c>
      <c r="S113" s="194">
        <v>109</v>
      </c>
      <c r="T113" s="194" t="str">
        <f>MID(hyperlinkLU[[#This Row],[Reference]],7,FIND(",",hyperlinkLU[[#This Row],[Reference]],8)-7)</f>
        <v>Information Security Booklet</v>
      </c>
      <c r="U113" s="194">
        <f>RIGHT(hyperlinkLU[[#This Row],[Reference]],2)*1</f>
        <v>71</v>
      </c>
      <c r="V113" s="194">
        <f>hyperlinkLU[[#This Row],[Page]]+IFERROR(INDEX(FFIECBooklets[Page Offset],MATCH(hyperlinkLU[[#This Row],[Booklet]],FFIECBooklets[Booklet],0)),0)</f>
        <v>74</v>
      </c>
      <c r="W113" s="194"/>
      <c r="X113"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https://ithandbook.ffiec.gov/media/274793/ffiec_itbooklet_informationsecurity.pdf#Page=74</v>
      </c>
      <c r="AB113" s="244" t="s">
        <v>1116</v>
      </c>
      <c r="AC113" s="244" t="str">
        <f>handbookURLBase&amp;hyperlinkLU[[#This Row],[URL fragment]]</f>
        <v>https://ithandbook.ffiec.gov/it-booklets/information-security/ii-information-security-program-management/iic-risk-mitigation/iic21-business-continuity-considerations.aspx</v>
      </c>
      <c r="AD113" s="244" t="s">
        <v>1125</v>
      </c>
      <c r="AE113" s="244" t="s">
        <v>1110</v>
      </c>
      <c r="AF113" s="244" t="s">
        <v>1245</v>
      </c>
    </row>
    <row r="114" spans="18:32" x14ac:dyDescent="0.25">
      <c r="R114" t="s">
        <v>1050</v>
      </c>
      <c r="S114" s="194">
        <v>110</v>
      </c>
      <c r="T114" s="194" t="str">
        <f>MID(hyperlinkLU[[#This Row],[Reference]],7,FIND(",",hyperlinkLU[[#This Row],[Reference]],8)-7)</f>
        <v>Information Security Booklet</v>
      </c>
      <c r="U114" s="194">
        <f>RIGHT(hyperlinkLU[[#This Row],[Reference]],2)*1</f>
        <v>71</v>
      </c>
      <c r="V114" s="194">
        <f>hyperlinkLU[[#This Row],[Page]]+IFERROR(INDEX(FFIECBooklets[Page Offset],MATCH(hyperlinkLU[[#This Row],[Booklet]],FFIECBooklets[Booklet],0)),0)</f>
        <v>74</v>
      </c>
      <c r="W114" s="194"/>
      <c r="X114"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https://ithandbook.ffiec.gov/media/274793/ffiec_itbooklet_informationsecurity.pdf#Page=74</v>
      </c>
      <c r="AB114" s="244" t="s">
        <v>1116</v>
      </c>
      <c r="AC114" s="244" t="str">
        <f>handbookURLBase&amp;hyperlinkLU[[#This Row],[URL fragment]]</f>
        <v>https://ithandbook.ffiec.gov/it-booklets/information-security/ii-information-security-program-management/iic-risk-mitigation/iic21-business-continuity-considerations.aspx</v>
      </c>
      <c r="AD114" s="244" t="s">
        <v>1125</v>
      </c>
      <c r="AE114" s="244" t="s">
        <v>1110</v>
      </c>
      <c r="AF114" s="244" t="s">
        <v>1245</v>
      </c>
    </row>
    <row r="115" spans="18:32" x14ac:dyDescent="0.25">
      <c r="R115" t="s">
        <v>1053</v>
      </c>
      <c r="S115" s="194">
        <v>111</v>
      </c>
      <c r="T115" s="194" t="str">
        <f>MID(hyperlinkLU[[#This Row],[Reference]],7,FIND(",",hyperlinkLU[[#This Row],[Reference]],8)-7)</f>
        <v>Business Continuity Planning Booklet</v>
      </c>
      <c r="U115" s="194">
        <v>122</v>
      </c>
      <c r="V115" s="194">
        <f>hyperlinkLU[[#This Row],[Page]]+IFERROR(INDEX(FFIECBooklets[Page Offset],MATCH(hyperlinkLU[[#This Row],[Booklet]],FFIECBooklets[Booklet],0)),0)</f>
        <v>125</v>
      </c>
      <c r="W115" s="194"/>
      <c r="X115" s="194"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https://ithandbook.ffiec.gov/media/274725/ffiec_itbooklet_businesscontinuityplanning.pdf#Page=125</v>
      </c>
      <c r="AB115" s="244" t="s">
        <v>905</v>
      </c>
      <c r="AC115" s="244" t="str">
        <f>handbookURLBase&amp;hyperlinkLU[[#This Row],[URL fragment]]</f>
        <v>https://ithandbook.ffiec.gov/it-booklets/business-continuity-planning/appendix-j-strengthening-the-resilience-of-outsourced-technology-services.aspx</v>
      </c>
      <c r="AD115" s="244" t="s">
        <v>1248</v>
      </c>
      <c r="AE115" s="244" t="s">
        <v>1110</v>
      </c>
      <c r="AF115" s="244" t="s">
        <v>1246</v>
      </c>
    </row>
    <row r="116" spans="18:32" x14ac:dyDescent="0.25">
      <c r="R116" t="s">
        <v>1054</v>
      </c>
      <c r="S116" s="194">
        <v>112</v>
      </c>
      <c r="T116" s="194" t="str">
        <f>MID(hyperlinkLU[[#This Row],[Reference]],7,FIND(",",hyperlinkLU[[#This Row],[Reference]],8)-7)</f>
        <v>Business Continuity Planning Booklet</v>
      </c>
      <c r="U116" s="194">
        <v>123</v>
      </c>
      <c r="V116" s="194">
        <f>hyperlinkLU[[#This Row],[Page]]+IFERROR(INDEX(FFIECBooklets[Page Offset],MATCH(hyperlinkLU[[#This Row],[Booklet]],FFIECBooklets[Booklet],0)),0)</f>
        <v>126</v>
      </c>
      <c r="W116" s="194"/>
      <c r="X116" s="194"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https://ithandbook.ffiec.gov/media/274725/ffiec_itbooklet_businesscontinuityplanning.pdf#Page=126</v>
      </c>
      <c r="AB116" s="244" t="s">
        <v>905</v>
      </c>
      <c r="AC116" s="244" t="str">
        <f>handbookURLBase&amp;hyperlinkLU[[#This Row],[URL fragment]]</f>
        <v>https://ithandbook.ffiec.gov/it-booklets/business-continuity-planning/appendix-j-strengthening-the-resilience-of-outsourced-technology-services.aspx</v>
      </c>
      <c r="AD116" s="244" t="s">
        <v>1248</v>
      </c>
      <c r="AE116" s="244" t="s">
        <v>1110</v>
      </c>
      <c r="AF116" s="244" t="s">
        <v>1247</v>
      </c>
    </row>
    <row r="117" spans="18:32" x14ac:dyDescent="0.25">
      <c r="R117" t="s">
        <v>1055</v>
      </c>
      <c r="S117" s="194">
        <v>113</v>
      </c>
      <c r="T117" s="194" t="str">
        <f>MID(hyperlinkLU[[#This Row],[Reference]],7,FIND(",",hyperlinkLU[[#This Row],[Reference]],8)-7)</f>
        <v>Information Security Booklet</v>
      </c>
      <c r="U117" s="194">
        <f>RIGHT(hyperlinkLU[[#This Row],[Reference]],2)*1</f>
        <v>43</v>
      </c>
      <c r="V117" s="194">
        <f>hyperlinkLU[[#This Row],[Page]]+IFERROR(INDEX(FFIECBooklets[Page Offset],MATCH(hyperlinkLU[[#This Row],[Booklet]],FFIECBooklets[Booklet],0)),0)</f>
        <v>46</v>
      </c>
      <c r="W117" s="194"/>
      <c r="X117"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https://ithandbook.ffiec.gov/media/274793/ffiec_itbooklet_informationsecurity.pdf#Page=46</v>
      </c>
      <c r="AB117" s="244" t="s">
        <v>1155</v>
      </c>
      <c r="AC117" s="244" t="str">
        <f>handbookURLBase&amp;hyperlinkLU[[#This Row],[URL fragment]]</f>
        <v>https://ithandbook.ffiec.gov/it-booklets/information-security/ii-information-security-program-management/iic-risk-mitigation/iic15-logical-security/iic15(a)-operating-system-access.aspx</v>
      </c>
      <c r="AD117" s="244" t="s">
        <v>1154</v>
      </c>
      <c r="AE117" s="244" t="s">
        <v>1110</v>
      </c>
      <c r="AF117" s="244" t="s">
        <v>1249</v>
      </c>
    </row>
    <row r="118" spans="18:32" x14ac:dyDescent="0.25">
      <c r="R118" t="s">
        <v>1049</v>
      </c>
      <c r="S118" s="194">
        <v>114</v>
      </c>
      <c r="T118" s="194" t="str">
        <f>MID(hyperlinkLU[[#This Row],[Reference]],7,FIND(",",hyperlinkLU[[#This Row],[Reference]],8)-7)</f>
        <v>Information Security Booklet</v>
      </c>
      <c r="U118" s="194">
        <f>RIGHT(hyperlinkLU[[#This Row],[Reference]],2)*1</f>
        <v>86</v>
      </c>
      <c r="V118" s="194">
        <f>hyperlinkLU[[#This Row],[Page]]+IFERROR(INDEX(FFIECBooklets[Page Offset],MATCH(hyperlinkLU[[#This Row],[Booklet]],FFIECBooklets[Booklet],0)),0)</f>
        <v>89</v>
      </c>
      <c r="W118" s="194"/>
      <c r="X118"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https://ithandbook.ffiec.gov/media/274793/ffiec_itbooklet_informationsecurity.pdf#Page=89</v>
      </c>
      <c r="AB118" s="244" t="s">
        <v>1140</v>
      </c>
      <c r="AC118" s="244" t="str">
        <f>handbookURLBase&amp;hyperlinkLU[[#This Row],[URL fragment]]</f>
        <v>https://ithandbook.ffiec.gov/it-booklets/information-security/ii-information-security-program-management/iid-risk-monitoring-and-reporting.aspx</v>
      </c>
      <c r="AD118" s="244" t="s">
        <v>1139</v>
      </c>
      <c r="AE118" s="244" t="s">
        <v>1110</v>
      </c>
      <c r="AF118" s="244" t="s">
        <v>1250</v>
      </c>
    </row>
    <row r="119" spans="18:32" x14ac:dyDescent="0.25">
      <c r="R119" t="s">
        <v>1003</v>
      </c>
      <c r="S119" s="194">
        <v>115</v>
      </c>
      <c r="T119" s="194" t="str">
        <f>MID(hyperlinkLU[[#This Row],[Reference]],7,FIND(",",hyperlinkLU[[#This Row],[Reference]],8)-7)</f>
        <v>Information Security Booklet</v>
      </c>
      <c r="U119" s="194">
        <f>RIGHT(hyperlinkLU[[#This Row],[Reference]],2)*1</f>
        <v>84</v>
      </c>
      <c r="V119" s="194">
        <f>hyperlinkLU[[#This Row],[Page]]+IFERROR(INDEX(FFIECBooklets[Page Offset],MATCH(hyperlinkLU[[#This Row],[Booklet]],FFIECBooklets[Booklet],0)),0)</f>
        <v>87</v>
      </c>
      <c r="W119" s="194"/>
      <c r="X119"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19" s="244" t="s">
        <v>1005</v>
      </c>
      <c r="AC119" s="244" t="str">
        <f>handbookURLBase&amp;hyperlinkLU[[#This Row],[URL fragment]]</f>
        <v>https://ithandbook.ffiec.gov/it-booklets/information-security/iii-security-operations/iiid-incident-response.aspx</v>
      </c>
      <c r="AD119" s="244" t="s">
        <v>1142</v>
      </c>
      <c r="AE119" s="244" t="s">
        <v>1110</v>
      </c>
      <c r="AF119" s="244" t="s">
        <v>1251</v>
      </c>
    </row>
    <row r="120" spans="18:32" x14ac:dyDescent="0.25">
      <c r="R120" s="194" t="s">
        <v>1003</v>
      </c>
      <c r="S120" s="176">
        <v>116</v>
      </c>
      <c r="T120" s="194" t="str">
        <f>MID(hyperlinkLU[[#This Row],[Reference]],7,FIND(",",hyperlinkLU[[#This Row],[Reference]],8)-7)</f>
        <v>Information Security Booklet</v>
      </c>
      <c r="U120" s="194">
        <f>RIGHT(hyperlinkLU[[#This Row],[Reference]],2)*1</f>
        <v>84</v>
      </c>
      <c r="V120" s="194">
        <f>hyperlinkLU[[#This Row],[Page]]+IFERROR(INDEX(FFIECBooklets[Page Offset],MATCH(hyperlinkLU[[#This Row],[Booklet]],FFIECBooklets[Booklet],0)),0)</f>
        <v>87</v>
      </c>
      <c r="W120" s="194"/>
      <c r="X120"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20" s="244" t="s">
        <v>1005</v>
      </c>
      <c r="AC120" s="244" t="str">
        <f>handbookURLBase&amp;hyperlinkLU[[#This Row],[URL fragment]]</f>
        <v>https://ithandbook.ffiec.gov/it-booklets/information-security/iii-security-operations/iiid-incident-response.aspx</v>
      </c>
      <c r="AD120" s="244" t="s">
        <v>1142</v>
      </c>
      <c r="AE120" s="244" t="s">
        <v>1110</v>
      </c>
      <c r="AF120" s="244" t="s">
        <v>1244</v>
      </c>
    </row>
    <row r="121" spans="18:32" x14ac:dyDescent="0.25">
      <c r="R121" t="s">
        <v>913</v>
      </c>
      <c r="S121" s="194">
        <v>117</v>
      </c>
      <c r="T121" s="194" t="str">
        <f>MID(hyperlinkLU[[#This Row],[Reference]],7,FIND(",",hyperlinkLU[[#This Row],[Reference]],8)-7)</f>
        <v>Information Security Booklet</v>
      </c>
      <c r="U121" s="194">
        <f>RIGHT(hyperlinkLU[[#This Row],[Reference]],2)*1</f>
        <v>83</v>
      </c>
      <c r="V121" s="194">
        <f>hyperlinkLU[[#This Row],[Page]]+IFERROR(INDEX(FFIECBooklets[Page Offset],MATCH(hyperlinkLU[[#This Row],[Booklet]],FFIECBooklets[Booklet],0)),0)</f>
        <v>86</v>
      </c>
      <c r="W121" s="194"/>
      <c r="X121"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AB121" s="244" t="s">
        <v>1200</v>
      </c>
      <c r="AC121" s="244" t="str">
        <f>handbookURLBase&amp;hyperlinkLU[[#This Row],[URL fragment]]</f>
        <v>https://ithandbook.ffiec.gov/it-booklets/information-security/iii-security-operations/iiic-incident-identification-and-assessment.aspx</v>
      </c>
      <c r="AD121" s="244" t="s">
        <v>1199</v>
      </c>
      <c r="AE121" s="244" t="s">
        <v>1110</v>
      </c>
      <c r="AF121" s="244" t="s">
        <v>1252</v>
      </c>
    </row>
    <row r="122" spans="18:32" x14ac:dyDescent="0.25">
      <c r="R122" t="s">
        <v>1003</v>
      </c>
      <c r="S122" s="194">
        <v>118</v>
      </c>
      <c r="T122" s="194" t="str">
        <f>MID(hyperlinkLU[[#This Row],[Reference]],7,FIND(",",hyperlinkLU[[#This Row],[Reference]],8)-7)</f>
        <v>Information Security Booklet</v>
      </c>
      <c r="U122" s="194">
        <f>RIGHT(hyperlinkLU[[#This Row],[Reference]],2)*1</f>
        <v>84</v>
      </c>
      <c r="V122" s="194">
        <f>hyperlinkLU[[#This Row],[Page]]+IFERROR(INDEX(FFIECBooklets[Page Offset],MATCH(hyperlinkLU[[#This Row],[Booklet]],FFIECBooklets[Booklet],0)),0)</f>
        <v>87</v>
      </c>
      <c r="W122" s="194"/>
      <c r="X122"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22" s="244" t="s">
        <v>1005</v>
      </c>
      <c r="AC122" s="244" t="str">
        <f>handbookURLBase&amp;hyperlinkLU[[#This Row],[URL fragment]]</f>
        <v>https://ithandbook.ffiec.gov/it-booklets/information-security/iii-security-operations/iiid-incident-response.aspx</v>
      </c>
      <c r="AD122" s="244" t="s">
        <v>1142</v>
      </c>
      <c r="AE122" s="244" t="s">
        <v>1110</v>
      </c>
      <c r="AF122" s="244" t="s">
        <v>1243</v>
      </c>
    </row>
    <row r="123" spans="18:32" x14ac:dyDescent="0.25">
      <c r="R123" t="s">
        <v>902</v>
      </c>
      <c r="S123" s="194">
        <v>119</v>
      </c>
      <c r="T123" s="194" t="str">
        <f>MID(hyperlinkLU[[#This Row],[Reference]],7,FIND(",",hyperlinkLU[[#This Row],[Reference]],8)-7)</f>
        <v>Information Security Booklet</v>
      </c>
      <c r="U123" s="194">
        <f>RIGHT(hyperlinkLU[[#This Row],[Reference]],2)*1</f>
        <v>5</v>
      </c>
      <c r="V123" s="194">
        <f>hyperlinkLU[[#This Row],[Page]]+IFERROR(INDEX(FFIECBooklets[Page Offset],MATCH(hyperlinkLU[[#This Row],[Booklet]],FFIECBooklets[Booklet],0)),0)</f>
        <v>8</v>
      </c>
      <c r="W123" s="194"/>
      <c r="X123" s="1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v>
      </c>
      <c r="AB123" t="s">
        <v>901</v>
      </c>
      <c r="AC123" s="244" t="str">
        <f>handbookURLBase&amp;hyperlinkLU[[#This Row],[URL fragment]]</f>
        <v>https://ithandbook.ffiec.gov/it-booklets/information-security/i-governance-of-the-information-security-program/ib-responsibility-and-accountability.aspx</v>
      </c>
      <c r="AD123" s="244" t="s">
        <v>1128</v>
      </c>
      <c r="AE123" s="244" t="s">
        <v>1110</v>
      </c>
      <c r="AF123" s="244" t="s">
        <v>1253</v>
      </c>
    </row>
    <row r="124" spans="18:32" x14ac:dyDescent="0.25">
      <c r="R124" t="s">
        <v>1056</v>
      </c>
      <c r="S124" s="194">
        <v>120</v>
      </c>
      <c r="T124" s="194" t="str">
        <f>MID(hyperlinkLU[[#This Row],[Reference]],7,FIND(",",hyperlinkLU[[#This Row],[Reference]],8)-7)</f>
        <v>Operations Booklet</v>
      </c>
      <c r="U124" s="194">
        <f>RIGHT(hyperlinkLU[[#This Row],[Reference]],2)*1</f>
        <v>28</v>
      </c>
      <c r="V124" s="194">
        <f>hyperlinkLU[[#This Row],[Page]]+IFERROR(INDEX(FFIECBooklets[Page Offset],MATCH(hyperlinkLU[[#This Row],[Booklet]],FFIECBooklets[Booklet],0)),0)</f>
        <v>31</v>
      </c>
      <c r="W124" s="194"/>
      <c r="X124" s="194" t="str">
        <f>IFERROR(INDEX(FFIECBooklets[Booklet URL],MATCH(hyperlinkLU[[#This Row],[Booklet]],FFIECBooklets[Booklet],0))&amp;IF(LEN(hyperlinkLU[[#This Row],[Physical Page]])&gt;0,"#Page="&amp;TEXT(hyperlinkLU[[#This Row],[Physical Page]],0),""),defaultHandbookURL)</f>
        <v>https://ithandbook.ffiec.gov/media/274825/ffiec_itbooklet_operations.pdf#Page=31</v>
      </c>
      <c r="AB124" s="244" t="s">
        <v>1118</v>
      </c>
      <c r="AC124" s="244" t="str">
        <f>handbookURLBase&amp;hyperlinkLU[[#This Row],[URL fragment]]</f>
        <v>https://ithandbook.ffiec.gov/it-booklets/operations/risk-mitigation-and-control-implementation/eventproblem-management.aspx</v>
      </c>
      <c r="AD124" s="244" t="s">
        <v>1255</v>
      </c>
      <c r="AE124" s="244" t="s">
        <v>1110</v>
      </c>
      <c r="AF124" s="244" t="s">
        <v>1254</v>
      </c>
    </row>
  </sheetData>
  <sortState xmlns:xlrd2="http://schemas.microsoft.com/office/spreadsheetml/2017/richdata2" ref="AG4:AG6">
    <sortCondition ref="AG3"/>
  </sortState>
  <mergeCells count="2">
    <mergeCell ref="M3:N3"/>
    <mergeCell ref="R2:AD2"/>
  </mergeCells>
  <hyperlinks>
    <hyperlink ref="X1" r:id="rId1" xr:uid="{00000000-0004-0000-1600-000000000000}"/>
  </hyperlinks>
  <pageMargins left="0.7" right="0.7" top="0.75" bottom="0.75" header="0.3" footer="0.3"/>
  <pageSetup orientation="portrait" horizontalDpi="1200" verticalDpi="1200"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6"/>
    <pageSetUpPr fitToPage="1"/>
  </sheetPr>
  <dimension ref="A1:T29"/>
  <sheetViews>
    <sheetView zoomScaleNormal="100" workbookViewId="0">
      <pane ySplit="3" topLeftCell="A4" activePane="bottomLeft" state="frozen"/>
      <selection pane="bottomLeft" activeCell="I15" sqref="I15"/>
    </sheetView>
  </sheetViews>
  <sheetFormatPr defaultColWidth="8.85546875" defaultRowHeight="15" x14ac:dyDescent="0.25"/>
  <cols>
    <col min="1" max="1" width="2.42578125" style="10" customWidth="1"/>
    <col min="2" max="2" width="8.85546875" style="10"/>
    <col min="3" max="8" width="20.7109375" style="10" customWidth="1"/>
    <col min="9" max="9" width="11.28515625" style="10" customWidth="1"/>
    <col min="10" max="10" width="8.85546875" style="10"/>
    <col min="11" max="20" width="9.140625" style="10" hidden="1" customWidth="1"/>
    <col min="21" max="22" width="8.85546875" style="10"/>
    <col min="23" max="23" width="17" style="10" customWidth="1"/>
    <col min="24" max="16384" width="8.85546875" style="10"/>
  </cols>
  <sheetData>
    <row r="1" spans="1:20" s="112" customFormat="1" ht="20.100000000000001" customHeight="1" x14ac:dyDescent="0.25">
      <c r="A1" s="6" t="str">
        <f>HYPERLINK(websiteHTTP&amp;webSiteURL,"Watkins Consulting")</f>
        <v>Watkins Consulting</v>
      </c>
      <c r="B1" s="132"/>
      <c r="C1" s="132"/>
      <c r="D1" s="132"/>
      <c r="E1" s="133" t="str">
        <f>IF(firmName&gt;0,firmName,"")</f>
        <v/>
      </c>
      <c r="F1" s="132"/>
      <c r="G1" s="132"/>
      <c r="H1" s="8" t="str">
        <f>HYPERLINK(websiteHTTP&amp;webSiteURL&amp;userManualrURL,"User Manual")</f>
        <v>User Manual</v>
      </c>
    </row>
    <row r="2" spans="1:20" s="112" customFormat="1" ht="20.100000000000001" customHeight="1" x14ac:dyDescent="0.25">
      <c r="A2" s="256" t="str">
        <f ca="1">workbookVersionLabel</f>
        <v xml:space="preserve"> Excel Workbook Version: 3.4.2</v>
      </c>
      <c r="B2" s="132"/>
      <c r="C2" s="132"/>
      <c r="D2" s="132"/>
      <c r="E2" s="133" t="str">
        <f>Information</f>
        <v>FFIEC Cybersecurity Assessment Tool (May 2017)</v>
      </c>
      <c r="F2" s="133"/>
      <c r="G2" s="132"/>
      <c r="H2" s="8" t="s">
        <v>1094</v>
      </c>
    </row>
    <row r="3" spans="1:20" s="112" customFormat="1" ht="20.100000000000001" customHeight="1" thickBot="1" x14ac:dyDescent="0.3">
      <c r="A3" s="139" t="str">
        <f ca="1">MID(CELL("filename",A1),FIND("]",CELL("filename",A1))+1,256)</f>
        <v>Risk-Maturity Summary</v>
      </c>
      <c r="B3" s="140"/>
      <c r="C3" s="140"/>
      <c r="D3" s="140"/>
      <c r="E3" s="142" t="str">
        <f>IF(assessmentDate&gt;0,assessmentDate,"")</f>
        <v/>
      </c>
      <c r="F3" s="140"/>
      <c r="G3" s="140"/>
      <c r="H3" s="155" t="s">
        <v>620</v>
      </c>
    </row>
    <row r="4" spans="1:20" ht="19.5" customHeight="1" thickTop="1" x14ac:dyDescent="0.3">
      <c r="A4" s="32"/>
      <c r="D4" s="33"/>
      <c r="G4" s="11"/>
      <c r="H4" s="11"/>
      <c r="I4" s="11"/>
    </row>
    <row r="5" spans="1:20" ht="20.25" thickBot="1" x14ac:dyDescent="0.35">
      <c r="B5" s="351" t="s">
        <v>615</v>
      </c>
      <c r="C5" s="351"/>
      <c r="D5" s="351"/>
      <c r="E5" s="351"/>
      <c r="F5" s="351"/>
      <c r="G5" s="351"/>
      <c r="H5" s="351"/>
    </row>
    <row r="6" spans="1:20" ht="45" customHeight="1" thickTop="1" x14ac:dyDescent="0.25">
      <c r="B6" s="353" t="s">
        <v>624</v>
      </c>
      <c r="C6" s="354"/>
      <c r="D6" s="357" t="s">
        <v>212</v>
      </c>
      <c r="E6" s="357"/>
      <c r="F6" s="357"/>
      <c r="G6" s="357"/>
      <c r="H6" s="357"/>
      <c r="K6" s="10">
        <v>1</v>
      </c>
      <c r="L6" s="10">
        <v>2</v>
      </c>
      <c r="M6" s="10">
        <v>3</v>
      </c>
      <c r="N6" s="10">
        <v>4</v>
      </c>
      <c r="O6" s="10">
        <v>5</v>
      </c>
      <c r="P6" s="10">
        <v>1</v>
      </c>
      <c r="Q6" s="10">
        <v>2</v>
      </c>
      <c r="R6" s="10">
        <v>3</v>
      </c>
      <c r="S6" s="10">
        <v>4</v>
      </c>
      <c r="T6" s="10">
        <v>5</v>
      </c>
    </row>
    <row r="7" spans="1:20" ht="21.95" customHeight="1" x14ac:dyDescent="0.25">
      <c r="B7" s="355"/>
      <c r="C7" s="356"/>
      <c r="D7" s="34" t="s">
        <v>1</v>
      </c>
      <c r="E7" s="34" t="s">
        <v>2</v>
      </c>
      <c r="F7" s="34" t="s">
        <v>3</v>
      </c>
      <c r="G7" s="34" t="s">
        <v>4</v>
      </c>
      <c r="H7" s="34" t="s">
        <v>5</v>
      </c>
    </row>
    <row r="8" spans="1:20" ht="45" customHeight="1" x14ac:dyDescent="0.25">
      <c r="B8" s="352" t="s">
        <v>211</v>
      </c>
      <c r="C8" s="34" t="s">
        <v>31</v>
      </c>
      <c r="D8" s="35" t="str">
        <f t="shared" ref="D8:H12" si="0">IF(inherentRisk=D$7,$T8,"")</f>
        <v/>
      </c>
      <c r="E8" s="35" t="str">
        <f t="shared" si="0"/>
        <v/>
      </c>
      <c r="F8" s="35" t="str">
        <f t="shared" si="0"/>
        <v/>
      </c>
      <c r="G8" s="36" t="str">
        <f t="shared" si="0"/>
        <v/>
      </c>
      <c r="H8" s="36" t="str">
        <f t="shared" si="0"/>
        <v/>
      </c>
      <c r="K8" s="10" t="str">
        <f>IF(domain1Maturity=$C8,domain1Display,"")</f>
        <v/>
      </c>
      <c r="L8" s="10" t="str">
        <f>IF(domain2Maturity=$C8,domain2Display,"")</f>
        <v/>
      </c>
      <c r="M8" s="10" t="str">
        <f>IF(domain3Maturity=$C8,domain3Display,"")</f>
        <v/>
      </c>
      <c r="N8" s="10" t="str">
        <f>IF(domain4Maturity=$C8,domain4Display,"")</f>
        <v/>
      </c>
      <c r="O8" s="10" t="str">
        <f>IF(domain5Maturity=$C8,domain5Display,"")</f>
        <v/>
      </c>
      <c r="P8" s="10" t="str">
        <f>K8</f>
        <v/>
      </c>
      <c r="Q8" s="10" t="str">
        <f t="shared" ref="Q8:T12" si="1">IF(LEN(L8)&gt;0,IF(LEN(P8)&gt;0,CONCATENATE(P8,", ",L8),L8),P8)</f>
        <v/>
      </c>
      <c r="R8" s="10" t="str">
        <f t="shared" si="1"/>
        <v/>
      </c>
      <c r="S8" s="10" t="str">
        <f t="shared" si="1"/>
        <v/>
      </c>
      <c r="T8" s="10" t="str">
        <f t="shared" si="1"/>
        <v/>
      </c>
    </row>
    <row r="9" spans="1:20" ht="45" customHeight="1" x14ac:dyDescent="0.25">
      <c r="B9" s="352"/>
      <c r="C9" s="34" t="s">
        <v>30</v>
      </c>
      <c r="D9" s="35" t="str">
        <f t="shared" si="0"/>
        <v/>
      </c>
      <c r="E9" s="35" t="str">
        <f t="shared" si="0"/>
        <v/>
      </c>
      <c r="F9" s="36" t="str">
        <f t="shared" si="0"/>
        <v/>
      </c>
      <c r="G9" s="36" t="str">
        <f t="shared" si="0"/>
        <v/>
      </c>
      <c r="H9" s="36" t="str">
        <f t="shared" si="0"/>
        <v/>
      </c>
      <c r="K9" s="10" t="str">
        <f>IF(domain1Maturity=$C9,domain1Display,"")</f>
        <v/>
      </c>
      <c r="L9" s="10" t="str">
        <f>IF(domain2Maturity=$C9,domain2Display,"")</f>
        <v/>
      </c>
      <c r="M9" s="10" t="str">
        <f>IF(domain3Maturity=$C9,domain3Display,"")</f>
        <v/>
      </c>
      <c r="N9" s="10" t="str">
        <f>IF(domain4Maturity=$C9,domain4Display,"")</f>
        <v/>
      </c>
      <c r="O9" s="10" t="str">
        <f>IF(domain5Maturity=$C9,domain5Display,"")</f>
        <v/>
      </c>
      <c r="P9" s="10" t="str">
        <f>K9</f>
        <v/>
      </c>
      <c r="Q9" s="10" t="str">
        <f t="shared" si="1"/>
        <v/>
      </c>
      <c r="R9" s="10" t="str">
        <f t="shared" si="1"/>
        <v/>
      </c>
      <c r="S9" s="10" t="str">
        <f t="shared" si="1"/>
        <v/>
      </c>
      <c r="T9" s="10" t="str">
        <f t="shared" si="1"/>
        <v/>
      </c>
    </row>
    <row r="10" spans="1:20" ht="45" customHeight="1" x14ac:dyDescent="0.25">
      <c r="B10" s="352"/>
      <c r="C10" s="34" t="s">
        <v>29</v>
      </c>
      <c r="D10" s="35" t="str">
        <f t="shared" si="0"/>
        <v/>
      </c>
      <c r="E10" s="36" t="str">
        <f t="shared" si="0"/>
        <v/>
      </c>
      <c r="F10" s="36" t="str">
        <f t="shared" si="0"/>
        <v/>
      </c>
      <c r="G10" s="36" t="str">
        <f t="shared" si="0"/>
        <v/>
      </c>
      <c r="H10" s="37" t="str">
        <f t="shared" si="0"/>
        <v/>
      </c>
      <c r="K10" s="10" t="str">
        <f>IF(domain1Maturity=$C10,domain1Display,"")</f>
        <v/>
      </c>
      <c r="L10" s="10" t="str">
        <f>IF(domain2Maturity=$C10,domain2Display,"")</f>
        <v/>
      </c>
      <c r="M10" s="10" t="str">
        <f>IF(domain3Maturity=$C10,domain3Display,"")</f>
        <v/>
      </c>
      <c r="N10" s="10" t="str">
        <f>IF(domain4Maturity=$C10,domain4Display,"")</f>
        <v/>
      </c>
      <c r="O10" s="10" t="str">
        <f>IF(domain5Maturity=$C10,domain5Display,"")</f>
        <v/>
      </c>
      <c r="P10" s="10" t="str">
        <f>K10</f>
        <v/>
      </c>
      <c r="Q10" s="10" t="str">
        <f t="shared" si="1"/>
        <v/>
      </c>
      <c r="R10" s="10" t="str">
        <f t="shared" si="1"/>
        <v/>
      </c>
      <c r="S10" s="10" t="str">
        <f t="shared" si="1"/>
        <v/>
      </c>
      <c r="T10" s="10" t="str">
        <f t="shared" si="1"/>
        <v/>
      </c>
    </row>
    <row r="11" spans="1:20" ht="45" customHeight="1" x14ac:dyDescent="0.25">
      <c r="B11" s="352"/>
      <c r="C11" s="34" t="s">
        <v>28</v>
      </c>
      <c r="D11" s="36" t="str">
        <f t="shared" si="0"/>
        <v/>
      </c>
      <c r="E11" s="36" t="str">
        <f t="shared" si="0"/>
        <v/>
      </c>
      <c r="F11" s="36" t="str">
        <f t="shared" si="0"/>
        <v/>
      </c>
      <c r="G11" s="37" t="str">
        <f t="shared" si="0"/>
        <v/>
      </c>
      <c r="H11" s="37" t="str">
        <f t="shared" si="0"/>
        <v/>
      </c>
      <c r="K11" s="10" t="str">
        <f>IF(domain1Maturity=$C11,domain1Display,"")</f>
        <v/>
      </c>
      <c r="L11" s="10" t="str">
        <f>IF(domain2Maturity=$C11,domain2Display,"")</f>
        <v/>
      </c>
      <c r="M11" s="10" t="str">
        <f>IF(domain3Maturity=$C11,domain3Display,"")</f>
        <v/>
      </c>
      <c r="N11" s="10" t="str">
        <f>IF(domain4Maturity=$C11,domain4Display,"")</f>
        <v/>
      </c>
      <c r="O11" s="10" t="str">
        <f>IF(domain5Maturity=$C11,domain5Display,"")</f>
        <v/>
      </c>
      <c r="P11" s="10" t="str">
        <f>K11</f>
        <v/>
      </c>
      <c r="Q11" s="10" t="str">
        <f t="shared" si="1"/>
        <v/>
      </c>
      <c r="R11" s="10" t="str">
        <f t="shared" si="1"/>
        <v/>
      </c>
      <c r="S11" s="10" t="str">
        <f t="shared" si="1"/>
        <v/>
      </c>
      <c r="T11" s="10" t="str">
        <f t="shared" si="1"/>
        <v/>
      </c>
    </row>
    <row r="12" spans="1:20" ht="45" customHeight="1" x14ac:dyDescent="0.25">
      <c r="B12" s="352"/>
      <c r="C12" s="34" t="s">
        <v>27</v>
      </c>
      <c r="D12" s="36" t="str">
        <f t="shared" si="0"/>
        <v/>
      </c>
      <c r="E12" s="36" t="str">
        <f t="shared" si="0"/>
        <v/>
      </c>
      <c r="F12" s="37" t="str">
        <f t="shared" si="0"/>
        <v/>
      </c>
      <c r="G12" s="37" t="str">
        <f t="shared" si="0"/>
        <v/>
      </c>
      <c r="H12" s="37" t="str">
        <f t="shared" si="0"/>
        <v/>
      </c>
      <c r="K12" s="10" t="str">
        <f>IF(domain1Maturity=$C12,domain1Display,"")</f>
        <v/>
      </c>
      <c r="L12" s="10" t="str">
        <f>IF(domain2Maturity=$C12,domain2Display,"")</f>
        <v/>
      </c>
      <c r="M12" s="10" t="str">
        <f>IF(domain3Maturity=$C12,domain3Display,"")</f>
        <v/>
      </c>
      <c r="N12" s="10" t="str">
        <f>IF(domain4Maturity=$C12,domain4Display,"")</f>
        <v/>
      </c>
      <c r="O12" s="10" t="str">
        <f>IF(domain5Maturity=$C12,domain5Display,"")</f>
        <v/>
      </c>
      <c r="P12" s="10" t="str">
        <f>K12</f>
        <v/>
      </c>
      <c r="Q12" s="10" t="str">
        <f t="shared" si="1"/>
        <v/>
      </c>
      <c r="R12" s="10" t="str">
        <f t="shared" si="1"/>
        <v/>
      </c>
      <c r="S12" s="10" t="str">
        <f t="shared" si="1"/>
        <v/>
      </c>
      <c r="T12" s="10" t="str">
        <f t="shared" si="1"/>
        <v/>
      </c>
    </row>
    <row r="14" spans="1:20" x14ac:dyDescent="0.25">
      <c r="C14" s="358" t="s">
        <v>213</v>
      </c>
      <c r="D14" s="359"/>
      <c r="E14" s="38" t="str">
        <f>IF(inherentRisk&lt;&gt;"",inherentRisk,nOTA)</f>
        <v>---</v>
      </c>
      <c r="F14" s="39"/>
      <c r="I14" s="19" t="s">
        <v>224</v>
      </c>
    </row>
    <row r="15" spans="1:20" x14ac:dyDescent="0.25">
      <c r="C15" s="41"/>
      <c r="D15" s="42"/>
      <c r="F15" s="39"/>
      <c r="I15" s="31" t="s">
        <v>223</v>
      </c>
      <c r="J15" s="40" t="s">
        <v>614</v>
      </c>
    </row>
    <row r="16" spans="1:20" ht="15.75" thickBot="1" x14ac:dyDescent="0.3">
      <c r="C16" s="350" t="s">
        <v>24</v>
      </c>
      <c r="D16" s="350"/>
      <c r="E16" s="43" t="s">
        <v>613</v>
      </c>
    </row>
    <row r="17" spans="2:13" x14ac:dyDescent="0.25">
      <c r="B17" s="10">
        <v>1</v>
      </c>
      <c r="C17" s="349" t="s">
        <v>214</v>
      </c>
      <c r="D17" s="349"/>
      <c r="E17" s="38" t="str">
        <f>riskMaturity</f>
        <v>---</v>
      </c>
      <c r="F17" s="10" t="str">
        <f>IF(domain1Maturity=nOTA,"Below Baseline","")</f>
        <v>Below Baseline</v>
      </c>
      <c r="K17" s="10">
        <f>MATCH(E17,maturityLevels,0)-1</f>
        <v>0</v>
      </c>
      <c r="L17" s="10" t="s">
        <v>6</v>
      </c>
      <c r="M17" s="10" t="str">
        <f>IF(displayNN="Names",L17,TEXT(B17,"0"))</f>
        <v>Risk</v>
      </c>
    </row>
    <row r="18" spans="2:13" x14ac:dyDescent="0.25">
      <c r="B18" s="10">
        <v>2</v>
      </c>
      <c r="C18" s="349" t="s">
        <v>210</v>
      </c>
      <c r="D18" s="349"/>
      <c r="E18" s="38" t="str">
        <f>intelMaturity</f>
        <v>---</v>
      </c>
      <c r="F18" s="10" t="str">
        <f>IF(domain2Maturity=nOTA,"Below Baseline","")</f>
        <v>Below Baseline</v>
      </c>
      <c r="K18" s="10">
        <f>MATCH(E18,maturityLevels,0)-1</f>
        <v>0</v>
      </c>
      <c r="L18" s="10" t="s">
        <v>218</v>
      </c>
      <c r="M18" s="10" t="str">
        <f>IF(displayNN="Names",L18,TEXT(B18,"0"))</f>
        <v>Threat</v>
      </c>
    </row>
    <row r="19" spans="2:13" x14ac:dyDescent="0.25">
      <c r="B19" s="10">
        <v>3</v>
      </c>
      <c r="C19" s="349" t="s">
        <v>215</v>
      </c>
      <c r="D19" s="349"/>
      <c r="E19" s="38" t="str">
        <f>controlMaturity</f>
        <v>---</v>
      </c>
      <c r="F19" s="10" t="str">
        <f>IF(domain3Maturity=nOTA,"Below Baseline","")</f>
        <v>Below Baseline</v>
      </c>
      <c r="K19" s="10">
        <f>MATCH(E19,maturityLevels,0)-1</f>
        <v>0</v>
      </c>
      <c r="L19" s="10" t="s">
        <v>219</v>
      </c>
      <c r="M19" s="10" t="str">
        <f>IF(displayNN="Names",L19,TEXT(B19,"0"))</f>
        <v>Controls</v>
      </c>
    </row>
    <row r="20" spans="2:13" x14ac:dyDescent="0.25">
      <c r="B20" s="10">
        <v>4</v>
      </c>
      <c r="C20" s="349" t="s">
        <v>216</v>
      </c>
      <c r="D20" s="349"/>
      <c r="E20" s="38" t="str">
        <f>dependencyMaturity</f>
        <v>---</v>
      </c>
      <c r="F20" s="10" t="str">
        <f>IF(domain4Maturity=nOTA,"Below Baseline","")</f>
        <v>Below Baseline</v>
      </c>
      <c r="K20" s="10">
        <f>MATCH(E20,maturityLevels,0)-1</f>
        <v>0</v>
      </c>
      <c r="L20" s="10" t="s">
        <v>220</v>
      </c>
      <c r="M20" s="10" t="str">
        <f>IF(displayNN="Names",L20,TEXT(B20,"0"))</f>
        <v>Dependency</v>
      </c>
    </row>
    <row r="21" spans="2:13" x14ac:dyDescent="0.25">
      <c r="B21" s="10">
        <v>5</v>
      </c>
      <c r="C21" s="349" t="s">
        <v>217</v>
      </c>
      <c r="D21" s="349"/>
      <c r="E21" s="38" t="str">
        <f>incidenceMaturity</f>
        <v>---</v>
      </c>
      <c r="F21" s="10" t="str">
        <f>IF(domain5Maturity=nOTA,"Below Baseline","")</f>
        <v>Below Baseline</v>
      </c>
      <c r="K21" s="10">
        <f>MATCH(E21,maturityLevels,0)-1</f>
        <v>0</v>
      </c>
      <c r="L21" s="10" t="s">
        <v>221</v>
      </c>
      <c r="M21" s="10" t="str">
        <f>IF(displayNN="Names",L21,TEXT(B21,"0"))</f>
        <v>Incidence</v>
      </c>
    </row>
    <row r="24" spans="2:13" x14ac:dyDescent="0.25">
      <c r="C24" s="362" t="s">
        <v>230</v>
      </c>
      <c r="D24" s="362"/>
      <c r="E24" s="362"/>
      <c r="F24" s="362"/>
      <c r="G24" s="362"/>
      <c r="H24" s="362"/>
    </row>
    <row r="25" spans="2:13" ht="45" customHeight="1" x14ac:dyDescent="0.25">
      <c r="C25" s="161" t="s">
        <v>27</v>
      </c>
      <c r="D25" s="363" t="s">
        <v>225</v>
      </c>
      <c r="E25" s="363"/>
      <c r="F25" s="363"/>
      <c r="G25" s="363"/>
      <c r="H25" s="363"/>
    </row>
    <row r="26" spans="2:13" ht="45" customHeight="1" x14ac:dyDescent="0.25">
      <c r="C26" s="162" t="s">
        <v>28</v>
      </c>
      <c r="D26" s="360" t="s">
        <v>226</v>
      </c>
      <c r="E26" s="360"/>
      <c r="F26" s="360"/>
      <c r="G26" s="360"/>
      <c r="H26" s="360"/>
    </row>
    <row r="27" spans="2:13" ht="45" customHeight="1" x14ac:dyDescent="0.25">
      <c r="C27" s="162" t="s">
        <v>29</v>
      </c>
      <c r="D27" s="360" t="s">
        <v>227</v>
      </c>
      <c r="E27" s="360"/>
      <c r="F27" s="360"/>
      <c r="G27" s="360"/>
      <c r="H27" s="360"/>
    </row>
    <row r="28" spans="2:13" ht="45" customHeight="1" x14ac:dyDescent="0.25">
      <c r="C28" s="162" t="s">
        <v>30</v>
      </c>
      <c r="D28" s="360" t="s">
        <v>228</v>
      </c>
      <c r="E28" s="360"/>
      <c r="F28" s="360"/>
      <c r="G28" s="360"/>
      <c r="H28" s="360"/>
    </row>
    <row r="29" spans="2:13" ht="45" customHeight="1" x14ac:dyDescent="0.25">
      <c r="C29" s="44" t="s">
        <v>31</v>
      </c>
      <c r="D29" s="361" t="s">
        <v>229</v>
      </c>
      <c r="E29" s="361"/>
      <c r="F29" s="361"/>
      <c r="G29" s="361"/>
      <c r="H29" s="361"/>
    </row>
  </sheetData>
  <sheetProtection algorithmName="SHA-512" hashValue="ipqqShSGfcuJT9Racgvw8IJdiIC94vpyH7Pc/oLmbykwx/HvwNRlIbj8EbrEdce22zvjyfbrvrk7P4re6Co9Xg==" saltValue="NUT0ACI3+7pACNWm21Z7DA==" spinCount="100000" sheet="1" objects="1" scenarios="1" formatCells="0" formatColumns="0" formatRows="0"/>
  <mergeCells count="17">
    <mergeCell ref="D28:H28"/>
    <mergeCell ref="D29:H29"/>
    <mergeCell ref="C24:H24"/>
    <mergeCell ref="C19:D19"/>
    <mergeCell ref="C20:D20"/>
    <mergeCell ref="C21:D21"/>
    <mergeCell ref="D25:H25"/>
    <mergeCell ref="D26:H26"/>
    <mergeCell ref="D27:H27"/>
    <mergeCell ref="C18:D18"/>
    <mergeCell ref="C16:D16"/>
    <mergeCell ref="B5:H5"/>
    <mergeCell ref="B8:B12"/>
    <mergeCell ref="B6:C7"/>
    <mergeCell ref="D6:H6"/>
    <mergeCell ref="C17:D17"/>
    <mergeCell ref="C14:D14"/>
  </mergeCells>
  <dataValidations count="1">
    <dataValidation type="list" showInputMessage="1" showErrorMessage="1" promptTitle="Select Domain Display" prompt="Once both the inherent risk and domain maturity assessments are filled out, the domain will be placed in risk/maturity relationship matrix. It can either be indicated by its number or a shortened name." sqref="I15" xr:uid="{00000000-0002-0000-0200-000000000000}">
      <formula1>namesOrNumbers</formula1>
    </dataValidation>
  </dataValidations>
  <hyperlinks>
    <hyperlink ref="H3" location="disclaimer" display="disclaimer" xr:uid="{00000000-0004-0000-0200-000000000000}"/>
    <hyperlink ref="H2" location="workbookInfo" display="Workbook Information" xr:uid="{00000000-0004-0000-0200-000001000000}"/>
  </hyperlinks>
  <pageMargins left="0.25" right="0.25" top="0.75" bottom="0.75" header="0.3" footer="0.3"/>
  <pageSetup scale="75" orientation="portrait" r:id="rId1"/>
  <headerFooter>
    <oddHeader>&amp;C&amp;A</oddHeader>
    <oddFooter>&amp;L&amp;"-,Bold" Confidential-Authorized Use Only&amp;C&amp;D&amp;RPage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pageSetUpPr fitToPage="1"/>
  </sheetPr>
  <dimension ref="A1:N24"/>
  <sheetViews>
    <sheetView zoomScaleNormal="100" workbookViewId="0">
      <pane ySplit="3" topLeftCell="A4" activePane="bottomLeft" state="frozen"/>
      <selection pane="bottomLeft" activeCell="C17" sqref="C17"/>
    </sheetView>
  </sheetViews>
  <sheetFormatPr defaultColWidth="8.85546875" defaultRowHeight="15" x14ac:dyDescent="0.25"/>
  <cols>
    <col min="1" max="1" width="1.85546875" style="10" customWidth="1"/>
    <col min="2" max="2" width="44.28515625" style="46" customWidth="1"/>
    <col min="3" max="13" width="20.7109375" style="10" customWidth="1"/>
    <col min="14" max="20" width="9.140625" style="10" customWidth="1"/>
    <col min="21" max="16384" width="8.85546875" style="10"/>
  </cols>
  <sheetData>
    <row r="1" spans="1:14" s="112" customFormat="1" ht="20.100000000000001" customHeight="1" x14ac:dyDescent="0.25">
      <c r="A1" s="6" t="str">
        <f>HYPERLINK(websiteHTTP&amp;webSiteURL,"Watkins Consulting")</f>
        <v>Watkins Consulting</v>
      </c>
      <c r="B1" s="132"/>
      <c r="C1" s="132"/>
      <c r="D1" s="132"/>
      <c r="E1" s="134" t="str">
        <f>HYPERLINK("#firmName",IF(firmName&gt;0,firmName,"Click here to goto cell to enter firm name."))</f>
        <v>Click here to goto cell to enter firm name.</v>
      </c>
      <c r="F1" s="132"/>
      <c r="G1" s="132"/>
      <c r="H1" s="132"/>
      <c r="I1" s="8" t="str">
        <f>HYPERLINK(websiteHTTP&amp;webSiteURL&amp;userManualrURL,"User Manual")</f>
        <v>User Manual</v>
      </c>
    </row>
    <row r="2" spans="1:14" s="112" customFormat="1" ht="20.100000000000001" customHeight="1" x14ac:dyDescent="0.25">
      <c r="A2" s="257" t="str">
        <f ca="1">workbookVersionLabel</f>
        <v xml:space="preserve"> Excel Workbook Version: 3.4.2</v>
      </c>
      <c r="B2" s="132"/>
      <c r="C2" s="132"/>
      <c r="D2" s="133"/>
      <c r="E2" s="133" t="str">
        <f>Information</f>
        <v>FFIEC Cybersecurity Assessment Tool (May 2017)</v>
      </c>
      <c r="F2" s="135"/>
      <c r="G2" s="135"/>
      <c r="H2" s="132"/>
      <c r="I2" s="8" t="s">
        <v>1094</v>
      </c>
    </row>
    <row r="3" spans="1:14" s="112" customFormat="1" ht="20.100000000000001" customHeight="1" thickBot="1" x14ac:dyDescent="0.3">
      <c r="A3" s="143" t="str">
        <f ca="1">MID(CELL("filename",A1),FIND("]",CELL("filename",A1))+1,256)</f>
        <v>Risk Rollup</v>
      </c>
      <c r="B3" s="143"/>
      <c r="C3" s="315" t="str">
        <f ca="1">IF(hideRegNotice&lt;&gt;"Yes",HYPERLINK("mailto:solutions@watkinsconsulting.com?subject=FFIEC Cybersecurity Assessment Tool "&amp;versionID&amp;" registration/feedback ","Please register to receive updates."),"")</f>
        <v>Please register to receive updates.</v>
      </c>
      <c r="D3" s="140"/>
      <c r="E3" s="142" t="str">
        <f>IF(assessmentDate&gt;0,assessmentDate,"")</f>
        <v/>
      </c>
      <c r="F3" s="145"/>
      <c r="G3" s="145"/>
      <c r="H3" s="145"/>
      <c r="I3" s="155" t="s">
        <v>620</v>
      </c>
    </row>
    <row r="4" spans="1:14" s="45" customFormat="1" ht="15.75" customHeight="1" thickTop="1" x14ac:dyDescent="0.25"/>
    <row r="5" spans="1:14" ht="20.25" thickBot="1" x14ac:dyDescent="0.35">
      <c r="B5" s="370" t="s">
        <v>19</v>
      </c>
      <c r="C5" s="370"/>
      <c r="D5" s="370"/>
      <c r="E5" s="370"/>
      <c r="F5" s="370"/>
      <c r="G5" s="370"/>
      <c r="H5" s="370"/>
    </row>
    <row r="6" spans="1:14" ht="15.75" thickTop="1" x14ac:dyDescent="0.25">
      <c r="B6" s="46" t="s">
        <v>11</v>
      </c>
      <c r="C6" s="48" t="s">
        <v>17</v>
      </c>
      <c r="D6" s="48" t="s">
        <v>1074</v>
      </c>
      <c r="E6" s="48" t="s">
        <v>891</v>
      </c>
      <c r="F6" s="48" t="s">
        <v>887</v>
      </c>
      <c r="G6" s="48" t="s">
        <v>888</v>
      </c>
      <c r="H6" s="48" t="s">
        <v>889</v>
      </c>
      <c r="I6" s="48" t="s">
        <v>890</v>
      </c>
      <c r="J6" s="130"/>
      <c r="K6" s="130"/>
      <c r="L6" s="130"/>
      <c r="M6" s="130"/>
      <c r="N6" s="130"/>
    </row>
    <row r="7" spans="1:14" ht="30" customHeight="1" x14ac:dyDescent="0.25">
      <c r="B7" s="186" t="str">
        <f>'Technology and Connection Types'!B5:H5</f>
        <v xml:space="preserve">Technologies and Connection Types  </v>
      </c>
      <c r="C7" s="212">
        <f>COUNTA(techNConnect[Risk])</f>
        <v>14</v>
      </c>
      <c r="D7" s="212">
        <f>SUM(rollUp[[#This Row],[Least]:[Most]])</f>
        <v>0</v>
      </c>
      <c r="E7" s="212">
        <f>COUNTIF(techNConnect[Score],riskLeast)</f>
        <v>0</v>
      </c>
      <c r="F7" s="212">
        <f>COUNTIF(techNConnect[Score],riskMinimal)</f>
        <v>0</v>
      </c>
      <c r="G7" s="212">
        <f>COUNTIF(techNConnect[Score],riskModerate)</f>
        <v>0</v>
      </c>
      <c r="H7" s="212">
        <f>COUNTIF(techNConnect[Score],riskSignificant)</f>
        <v>0</v>
      </c>
      <c r="I7" s="212">
        <f>COUNTIF(techNConnect[Score],riskMost)</f>
        <v>0</v>
      </c>
      <c r="J7" s="130"/>
      <c r="K7" s="130"/>
      <c r="L7" s="130"/>
      <c r="M7" s="130"/>
      <c r="N7" s="130"/>
    </row>
    <row r="8" spans="1:14" ht="30" customHeight="1" x14ac:dyDescent="0.25">
      <c r="B8" s="186" t="str">
        <f>'Delivery Channels'!B5:H5</f>
        <v>Delivery Channels</v>
      </c>
      <c r="C8" s="212">
        <f>COUNTA(deliveryChannels[Risk])</f>
        <v>3</v>
      </c>
      <c r="D8" s="212">
        <f>SUM(rollUp[[#This Row],[Least]:[Most]])</f>
        <v>0</v>
      </c>
      <c r="E8" s="212">
        <f>COUNTIF(deliveryChannels[Score],riskLeast)</f>
        <v>0</v>
      </c>
      <c r="F8" s="212">
        <f>COUNTIF(deliveryChannels[Score],riskMinimal)</f>
        <v>0</v>
      </c>
      <c r="G8" s="212">
        <f>COUNTIF(deliveryChannels[Score],riskModerate)</f>
        <v>0</v>
      </c>
      <c r="H8" s="212">
        <f>COUNTIF(deliveryChannels[Score],riskSignificant)</f>
        <v>0</v>
      </c>
      <c r="I8" s="212">
        <f>COUNTIF(deliveryChannels[Score],riskMost)</f>
        <v>0</v>
      </c>
      <c r="J8" s="130"/>
      <c r="K8" s="130"/>
      <c r="L8" s="130"/>
      <c r="M8" s="130"/>
      <c r="N8" s="130"/>
    </row>
    <row r="9" spans="1:14" ht="30" customHeight="1" x14ac:dyDescent="0.25">
      <c r="B9" s="186" t="str">
        <f>'Online, Mobile and Services'!B5:H5</f>
        <v>Online/Mobile Products and Technology Services</v>
      </c>
      <c r="C9" s="212">
        <f>COUNTA(onlineMobileTech[Risk])</f>
        <v>14</v>
      </c>
      <c r="D9" s="212">
        <f>SUM(rollUp[[#This Row],[Least]:[Most]])</f>
        <v>0</v>
      </c>
      <c r="E9" s="212">
        <f>COUNTIF(onlineMobileTech[Score],riskLeast)</f>
        <v>0</v>
      </c>
      <c r="F9" s="212">
        <f>COUNTIF(onlineMobileTech[Score],riskMinimal)</f>
        <v>0</v>
      </c>
      <c r="G9" s="212">
        <f>COUNTIF(onlineMobileTech[Score],riskModerate)</f>
        <v>0</v>
      </c>
      <c r="H9" s="212">
        <f>COUNTIF(onlineMobileTech[Score],riskSignificant)</f>
        <v>0</v>
      </c>
      <c r="I9" s="212">
        <f>COUNTIF(onlineMobileTech[Score],riskMost)</f>
        <v>0</v>
      </c>
      <c r="J9" s="130"/>
      <c r="K9" s="130"/>
      <c r="L9" s="130"/>
      <c r="M9" s="130"/>
      <c r="N9" s="130"/>
    </row>
    <row r="10" spans="1:14" ht="30" customHeight="1" x14ac:dyDescent="0.25">
      <c r="B10" s="186" t="str">
        <f>'Organizational Characteristics'!B5:H5</f>
        <v>Organizational Characteristics</v>
      </c>
      <c r="C10" s="212">
        <f>COUNTA(orgChar[Risk])</f>
        <v>7</v>
      </c>
      <c r="D10" s="212">
        <f>SUM(rollUp[[#This Row],[Least]:[Most]])</f>
        <v>0</v>
      </c>
      <c r="E10" s="212">
        <f>COUNTIF(orgChar[Score],riskLeast)</f>
        <v>0</v>
      </c>
      <c r="F10" s="212">
        <f>COUNTIF(orgChar[Score],riskMinimal)</f>
        <v>0</v>
      </c>
      <c r="G10" s="212">
        <f>COUNTIF(orgChar[Score],riskModerate)</f>
        <v>0</v>
      </c>
      <c r="H10" s="212">
        <f>COUNTIF(orgChar[Score],riskSignificant)</f>
        <v>0</v>
      </c>
      <c r="I10" s="212">
        <f>COUNTIF(orgChar[Score],riskMost)</f>
        <v>0</v>
      </c>
      <c r="J10" s="130"/>
      <c r="K10" s="130"/>
      <c r="L10" s="130"/>
      <c r="M10" s="130"/>
      <c r="N10" s="130"/>
    </row>
    <row r="11" spans="1:14" ht="30" customHeight="1" x14ac:dyDescent="0.25">
      <c r="B11" s="186" t="str">
        <f>'External Threats'!B5:H5</f>
        <v>External Threats</v>
      </c>
      <c r="C11" s="212">
        <f>COUNTA(externalThreats[Risk])</f>
        <v>1</v>
      </c>
      <c r="D11" s="212">
        <f>SUM(rollUp[[#This Row],[Least]:[Most]])</f>
        <v>0</v>
      </c>
      <c r="E11" s="212">
        <f>COUNTIF(externalThreats[Score],riskLeast)</f>
        <v>0</v>
      </c>
      <c r="F11" s="212">
        <f>COUNTIF(externalThreats[Score],riskMinimal)</f>
        <v>0</v>
      </c>
      <c r="G11" s="212">
        <f>COUNTIF(externalThreats[Score],riskModerate)</f>
        <v>0</v>
      </c>
      <c r="H11" s="212">
        <f>COUNTIF(externalThreats[Score],riskSignificant)</f>
        <v>0</v>
      </c>
      <c r="I11" s="212">
        <f>COUNTIF(externalThreats[Score],riskMost)</f>
        <v>0</v>
      </c>
      <c r="J11" s="130"/>
      <c r="K11" s="130"/>
      <c r="L11" s="130"/>
      <c r="M11" s="130"/>
      <c r="N11" s="130"/>
    </row>
    <row r="13" spans="1:14" x14ac:dyDescent="0.25">
      <c r="D13" s="200" t="s">
        <v>1075</v>
      </c>
      <c r="E13" s="216">
        <v>1</v>
      </c>
      <c r="F13" s="216">
        <v>2</v>
      </c>
      <c r="G13" s="216">
        <v>3</v>
      </c>
      <c r="H13" s="216">
        <v>4</v>
      </c>
      <c r="I13" s="216">
        <v>5</v>
      </c>
    </row>
    <row r="14" spans="1:14" ht="15.75" thickBot="1" x14ac:dyDescent="0.3">
      <c r="B14" s="47" t="s">
        <v>18</v>
      </c>
      <c r="C14" s="199" t="s">
        <v>17</v>
      </c>
      <c r="D14" s="199" t="s">
        <v>1074</v>
      </c>
      <c r="E14" s="199" t="s">
        <v>1</v>
      </c>
      <c r="F14" s="199" t="s">
        <v>2</v>
      </c>
      <c r="G14" s="199" t="s">
        <v>3</v>
      </c>
      <c r="H14" s="199" t="s">
        <v>4</v>
      </c>
      <c r="I14" s="199" t="s">
        <v>5</v>
      </c>
    </row>
    <row r="15" spans="1:14" ht="30" customHeight="1" x14ac:dyDescent="0.25">
      <c r="B15" s="217" t="s">
        <v>616</v>
      </c>
      <c r="C15" s="213">
        <f>SUM(rollUp[Risks])</f>
        <v>39</v>
      </c>
      <c r="D15" s="213">
        <f>SUM(rollUp[Answered])</f>
        <v>0</v>
      </c>
      <c r="E15" s="213">
        <f>SUM(rollUp[Least])</f>
        <v>0</v>
      </c>
      <c r="F15" s="213">
        <f>SUM(rollUp[Minimal])</f>
        <v>0</v>
      </c>
      <c r="G15" s="213">
        <f>SUM(rollUp[Moderate])</f>
        <v>0</v>
      </c>
      <c r="H15" s="213">
        <f>SUM(rollUp[Significant])</f>
        <v>0</v>
      </c>
      <c r="I15" s="213">
        <f>SUM(rollUp[Most])</f>
        <v>0</v>
      </c>
    </row>
    <row r="17" spans="2:8" ht="27.6" customHeight="1" x14ac:dyDescent="0.3">
      <c r="B17" s="229" t="s">
        <v>213</v>
      </c>
      <c r="C17" s="230"/>
      <c r="D17" s="371" t="s">
        <v>1080</v>
      </c>
      <c r="E17" s="372"/>
      <c r="F17" s="48"/>
      <c r="G17" s="364" t="s">
        <v>1077</v>
      </c>
      <c r="H17" s="365"/>
    </row>
    <row r="18" spans="2:8" s="108" customFormat="1" x14ac:dyDescent="0.25">
      <c r="B18" s="112"/>
      <c r="C18" s="112"/>
      <c r="D18" s="112"/>
      <c r="E18" s="112"/>
      <c r="F18" s="48"/>
      <c r="G18" s="366"/>
      <c r="H18" s="367"/>
    </row>
    <row r="19" spans="2:8" x14ac:dyDescent="0.25">
      <c r="B19" s="209"/>
      <c r="C19" s="131" t="s">
        <v>1076</v>
      </c>
      <c r="D19" s="131" t="s">
        <v>21</v>
      </c>
      <c r="E19" s="131" t="s">
        <v>22</v>
      </c>
      <c r="G19" s="366"/>
      <c r="H19" s="367"/>
    </row>
    <row r="20" spans="2:8" ht="30" customHeight="1" x14ac:dyDescent="0.25">
      <c r="B20" s="209"/>
      <c r="C20" s="213">
        <f>weightLeast*sumLeast+weightMinimal*sumMinimal+weightModerate*sumModerate+weightSignificant*sumSignificant+weightMost*sumMost</f>
        <v>0</v>
      </c>
      <c r="D20" s="214" t="str">
        <f>IF(D15&gt;0,C20/D15,nOTA)</f>
        <v>---</v>
      </c>
      <c r="E20" s="215">
        <f>D15/C15</f>
        <v>0</v>
      </c>
      <c r="G20" s="366"/>
      <c r="H20" s="367"/>
    </row>
    <row r="21" spans="2:8" x14ac:dyDescent="0.25">
      <c r="G21" s="366"/>
      <c r="H21" s="367"/>
    </row>
    <row r="22" spans="2:8" x14ac:dyDescent="0.25">
      <c r="G22" s="366"/>
      <c r="H22" s="367"/>
    </row>
    <row r="23" spans="2:8" x14ac:dyDescent="0.25">
      <c r="G23" s="366"/>
      <c r="H23" s="367"/>
    </row>
    <row r="24" spans="2:8" x14ac:dyDescent="0.25">
      <c r="G24" s="368"/>
      <c r="H24" s="369"/>
    </row>
  </sheetData>
  <sheetProtection algorithmName="SHA-512" hashValue="tE6axKaHTTBy/aQEFF/MEW6BeX+E/UjazMeuoUtkL7LHEMRVJV5f3EXODutTmTnlNJAw+AsgisLI4p8uIHJCgQ==" saltValue="D6NRYoaOVsdpWDPfOp3hfg==" spinCount="100000" sheet="1" objects="1" scenarios="1" formatCells="0" formatColumns="0" formatRows="0" sort="0" autoFilter="0"/>
  <mergeCells count="3">
    <mergeCell ref="G17:H24"/>
    <mergeCell ref="B5:H5"/>
    <mergeCell ref="D17:E17"/>
  </mergeCells>
  <conditionalFormatting sqref="E1">
    <cfRule type="expression" dxfId="70" priority="1">
      <formula>$E$1="Click here to goto cell to enter firm name."</formula>
    </cfRule>
  </conditionalFormatting>
  <dataValidations count="1">
    <dataValidation type="list" allowBlank="1" showInputMessage="1" showErrorMessage="1" sqref="C17:C18" xr:uid="{00000000-0002-0000-0300-000000000000}">
      <formula1>riskLevels</formula1>
    </dataValidation>
  </dataValidations>
  <hyperlinks>
    <hyperlink ref="B7" location="'Technology and Connection Types'!A1" display="'Technology and Connection Types'!A1" xr:uid="{00000000-0004-0000-0300-000000000000}"/>
    <hyperlink ref="B8" location="'Delivery Channels'!A1" display="'Delivery Channels'!A1" xr:uid="{00000000-0004-0000-0300-000001000000}"/>
    <hyperlink ref="B9" location="'Online, Mobile and Services'!A1" display="'Online, Mobile and Services'!A1" xr:uid="{00000000-0004-0000-0300-000002000000}"/>
    <hyperlink ref="B10" location="'Organizational Characteristics'!A1" display="'Organizational Characteristics'!A1" xr:uid="{00000000-0004-0000-0300-000003000000}"/>
    <hyperlink ref="B11" location="'External Threats'!A1" display="'External Threats'!A1" xr:uid="{00000000-0004-0000-0300-000004000000}"/>
    <hyperlink ref="I3" location="disclaimer" display="disclaimer" xr:uid="{00000000-0004-0000-0300-000005000000}"/>
    <hyperlink ref="I2" location="workbookInfo" display="Workbook Information" xr:uid="{00000000-0004-0000-0300-000006000000}"/>
  </hyperlinks>
  <pageMargins left="0.25" right="0.25" top="0.75" bottom="0.75" header="0.3" footer="0.3"/>
  <pageSetup scale="85" orientation="landscape" r:id="rId1"/>
  <headerFooter>
    <oddHeader>&amp;C&amp;A</oddHeader>
    <oddFooter>&amp;L&amp;"-,Bold"Confidential-Authorized Use Only&amp;C&amp;D&amp;RPage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39997558519241921"/>
    <pageSetUpPr fitToPage="1"/>
  </sheetPr>
  <dimension ref="A1:Z22"/>
  <sheetViews>
    <sheetView zoomScaleNormal="100" workbookViewId="0">
      <pane xSplit="3" ySplit="8" topLeftCell="D9" activePane="bottomRight" state="frozen"/>
      <selection pane="topRight" activeCell="D1" sqref="D1"/>
      <selection pane="bottomLeft" activeCell="A11" sqref="A11"/>
      <selection pane="bottomRight" activeCell="C9" sqref="C9"/>
    </sheetView>
  </sheetViews>
  <sheetFormatPr defaultColWidth="8.85546875" defaultRowHeight="15" x14ac:dyDescent="0.25"/>
  <cols>
    <col min="1" max="1" width="1.85546875" style="10" customWidth="1"/>
    <col min="2" max="2" width="30.7109375" style="10" customWidth="1"/>
    <col min="3" max="3" width="20.7109375" style="10" customWidth="1"/>
    <col min="4" max="8" width="30.7109375" style="10" customWidth="1"/>
    <col min="9" max="9" width="50.7109375" style="10" customWidth="1"/>
    <col min="10" max="13" width="8.85546875" style="10" customWidth="1"/>
    <col min="14" max="17" width="8.85546875" style="185" customWidth="1"/>
    <col min="18" max="19" width="8.85546875" style="185"/>
    <col min="20" max="16384" width="8.85546875" style="10"/>
  </cols>
  <sheetData>
    <row r="1" spans="1:26" s="112" customFormat="1" ht="20.100000000000001" customHeight="1" x14ac:dyDescent="0.25">
      <c r="A1" s="6" t="str">
        <f>HYPERLINK(websiteHTTP&amp;webSiteURL,"Watkins Consulting")</f>
        <v>Watkins Consulting</v>
      </c>
      <c r="B1" s="132"/>
      <c r="C1" s="132"/>
      <c r="D1" s="132"/>
      <c r="E1" s="132"/>
      <c r="F1" s="136" t="str">
        <f>IF(firmName&gt;0,firmName,"")</f>
        <v/>
      </c>
      <c r="G1" s="132"/>
      <c r="H1" s="132"/>
      <c r="I1" s="8" t="str">
        <f>HYPERLINK(websiteHTTP&amp;webSiteURL&amp;userManualrURL,"User Manual")</f>
        <v>User Manual</v>
      </c>
      <c r="N1" s="130"/>
      <c r="O1" s="130"/>
      <c r="P1" s="130"/>
      <c r="Q1" s="130"/>
      <c r="R1" s="130"/>
      <c r="S1" s="130"/>
    </row>
    <row r="2" spans="1:26" s="112" customFormat="1" ht="20.100000000000001" customHeight="1" x14ac:dyDescent="0.25">
      <c r="A2" s="256" t="str">
        <f ca="1">workbookVersionLabel</f>
        <v xml:space="preserve"> Excel Workbook Version: 3.4.2</v>
      </c>
      <c r="B2" s="132"/>
      <c r="C2" s="132"/>
      <c r="D2" s="132"/>
      <c r="E2" s="138"/>
      <c r="F2" s="133" t="str">
        <f>Information</f>
        <v>FFIEC Cybersecurity Assessment Tool (May 2017)</v>
      </c>
      <c r="G2" s="137"/>
      <c r="H2" s="137"/>
      <c r="I2" s="8" t="s">
        <v>1094</v>
      </c>
      <c r="N2" s="130"/>
      <c r="O2" s="130"/>
      <c r="P2" s="130"/>
      <c r="Q2" s="130"/>
      <c r="R2" s="130"/>
      <c r="S2" s="130"/>
      <c r="U2" s="204"/>
      <c r="W2" s="194"/>
    </row>
    <row r="3" spans="1:26" s="112" customFormat="1" ht="20.100000000000001" customHeight="1" thickBot="1" x14ac:dyDescent="0.3">
      <c r="A3" s="139" t="str">
        <f ca="1">MID(CELL("filename",A1),FIND("]",CELL("filename",A1))+1,256)</f>
        <v>Technology and Connection Types</v>
      </c>
      <c r="B3" s="140"/>
      <c r="C3" s="140"/>
      <c r="D3" s="315" t="str">
        <f ca="1">IF(hideRegNotice&lt;&gt;"Yes",HYPERLINK("mailto:solutions@watkinsconsulting.com?subject=FFIEC Cybersecurity Assessment Tool "&amp;versionID&amp;" registration/feedback ","Please register to receive updates."),"")</f>
        <v>Please register to receive updates.</v>
      </c>
      <c r="E3" s="141"/>
      <c r="F3" s="142" t="str">
        <f>IF(assessmentDate&gt;0,assessmentDate,"")</f>
        <v/>
      </c>
      <c r="G3" s="141"/>
      <c r="H3" s="141"/>
      <c r="I3" s="155" t="s">
        <v>620</v>
      </c>
      <c r="N3" s="130"/>
      <c r="O3" s="130"/>
      <c r="P3" s="130"/>
      <c r="Q3" s="130"/>
      <c r="R3" s="130"/>
      <c r="S3" s="130"/>
      <c r="U3" s="208"/>
      <c r="W3" s="194"/>
    </row>
    <row r="4" spans="1:26" ht="15.75" thickTop="1" x14ac:dyDescent="0.25">
      <c r="C4" s="128"/>
      <c r="D4" s="130"/>
      <c r="E4" s="130"/>
      <c r="H4" s="128"/>
      <c r="I4" s="129"/>
      <c r="U4" s="193"/>
      <c r="W4" s="194"/>
    </row>
    <row r="5" spans="1:26" ht="20.25" customHeight="1" thickBot="1" x14ac:dyDescent="0.35">
      <c r="B5" s="377" t="s">
        <v>12</v>
      </c>
      <c r="C5" s="377"/>
      <c r="D5" s="377"/>
      <c r="E5" s="377"/>
      <c r="F5" s="377"/>
      <c r="G5" s="377"/>
      <c r="H5" s="377"/>
      <c r="I5" s="377"/>
    </row>
    <row r="6" spans="1:26" ht="15.75" x14ac:dyDescent="0.25">
      <c r="B6" s="53" t="s">
        <v>619</v>
      </c>
      <c r="C6" s="54" t="s">
        <v>618</v>
      </c>
      <c r="D6" s="373" t="s">
        <v>617</v>
      </c>
      <c r="E6" s="374"/>
      <c r="F6" s="374"/>
      <c r="G6" s="374"/>
      <c r="H6" s="374"/>
      <c r="I6" s="375" t="s">
        <v>712</v>
      </c>
      <c r="T6" s="172"/>
    </row>
    <row r="7" spans="1:26" ht="15.75" thickBot="1" x14ac:dyDescent="0.3">
      <c r="B7" s="55">
        <f>COUNTA(techNConnect[Risk])</f>
        <v>14</v>
      </c>
      <c r="C7" s="55">
        <f>COUNTA(techNConnect[Score])</f>
        <v>0</v>
      </c>
      <c r="D7" s="55">
        <f>COUNTIF(techNConnect[Score],riskLeast)</f>
        <v>0</v>
      </c>
      <c r="E7" s="56">
        <f>COUNTIF(techNConnect[Score],riskMinimal)</f>
        <v>0</v>
      </c>
      <c r="F7" s="56">
        <f>COUNTIF(techNConnect[Score],riskModerate)</f>
        <v>0</v>
      </c>
      <c r="G7" s="56">
        <f>COUNTIF(techNConnect[Score],riskSignificant)</f>
        <v>0</v>
      </c>
      <c r="H7" s="56">
        <f>COUNTIF(techNConnect[Score],riskMost)</f>
        <v>0</v>
      </c>
      <c r="I7" s="376"/>
      <c r="T7" s="172"/>
    </row>
    <row r="8" spans="1:26" x14ac:dyDescent="0.25">
      <c r="B8" s="46" t="s">
        <v>6</v>
      </c>
      <c r="C8" s="57" t="s">
        <v>9</v>
      </c>
      <c r="D8" s="46" t="s">
        <v>891</v>
      </c>
      <c r="E8" s="46" t="s">
        <v>887</v>
      </c>
      <c r="F8" s="46" t="s">
        <v>888</v>
      </c>
      <c r="G8" s="46" t="s">
        <v>889</v>
      </c>
      <c r="H8" s="46" t="s">
        <v>890</v>
      </c>
      <c r="I8" s="57" t="s">
        <v>10</v>
      </c>
      <c r="U8" s="172"/>
      <c r="V8" s="172"/>
      <c r="W8" s="172"/>
      <c r="X8" s="172"/>
      <c r="Y8" s="172"/>
      <c r="Z8" s="172"/>
    </row>
    <row r="9" spans="1:26" ht="45" x14ac:dyDescent="0.25">
      <c r="B9" s="109" t="s">
        <v>637</v>
      </c>
      <c r="C9" s="181"/>
      <c r="D9" s="109" t="s">
        <v>651</v>
      </c>
      <c r="E9" s="109" t="s">
        <v>652</v>
      </c>
      <c r="F9" s="109" t="s">
        <v>653</v>
      </c>
      <c r="G9" s="109" t="s">
        <v>654</v>
      </c>
      <c r="H9" s="109" t="s">
        <v>655</v>
      </c>
      <c r="I9" s="50"/>
      <c r="O9" s="184"/>
      <c r="P9" s="184"/>
      <c r="Q9" s="184"/>
      <c r="R9" s="184"/>
      <c r="S9" s="184"/>
      <c r="U9" s="48"/>
      <c r="V9" s="48"/>
      <c r="W9" s="48"/>
      <c r="X9" s="48"/>
      <c r="Y9" s="48"/>
      <c r="Z9" s="48"/>
    </row>
    <row r="10" spans="1:26" ht="60" x14ac:dyDescent="0.25">
      <c r="B10" s="109" t="s">
        <v>638</v>
      </c>
      <c r="C10" s="181"/>
      <c r="D10" s="109" t="s">
        <v>656</v>
      </c>
      <c r="E10" s="109" t="s">
        <v>657</v>
      </c>
      <c r="F10" s="109" t="s">
        <v>658</v>
      </c>
      <c r="G10" s="109" t="s">
        <v>659</v>
      </c>
      <c r="H10" s="109" t="s">
        <v>660</v>
      </c>
      <c r="I10" s="51" t="s">
        <v>0</v>
      </c>
      <c r="O10" s="184"/>
      <c r="P10" s="184"/>
      <c r="Q10" s="184"/>
      <c r="R10" s="184"/>
      <c r="S10" s="184"/>
      <c r="U10" s="48"/>
      <c r="V10" s="48"/>
      <c r="W10" s="48"/>
      <c r="X10" s="48"/>
      <c r="Y10" s="48"/>
      <c r="Z10" s="48"/>
    </row>
    <row r="11" spans="1:26" s="180" customFormat="1" ht="75" x14ac:dyDescent="0.25">
      <c r="B11" s="183" t="s">
        <v>639</v>
      </c>
      <c r="C11" s="181"/>
      <c r="D11" s="183" t="s">
        <v>661</v>
      </c>
      <c r="E11" s="183" t="s">
        <v>662</v>
      </c>
      <c r="F11" s="183" t="s">
        <v>663</v>
      </c>
      <c r="G11" s="183" t="s">
        <v>664</v>
      </c>
      <c r="H11" s="183" t="s">
        <v>665</v>
      </c>
      <c r="I11" s="182" t="s">
        <v>0</v>
      </c>
      <c r="N11" s="185"/>
      <c r="O11" s="184"/>
      <c r="P11" s="184"/>
      <c r="Q11" s="184"/>
      <c r="R11" s="184"/>
      <c r="S11" s="184"/>
      <c r="U11" s="48"/>
      <c r="V11" s="48"/>
      <c r="W11" s="48"/>
      <c r="X11" s="48"/>
      <c r="Y11" s="48"/>
      <c r="Z11" s="48"/>
    </row>
    <row r="12" spans="1:26" ht="90" x14ac:dyDescent="0.25">
      <c r="B12" s="109" t="s">
        <v>640</v>
      </c>
      <c r="C12" s="181"/>
      <c r="D12" s="109" t="s">
        <v>656</v>
      </c>
      <c r="E12" s="109" t="s">
        <v>666</v>
      </c>
      <c r="F12" s="109" t="s">
        <v>667</v>
      </c>
      <c r="G12" s="109" t="s">
        <v>668</v>
      </c>
      <c r="H12" s="109" t="s">
        <v>669</v>
      </c>
      <c r="I12" s="51"/>
      <c r="O12" s="184"/>
      <c r="P12" s="184"/>
      <c r="Q12" s="184"/>
      <c r="R12" s="184"/>
      <c r="S12" s="184"/>
      <c r="U12" s="48"/>
      <c r="V12" s="48"/>
      <c r="W12" s="48"/>
      <c r="X12" s="48"/>
      <c r="Y12" s="48"/>
      <c r="Z12" s="48"/>
    </row>
    <row r="13" spans="1:26" ht="105" x14ac:dyDescent="0.25">
      <c r="B13" s="109" t="s">
        <v>641</v>
      </c>
      <c r="C13" s="181"/>
      <c r="D13" s="109" t="s">
        <v>670</v>
      </c>
      <c r="E13" s="109" t="s">
        <v>671</v>
      </c>
      <c r="F13" s="109" t="s">
        <v>672</v>
      </c>
      <c r="G13" s="109" t="s">
        <v>673</v>
      </c>
      <c r="H13" s="109" t="s">
        <v>674</v>
      </c>
      <c r="I13" s="51" t="s">
        <v>0</v>
      </c>
      <c r="O13" s="184"/>
      <c r="P13" s="184"/>
      <c r="Q13" s="184"/>
      <c r="R13" s="184"/>
      <c r="S13" s="184"/>
      <c r="U13" s="48"/>
      <c r="V13" s="48"/>
      <c r="W13" s="48"/>
      <c r="X13" s="48"/>
      <c r="Y13" s="48"/>
      <c r="Z13" s="48"/>
    </row>
    <row r="14" spans="1:26" ht="45" x14ac:dyDescent="0.25">
      <c r="B14" s="109" t="s">
        <v>642</v>
      </c>
      <c r="C14" s="181"/>
      <c r="D14" s="109" t="s">
        <v>656</v>
      </c>
      <c r="E14" s="109" t="s">
        <v>675</v>
      </c>
      <c r="F14" s="109" t="s">
        <v>676</v>
      </c>
      <c r="G14" s="109" t="s">
        <v>677</v>
      </c>
      <c r="H14" s="109" t="s">
        <v>678</v>
      </c>
      <c r="I14" s="51" t="s">
        <v>0</v>
      </c>
      <c r="O14" s="184"/>
      <c r="P14" s="184"/>
      <c r="Q14" s="184"/>
      <c r="R14" s="184"/>
      <c r="S14" s="184"/>
      <c r="U14" s="48"/>
      <c r="V14" s="48"/>
      <c r="W14" s="48"/>
      <c r="X14" s="48"/>
      <c r="Y14" s="48"/>
      <c r="Z14" s="48"/>
    </row>
    <row r="15" spans="1:26" ht="45" x14ac:dyDescent="0.25">
      <c r="B15" s="109" t="s">
        <v>643</v>
      </c>
      <c r="C15" s="181"/>
      <c r="D15" s="109" t="s">
        <v>679</v>
      </c>
      <c r="E15" s="109" t="s">
        <v>680</v>
      </c>
      <c r="F15" s="109" t="s">
        <v>681</v>
      </c>
      <c r="G15" s="109" t="s">
        <v>682</v>
      </c>
      <c r="H15" s="109" t="s">
        <v>683</v>
      </c>
      <c r="I15" s="51" t="s">
        <v>0</v>
      </c>
      <c r="O15" s="184"/>
      <c r="P15" s="184"/>
      <c r="Q15" s="184"/>
      <c r="R15" s="184"/>
      <c r="S15" s="184"/>
      <c r="U15" s="48"/>
      <c r="V15" s="48"/>
      <c r="W15" s="48"/>
      <c r="X15" s="48"/>
      <c r="Y15" s="48"/>
      <c r="Z15" s="48"/>
    </row>
    <row r="16" spans="1:26" ht="45" x14ac:dyDescent="0.25">
      <c r="B16" s="109" t="s">
        <v>644</v>
      </c>
      <c r="C16" s="181"/>
      <c r="D16" s="109" t="s">
        <v>684</v>
      </c>
      <c r="E16" s="109" t="s">
        <v>1057</v>
      </c>
      <c r="F16" s="109" t="s">
        <v>1058</v>
      </c>
      <c r="G16" s="109" t="s">
        <v>685</v>
      </c>
      <c r="H16" s="109" t="s">
        <v>686</v>
      </c>
      <c r="I16" s="51" t="s">
        <v>0</v>
      </c>
      <c r="O16" s="184"/>
      <c r="P16" s="184"/>
      <c r="Q16" s="184"/>
      <c r="R16" s="184"/>
      <c r="S16" s="184"/>
      <c r="U16" s="48"/>
      <c r="V16" s="48"/>
      <c r="W16" s="48"/>
      <c r="X16" s="48"/>
      <c r="Y16" s="48"/>
      <c r="Z16" s="48"/>
    </row>
    <row r="17" spans="2:26" ht="90" x14ac:dyDescent="0.25">
      <c r="B17" s="109" t="s">
        <v>645</v>
      </c>
      <c r="C17" s="181"/>
      <c r="D17" s="109" t="s">
        <v>687</v>
      </c>
      <c r="E17" s="109" t="s">
        <v>688</v>
      </c>
      <c r="F17" s="109" t="s">
        <v>689</v>
      </c>
      <c r="G17" s="109" t="s">
        <v>690</v>
      </c>
      <c r="H17" s="109" t="s">
        <v>691</v>
      </c>
      <c r="I17" s="51" t="s">
        <v>0</v>
      </c>
      <c r="O17" s="184"/>
      <c r="P17" s="184"/>
      <c r="Q17" s="184"/>
      <c r="R17" s="184"/>
      <c r="S17" s="184"/>
      <c r="U17" s="48"/>
      <c r="V17" s="48"/>
      <c r="W17" s="48"/>
      <c r="X17" s="48"/>
      <c r="Y17" s="48"/>
      <c r="Z17" s="48"/>
    </row>
    <row r="18" spans="2:26" ht="90" x14ac:dyDescent="0.25">
      <c r="B18" s="109" t="s">
        <v>646</v>
      </c>
      <c r="C18" s="181"/>
      <c r="D18" s="109" t="s">
        <v>692</v>
      </c>
      <c r="E18" s="109" t="s">
        <v>693</v>
      </c>
      <c r="F18" s="109" t="s">
        <v>694</v>
      </c>
      <c r="G18" s="109" t="s">
        <v>695</v>
      </c>
      <c r="H18" s="109" t="s">
        <v>696</v>
      </c>
      <c r="I18" s="51"/>
      <c r="O18" s="184"/>
      <c r="P18" s="184"/>
      <c r="Q18" s="184"/>
      <c r="R18" s="184"/>
      <c r="S18" s="184"/>
      <c r="U18" s="48"/>
      <c r="V18" s="48"/>
      <c r="W18" s="48"/>
      <c r="X18" s="48"/>
      <c r="Y18" s="48"/>
      <c r="Z18" s="48"/>
    </row>
    <row r="19" spans="2:26" ht="30" x14ac:dyDescent="0.25">
      <c r="B19" s="109" t="s">
        <v>647</v>
      </c>
      <c r="C19" s="181"/>
      <c r="D19" s="109" t="s">
        <v>697</v>
      </c>
      <c r="E19" s="109" t="s">
        <v>698</v>
      </c>
      <c r="F19" s="109" t="s">
        <v>699</v>
      </c>
      <c r="G19" s="109" t="s">
        <v>700</v>
      </c>
      <c r="H19" s="109" t="s">
        <v>701</v>
      </c>
      <c r="I19" s="51" t="s">
        <v>0</v>
      </c>
      <c r="O19" s="184"/>
      <c r="P19" s="184"/>
      <c r="Q19" s="184"/>
      <c r="R19" s="184"/>
      <c r="S19" s="184"/>
      <c r="U19" s="48"/>
      <c r="V19" s="48"/>
      <c r="W19" s="48"/>
      <c r="X19" s="48"/>
      <c r="Y19" s="48"/>
      <c r="Z19" s="48"/>
    </row>
    <row r="20" spans="2:26" ht="45" x14ac:dyDescent="0.25">
      <c r="B20" s="109" t="s">
        <v>648</v>
      </c>
      <c r="C20" s="181"/>
      <c r="D20" s="109" t="s">
        <v>702</v>
      </c>
      <c r="E20" s="109" t="s">
        <v>1063</v>
      </c>
      <c r="F20" s="109" t="s">
        <v>703</v>
      </c>
      <c r="G20" s="109" t="s">
        <v>1059</v>
      </c>
      <c r="H20" s="109" t="s">
        <v>704</v>
      </c>
      <c r="I20" s="51" t="s">
        <v>0</v>
      </c>
      <c r="O20" s="184"/>
      <c r="P20" s="184"/>
      <c r="Q20" s="184"/>
      <c r="R20" s="184"/>
      <c r="S20" s="184"/>
      <c r="U20" s="48"/>
      <c r="V20" s="48"/>
      <c r="W20" s="48"/>
      <c r="X20" s="48"/>
      <c r="Y20" s="48"/>
      <c r="Z20" s="48"/>
    </row>
    <row r="21" spans="2:26" ht="105" x14ac:dyDescent="0.25">
      <c r="B21" s="109" t="s">
        <v>649</v>
      </c>
      <c r="C21" s="181"/>
      <c r="D21" s="109" t="s">
        <v>705</v>
      </c>
      <c r="E21" s="109" t="s">
        <v>706</v>
      </c>
      <c r="F21" s="109" t="s">
        <v>707</v>
      </c>
      <c r="G21" s="109" t="s">
        <v>708</v>
      </c>
      <c r="H21" s="109" t="s">
        <v>1060</v>
      </c>
      <c r="I21" s="52"/>
      <c r="O21" s="184"/>
      <c r="P21" s="184"/>
      <c r="Q21" s="184"/>
      <c r="R21" s="184"/>
      <c r="S21" s="184"/>
      <c r="U21" s="48"/>
      <c r="V21" s="48"/>
      <c r="W21" s="48"/>
      <c r="X21" s="48"/>
      <c r="Y21" s="48"/>
      <c r="Z21" s="48"/>
    </row>
    <row r="22" spans="2:26" ht="75" x14ac:dyDescent="0.25">
      <c r="B22" s="109" t="s">
        <v>650</v>
      </c>
      <c r="C22" s="181"/>
      <c r="D22" s="109" t="s">
        <v>709</v>
      </c>
      <c r="E22" s="109" t="s">
        <v>1061</v>
      </c>
      <c r="F22" s="109" t="s">
        <v>710</v>
      </c>
      <c r="G22" s="109" t="s">
        <v>1062</v>
      </c>
      <c r="H22" s="109" t="s">
        <v>711</v>
      </c>
      <c r="I22" s="51" t="s">
        <v>0</v>
      </c>
      <c r="N22" s="203"/>
      <c r="O22" s="184"/>
      <c r="P22" s="184"/>
      <c r="Q22" s="184"/>
      <c r="R22" s="184"/>
      <c r="S22" s="184"/>
      <c r="U22" s="48"/>
      <c r="V22" s="48"/>
      <c r="W22" s="48"/>
      <c r="X22" s="48"/>
      <c r="Y22" s="48"/>
      <c r="Z22" s="48"/>
    </row>
  </sheetData>
  <sheetProtection algorithmName="SHA-512" hashValue="28aaU2u0FbnzK5E2JytosuhIm3/BeDpFSM1nB9n0tSVaJATJIny05qahG+VL93xsunWVZC666LwBICbiXk2Awg==" saltValue="a5+32w8o0wVBmp9Z2EOvTw==" spinCount="100000" sheet="1" objects="1" scenarios="1" formatCells="0" formatColumns="0" formatRows="0" sort="0" autoFilter="0"/>
  <mergeCells count="3">
    <mergeCell ref="D6:H6"/>
    <mergeCell ref="I6:I7"/>
    <mergeCell ref="B5:I5"/>
  </mergeCells>
  <conditionalFormatting sqref="D9:D22">
    <cfRule type="expression" dxfId="69" priority="2" stopIfTrue="1">
      <formula>$C9=riskLeast</formula>
    </cfRule>
  </conditionalFormatting>
  <conditionalFormatting sqref="E9:E22">
    <cfRule type="expression" dxfId="68" priority="3" stopIfTrue="1">
      <formula>$C9=riskMinimal</formula>
    </cfRule>
  </conditionalFormatting>
  <conditionalFormatting sqref="H9:H22">
    <cfRule type="expression" dxfId="67" priority="6" stopIfTrue="1">
      <formula>$C9=riskMost</formula>
    </cfRule>
  </conditionalFormatting>
  <conditionalFormatting sqref="G9:G22">
    <cfRule type="expression" dxfId="66" priority="5" stopIfTrue="1">
      <formula>$C9=riskSignificant</formula>
    </cfRule>
  </conditionalFormatting>
  <conditionalFormatting sqref="F9:F22">
    <cfRule type="expression" dxfId="65" priority="4" stopIfTrue="1">
      <formula>$C9=riskModerate</formula>
    </cfRule>
  </conditionalFormatting>
  <conditionalFormatting sqref="W3">
    <cfRule type="expression" dxfId="64" priority="1" stopIfTrue="1">
      <formula>$C3=riskMinimal</formula>
    </cfRule>
  </conditionalFormatting>
  <dataValidations count="1">
    <dataValidation type="list" allowBlank="1" showInputMessage="1" showErrorMessage="1" sqref="C9:C22" xr:uid="{00000000-0002-0000-0400-000000000000}">
      <formula1>riskLevels</formula1>
    </dataValidation>
  </dataValidations>
  <hyperlinks>
    <hyperlink ref="I3" location="disclaimer" display="disclaimer" xr:uid="{00000000-0004-0000-0400-000000000000}"/>
    <hyperlink ref="I2" location="workbookInfo" display="Workbook Information" xr:uid="{00000000-0004-0000-0400-000001000000}"/>
  </hyperlinks>
  <pageMargins left="0.25" right="0.25" top="0.75" bottom="0.75" header="0.3" footer="0.3"/>
  <pageSetup scale="52" fitToHeight="0" orientation="landscape" r:id="rId1"/>
  <headerFooter>
    <oddHeader>&amp;C&amp;A</oddHeader>
    <oddFooter>&amp;L&amp;"-,Bold"Confidential-Authorized Use Only&amp;C&amp;D&amp;RPage &amp;P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39997558519241921"/>
    <pageSetUpPr fitToPage="1"/>
  </sheetPr>
  <dimension ref="A1:AB22"/>
  <sheetViews>
    <sheetView zoomScaleNormal="100" workbookViewId="0">
      <pane xSplit="3" ySplit="8" topLeftCell="D9" activePane="bottomRight" state="frozen"/>
      <selection pane="topRight" activeCell="D1" sqref="D1"/>
      <selection pane="bottomLeft" activeCell="A11" sqref="A11"/>
      <selection pane="bottomRight" activeCell="C9" sqref="C9"/>
    </sheetView>
  </sheetViews>
  <sheetFormatPr defaultColWidth="8.85546875" defaultRowHeight="15" x14ac:dyDescent="0.25"/>
  <cols>
    <col min="1" max="1" width="1.28515625" style="10" customWidth="1"/>
    <col min="2" max="2" width="30.7109375" style="10" customWidth="1"/>
    <col min="3" max="3" width="20.7109375" style="10" customWidth="1"/>
    <col min="4" max="8" width="30.7109375" style="10" customWidth="1"/>
    <col min="9" max="9" width="50.7109375" style="10" customWidth="1"/>
    <col min="10" max="13" width="8.85546875" style="10" customWidth="1"/>
    <col min="14" max="14" width="15.7109375" style="10" customWidth="1"/>
    <col min="15" max="15" width="12.28515625" style="10" customWidth="1"/>
    <col min="16" max="16" width="14" style="10" customWidth="1"/>
    <col min="17" max="20" width="8.85546875" style="10" customWidth="1"/>
    <col min="21" max="16384" width="8.85546875" style="10"/>
  </cols>
  <sheetData>
    <row r="1" spans="1:28" s="112" customFormat="1" ht="20.100000000000001" customHeight="1" x14ac:dyDescent="0.25">
      <c r="A1" s="316" t="str">
        <f>HYPERLINK(websiteHTTP&amp;webSiteURL,"Watkins Consulting")</f>
        <v>Watkins Consulting</v>
      </c>
      <c r="B1" s="132"/>
      <c r="C1" s="132"/>
      <c r="D1" s="132"/>
      <c r="E1" s="132"/>
      <c r="F1" s="136" t="str">
        <f>IF(firmName&gt;0,firmName,"")</f>
        <v/>
      </c>
      <c r="G1" s="132"/>
      <c r="H1" s="132"/>
      <c r="I1" s="8" t="str">
        <f>HYPERLINK(websiteHTTP&amp;webSiteURL&amp;userManualrURL,"User Manual")</f>
        <v>User Manual</v>
      </c>
    </row>
    <row r="2" spans="1:28" s="112" customFormat="1" ht="20.100000000000001" customHeight="1" x14ac:dyDescent="0.25">
      <c r="A2" s="256" t="str">
        <f ca="1">workbookVersionLabel</f>
        <v xml:space="preserve"> Excel Workbook Version: 3.4.2</v>
      </c>
      <c r="B2" s="132"/>
      <c r="C2" s="132"/>
      <c r="D2" s="132"/>
      <c r="E2" s="137"/>
      <c r="F2" s="133" t="str">
        <f>Information</f>
        <v>FFIEC Cybersecurity Assessment Tool (May 2017)</v>
      </c>
      <c r="G2" s="137"/>
      <c r="H2" s="137"/>
      <c r="I2" s="8" t="s">
        <v>1094</v>
      </c>
      <c r="U2" s="207"/>
    </row>
    <row r="3" spans="1:28" s="112" customFormat="1" ht="20.100000000000001" customHeight="1" thickBot="1" x14ac:dyDescent="0.3">
      <c r="A3" s="139" t="str">
        <f ca="1">MID(CELL("filename",A1),FIND("]",CELL("filename",A1))+1,256)</f>
        <v>Delivery Channels</v>
      </c>
      <c r="B3" s="140"/>
      <c r="C3" s="140"/>
      <c r="D3" s="141"/>
      <c r="E3" s="141"/>
      <c r="F3" s="142" t="str">
        <f>IF(assessmentDate&gt;0,assessmentDate,"")</f>
        <v/>
      </c>
      <c r="G3" s="141"/>
      <c r="H3" s="141"/>
      <c r="I3" s="155" t="s">
        <v>620</v>
      </c>
      <c r="T3" s="205"/>
      <c r="U3" s="207"/>
    </row>
    <row r="4" spans="1:28" s="112" customFormat="1" ht="15.75" thickTop="1" x14ac:dyDescent="0.25">
      <c r="D4" s="379"/>
      <c r="E4" s="379"/>
      <c r="U4" s="193"/>
    </row>
    <row r="5" spans="1:28" ht="20.25" thickBot="1" x14ac:dyDescent="0.35">
      <c r="B5" s="377" t="s">
        <v>13</v>
      </c>
      <c r="C5" s="377"/>
      <c r="D5" s="377"/>
      <c r="E5" s="377"/>
      <c r="F5" s="377"/>
      <c r="G5" s="377"/>
      <c r="H5" s="377"/>
      <c r="I5" s="377"/>
    </row>
    <row r="6" spans="1:28" ht="15.75" x14ac:dyDescent="0.25">
      <c r="B6" s="54" t="s">
        <v>619</v>
      </c>
      <c r="C6" s="54" t="s">
        <v>618</v>
      </c>
      <c r="D6" s="373" t="s">
        <v>617</v>
      </c>
      <c r="E6" s="374"/>
      <c r="F6" s="374"/>
      <c r="G6" s="374"/>
      <c r="H6" s="378"/>
      <c r="I6" s="375" t="s">
        <v>712</v>
      </c>
    </row>
    <row r="7" spans="1:28" ht="15.75" thickBot="1" x14ac:dyDescent="0.3">
      <c r="B7" s="60">
        <f>COUNTA(deliveryChannels[Risk])</f>
        <v>3</v>
      </c>
      <c r="C7" s="60">
        <f>COUNTA(deliveryChannels[Score])</f>
        <v>0</v>
      </c>
      <c r="D7" s="55">
        <f>COUNTIF(deliveryChannels[Score],riskLeast)</f>
        <v>0</v>
      </c>
      <c r="E7" s="56">
        <f>COUNTIF(deliveryChannels[Score],riskMinimal)</f>
        <v>0</v>
      </c>
      <c r="F7" s="56">
        <f>COUNTIF(deliveryChannels[Score],riskModerate)</f>
        <v>0</v>
      </c>
      <c r="G7" s="56">
        <f>COUNTIF(deliveryChannels[Score],riskSignificant)</f>
        <v>0</v>
      </c>
      <c r="H7" s="61">
        <f>COUNTIF(deliveryChannels[Score],riskMost)</f>
        <v>0</v>
      </c>
      <c r="I7" s="376"/>
    </row>
    <row r="8" spans="1:28" x14ac:dyDescent="0.25">
      <c r="B8" s="46" t="s">
        <v>6</v>
      </c>
      <c r="C8" s="62" t="s">
        <v>9</v>
      </c>
      <c r="D8" s="46" t="s">
        <v>1</v>
      </c>
      <c r="E8" s="46" t="s">
        <v>2</v>
      </c>
      <c r="F8" s="46" t="s">
        <v>3</v>
      </c>
      <c r="G8" s="46" t="s">
        <v>4</v>
      </c>
      <c r="H8" s="46" t="s">
        <v>5</v>
      </c>
      <c r="I8" s="62" t="s">
        <v>10</v>
      </c>
      <c r="N8" s="185"/>
      <c r="O8" s="185"/>
      <c r="P8" s="185"/>
      <c r="Q8" s="185"/>
      <c r="R8" s="185"/>
      <c r="S8" s="185"/>
      <c r="T8" s="193"/>
      <c r="U8" s="193"/>
      <c r="V8" s="193"/>
      <c r="W8" s="193"/>
      <c r="X8" s="193"/>
      <c r="Y8" s="193"/>
      <c r="Z8" s="193"/>
    </row>
    <row r="9" spans="1:28" ht="80.25" customHeight="1" x14ac:dyDescent="0.25">
      <c r="B9" s="109" t="s">
        <v>713</v>
      </c>
      <c r="C9" s="59"/>
      <c r="D9" s="157" t="s">
        <v>716</v>
      </c>
      <c r="E9" s="157" t="s">
        <v>717</v>
      </c>
      <c r="F9" s="157" t="s">
        <v>718</v>
      </c>
      <c r="G9" s="157" t="s">
        <v>719</v>
      </c>
      <c r="H9" s="157" t="s">
        <v>720</v>
      </c>
      <c r="I9" s="50" t="s">
        <v>0</v>
      </c>
      <c r="N9" s="206"/>
      <c r="O9" s="206"/>
      <c r="P9" s="206"/>
      <c r="Q9" s="206"/>
      <c r="R9" s="206"/>
      <c r="S9" s="206"/>
      <c r="U9" s="48"/>
      <c r="V9" s="48"/>
      <c r="W9" s="48"/>
      <c r="X9" s="48"/>
      <c r="Y9" s="48"/>
      <c r="Z9" s="48"/>
      <c r="AB9" s="193"/>
    </row>
    <row r="10" spans="1:28" ht="75" customHeight="1" x14ac:dyDescent="0.25">
      <c r="B10" s="109" t="s">
        <v>714</v>
      </c>
      <c r="C10" s="59"/>
      <c r="D10" s="109" t="s">
        <v>656</v>
      </c>
      <c r="E10" s="109" t="s">
        <v>721</v>
      </c>
      <c r="F10" s="109" t="s">
        <v>722</v>
      </c>
      <c r="G10" s="109" t="s">
        <v>723</v>
      </c>
      <c r="H10" s="109" t="s">
        <v>724</v>
      </c>
      <c r="I10" s="51" t="s">
        <v>0</v>
      </c>
      <c r="N10" s="206"/>
      <c r="O10" s="206"/>
      <c r="P10" s="206"/>
      <c r="Q10" s="206"/>
      <c r="R10" s="206"/>
      <c r="S10" s="206"/>
      <c r="U10" s="48"/>
      <c r="V10" s="48"/>
      <c r="W10" s="48"/>
      <c r="X10" s="48"/>
      <c r="Y10" s="48"/>
      <c r="Z10" s="48"/>
    </row>
    <row r="11" spans="1:28" ht="111" customHeight="1" x14ac:dyDescent="0.25">
      <c r="B11" s="109" t="s">
        <v>715</v>
      </c>
      <c r="C11" s="59"/>
      <c r="D11" s="109" t="s">
        <v>725</v>
      </c>
      <c r="E11" s="109" t="s">
        <v>726</v>
      </c>
      <c r="F11" s="109" t="s">
        <v>727</v>
      </c>
      <c r="G11" s="109" t="s">
        <v>728</v>
      </c>
      <c r="H11" s="109" t="s">
        <v>729</v>
      </c>
      <c r="I11" s="51" t="s">
        <v>0</v>
      </c>
      <c r="N11" s="206"/>
      <c r="O11" s="206"/>
      <c r="P11" s="206"/>
      <c r="Q11" s="206"/>
      <c r="R11" s="206"/>
      <c r="S11" s="206"/>
      <c r="U11" s="48"/>
      <c r="V11" s="48"/>
      <c r="W11" s="48"/>
      <c r="X11" s="48"/>
      <c r="Y11" s="48"/>
      <c r="Z11" s="48"/>
    </row>
    <row r="12" spans="1:28" x14ac:dyDescent="0.25">
      <c r="I12" s="46" t="s">
        <v>0</v>
      </c>
    </row>
    <row r="13" spans="1:28" x14ac:dyDescent="0.25">
      <c r="I13" s="46" t="s">
        <v>0</v>
      </c>
    </row>
    <row r="14" spans="1:28" x14ac:dyDescent="0.25">
      <c r="I14" s="46" t="s">
        <v>0</v>
      </c>
    </row>
    <row r="15" spans="1:28" x14ac:dyDescent="0.25">
      <c r="I15" s="46" t="s">
        <v>0</v>
      </c>
    </row>
    <row r="16" spans="1:28" x14ac:dyDescent="0.25">
      <c r="I16" s="46" t="s">
        <v>0</v>
      </c>
    </row>
    <row r="17" spans="9:9" x14ac:dyDescent="0.25">
      <c r="I17" s="46" t="s">
        <v>0</v>
      </c>
    </row>
    <row r="18" spans="9:9" x14ac:dyDescent="0.25">
      <c r="I18" s="10" t="s">
        <v>0</v>
      </c>
    </row>
    <row r="19" spans="9:9" x14ac:dyDescent="0.25">
      <c r="I19" s="10" t="s">
        <v>0</v>
      </c>
    </row>
    <row r="20" spans="9:9" x14ac:dyDescent="0.25">
      <c r="I20" s="10" t="s">
        <v>0</v>
      </c>
    </row>
    <row r="21" spans="9:9" x14ac:dyDescent="0.25">
      <c r="I21" s="10" t="s">
        <v>0</v>
      </c>
    </row>
    <row r="22" spans="9:9" x14ac:dyDescent="0.25">
      <c r="I22" s="46" t="s">
        <v>0</v>
      </c>
    </row>
  </sheetData>
  <sheetProtection algorithmName="SHA-512" hashValue="H88sF5K8KrLwYXUtctKeczwBhfLSnCTOAlf9I8+5cShAXTQMMjxDyTXYqNz2MTDGWwk6kO7lxHPYo4bfv0IchA==" saltValue="bRuEQo+mwGZvClUXqqrOrQ==" spinCount="100000" sheet="1" objects="1" scenarios="1" formatCells="0" formatColumns="0" formatRows="0" sort="0" autoFilter="0"/>
  <mergeCells count="4">
    <mergeCell ref="D6:H6"/>
    <mergeCell ref="I6:I7"/>
    <mergeCell ref="B5:I5"/>
    <mergeCell ref="D4:E4"/>
  </mergeCells>
  <conditionalFormatting sqref="D9:D11">
    <cfRule type="expression" dxfId="63" priority="2" stopIfTrue="1">
      <formula>$C9=riskLeast</formula>
    </cfRule>
  </conditionalFormatting>
  <conditionalFormatting sqref="E9:E11">
    <cfRule type="expression" dxfId="62" priority="3" stopIfTrue="1">
      <formula>$C9=riskMinimal</formula>
    </cfRule>
  </conditionalFormatting>
  <conditionalFormatting sqref="H9:H11">
    <cfRule type="expression" dxfId="61" priority="6" stopIfTrue="1">
      <formula>$C9=riskMost</formula>
    </cfRule>
  </conditionalFormatting>
  <conditionalFormatting sqref="G9:G11">
    <cfRule type="expression" dxfId="60" priority="5" stopIfTrue="1">
      <formula>$C9=riskSignificant</formula>
    </cfRule>
  </conditionalFormatting>
  <conditionalFormatting sqref="F9:F11">
    <cfRule type="expression" dxfId="59" priority="4" stopIfTrue="1">
      <formula>$C9=riskModerate</formula>
    </cfRule>
  </conditionalFormatting>
  <dataValidations count="1">
    <dataValidation type="list" allowBlank="1" showInputMessage="1" showErrorMessage="1" sqref="C9:C11" xr:uid="{00000000-0002-0000-0500-000000000000}">
      <formula1>riskLevels</formula1>
    </dataValidation>
  </dataValidations>
  <hyperlinks>
    <hyperlink ref="I3" location="disclaimer" display="disclaimer" xr:uid="{00000000-0004-0000-0500-000000000000}"/>
    <hyperlink ref="I2" location="workbookInfo" display="Workbook Information" xr:uid="{00000000-0004-0000-0500-000001000000}"/>
  </hyperlinks>
  <pageMargins left="0.25" right="0.25" top="0.75" bottom="0.75" header="0.3" footer="0.3"/>
  <pageSetup scale="66" fitToHeight="0" orientation="landscape" r:id="rId1"/>
  <headerFooter>
    <oddHeader>&amp;C&amp;A</oddHeader>
    <oddFooter>&amp;L&amp;"-,Bold"Confidential-Authorized Use Only&amp;C&amp;D&amp;RPage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9" tint="0.39997558519241921"/>
    <pageSetUpPr fitToPage="1"/>
  </sheetPr>
  <dimension ref="A1:Z31"/>
  <sheetViews>
    <sheetView zoomScaleNormal="100" workbookViewId="0">
      <pane xSplit="3" ySplit="8" topLeftCell="D9" activePane="bottomRight" state="frozen"/>
      <selection pane="topRight" activeCell="D1" sqref="D1"/>
      <selection pane="bottomLeft" activeCell="A11" sqref="A11"/>
      <selection pane="bottomRight" activeCell="C9" sqref="C9"/>
    </sheetView>
  </sheetViews>
  <sheetFormatPr defaultColWidth="8.85546875" defaultRowHeight="15" x14ac:dyDescent="0.25"/>
  <cols>
    <col min="1" max="1" width="1.28515625" style="10" customWidth="1"/>
    <col min="2" max="2" width="30.7109375" style="10" customWidth="1"/>
    <col min="3" max="3" width="20.7109375" style="10" customWidth="1"/>
    <col min="4" max="8" width="30.7109375" style="10" customWidth="1"/>
    <col min="9" max="9" width="50.7109375" style="10" customWidth="1"/>
    <col min="10" max="20" width="8.85546875" style="10" customWidth="1"/>
    <col min="21" max="23" width="8.85546875" style="10"/>
    <col min="24" max="24" width="12.7109375" style="10" customWidth="1"/>
    <col min="25" max="16384" width="8.85546875" style="10"/>
  </cols>
  <sheetData>
    <row r="1" spans="1:26" s="112" customFormat="1" ht="20.100000000000001" customHeight="1" x14ac:dyDescent="0.25">
      <c r="A1" s="6" t="str">
        <f>HYPERLINK(websiteHTTP&amp;webSiteURL,"Watkins Consulting")</f>
        <v>Watkins Consulting</v>
      </c>
      <c r="B1" s="132"/>
      <c r="C1" s="132"/>
      <c r="D1" s="132"/>
      <c r="E1" s="132"/>
      <c r="F1" s="136" t="str">
        <f>IF(firmName&gt;0,firmName,"")</f>
        <v/>
      </c>
      <c r="G1" s="132"/>
      <c r="H1" s="132"/>
      <c r="I1" s="8" t="str">
        <f>HYPERLINK(websiteHTTP&amp;webSiteURL&amp;userManualrURL,"User Manual")</f>
        <v>User Manual</v>
      </c>
      <c r="N1" s="209"/>
      <c r="O1" s="209"/>
      <c r="P1" s="209"/>
      <c r="Q1" s="209"/>
      <c r="R1" s="209"/>
      <c r="S1" s="209"/>
      <c r="T1" s="209"/>
      <c r="U1" s="209"/>
      <c r="V1" s="209"/>
      <c r="W1" s="209"/>
      <c r="X1" s="209"/>
      <c r="Y1" s="209"/>
      <c r="Z1" s="209"/>
    </row>
    <row r="2" spans="1:26" s="112" customFormat="1" ht="20.100000000000001" customHeight="1" x14ac:dyDescent="0.25">
      <c r="A2" s="256" t="str">
        <f ca="1">workbookVersionLabel</f>
        <v xml:space="preserve"> Excel Workbook Version: 3.4.2</v>
      </c>
      <c r="B2" s="132"/>
      <c r="C2" s="132"/>
      <c r="D2" s="132"/>
      <c r="E2" s="137"/>
      <c r="F2" s="133" t="str">
        <f>Information</f>
        <v>FFIEC Cybersecurity Assessment Tool (May 2017)</v>
      </c>
      <c r="G2" s="137"/>
      <c r="H2" s="137"/>
      <c r="I2" s="8" t="s">
        <v>1094</v>
      </c>
      <c r="N2" s="209"/>
      <c r="O2" s="209"/>
      <c r="P2" s="209"/>
      <c r="Q2" s="209"/>
      <c r="R2" s="209"/>
      <c r="S2" s="209"/>
      <c r="T2" s="209"/>
      <c r="U2" s="210"/>
      <c r="V2" s="209"/>
      <c r="W2" s="209"/>
      <c r="X2" s="209"/>
      <c r="Y2" s="209"/>
      <c r="Z2" s="209"/>
    </row>
    <row r="3" spans="1:26" s="112" customFormat="1" ht="20.100000000000001" customHeight="1" thickBot="1" x14ac:dyDescent="0.3">
      <c r="A3" s="139" t="str">
        <f ca="1">MID(CELL("filename",A1),FIND("]",CELL("filename",A1))+1,256)</f>
        <v>Online, Mobile and Services</v>
      </c>
      <c r="B3" s="140"/>
      <c r="C3" s="140"/>
      <c r="D3" s="141"/>
      <c r="E3" s="141"/>
      <c r="F3" s="142" t="str">
        <f>IF(assessmentDate&gt;0,assessmentDate,"")</f>
        <v/>
      </c>
      <c r="G3" s="141"/>
      <c r="H3" s="141"/>
      <c r="I3" s="155" t="s">
        <v>620</v>
      </c>
      <c r="N3" s="209"/>
      <c r="O3" s="209"/>
      <c r="P3" s="209"/>
      <c r="Q3" s="209"/>
      <c r="R3" s="209"/>
      <c r="S3" s="209"/>
      <c r="T3" s="209"/>
      <c r="U3" s="210"/>
      <c r="V3" s="209"/>
      <c r="W3" s="209"/>
      <c r="X3" s="209"/>
      <c r="Y3" s="209"/>
      <c r="Z3" s="209"/>
    </row>
    <row r="4" spans="1:26" s="112" customFormat="1" ht="15.75" thickTop="1" x14ac:dyDescent="0.25">
      <c r="D4" s="379"/>
      <c r="E4" s="379"/>
      <c r="N4" s="209"/>
      <c r="O4" s="209"/>
      <c r="P4" s="209"/>
      <c r="Q4" s="209"/>
      <c r="R4" s="209"/>
      <c r="S4" s="209"/>
      <c r="T4" s="209"/>
      <c r="U4" s="193"/>
      <c r="V4" s="209"/>
      <c r="W4" s="209"/>
      <c r="X4" s="209"/>
      <c r="Y4" s="209"/>
      <c r="Z4" s="209"/>
    </row>
    <row r="5" spans="1:26" ht="20.25" customHeight="1" thickBot="1" x14ac:dyDescent="0.35">
      <c r="B5" s="377" t="s">
        <v>14</v>
      </c>
      <c r="C5" s="377"/>
      <c r="D5" s="377"/>
      <c r="E5" s="377"/>
      <c r="F5" s="377"/>
      <c r="G5" s="377"/>
      <c r="H5" s="377"/>
      <c r="I5" s="377"/>
      <c r="N5" s="193"/>
      <c r="O5" s="193"/>
      <c r="P5" s="193"/>
      <c r="Q5" s="193"/>
      <c r="R5" s="193"/>
      <c r="S5" s="193"/>
      <c r="T5" s="193"/>
      <c r="U5" s="193"/>
      <c r="V5" s="193"/>
      <c r="W5" s="193"/>
      <c r="X5" s="193"/>
      <c r="Y5" s="193"/>
      <c r="Z5" s="193"/>
    </row>
    <row r="6" spans="1:26" ht="15.75" x14ac:dyDescent="0.25">
      <c r="B6" s="54" t="s">
        <v>619</v>
      </c>
      <c r="C6" s="54" t="s">
        <v>618</v>
      </c>
      <c r="D6" s="373" t="s">
        <v>617</v>
      </c>
      <c r="E6" s="374"/>
      <c r="F6" s="374"/>
      <c r="G6" s="374"/>
      <c r="H6" s="378"/>
      <c r="I6" s="375" t="s">
        <v>712</v>
      </c>
      <c r="N6" s="193"/>
      <c r="O6" s="193"/>
      <c r="P6" s="193"/>
      <c r="Q6" s="193"/>
      <c r="R6" s="193"/>
      <c r="S6" s="193"/>
      <c r="T6" s="193"/>
      <c r="U6" s="193"/>
      <c r="V6" s="193"/>
      <c r="W6" s="193"/>
      <c r="X6" s="193"/>
      <c r="Y6" s="193"/>
      <c r="Z6" s="193"/>
    </row>
    <row r="7" spans="1:26" ht="15.75" customHeight="1" thickBot="1" x14ac:dyDescent="0.3">
      <c r="B7" s="60">
        <f>COUNTA(onlineMobileTech[Risk])</f>
        <v>14</v>
      </c>
      <c r="C7" s="60">
        <f>COUNTA(onlineMobileTech[Score])</f>
        <v>0</v>
      </c>
      <c r="D7" s="55">
        <f>COUNTIF(onlineMobileTech[Score],riskLeast)</f>
        <v>0</v>
      </c>
      <c r="E7" s="56">
        <f>COUNTIF(onlineMobileTech[Score],riskMinimal)</f>
        <v>0</v>
      </c>
      <c r="F7" s="56">
        <f>COUNTIF(onlineMobileTech[Score],riskModerate)</f>
        <v>0</v>
      </c>
      <c r="G7" s="56">
        <f>COUNTIF(onlineMobileTech[Score],riskSignificant)</f>
        <v>0</v>
      </c>
      <c r="H7" s="61">
        <f>COUNTIF(onlineMobileTech[Score],riskMost)</f>
        <v>0</v>
      </c>
      <c r="I7" s="380"/>
      <c r="N7" s="193"/>
      <c r="O7" s="193"/>
      <c r="P7" s="193"/>
      <c r="Q7" s="193"/>
      <c r="R7" s="193"/>
      <c r="S7" s="193"/>
      <c r="T7" s="193"/>
      <c r="U7" s="193"/>
      <c r="V7" s="193"/>
      <c r="W7" s="193"/>
      <c r="X7" s="193"/>
      <c r="Y7" s="193"/>
      <c r="Z7" s="193"/>
    </row>
    <row r="8" spans="1:26" x14ac:dyDescent="0.25">
      <c r="B8" s="46" t="s">
        <v>6</v>
      </c>
      <c r="C8" s="62" t="s">
        <v>9</v>
      </c>
      <c r="D8" s="46" t="s">
        <v>1</v>
      </c>
      <c r="E8" s="46" t="s">
        <v>2</v>
      </c>
      <c r="F8" s="46" t="s">
        <v>3</v>
      </c>
      <c r="G8" s="46" t="s">
        <v>4</v>
      </c>
      <c r="H8" s="46" t="s">
        <v>5</v>
      </c>
      <c r="I8" s="62" t="s">
        <v>10</v>
      </c>
      <c r="N8" s="185"/>
      <c r="O8" s="185"/>
      <c r="P8" s="185"/>
      <c r="Q8" s="185"/>
      <c r="R8" s="185"/>
      <c r="S8" s="185"/>
      <c r="T8" s="193"/>
      <c r="U8" s="193"/>
      <c r="V8" s="193"/>
      <c r="W8" s="193"/>
      <c r="X8" s="193"/>
      <c r="Y8" s="193"/>
      <c r="Z8" s="193"/>
    </row>
    <row r="9" spans="1:26" ht="75" x14ac:dyDescent="0.25">
      <c r="B9" s="109" t="s">
        <v>730</v>
      </c>
      <c r="C9" s="49"/>
      <c r="D9" s="157" t="s">
        <v>743</v>
      </c>
      <c r="E9" s="157" t="s">
        <v>744</v>
      </c>
      <c r="F9" s="157" t="s">
        <v>745</v>
      </c>
      <c r="G9" s="157" t="s">
        <v>746</v>
      </c>
      <c r="H9" s="157" t="s">
        <v>747</v>
      </c>
      <c r="I9" s="50" t="s">
        <v>0</v>
      </c>
      <c r="N9" s="193"/>
      <c r="O9" s="193"/>
      <c r="P9" s="193"/>
      <c r="Q9" s="193"/>
      <c r="R9" s="193"/>
      <c r="S9" s="193"/>
      <c r="U9" s="193"/>
      <c r="V9" s="193"/>
      <c r="W9" s="193"/>
      <c r="X9" s="193"/>
      <c r="Y9" s="193"/>
      <c r="Z9" s="193"/>
    </row>
    <row r="10" spans="1:26" ht="75" x14ac:dyDescent="0.25">
      <c r="B10" s="109" t="s">
        <v>731</v>
      </c>
      <c r="C10" s="59"/>
      <c r="D10" s="109" t="s">
        <v>748</v>
      </c>
      <c r="E10" s="109" t="s">
        <v>749</v>
      </c>
      <c r="F10" s="109" t="s">
        <v>750</v>
      </c>
      <c r="G10" s="109" t="s">
        <v>751</v>
      </c>
      <c r="H10" s="109" t="s">
        <v>752</v>
      </c>
      <c r="I10" s="51" t="s">
        <v>0</v>
      </c>
      <c r="N10" s="193"/>
      <c r="O10" s="193"/>
      <c r="P10" s="193"/>
      <c r="Q10" s="193"/>
      <c r="R10" s="193"/>
      <c r="S10" s="193"/>
      <c r="U10" s="193"/>
      <c r="V10" s="193"/>
      <c r="W10" s="193"/>
      <c r="X10" s="193"/>
      <c r="Y10" s="193"/>
      <c r="Z10" s="193"/>
    </row>
    <row r="11" spans="1:26" ht="75" x14ac:dyDescent="0.25">
      <c r="B11" s="109" t="s">
        <v>732</v>
      </c>
      <c r="C11" s="59"/>
      <c r="D11" s="109" t="s">
        <v>753</v>
      </c>
      <c r="E11" s="109" t="s">
        <v>754</v>
      </c>
      <c r="F11" s="109" t="s">
        <v>1064</v>
      </c>
      <c r="G11" s="109" t="s">
        <v>755</v>
      </c>
      <c r="H11" s="109" t="s">
        <v>7</v>
      </c>
      <c r="I11" s="51" t="s">
        <v>0</v>
      </c>
      <c r="N11" s="193"/>
      <c r="O11" s="193"/>
      <c r="P11" s="193"/>
      <c r="Q11" s="193"/>
      <c r="R11" s="193"/>
      <c r="S11" s="193"/>
      <c r="U11" s="193"/>
      <c r="V11" s="193"/>
      <c r="W11" s="193"/>
      <c r="X11" s="193"/>
      <c r="Y11" s="193"/>
      <c r="Z11" s="193"/>
    </row>
    <row r="12" spans="1:26" ht="75" x14ac:dyDescent="0.25">
      <c r="B12" s="109" t="s">
        <v>733</v>
      </c>
      <c r="C12" s="59"/>
      <c r="D12" s="109" t="s">
        <v>756</v>
      </c>
      <c r="E12" s="109" t="s">
        <v>757</v>
      </c>
      <c r="F12" s="109" t="s">
        <v>1065</v>
      </c>
      <c r="G12" s="109" t="s">
        <v>1066</v>
      </c>
      <c r="H12" s="109" t="s">
        <v>1067</v>
      </c>
      <c r="I12" s="51" t="s">
        <v>0</v>
      </c>
      <c r="N12" s="193"/>
      <c r="O12" s="193"/>
      <c r="P12" s="193"/>
      <c r="Q12" s="193"/>
      <c r="R12" s="193"/>
      <c r="S12" s="193"/>
      <c r="U12" s="193"/>
      <c r="V12" s="193"/>
      <c r="W12" s="193"/>
      <c r="X12" s="193"/>
      <c r="Y12" s="193"/>
      <c r="Z12" s="193"/>
    </row>
    <row r="13" spans="1:26" ht="75" x14ac:dyDescent="0.25">
      <c r="B13" s="109" t="s">
        <v>734</v>
      </c>
      <c r="C13" s="59"/>
      <c r="D13" s="109" t="s">
        <v>758</v>
      </c>
      <c r="E13" s="109" t="s">
        <v>759</v>
      </c>
      <c r="F13" s="109" t="s">
        <v>760</v>
      </c>
      <c r="G13" s="109" t="s">
        <v>761</v>
      </c>
      <c r="H13" s="109" t="s">
        <v>1068</v>
      </c>
      <c r="I13" s="51" t="s">
        <v>0</v>
      </c>
      <c r="N13" s="193"/>
      <c r="O13" s="193"/>
      <c r="P13" s="193"/>
      <c r="Q13" s="193"/>
      <c r="R13" s="193"/>
      <c r="S13" s="193"/>
      <c r="U13" s="193"/>
      <c r="V13" s="193"/>
      <c r="W13" s="193"/>
      <c r="X13" s="193"/>
      <c r="Y13" s="193"/>
      <c r="Z13" s="193"/>
    </row>
    <row r="14" spans="1:26" ht="45" x14ac:dyDescent="0.25">
      <c r="B14" s="109" t="s">
        <v>735</v>
      </c>
      <c r="C14" s="59"/>
      <c r="D14" s="109" t="s">
        <v>762</v>
      </c>
      <c r="E14" s="109" t="s">
        <v>763</v>
      </c>
      <c r="F14" s="109" t="s">
        <v>764</v>
      </c>
      <c r="G14" s="109" t="s">
        <v>765</v>
      </c>
      <c r="H14" s="109" t="s">
        <v>766</v>
      </c>
      <c r="I14" s="51" t="s">
        <v>0</v>
      </c>
      <c r="N14" s="193"/>
      <c r="O14" s="193"/>
      <c r="P14" s="193"/>
      <c r="Q14" s="193"/>
      <c r="R14" s="193"/>
      <c r="S14" s="193"/>
      <c r="U14" s="193"/>
      <c r="V14" s="193"/>
      <c r="W14" s="193"/>
      <c r="X14" s="193"/>
      <c r="Y14" s="193"/>
      <c r="Z14" s="193"/>
    </row>
    <row r="15" spans="1:26" ht="120" x14ac:dyDescent="0.25">
      <c r="B15" s="109" t="s">
        <v>736</v>
      </c>
      <c r="C15" s="59"/>
      <c r="D15" s="109" t="s">
        <v>756</v>
      </c>
      <c r="E15" s="109" t="s">
        <v>767</v>
      </c>
      <c r="F15" s="109" t="s">
        <v>768</v>
      </c>
      <c r="G15" s="109" t="s">
        <v>769</v>
      </c>
      <c r="H15" s="109" t="s">
        <v>770</v>
      </c>
      <c r="I15" s="51" t="s">
        <v>0</v>
      </c>
      <c r="N15" s="193"/>
      <c r="O15" s="193"/>
      <c r="P15" s="193"/>
      <c r="Q15" s="193"/>
      <c r="R15" s="193"/>
      <c r="S15" s="193"/>
      <c r="U15" s="193"/>
      <c r="V15" s="193"/>
      <c r="W15" s="193"/>
      <c r="X15" s="193"/>
      <c r="Y15" s="193"/>
      <c r="Z15" s="193"/>
    </row>
    <row r="16" spans="1:26" ht="45" x14ac:dyDescent="0.25">
      <c r="B16" s="109" t="s">
        <v>1069</v>
      </c>
      <c r="C16" s="59"/>
      <c r="D16" s="109" t="s">
        <v>771</v>
      </c>
      <c r="E16" s="109" t="s">
        <v>772</v>
      </c>
      <c r="F16" s="109" t="s">
        <v>773</v>
      </c>
      <c r="G16" s="109" t="s">
        <v>774</v>
      </c>
      <c r="H16" s="109" t="s">
        <v>775</v>
      </c>
      <c r="I16" s="51" t="s">
        <v>0</v>
      </c>
      <c r="N16" s="193"/>
      <c r="O16" s="193"/>
      <c r="P16" s="193"/>
      <c r="Q16" s="193"/>
      <c r="R16" s="193"/>
      <c r="S16" s="193"/>
      <c r="U16" s="193"/>
      <c r="V16" s="193"/>
      <c r="W16" s="193"/>
      <c r="X16" s="193"/>
      <c r="Y16" s="193"/>
      <c r="Z16" s="193"/>
    </row>
    <row r="17" spans="2:26" ht="30" x14ac:dyDescent="0.25">
      <c r="B17" s="109" t="s">
        <v>737</v>
      </c>
      <c r="C17" s="59"/>
      <c r="D17" s="109" t="s">
        <v>776</v>
      </c>
      <c r="E17" s="109" t="s">
        <v>777</v>
      </c>
      <c r="F17" s="109" t="s">
        <v>778</v>
      </c>
      <c r="G17" s="109" t="s">
        <v>779</v>
      </c>
      <c r="H17" s="109" t="s">
        <v>780</v>
      </c>
      <c r="I17" s="51" t="s">
        <v>0</v>
      </c>
      <c r="N17" s="193"/>
      <c r="O17" s="193"/>
      <c r="P17" s="193"/>
      <c r="Q17" s="193"/>
      <c r="R17" s="193"/>
      <c r="S17" s="193"/>
      <c r="U17" s="193"/>
      <c r="V17" s="193"/>
      <c r="W17" s="193"/>
      <c r="X17" s="193"/>
      <c r="Y17" s="193"/>
      <c r="Z17" s="193"/>
    </row>
    <row r="18" spans="2:26" ht="75" x14ac:dyDescent="0.25">
      <c r="B18" s="109" t="s">
        <v>738</v>
      </c>
      <c r="C18" s="59"/>
      <c r="D18" s="109" t="s">
        <v>781</v>
      </c>
      <c r="E18" s="109" t="s">
        <v>782</v>
      </c>
      <c r="F18" s="109" t="s">
        <v>783</v>
      </c>
      <c r="G18" s="109" t="s">
        <v>1070</v>
      </c>
      <c r="H18" s="109" t="s">
        <v>784</v>
      </c>
      <c r="I18" s="51" t="s">
        <v>0</v>
      </c>
      <c r="N18" s="193"/>
      <c r="O18" s="193"/>
      <c r="P18" s="193"/>
      <c r="Q18" s="193"/>
      <c r="R18" s="193"/>
      <c r="S18" s="193"/>
      <c r="U18" s="193"/>
      <c r="V18" s="193"/>
      <c r="W18" s="193"/>
      <c r="X18" s="193"/>
      <c r="Y18" s="193"/>
      <c r="Z18" s="193"/>
    </row>
    <row r="19" spans="2:26" ht="60" x14ac:dyDescent="0.25">
      <c r="B19" s="109" t="s">
        <v>739</v>
      </c>
      <c r="C19" s="59"/>
      <c r="D19" s="109" t="s">
        <v>785</v>
      </c>
      <c r="E19" s="109" t="s">
        <v>786</v>
      </c>
      <c r="F19" s="109" t="s">
        <v>1071</v>
      </c>
      <c r="G19" s="109" t="s">
        <v>787</v>
      </c>
      <c r="H19" s="109" t="s">
        <v>788</v>
      </c>
      <c r="I19" s="51" t="s">
        <v>0</v>
      </c>
      <c r="N19" s="193"/>
      <c r="O19" s="193"/>
      <c r="P19" s="193"/>
      <c r="Q19" s="193"/>
      <c r="R19" s="193"/>
      <c r="S19" s="193"/>
      <c r="U19" s="193"/>
      <c r="V19" s="193"/>
      <c r="W19" s="193"/>
      <c r="X19" s="193"/>
      <c r="Y19" s="193"/>
      <c r="Z19" s="193"/>
    </row>
    <row r="20" spans="2:26" ht="30" x14ac:dyDescent="0.25">
      <c r="B20" s="109" t="s">
        <v>740</v>
      </c>
      <c r="C20" s="59"/>
      <c r="D20" s="109" t="s">
        <v>789</v>
      </c>
      <c r="E20" s="109" t="s">
        <v>790</v>
      </c>
      <c r="F20" s="109" t="s">
        <v>791</v>
      </c>
      <c r="G20" s="109" t="s">
        <v>792</v>
      </c>
      <c r="H20" s="109" t="s">
        <v>793</v>
      </c>
      <c r="I20" s="51" t="s">
        <v>0</v>
      </c>
      <c r="N20" s="193"/>
      <c r="O20" s="193"/>
      <c r="P20" s="193"/>
      <c r="Q20" s="193"/>
      <c r="R20" s="193"/>
      <c r="S20" s="193"/>
      <c r="U20" s="193"/>
      <c r="V20" s="193"/>
      <c r="W20" s="193"/>
      <c r="X20" s="193"/>
      <c r="Y20" s="193"/>
      <c r="Z20" s="193"/>
    </row>
    <row r="21" spans="2:26" ht="60" x14ac:dyDescent="0.25">
      <c r="B21" s="109" t="s">
        <v>741</v>
      </c>
      <c r="C21" s="59"/>
      <c r="D21" s="109" t="s">
        <v>794</v>
      </c>
      <c r="E21" s="109" t="s">
        <v>795</v>
      </c>
      <c r="F21" s="109" t="s">
        <v>1072</v>
      </c>
      <c r="G21" s="109" t="s">
        <v>796</v>
      </c>
      <c r="H21" s="109" t="s">
        <v>797</v>
      </c>
      <c r="I21" s="51" t="s">
        <v>0</v>
      </c>
      <c r="N21" s="193"/>
      <c r="O21" s="193"/>
      <c r="P21" s="193"/>
      <c r="Q21" s="193"/>
      <c r="R21" s="193"/>
      <c r="S21" s="193"/>
      <c r="U21" s="193"/>
      <c r="V21" s="193"/>
      <c r="W21" s="193"/>
      <c r="X21" s="193"/>
      <c r="Y21" s="193"/>
      <c r="Z21" s="193"/>
    </row>
    <row r="22" spans="2:26" ht="60" x14ac:dyDescent="0.25">
      <c r="B22" s="109" t="s">
        <v>742</v>
      </c>
      <c r="C22" s="59"/>
      <c r="D22" s="109" t="s">
        <v>798</v>
      </c>
      <c r="E22" s="109" t="s">
        <v>799</v>
      </c>
      <c r="F22" s="109" t="s">
        <v>800</v>
      </c>
      <c r="G22" s="109" t="s">
        <v>801</v>
      </c>
      <c r="H22" s="109" t="s">
        <v>802</v>
      </c>
      <c r="I22" s="51" t="s">
        <v>0</v>
      </c>
      <c r="N22" s="193"/>
      <c r="O22" s="193"/>
      <c r="P22" s="193"/>
      <c r="Q22" s="193"/>
      <c r="R22" s="193"/>
      <c r="S22" s="193"/>
      <c r="U22" s="193"/>
      <c r="V22" s="193"/>
      <c r="W22" s="193"/>
      <c r="X22" s="193"/>
      <c r="Y22" s="193"/>
      <c r="Z22" s="193"/>
    </row>
    <row r="23" spans="2:26" x14ac:dyDescent="0.25">
      <c r="T23" s="193"/>
    </row>
    <row r="24" spans="2:26" x14ac:dyDescent="0.25">
      <c r="T24" s="193"/>
    </row>
    <row r="25" spans="2:26" x14ac:dyDescent="0.25">
      <c r="T25" s="193"/>
    </row>
    <row r="26" spans="2:26" x14ac:dyDescent="0.25">
      <c r="T26" s="193"/>
    </row>
    <row r="27" spans="2:26" x14ac:dyDescent="0.25">
      <c r="T27" s="193"/>
    </row>
    <row r="28" spans="2:26" x14ac:dyDescent="0.25">
      <c r="T28" s="193"/>
    </row>
    <row r="29" spans="2:26" x14ac:dyDescent="0.25">
      <c r="T29" s="193"/>
    </row>
    <row r="30" spans="2:26" x14ac:dyDescent="0.25">
      <c r="T30" s="193"/>
    </row>
    <row r="31" spans="2:26" x14ac:dyDescent="0.25">
      <c r="T31" s="193"/>
    </row>
  </sheetData>
  <sheetProtection algorithmName="SHA-512" hashValue="kBnCslUfbW6SNqW1R5kyEx+4LfWRbJYDaOFKXplg39NanexNyjOGQ4oYr+uRs13McFLptd1FBFymAwCTlFvbfQ==" saltValue="QtzhBX+axACWha7RwAqj1A==" spinCount="100000" sheet="1" objects="1" scenarios="1" formatCells="0" formatColumns="0" formatRows="0" sort="0" autoFilter="0"/>
  <mergeCells count="4">
    <mergeCell ref="D6:H6"/>
    <mergeCell ref="I6:I7"/>
    <mergeCell ref="B5:I5"/>
    <mergeCell ref="D4:E4"/>
  </mergeCells>
  <conditionalFormatting sqref="D9:D22">
    <cfRule type="expression" dxfId="58" priority="2" stopIfTrue="1">
      <formula>$C9=riskLeast</formula>
    </cfRule>
  </conditionalFormatting>
  <conditionalFormatting sqref="E9:E22">
    <cfRule type="expression" dxfId="57" priority="3" stopIfTrue="1">
      <formula>$C9=riskMinimal</formula>
    </cfRule>
  </conditionalFormatting>
  <conditionalFormatting sqref="G9:G22">
    <cfRule type="expression" dxfId="56" priority="5" stopIfTrue="1">
      <formula>$C9=riskSignificant</formula>
    </cfRule>
  </conditionalFormatting>
  <conditionalFormatting sqref="H9:H22">
    <cfRule type="expression" dxfId="55" priority="6" stopIfTrue="1">
      <formula>$C9=riskMost</formula>
    </cfRule>
  </conditionalFormatting>
  <conditionalFormatting sqref="F9:F22">
    <cfRule type="expression" dxfId="54" priority="4" stopIfTrue="1">
      <formula>$C9=riskModerate</formula>
    </cfRule>
  </conditionalFormatting>
  <dataValidations count="1">
    <dataValidation type="list" allowBlank="1" showInputMessage="1" showErrorMessage="1" sqref="C9:C22" xr:uid="{00000000-0002-0000-0600-000000000000}">
      <formula1>riskLevels</formula1>
    </dataValidation>
  </dataValidations>
  <hyperlinks>
    <hyperlink ref="I3" location="disclaimer" display="disclaimer" xr:uid="{00000000-0004-0000-0600-000000000000}"/>
    <hyperlink ref="I2" location="workbookInfo" display="Workbook Information" xr:uid="{00000000-0004-0000-0600-000001000000}"/>
  </hyperlinks>
  <pageMargins left="0.25" right="0.25" top="0.75" bottom="0.75" header="0.3" footer="0.3"/>
  <pageSetup scale="52" fitToHeight="0" orientation="landscape" r:id="rId1"/>
  <headerFooter>
    <oddHeader>&amp;C&amp;A</oddHeader>
    <oddFooter>&amp;L&amp;"-,Bold"Confidential-Authorized Use Only&amp;C&amp;D&amp;RPage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9" tint="0.39997558519241921"/>
    <pageSetUpPr fitToPage="1"/>
  </sheetPr>
  <dimension ref="A1:Z22"/>
  <sheetViews>
    <sheetView zoomScaleNormal="100" workbookViewId="0">
      <pane ySplit="8" topLeftCell="A9" activePane="bottomLeft" state="frozen"/>
      <selection pane="bottomLeft" activeCell="C9" sqref="C9"/>
    </sheetView>
  </sheetViews>
  <sheetFormatPr defaultColWidth="8.85546875" defaultRowHeight="15" x14ac:dyDescent="0.25"/>
  <cols>
    <col min="1" max="1" width="1.28515625" style="10" customWidth="1"/>
    <col min="2" max="2" width="30.7109375" style="10" customWidth="1"/>
    <col min="3" max="3" width="20.7109375" style="10" customWidth="1"/>
    <col min="4" max="8" width="30.7109375" style="10" customWidth="1"/>
    <col min="9" max="9" width="50.7109375" style="10" customWidth="1"/>
    <col min="10" max="20" width="8.85546875" style="10" customWidth="1"/>
    <col min="21" max="16384" width="8.85546875" style="10"/>
  </cols>
  <sheetData>
    <row r="1" spans="1:26" s="112" customFormat="1" ht="20.100000000000001" customHeight="1" x14ac:dyDescent="0.25">
      <c r="A1" s="6" t="str">
        <f>HYPERLINK(websiteHTTP&amp;webSiteURL,"Watkins Consulting")</f>
        <v>Watkins Consulting</v>
      </c>
      <c r="B1" s="132"/>
      <c r="C1" s="132"/>
      <c r="D1" s="132"/>
      <c r="E1" s="132"/>
      <c r="F1" s="136" t="str">
        <f>IF(firmName&gt;0,firmName,"")</f>
        <v/>
      </c>
      <c r="G1" s="132"/>
      <c r="H1" s="132"/>
      <c r="I1" s="8" t="str">
        <f>HYPERLINK(websiteHTTP&amp;webSiteURL&amp;userManualrURL,"User Manual")</f>
        <v>User Manual</v>
      </c>
      <c r="N1" s="209"/>
      <c r="O1" s="209"/>
      <c r="P1" s="209"/>
      <c r="Q1" s="209"/>
      <c r="R1" s="209"/>
      <c r="S1" s="209"/>
      <c r="T1" s="209"/>
      <c r="U1" s="209"/>
      <c r="V1" s="209"/>
      <c r="W1" s="209"/>
      <c r="X1" s="209"/>
      <c r="Y1" s="209"/>
      <c r="Z1" s="209"/>
    </row>
    <row r="2" spans="1:26" s="112" customFormat="1" ht="20.100000000000001" customHeight="1" x14ac:dyDescent="0.25">
      <c r="A2" s="256" t="str">
        <f ca="1">workbookVersionLabel</f>
        <v xml:space="preserve"> Excel Workbook Version: 3.4.2</v>
      </c>
      <c r="B2" s="132"/>
      <c r="C2" s="132"/>
      <c r="D2" s="132"/>
      <c r="E2" s="137"/>
      <c r="F2" s="133" t="str">
        <f>Information</f>
        <v>FFIEC Cybersecurity Assessment Tool (May 2017)</v>
      </c>
      <c r="G2" s="137"/>
      <c r="H2" s="137"/>
      <c r="I2" s="8" t="s">
        <v>1094</v>
      </c>
      <c r="N2" s="209"/>
      <c r="O2" s="209"/>
      <c r="P2" s="209"/>
      <c r="Q2" s="209"/>
      <c r="R2" s="209"/>
      <c r="S2" s="209"/>
      <c r="T2" s="209"/>
      <c r="U2" s="210"/>
      <c r="V2" s="209"/>
      <c r="W2" s="209"/>
      <c r="X2" s="209"/>
      <c r="Y2" s="209"/>
      <c r="Z2" s="209"/>
    </row>
    <row r="3" spans="1:26" s="112" customFormat="1" ht="20.100000000000001" customHeight="1" thickBot="1" x14ac:dyDescent="0.3">
      <c r="A3" s="256" t="str">
        <f ca="1">MID(CELL("filename",A1),FIND("]",CELL("filename",A1))+1,256)</f>
        <v>Organizational Characteristics</v>
      </c>
      <c r="B3" s="140"/>
      <c r="C3" s="140"/>
      <c r="D3" s="141"/>
      <c r="E3" s="141"/>
      <c r="F3" s="142" t="str">
        <f>IF(assessmentDate&gt;0,assessmentDate,"")</f>
        <v/>
      </c>
      <c r="G3" s="141"/>
      <c r="H3" s="141"/>
      <c r="I3" s="155" t="s">
        <v>620</v>
      </c>
      <c r="N3" s="209"/>
      <c r="O3" s="209"/>
      <c r="P3" s="209"/>
      <c r="Q3" s="209"/>
      <c r="R3" s="209"/>
      <c r="S3" s="209"/>
      <c r="T3" s="209"/>
      <c r="U3" s="210"/>
      <c r="V3" s="209"/>
      <c r="W3" s="209"/>
      <c r="X3" s="209"/>
      <c r="Y3" s="209"/>
      <c r="Z3" s="209"/>
    </row>
    <row r="4" spans="1:26" s="112" customFormat="1" ht="15.75" thickTop="1" x14ac:dyDescent="0.25">
      <c r="D4" s="379"/>
      <c r="E4" s="379"/>
      <c r="N4" s="209"/>
      <c r="O4" s="209"/>
      <c r="P4" s="209"/>
      <c r="Q4" s="209"/>
      <c r="R4" s="209"/>
      <c r="S4" s="209"/>
      <c r="T4" s="209"/>
      <c r="U4" s="193"/>
      <c r="V4" s="209"/>
      <c r="W4" s="209"/>
      <c r="X4" s="209"/>
      <c r="Y4" s="209"/>
      <c r="Z4" s="209"/>
    </row>
    <row r="5" spans="1:26" ht="20.25" customHeight="1" thickBot="1" x14ac:dyDescent="0.35">
      <c r="B5" s="377" t="s">
        <v>15</v>
      </c>
      <c r="C5" s="377"/>
      <c r="D5" s="377"/>
      <c r="E5" s="377"/>
      <c r="F5" s="377"/>
      <c r="G5" s="377"/>
      <c r="H5" s="377"/>
      <c r="I5" s="377"/>
      <c r="N5" s="193"/>
      <c r="O5" s="193"/>
      <c r="P5" s="193"/>
      <c r="Q5" s="193"/>
      <c r="R5" s="193"/>
      <c r="S5" s="193"/>
      <c r="T5" s="193"/>
      <c r="U5" s="193"/>
      <c r="V5" s="193"/>
      <c r="W5" s="193"/>
      <c r="X5" s="193"/>
      <c r="Y5" s="193"/>
      <c r="Z5" s="193"/>
    </row>
    <row r="6" spans="1:26" ht="15.75" x14ac:dyDescent="0.25">
      <c r="B6" s="54" t="s">
        <v>619</v>
      </c>
      <c r="C6" s="54" t="s">
        <v>618</v>
      </c>
      <c r="D6" s="373" t="s">
        <v>617</v>
      </c>
      <c r="E6" s="374"/>
      <c r="F6" s="374"/>
      <c r="G6" s="374"/>
      <c r="H6" s="378"/>
      <c r="I6" s="375" t="s">
        <v>712</v>
      </c>
      <c r="N6" s="193"/>
      <c r="O6" s="193"/>
      <c r="P6" s="193"/>
      <c r="Q6" s="193"/>
      <c r="R6" s="193"/>
      <c r="S6" s="193"/>
      <c r="T6" s="193"/>
      <c r="U6" s="193"/>
      <c r="V6" s="193"/>
      <c r="W6" s="193"/>
      <c r="X6" s="193"/>
      <c r="Y6" s="193"/>
      <c r="Z6" s="193"/>
    </row>
    <row r="7" spans="1:26" ht="15.75" customHeight="1" thickBot="1" x14ac:dyDescent="0.3">
      <c r="B7" s="67">
        <f>COUNTA(orgChar[Risk])</f>
        <v>7</v>
      </c>
      <c r="C7" s="60">
        <f>COUNTA(orgChar[Score])</f>
        <v>0</v>
      </c>
      <c r="D7" s="55">
        <f>COUNTIF(orgChar[Score],riskLeast)</f>
        <v>0</v>
      </c>
      <c r="E7" s="56">
        <f>COUNTIF(orgChar[Score],riskMinimal)</f>
        <v>0</v>
      </c>
      <c r="F7" s="56">
        <f>COUNTIF(orgChar[Score],riskModerate)</f>
        <v>0</v>
      </c>
      <c r="G7" s="56">
        <f>COUNTIF(orgChar[Score],riskSignificant)</f>
        <v>0</v>
      </c>
      <c r="H7" s="61">
        <f>COUNTIF(orgChar[Score],riskMost)</f>
        <v>0</v>
      </c>
      <c r="I7" s="380"/>
      <c r="N7" s="193"/>
      <c r="O7" s="193"/>
      <c r="P7" s="193"/>
      <c r="Q7" s="193"/>
      <c r="R7" s="193"/>
      <c r="S7" s="193"/>
      <c r="T7" s="193"/>
      <c r="U7" s="193"/>
      <c r="V7" s="193"/>
      <c r="W7" s="193"/>
      <c r="X7" s="193"/>
      <c r="Y7" s="193"/>
      <c r="Z7" s="193"/>
    </row>
    <row r="8" spans="1:26" x14ac:dyDescent="0.25">
      <c r="B8" s="68" t="s">
        <v>6</v>
      </c>
      <c r="C8" s="69" t="s">
        <v>9</v>
      </c>
      <c r="D8" s="46" t="s">
        <v>1</v>
      </c>
      <c r="E8" s="46" t="s">
        <v>2</v>
      </c>
      <c r="F8" s="46" t="s">
        <v>3</v>
      </c>
      <c r="G8" s="46" t="s">
        <v>4</v>
      </c>
      <c r="H8" s="46" t="s">
        <v>5</v>
      </c>
      <c r="I8" s="70" t="s">
        <v>10</v>
      </c>
      <c r="J8" s="46"/>
      <c r="K8" s="46"/>
      <c r="L8" s="46"/>
      <c r="M8" s="46"/>
      <c r="N8" s="185"/>
      <c r="O8" s="185"/>
      <c r="P8" s="185"/>
      <c r="Q8" s="185"/>
      <c r="R8" s="185"/>
      <c r="S8" s="185"/>
      <c r="T8" s="193"/>
      <c r="U8" s="193"/>
      <c r="V8" s="193"/>
      <c r="W8" s="193"/>
      <c r="X8" s="193"/>
      <c r="Y8" s="193"/>
      <c r="Z8" s="193"/>
    </row>
    <row r="9" spans="1:26" ht="60" x14ac:dyDescent="0.25">
      <c r="B9" s="71" t="s">
        <v>803</v>
      </c>
      <c r="C9" s="64"/>
      <c r="D9" s="157" t="s">
        <v>810</v>
      </c>
      <c r="E9" s="157" t="s">
        <v>811</v>
      </c>
      <c r="F9" s="157" t="s">
        <v>812</v>
      </c>
      <c r="G9" s="157" t="s">
        <v>813</v>
      </c>
      <c r="H9" s="157" t="s">
        <v>814</v>
      </c>
      <c r="I9" s="65"/>
      <c r="J9" s="30"/>
      <c r="K9" s="30"/>
      <c r="L9" s="30"/>
      <c r="M9" s="30"/>
      <c r="N9" s="193"/>
      <c r="O9" s="193"/>
      <c r="P9" s="193"/>
      <c r="Q9" s="193"/>
      <c r="R9" s="193"/>
      <c r="S9" s="193"/>
      <c r="V9" s="193"/>
      <c r="W9" s="193"/>
      <c r="X9" s="193"/>
      <c r="Y9" s="193"/>
      <c r="Z9" s="193"/>
    </row>
    <row r="10" spans="1:26" ht="45" x14ac:dyDescent="0.25">
      <c r="B10" s="71" t="s">
        <v>804</v>
      </c>
      <c r="C10" s="64"/>
      <c r="D10" s="30" t="s">
        <v>815</v>
      </c>
      <c r="E10" s="30" t="s">
        <v>1073</v>
      </c>
      <c r="F10" s="30" t="s">
        <v>816</v>
      </c>
      <c r="G10" s="30" t="s">
        <v>817</v>
      </c>
      <c r="H10" s="30" t="s">
        <v>818</v>
      </c>
      <c r="I10" s="63"/>
      <c r="J10" s="30"/>
      <c r="K10" s="30"/>
      <c r="L10" s="30"/>
      <c r="M10" s="30"/>
      <c r="N10" s="193"/>
      <c r="O10" s="193"/>
      <c r="P10" s="193"/>
      <c r="Q10" s="193"/>
      <c r="R10" s="193"/>
      <c r="S10" s="193"/>
      <c r="U10" s="193"/>
      <c r="V10" s="193"/>
      <c r="W10" s="193"/>
      <c r="X10" s="193"/>
      <c r="Y10" s="193"/>
      <c r="Z10" s="193"/>
    </row>
    <row r="11" spans="1:26" ht="60" x14ac:dyDescent="0.25">
      <c r="B11" s="71" t="s">
        <v>805</v>
      </c>
      <c r="C11" s="64"/>
      <c r="D11" s="30" t="s">
        <v>819</v>
      </c>
      <c r="E11" s="30" t="s">
        <v>820</v>
      </c>
      <c r="F11" s="30" t="s">
        <v>821</v>
      </c>
      <c r="G11" s="30" t="s">
        <v>822</v>
      </c>
      <c r="H11" s="30" t="s">
        <v>823</v>
      </c>
      <c r="I11" s="63" t="s">
        <v>0</v>
      </c>
      <c r="J11" s="30"/>
      <c r="K11" s="30"/>
      <c r="L11" s="30"/>
      <c r="M11" s="30"/>
      <c r="N11" s="193"/>
      <c r="O11" s="193"/>
      <c r="P11" s="193"/>
      <c r="Q11" s="193"/>
      <c r="R11" s="193"/>
      <c r="S11" s="193"/>
      <c r="U11" s="193"/>
      <c r="V11" s="193"/>
      <c r="W11" s="193"/>
      <c r="X11" s="193"/>
      <c r="Y11" s="193"/>
      <c r="Z11" s="193"/>
    </row>
    <row r="12" spans="1:26" ht="105" x14ac:dyDescent="0.25">
      <c r="B12" s="71" t="s">
        <v>806</v>
      </c>
      <c r="C12" s="64"/>
      <c r="D12" s="30" t="s">
        <v>824</v>
      </c>
      <c r="E12" s="30" t="s">
        <v>825</v>
      </c>
      <c r="F12" s="30" t="s">
        <v>826</v>
      </c>
      <c r="G12" s="30" t="s">
        <v>827</v>
      </c>
      <c r="H12" s="30" t="s">
        <v>828</v>
      </c>
      <c r="I12" s="63" t="s">
        <v>0</v>
      </c>
      <c r="J12" s="30"/>
      <c r="K12" s="30"/>
      <c r="L12" s="30"/>
      <c r="M12" s="30"/>
      <c r="N12" s="193"/>
      <c r="O12" s="193"/>
      <c r="P12" s="193"/>
      <c r="Q12" s="193"/>
      <c r="R12" s="193"/>
      <c r="S12" s="193"/>
      <c r="U12" s="193"/>
      <c r="V12" s="193"/>
      <c r="W12" s="193"/>
      <c r="X12" s="193"/>
      <c r="Y12" s="193"/>
      <c r="Z12" s="193"/>
    </row>
    <row r="13" spans="1:26" ht="75" x14ac:dyDescent="0.25">
      <c r="B13" s="71" t="s">
        <v>807</v>
      </c>
      <c r="C13" s="64"/>
      <c r="D13" s="30" t="s">
        <v>829</v>
      </c>
      <c r="E13" s="30" t="s">
        <v>830</v>
      </c>
      <c r="F13" s="30" t="s">
        <v>831</v>
      </c>
      <c r="G13" s="30" t="s">
        <v>832</v>
      </c>
      <c r="H13" s="30" t="s">
        <v>833</v>
      </c>
      <c r="I13" s="63" t="s">
        <v>0</v>
      </c>
      <c r="J13" s="30"/>
      <c r="K13" s="30"/>
      <c r="L13" s="30"/>
      <c r="M13" s="30"/>
      <c r="N13" s="193"/>
      <c r="O13" s="193"/>
      <c r="P13" s="193"/>
      <c r="Q13" s="193"/>
      <c r="R13" s="193"/>
      <c r="S13" s="193"/>
      <c r="U13" s="193"/>
      <c r="V13" s="193"/>
      <c r="W13" s="193"/>
      <c r="X13" s="193"/>
      <c r="Y13" s="193"/>
      <c r="Z13" s="193"/>
    </row>
    <row r="14" spans="1:26" ht="30" x14ac:dyDescent="0.25">
      <c r="B14" s="71" t="s">
        <v>808</v>
      </c>
      <c r="C14" s="64"/>
      <c r="D14" s="30" t="s">
        <v>834</v>
      </c>
      <c r="E14" s="30" t="s">
        <v>835</v>
      </c>
      <c r="F14" s="30" t="s">
        <v>836</v>
      </c>
      <c r="G14" s="30" t="s">
        <v>837</v>
      </c>
      <c r="H14" s="30" t="s">
        <v>838</v>
      </c>
      <c r="I14" s="63" t="s">
        <v>0</v>
      </c>
      <c r="J14" s="30"/>
      <c r="K14" s="30"/>
      <c r="L14" s="30"/>
      <c r="M14" s="30"/>
      <c r="N14" s="193"/>
      <c r="O14" s="193"/>
      <c r="P14" s="193"/>
      <c r="Q14" s="193"/>
      <c r="R14" s="193"/>
      <c r="S14" s="193"/>
      <c r="U14" s="193"/>
      <c r="V14" s="193"/>
      <c r="W14" s="193"/>
      <c r="X14" s="193"/>
      <c r="Y14" s="193"/>
      <c r="Z14" s="193"/>
    </row>
    <row r="15" spans="1:26" ht="30" x14ac:dyDescent="0.25">
      <c r="B15" s="72" t="s">
        <v>809</v>
      </c>
      <c r="C15" s="64"/>
      <c r="D15" s="30" t="s">
        <v>834</v>
      </c>
      <c r="E15" s="30" t="s">
        <v>835</v>
      </c>
      <c r="F15" s="30" t="s">
        <v>836</v>
      </c>
      <c r="G15" s="30" t="s">
        <v>839</v>
      </c>
      <c r="H15" s="30" t="s">
        <v>840</v>
      </c>
      <c r="I15" s="66" t="s">
        <v>0</v>
      </c>
      <c r="J15" s="30"/>
      <c r="K15" s="30"/>
      <c r="L15" s="30"/>
      <c r="M15" s="30"/>
      <c r="N15" s="193"/>
      <c r="O15" s="193"/>
      <c r="P15" s="193"/>
      <c r="Q15" s="193"/>
      <c r="R15" s="193"/>
      <c r="S15" s="193"/>
      <c r="U15" s="193"/>
      <c r="V15" s="193"/>
      <c r="W15" s="193"/>
      <c r="X15" s="193"/>
      <c r="Y15" s="193"/>
      <c r="Z15" s="193"/>
    </row>
    <row r="16" spans="1:26" x14ac:dyDescent="0.25">
      <c r="I16" s="46" t="s">
        <v>0</v>
      </c>
    </row>
    <row r="17" spans="9:9" x14ac:dyDescent="0.25">
      <c r="I17" s="46" t="s">
        <v>0</v>
      </c>
    </row>
    <row r="18" spans="9:9" x14ac:dyDescent="0.25">
      <c r="I18" s="10" t="s">
        <v>0</v>
      </c>
    </row>
    <row r="19" spans="9:9" x14ac:dyDescent="0.25">
      <c r="I19" s="10" t="s">
        <v>0</v>
      </c>
    </row>
    <row r="20" spans="9:9" x14ac:dyDescent="0.25">
      <c r="I20" s="10" t="s">
        <v>0</v>
      </c>
    </row>
    <row r="21" spans="9:9" x14ac:dyDescent="0.25">
      <c r="I21" s="10" t="s">
        <v>0</v>
      </c>
    </row>
    <row r="22" spans="9:9" x14ac:dyDescent="0.25">
      <c r="I22" s="46" t="s">
        <v>0</v>
      </c>
    </row>
  </sheetData>
  <sheetProtection algorithmName="SHA-512" hashValue="in7VtyG8Z/dnkDW/FESfgDri8c2Oa8xmRC0ofMXiMAjhyWlxvLyxBaSldtYQbMkWjDM4mEWECNluMMs8hSCcKA==" saltValue="ePvVhmSJ0+RfbZusheQMUQ==" spinCount="100000" sheet="1" objects="1" scenarios="1" formatCells="0" formatColumns="0" formatRows="0" sort="0" autoFilter="0"/>
  <mergeCells count="4">
    <mergeCell ref="D6:H6"/>
    <mergeCell ref="I6:I7"/>
    <mergeCell ref="B5:I5"/>
    <mergeCell ref="D4:E4"/>
  </mergeCells>
  <conditionalFormatting sqref="D9:D15">
    <cfRule type="expression" dxfId="53" priority="1" stopIfTrue="1">
      <formula>$C9=riskLeast</formula>
    </cfRule>
  </conditionalFormatting>
  <conditionalFormatting sqref="E9:E15">
    <cfRule type="expression" dxfId="52" priority="2" stopIfTrue="1">
      <formula>$C9=riskMinimal</formula>
    </cfRule>
  </conditionalFormatting>
  <conditionalFormatting sqref="G9:G15">
    <cfRule type="expression" dxfId="51" priority="4" stopIfTrue="1">
      <formula>$C9=riskSignificant</formula>
    </cfRule>
  </conditionalFormatting>
  <conditionalFormatting sqref="H9:H15">
    <cfRule type="expression" dxfId="50" priority="5" stopIfTrue="1">
      <formula>$C9=riskMost</formula>
    </cfRule>
  </conditionalFormatting>
  <conditionalFormatting sqref="F9:F15">
    <cfRule type="expression" dxfId="49" priority="3" stopIfTrue="1">
      <formula>$C9=riskModerate</formula>
    </cfRule>
  </conditionalFormatting>
  <dataValidations count="1">
    <dataValidation type="list" allowBlank="1" showInputMessage="1" showErrorMessage="1" sqref="C9:C15" xr:uid="{00000000-0002-0000-0700-000000000000}">
      <formula1>riskLevels</formula1>
    </dataValidation>
  </dataValidations>
  <hyperlinks>
    <hyperlink ref="I3" location="disclaimer" display="disclaimer" xr:uid="{00000000-0004-0000-0700-000000000000}"/>
    <hyperlink ref="I2" location="workbookInfo" display="Workbook Information" xr:uid="{00000000-0004-0000-0700-000001000000}"/>
  </hyperlinks>
  <pageMargins left="0.25" right="0.25" top="0.75" bottom="0.75" header="0.3" footer="0.3"/>
  <pageSetup scale="66" fitToHeight="0" orientation="landscape" r:id="rId1"/>
  <headerFooter>
    <oddHeader>&amp;C&amp;A</oddHeader>
    <oddFooter>&amp;L&amp;"-,Bold"Confidential-Authorized Use Only&amp;C&amp;D&amp;RPage &amp;P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9" tint="0.39997558519241921"/>
    <pageSetUpPr fitToPage="1"/>
  </sheetPr>
  <dimension ref="A1:Z22"/>
  <sheetViews>
    <sheetView zoomScaleNormal="100" workbookViewId="0">
      <selection activeCell="C9" sqref="C9"/>
    </sheetView>
  </sheetViews>
  <sheetFormatPr defaultColWidth="8.85546875" defaultRowHeight="15" x14ac:dyDescent="0.25"/>
  <cols>
    <col min="1" max="1" width="1.28515625" style="10" customWidth="1"/>
    <col min="2" max="2" width="30.7109375" style="10" customWidth="1"/>
    <col min="3" max="3" width="20.7109375" style="10" customWidth="1"/>
    <col min="4" max="8" width="30.7109375" style="10" customWidth="1"/>
    <col min="9" max="9" width="50.7109375" style="10" customWidth="1"/>
    <col min="10" max="19" width="8.85546875" style="10" customWidth="1"/>
    <col min="20" max="20" width="5.28515625" style="10" customWidth="1"/>
    <col min="21" max="16384" width="8.85546875" style="10"/>
  </cols>
  <sheetData>
    <row r="1" spans="1:26" s="112" customFormat="1" ht="20.100000000000001" customHeight="1" x14ac:dyDescent="0.25">
      <c r="A1" s="6" t="str">
        <f>HYPERLINK(websiteHTTP&amp;webSiteURL,"Watkins Consulting")</f>
        <v>Watkins Consulting</v>
      </c>
      <c r="B1" s="132"/>
      <c r="C1" s="132"/>
      <c r="D1" s="132"/>
      <c r="E1" s="132"/>
      <c r="F1" s="136" t="str">
        <f>IF(firmName&gt;0,firmName,"")</f>
        <v/>
      </c>
      <c r="G1" s="132"/>
      <c r="H1" s="132"/>
      <c r="I1" s="8" t="str">
        <f>HYPERLINK(websiteHTTP&amp;webSiteURL&amp;userManualrURL,"User Manual")</f>
        <v>User Manual</v>
      </c>
      <c r="N1" s="209"/>
      <c r="O1" s="209"/>
      <c r="P1" s="209"/>
      <c r="Q1" s="209"/>
      <c r="R1" s="209"/>
      <c r="S1" s="209"/>
      <c r="T1" s="209"/>
      <c r="U1" s="209"/>
      <c r="V1" s="209"/>
      <c r="W1" s="209"/>
      <c r="X1" s="209"/>
      <c r="Y1" s="209"/>
      <c r="Z1" s="209"/>
    </row>
    <row r="2" spans="1:26" s="112" customFormat="1" ht="20.100000000000001" customHeight="1" x14ac:dyDescent="0.25">
      <c r="A2" s="256" t="str">
        <f ca="1">workbookVersionLabel</f>
        <v xml:space="preserve"> Excel Workbook Version: 3.4.2</v>
      </c>
      <c r="B2" s="132"/>
      <c r="C2" s="132"/>
      <c r="D2" s="132"/>
      <c r="E2" s="137"/>
      <c r="F2" s="133" t="str">
        <f>Information</f>
        <v>FFIEC Cybersecurity Assessment Tool (May 2017)</v>
      </c>
      <c r="G2" s="137"/>
      <c r="H2" s="137"/>
      <c r="I2" s="8" t="s">
        <v>1094</v>
      </c>
      <c r="N2" s="209"/>
      <c r="O2" s="209"/>
      <c r="P2" s="209"/>
      <c r="Q2" s="209"/>
      <c r="R2" s="209"/>
      <c r="S2" s="209"/>
      <c r="T2" s="209"/>
      <c r="U2" s="210"/>
      <c r="V2" s="209"/>
      <c r="W2" s="209"/>
      <c r="X2" s="209"/>
      <c r="Y2" s="209"/>
      <c r="Z2" s="209"/>
    </row>
    <row r="3" spans="1:26" s="112" customFormat="1" ht="20.100000000000001" customHeight="1" thickBot="1" x14ac:dyDescent="0.3">
      <c r="A3" s="139" t="str">
        <f ca="1">MID(CELL("filename",A1),FIND("]",CELL("filename",A1))+1,256)</f>
        <v>External Threats</v>
      </c>
      <c r="B3" s="140"/>
      <c r="C3" s="140"/>
      <c r="D3" s="141"/>
      <c r="E3" s="141"/>
      <c r="F3" s="142" t="str">
        <f>IF(assessmentDate&gt;0,assessmentDate,"")</f>
        <v/>
      </c>
      <c r="G3" s="141"/>
      <c r="H3" s="141"/>
      <c r="I3" s="155" t="s">
        <v>620</v>
      </c>
      <c r="N3" s="209"/>
      <c r="O3" s="209"/>
      <c r="P3" s="209"/>
      <c r="Q3" s="209"/>
      <c r="R3" s="209"/>
      <c r="S3" s="209"/>
      <c r="T3" s="209"/>
      <c r="U3" s="210"/>
      <c r="V3" s="209"/>
      <c r="W3" s="209"/>
      <c r="X3" s="209"/>
      <c r="Y3" s="209"/>
      <c r="Z3" s="209"/>
    </row>
    <row r="4" spans="1:26" ht="15.75" thickTop="1" x14ac:dyDescent="0.25">
      <c r="B4" s="108"/>
      <c r="C4" s="128"/>
      <c r="D4" s="130"/>
      <c r="E4" s="130"/>
      <c r="F4" s="108"/>
      <c r="G4" s="108"/>
      <c r="H4" s="128"/>
      <c r="I4" s="129"/>
      <c r="N4" s="209"/>
      <c r="O4" s="209"/>
      <c r="P4" s="209"/>
      <c r="Q4" s="209"/>
      <c r="R4" s="209"/>
      <c r="S4" s="209"/>
      <c r="T4" s="209"/>
      <c r="U4" s="193"/>
      <c r="V4" s="209"/>
      <c r="W4" s="209"/>
      <c r="X4" s="209"/>
      <c r="Y4" s="209"/>
      <c r="Z4" s="209"/>
    </row>
    <row r="5" spans="1:26" ht="20.25" thickBot="1" x14ac:dyDescent="0.35">
      <c r="B5" s="377" t="s">
        <v>16</v>
      </c>
      <c r="C5" s="377"/>
      <c r="D5" s="377"/>
      <c r="E5" s="377"/>
      <c r="F5" s="377"/>
      <c r="G5" s="377"/>
      <c r="H5" s="377"/>
      <c r="I5" s="377"/>
      <c r="N5" s="193"/>
      <c r="O5" s="193"/>
      <c r="P5" s="193"/>
      <c r="Q5" s="193"/>
      <c r="R5" s="193"/>
      <c r="S5" s="193"/>
      <c r="T5" s="193"/>
      <c r="U5" s="193"/>
      <c r="V5" s="193"/>
      <c r="W5" s="193"/>
      <c r="X5" s="193"/>
      <c r="Y5" s="193"/>
      <c r="Z5" s="193"/>
    </row>
    <row r="6" spans="1:26" ht="15.75" x14ac:dyDescent="0.25">
      <c r="B6" s="54" t="s">
        <v>619</v>
      </c>
      <c r="C6" s="54" t="s">
        <v>618</v>
      </c>
      <c r="D6" s="373" t="s">
        <v>617</v>
      </c>
      <c r="E6" s="374"/>
      <c r="F6" s="374"/>
      <c r="G6" s="374"/>
      <c r="H6" s="378"/>
      <c r="I6" s="375" t="s">
        <v>712</v>
      </c>
      <c r="N6" s="193"/>
      <c r="O6" s="193"/>
      <c r="P6" s="193"/>
      <c r="Q6" s="193"/>
      <c r="R6" s="193"/>
      <c r="S6" s="193"/>
      <c r="T6" s="193"/>
      <c r="U6" s="193"/>
      <c r="V6" s="193"/>
      <c r="W6" s="193"/>
      <c r="X6" s="193"/>
      <c r="Y6" s="193"/>
      <c r="Z6" s="193"/>
    </row>
    <row r="7" spans="1:26" ht="15.75" thickBot="1" x14ac:dyDescent="0.3">
      <c r="B7" s="67">
        <f>COUNTA(externalThreats[Risk])</f>
        <v>1</v>
      </c>
      <c r="C7" s="60">
        <f>COUNTA(externalThreats[Score])</f>
        <v>0</v>
      </c>
      <c r="D7" s="55">
        <f>COUNTIF(externalThreats[Score],riskLeast)</f>
        <v>0</v>
      </c>
      <c r="E7" s="56">
        <f>COUNTIF(externalThreats[Score],riskMinimal)</f>
        <v>0</v>
      </c>
      <c r="F7" s="56">
        <f>COUNTIF(externalThreats[Score],riskModerate)</f>
        <v>0</v>
      </c>
      <c r="G7" s="56">
        <f>COUNTIF(externalThreats[Score],riskSignificant)</f>
        <v>0</v>
      </c>
      <c r="H7" s="61">
        <f>COUNTIF(externalThreats[Score],riskMost)</f>
        <v>0</v>
      </c>
      <c r="I7" s="380"/>
      <c r="N7" s="193"/>
      <c r="O7" s="193"/>
      <c r="P7" s="193"/>
      <c r="Q7" s="193"/>
      <c r="R7" s="193"/>
      <c r="S7" s="193"/>
      <c r="T7" s="193"/>
      <c r="U7" s="193"/>
      <c r="V7" s="193"/>
      <c r="W7" s="193"/>
      <c r="X7" s="193"/>
      <c r="Y7" s="193"/>
      <c r="Z7" s="193"/>
    </row>
    <row r="8" spans="1:26" x14ac:dyDescent="0.25">
      <c r="B8" s="68" t="s">
        <v>6</v>
      </c>
      <c r="C8" s="69" t="s">
        <v>9</v>
      </c>
      <c r="D8" s="46" t="s">
        <v>1</v>
      </c>
      <c r="E8" s="46" t="s">
        <v>2</v>
      </c>
      <c r="F8" s="46" t="s">
        <v>3</v>
      </c>
      <c r="G8" s="46" t="s">
        <v>4</v>
      </c>
      <c r="H8" s="46" t="s">
        <v>5</v>
      </c>
      <c r="I8" s="62" t="s">
        <v>10</v>
      </c>
      <c r="N8" s="185"/>
      <c r="O8" s="185"/>
      <c r="P8" s="185"/>
      <c r="Q8" s="185"/>
      <c r="R8" s="185"/>
      <c r="S8" s="185"/>
      <c r="T8" s="193"/>
      <c r="U8" s="193"/>
      <c r="V8" s="193"/>
      <c r="W8" s="193"/>
      <c r="X8" s="193"/>
      <c r="Y8" s="193"/>
      <c r="Z8" s="193"/>
    </row>
    <row r="9" spans="1:26" ht="165" x14ac:dyDescent="0.25">
      <c r="B9" s="72" t="s">
        <v>8</v>
      </c>
      <c r="C9" s="73"/>
      <c r="D9" s="157" t="s">
        <v>841</v>
      </c>
      <c r="E9" s="157" t="s">
        <v>842</v>
      </c>
      <c r="F9" s="157" t="s">
        <v>843</v>
      </c>
      <c r="G9" s="157" t="s">
        <v>844</v>
      </c>
      <c r="H9" s="157" t="s">
        <v>845</v>
      </c>
      <c r="I9" s="66" t="s">
        <v>0</v>
      </c>
      <c r="N9" s="193"/>
      <c r="O9" s="193"/>
      <c r="P9" s="193"/>
      <c r="Q9" s="193"/>
      <c r="R9" s="193"/>
      <c r="S9" s="193"/>
      <c r="V9" s="193"/>
      <c r="W9" s="193"/>
      <c r="X9" s="193"/>
      <c r="Y9" s="193"/>
      <c r="Z9" s="193"/>
    </row>
    <row r="10" spans="1:26" x14ac:dyDescent="0.25">
      <c r="I10" s="10" t="s">
        <v>0</v>
      </c>
    </row>
    <row r="11" spans="1:26" x14ac:dyDescent="0.25">
      <c r="I11" s="10" t="s">
        <v>0</v>
      </c>
    </row>
    <row r="12" spans="1:26" x14ac:dyDescent="0.25">
      <c r="I12" s="46" t="s">
        <v>0</v>
      </c>
    </row>
    <row r="13" spans="1:26" x14ac:dyDescent="0.25">
      <c r="I13" s="46" t="s">
        <v>0</v>
      </c>
    </row>
    <row r="14" spans="1:26" x14ac:dyDescent="0.25">
      <c r="I14" s="46" t="s">
        <v>0</v>
      </c>
    </row>
    <row r="15" spans="1:26" x14ac:dyDescent="0.25">
      <c r="I15" s="46" t="s">
        <v>0</v>
      </c>
    </row>
    <row r="16" spans="1:26" x14ac:dyDescent="0.25">
      <c r="I16" s="46" t="s">
        <v>0</v>
      </c>
    </row>
    <row r="17" spans="9:9" x14ac:dyDescent="0.25">
      <c r="I17" s="46" t="s">
        <v>0</v>
      </c>
    </row>
    <row r="18" spans="9:9" x14ac:dyDescent="0.25">
      <c r="I18" s="10" t="s">
        <v>0</v>
      </c>
    </row>
    <row r="19" spans="9:9" x14ac:dyDescent="0.25">
      <c r="I19" s="10" t="s">
        <v>0</v>
      </c>
    </row>
    <row r="20" spans="9:9" x14ac:dyDescent="0.25">
      <c r="I20" s="10" t="s">
        <v>0</v>
      </c>
    </row>
    <row r="21" spans="9:9" x14ac:dyDescent="0.25">
      <c r="I21" s="10" t="s">
        <v>0</v>
      </c>
    </row>
    <row r="22" spans="9:9" x14ac:dyDescent="0.25">
      <c r="I22" s="46" t="s">
        <v>0</v>
      </c>
    </row>
  </sheetData>
  <sheetProtection algorithmName="SHA-512" hashValue="3Q5sTIF39AzTiZxqVz+6dnKsnkKhpeToou9J9H2E6xWtdY2YAs/efUSdjLHl0kf9Mz9Fei/xqfYIAlF51Uztpw==" saltValue="D4+GCc2iiqYaAMj/nCpshA==" spinCount="100000" sheet="1" objects="1" scenarios="1" formatCells="0" formatColumns="0" formatRows="0" sort="0" autoFilter="0"/>
  <mergeCells count="3">
    <mergeCell ref="D6:H6"/>
    <mergeCell ref="I6:I7"/>
    <mergeCell ref="B5:I5"/>
  </mergeCells>
  <conditionalFormatting sqref="D9">
    <cfRule type="expression" dxfId="48" priority="1" stopIfTrue="1">
      <formula>$C9=riskLeast</formula>
    </cfRule>
  </conditionalFormatting>
  <conditionalFormatting sqref="E9">
    <cfRule type="expression" dxfId="47" priority="2" stopIfTrue="1">
      <formula>$C9=riskMinimal</formula>
    </cfRule>
  </conditionalFormatting>
  <conditionalFormatting sqref="G9">
    <cfRule type="expression" dxfId="46" priority="4" stopIfTrue="1">
      <formula>$C9=riskSignificant</formula>
    </cfRule>
  </conditionalFormatting>
  <conditionalFormatting sqref="H9">
    <cfRule type="expression" dxfId="45" priority="5" stopIfTrue="1">
      <formula>$C9=riskMost</formula>
    </cfRule>
  </conditionalFormatting>
  <conditionalFormatting sqref="F9">
    <cfRule type="expression" dxfId="44" priority="3" stopIfTrue="1">
      <formula>$C9=riskModerate</formula>
    </cfRule>
  </conditionalFormatting>
  <dataValidations count="1">
    <dataValidation type="list" allowBlank="1" showInputMessage="1" showErrorMessage="1" sqref="C9" xr:uid="{00000000-0002-0000-0800-000000000000}">
      <formula1>riskLevels</formula1>
    </dataValidation>
  </dataValidations>
  <hyperlinks>
    <hyperlink ref="I3" location="disclaimer" display="disclaimer" xr:uid="{00000000-0004-0000-0800-000000000000}"/>
    <hyperlink ref="I2" location="workbookInfo" display="Workbook Information" xr:uid="{00000000-0004-0000-0800-000001000000}"/>
  </hyperlinks>
  <pageMargins left="0.25" right="0.25" top="0.75" bottom="0.75" header="0.3" footer="0.3"/>
  <pageSetup scale="52" fitToHeight="0" orientation="landscape" r:id="rId1"/>
  <headerFooter>
    <oddHeader>&amp;C&amp;A</oddHeader>
    <oddFooter>&amp;L&amp;"-,Bold"Confidential-Authorized Use Only&amp;C&amp;D&amp;RPage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102</vt:i4>
      </vt:variant>
    </vt:vector>
  </HeadingPairs>
  <TitlesOfParts>
    <vt:vector size="125" baseType="lpstr">
      <vt:lpstr>Information</vt:lpstr>
      <vt:lpstr>Log</vt:lpstr>
      <vt:lpstr>Risk-Maturity Summary</vt:lpstr>
      <vt:lpstr>Risk Rollup</vt:lpstr>
      <vt:lpstr>Technology and Connection Types</vt:lpstr>
      <vt:lpstr>Delivery Channels</vt:lpstr>
      <vt:lpstr>Online, Mobile and Services</vt:lpstr>
      <vt:lpstr>Organizational Characteristics</vt:lpstr>
      <vt:lpstr>External Threats</vt:lpstr>
      <vt:lpstr>TOC</vt:lpstr>
      <vt:lpstr>Maturity Summary</vt:lpstr>
      <vt:lpstr>Maturity Roll Up</vt:lpstr>
      <vt:lpstr>Risk Management and Oversight</vt:lpstr>
      <vt:lpstr>Threat Intel and Collaboration</vt:lpstr>
      <vt:lpstr>Cybersecurity Controls</vt:lpstr>
      <vt:lpstr>External Dependency</vt:lpstr>
      <vt:lpstr>Cyber Incidence</vt:lpstr>
      <vt:lpstr>Appendix A</vt:lpstr>
      <vt:lpstr>Verify Baseline Links</vt:lpstr>
      <vt:lpstr>Appendix A inline</vt:lpstr>
      <vt:lpstr>Pivot Reports</vt:lpstr>
      <vt:lpstr>Table Roll Up</vt:lpstr>
      <vt:lpstr>Support Information</vt:lpstr>
      <vt:lpstr>altPDFLink</vt:lpstr>
      <vt:lpstr>assessmentDate</vt:lpstr>
      <vt:lpstr>bookletAudit</vt:lpstr>
      <vt:lpstr>bookletBCP</vt:lpstr>
      <vt:lpstr>bookletEB</vt:lpstr>
      <vt:lpstr>bookletIS</vt:lpstr>
      <vt:lpstr>bookletOps</vt:lpstr>
      <vt:lpstr>bookletOut</vt:lpstr>
      <vt:lpstr>bookletWP</vt:lpstr>
      <vt:lpstr>controlMaturity</vt:lpstr>
      <vt:lpstr>d1LinkType</vt:lpstr>
      <vt:lpstr>d2LinkType</vt:lpstr>
      <vt:lpstr>d3LinkType</vt:lpstr>
      <vt:lpstr>d4LinkType</vt:lpstr>
      <vt:lpstr>d5LinkType</vt:lpstr>
      <vt:lpstr>defaultHandbookURL</vt:lpstr>
      <vt:lpstr>dependencyMaturity</vt:lpstr>
      <vt:lpstr>Disclaimer</vt:lpstr>
      <vt:lpstr>displayNN</vt:lpstr>
      <vt:lpstr>domain1Display</vt:lpstr>
      <vt:lpstr>domain1Maturity</vt:lpstr>
      <vt:lpstr>domain2Display</vt:lpstr>
      <vt:lpstr>domain2Maturity</vt:lpstr>
      <vt:lpstr>domain3Display</vt:lpstr>
      <vt:lpstr>domain3Maturity</vt:lpstr>
      <vt:lpstr>domain4Display</vt:lpstr>
      <vt:lpstr>domain4Maturity</vt:lpstr>
      <vt:lpstr>domain5Display</vt:lpstr>
      <vt:lpstr>domain5Maturity</vt:lpstr>
      <vt:lpstr>firmName</vt:lpstr>
      <vt:lpstr>generalNotes</vt:lpstr>
      <vt:lpstr>handbookURLBase</vt:lpstr>
      <vt:lpstr>hideRegNotice</vt:lpstr>
      <vt:lpstr>incidenceMaturity</vt:lpstr>
      <vt:lpstr>Information</vt:lpstr>
      <vt:lpstr>inherentRisk</vt:lpstr>
      <vt:lpstr>intelMaturity</vt:lpstr>
      <vt:lpstr>JustYesNo</vt:lpstr>
      <vt:lpstr>lowMedHigh</vt:lpstr>
      <vt:lpstr>maturityLevels</vt:lpstr>
      <vt:lpstr>namesOrNumbers</vt:lpstr>
      <vt:lpstr>no</vt:lpstr>
      <vt:lpstr>nOTA</vt:lpstr>
      <vt:lpstr>NotAvail</vt:lpstr>
      <vt:lpstr>PDFLink</vt:lpstr>
      <vt:lpstr>prefLink</vt:lpstr>
      <vt:lpstr>'Cyber Incidence'!Print_Area</vt:lpstr>
      <vt:lpstr>'Cybersecurity Controls'!Print_Area</vt:lpstr>
      <vt:lpstr>'Delivery Channels'!Print_Area</vt:lpstr>
      <vt:lpstr>'External Dependency'!Print_Area</vt:lpstr>
      <vt:lpstr>'External Threats'!Print_Area</vt:lpstr>
      <vt:lpstr>Information!Print_Area</vt:lpstr>
      <vt:lpstr>'Maturity Roll Up'!Print_Area</vt:lpstr>
      <vt:lpstr>'Maturity Summary'!Print_Area</vt:lpstr>
      <vt:lpstr>'Online, Mobile and Services'!Print_Area</vt:lpstr>
      <vt:lpstr>'Organizational Characteristics'!Print_Area</vt:lpstr>
      <vt:lpstr>'Risk Management and Oversight'!Print_Area</vt:lpstr>
      <vt:lpstr>'Risk Rollup'!Print_Area</vt:lpstr>
      <vt:lpstr>'Risk-Maturity Summary'!Print_Area</vt:lpstr>
      <vt:lpstr>'Technology and Connection Types'!Print_Area</vt:lpstr>
      <vt:lpstr>'Threat Intel and Collaboration'!Print_Area</vt:lpstr>
      <vt:lpstr>'Cyber Incidence'!Print_Titles</vt:lpstr>
      <vt:lpstr>'Cybersecurity Controls'!Print_Titles</vt:lpstr>
      <vt:lpstr>'External Dependency'!Print_Titles</vt:lpstr>
      <vt:lpstr>'Online, Mobile and Services'!Print_Titles</vt:lpstr>
      <vt:lpstr>'Risk Management and Oversight'!Print_Titles</vt:lpstr>
      <vt:lpstr>'Technology and Connection Types'!Print_Titles</vt:lpstr>
      <vt:lpstr>'Threat Intel and Collaboration'!Print_Titles</vt:lpstr>
      <vt:lpstr>responsiblePerson</vt:lpstr>
      <vt:lpstr>riskLeast</vt:lpstr>
      <vt:lpstr>riskLevels</vt:lpstr>
      <vt:lpstr>riskMaturity</vt:lpstr>
      <vt:lpstr>riskMinimal</vt:lpstr>
      <vt:lpstr>riskModerate</vt:lpstr>
      <vt:lpstr>riskMost</vt:lpstr>
      <vt:lpstr>riskSignificant</vt:lpstr>
      <vt:lpstr>sumLeast</vt:lpstr>
      <vt:lpstr>sumMinimal</vt:lpstr>
      <vt:lpstr>sumModerate</vt:lpstr>
      <vt:lpstr>sumMost</vt:lpstr>
      <vt:lpstr>sumSignificant</vt:lpstr>
      <vt:lpstr>textHigh</vt:lpstr>
      <vt:lpstr>textLow</vt:lpstr>
      <vt:lpstr>textMedium</vt:lpstr>
      <vt:lpstr>userManualrURL</vt:lpstr>
      <vt:lpstr>versionID</vt:lpstr>
      <vt:lpstr>warn1</vt:lpstr>
      <vt:lpstr>warn2</vt:lpstr>
      <vt:lpstr>warningText</vt:lpstr>
      <vt:lpstr>webPageLink</vt:lpstr>
      <vt:lpstr>websiteHTTP</vt:lpstr>
      <vt:lpstr>webSiteURL</vt:lpstr>
      <vt:lpstr>weightLeast</vt:lpstr>
      <vt:lpstr>weightMinimal</vt:lpstr>
      <vt:lpstr>weightModerate</vt:lpstr>
      <vt:lpstr>weightMost</vt:lpstr>
      <vt:lpstr>weightSignificant</vt:lpstr>
      <vt:lpstr>workbookInfo</vt:lpstr>
      <vt:lpstr>workbookVersionLabel</vt:lpstr>
      <vt:lpstr>yes</vt:lpstr>
      <vt:lpstr>yesCC</vt:lpstr>
      <vt:lpstr>yesNo</vt:lpstr>
    </vt:vector>
  </TitlesOfParts>
  <Manager>Mike Block</Manager>
  <Company>Watkins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FFIEC Cybersecurity Assessment Tool</dc:title>
  <dc:subject>Cybersecurity Governance</dc:subject>
  <dc:creator>Mark Johnston;Kate Mazza</dc:creator>
  <cp:keywords>Cybersecurity Governance</cp:keywords>
  <cp:lastModifiedBy>Mark Johnston</cp:lastModifiedBy>
  <cp:lastPrinted>2019-02-08T22:00:39Z</cp:lastPrinted>
  <dcterms:created xsi:type="dcterms:W3CDTF">2015-07-09T17:00:51Z</dcterms:created>
  <dcterms:modified xsi:type="dcterms:W3CDTF">2019-11-12T16:19:41Z</dcterms:modified>
  <cp:contentStatus>Version 1</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rmulaDeskUniqueName">
    <vt:lpwstr>08252772-1ffd-4c08-9651-113d6d848841</vt:lpwstr>
  </property>
</Properties>
</file>