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xya\Downloads\"/>
    </mc:Choice>
  </mc:AlternateContent>
  <xr:revisionPtr revIDLastSave="0" documentId="13_ncr:1_{07A56244-2FC3-4A47-80CE-77D727A6CEA0}" xr6:coauthVersionLast="47" xr6:coauthVersionMax="47" xr10:uidLastSave="{00000000-0000-0000-0000-000000000000}"/>
  <bookViews>
    <workbookView xWindow="-120" yWindow="-120" windowWidth="23280" windowHeight="14880" activeTab="7" xr2:uid="{D4D68308-9443-478A-A1A8-AFEDF7641D08}"/>
  </bookViews>
  <sheets>
    <sheet name="Concept" sheetId="1" r:id="rId1"/>
    <sheet name="Data" sheetId="2" r:id="rId2"/>
    <sheet name="15" sheetId="17" r:id="rId3"/>
    <sheet name="14" sheetId="11" r:id="rId4"/>
    <sheet name="13" sheetId="15" r:id="rId5"/>
    <sheet name="12" sheetId="10" r:id="rId6"/>
    <sheet name="11" sheetId="9" r:id="rId7"/>
    <sheet name="10" sheetId="8" r:id="rId8"/>
    <sheet name="9" sheetId="7" r:id="rId9"/>
    <sheet name="8" sheetId="6" r:id="rId10"/>
    <sheet name="7" sheetId="14" r:id="rId11"/>
    <sheet name="6" sheetId="5" r:id="rId12"/>
    <sheet name="5" sheetId="12" r:id="rId13"/>
    <sheet name="3 &amp; 4" sheetId="4" r:id="rId14"/>
    <sheet name="1 &amp; 2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1" l="1"/>
  <c r="E7" i="11"/>
  <c r="E8" i="11"/>
  <c r="E9" i="11"/>
  <c r="E10" i="11"/>
  <c r="E11" i="11"/>
  <c r="E12" i="11"/>
  <c r="E13" i="11"/>
  <c r="E14" i="11"/>
  <c r="E15" i="11"/>
  <c r="E16" i="11"/>
  <c r="E5" i="11"/>
  <c r="E19" i="17"/>
  <c r="F19" i="17" s="1"/>
  <c r="D19" i="17"/>
  <c r="K18" i="17"/>
  <c r="I18" i="17" a="1"/>
  <c r="I18" i="17" s="1"/>
  <c r="I17" i="17" a="1"/>
  <c r="I17" i="17" s="1"/>
  <c r="H17" i="17"/>
  <c r="E17" i="17"/>
  <c r="D17" i="17"/>
  <c r="E16" i="17"/>
  <c r="F16" i="17" s="1"/>
  <c r="D16" i="17"/>
  <c r="K15" i="17"/>
  <c r="I15" i="17" a="1"/>
  <c r="I15" i="17" s="1"/>
  <c r="I14" i="17" a="1"/>
  <c r="I14" i="17" s="1"/>
  <c r="H14" i="17"/>
  <c r="E14" i="17"/>
  <c r="D14" i="17"/>
  <c r="E13" i="17"/>
  <c r="F13" i="17" s="1"/>
  <c r="D13" i="17"/>
  <c r="K12" i="17"/>
  <c r="I12" i="17" a="1"/>
  <c r="I12" i="17" s="1"/>
  <c r="I11" i="17" a="1"/>
  <c r="I11" i="17" s="1"/>
  <c r="H11" i="17"/>
  <c r="E11" i="17"/>
  <c r="D11" i="17"/>
  <c r="E10" i="17"/>
  <c r="D10" i="17"/>
  <c r="K9" i="17"/>
  <c r="I9" i="17" a="1"/>
  <c r="I9" i="17" s="1"/>
  <c r="C8" i="17" a="1"/>
  <c r="K19" i="17" s="1"/>
  <c r="J19" i="17" s="1"/>
  <c r="E6" i="17"/>
  <c r="B7" i="9" a="1"/>
  <c r="B7" i="9" s="1"/>
  <c r="B4" i="9" a="1"/>
  <c r="B4" i="9"/>
  <c r="B18" i="7" a="1"/>
  <c r="B18" i="7" s="1"/>
  <c r="B17" i="7"/>
  <c r="B16" i="7" a="1"/>
  <c r="B16" i="7" s="1"/>
  <c r="B15" i="7"/>
  <c r="B8" i="7"/>
  <c r="B7" i="7"/>
  <c r="B6" i="7"/>
  <c r="B5" i="7"/>
  <c r="B24" i="7"/>
  <c r="D5" i="11"/>
  <c r="G6" i="11"/>
  <c r="G7" i="11"/>
  <c r="G8" i="11"/>
  <c r="G9" i="11"/>
  <c r="G10" i="11"/>
  <c r="G11" i="11"/>
  <c r="G12" i="11"/>
  <c r="G13" i="11"/>
  <c r="G14" i="11"/>
  <c r="G16" i="11"/>
  <c r="D12" i="11"/>
  <c r="D13" i="11"/>
  <c r="D14" i="11"/>
  <c r="D15" i="11"/>
  <c r="D16" i="11"/>
  <c r="C12" i="11"/>
  <c r="C13" i="11"/>
  <c r="C14" i="11"/>
  <c r="C15" i="11"/>
  <c r="C16" i="11"/>
  <c r="B5" i="11" a="1"/>
  <c r="B5" i="11" s="1"/>
  <c r="G5" i="11" s="1"/>
  <c r="B4" i="10" a="1"/>
  <c r="B4" i="10" s="1"/>
  <c r="B7" i="15" a="1"/>
  <c r="B7" i="15" s="1"/>
  <c r="B6" i="15" a="1"/>
  <c r="B6" i="15" s="1"/>
  <c r="P3" i="4" a="1"/>
  <c r="P3" i="4" s="1"/>
  <c r="A13" i="12" a="1"/>
  <c r="A13" i="12" s="1"/>
  <c r="A12" i="12" a="1"/>
  <c r="A12" i="12" s="1"/>
  <c r="C16" i="8"/>
  <c r="C15" i="8"/>
  <c r="C14" i="8"/>
  <c r="E8" i="8"/>
  <c r="E7" i="8"/>
  <c r="E6" i="8"/>
  <c r="E5" i="8"/>
  <c r="A4" i="6" a="1"/>
  <c r="A4" i="6" s="1"/>
  <c r="C3" i="6" s="1"/>
  <c r="K8" i="14"/>
  <c r="J8" i="14"/>
  <c r="K7" i="14"/>
  <c r="J7" i="14"/>
  <c r="C4" i="5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B11" i="14" a="1"/>
  <c r="B11" i="14" s="1"/>
  <c r="B10" i="14" a="1"/>
  <c r="B10" i="14" s="1"/>
  <c r="B9" i="14" a="1"/>
  <c r="B9" i="14" s="1"/>
  <c r="B8" i="14" a="1"/>
  <c r="B8" i="14" s="1"/>
  <c r="B7" i="14" a="1"/>
  <c r="B7" i="14"/>
  <c r="A17" i="5" a="1"/>
  <c r="A17" i="5" s="1"/>
  <c r="B10" i="5"/>
  <c r="B9" i="5"/>
  <c r="B8" i="5"/>
  <c r="B7" i="5"/>
  <c r="B6" i="5"/>
  <c r="D5" i="5"/>
  <c r="D4" i="5"/>
  <c r="C5" i="5"/>
  <c r="B5" i="5"/>
  <c r="B4" i="5"/>
  <c r="P2" i="4" a="1"/>
  <c r="P2" i="4" s="1"/>
  <c r="B5" i="4" a="1"/>
  <c r="B5" i="4" s="1"/>
  <c r="B6" i="4" a="1"/>
  <c r="B6" i="4" s="1"/>
  <c r="F15" i="3"/>
  <c r="F5" i="3"/>
  <c r="F6" i="3"/>
  <c r="F7" i="3"/>
  <c r="F8" i="3"/>
  <c r="F9" i="3"/>
  <c r="F10" i="3"/>
  <c r="F11" i="3"/>
  <c r="F12" i="3"/>
  <c r="F13" i="3"/>
  <c r="F14" i="3"/>
  <c r="F4" i="3"/>
  <c r="E5" i="3"/>
  <c r="E6" i="3"/>
  <c r="E7" i="3"/>
  <c r="E8" i="3"/>
  <c r="E9" i="3"/>
  <c r="E10" i="3"/>
  <c r="E11" i="3"/>
  <c r="E12" i="3"/>
  <c r="E13" i="3"/>
  <c r="E14" i="3"/>
  <c r="E15" i="3"/>
  <c r="E4" i="3"/>
  <c r="D4" i="3"/>
  <c r="D6" i="3"/>
  <c r="D7" i="3"/>
  <c r="D8" i="3"/>
  <c r="D9" i="3"/>
  <c r="D10" i="3"/>
  <c r="D11" i="3"/>
  <c r="D12" i="3"/>
  <c r="D13" i="3"/>
  <c r="D14" i="3"/>
  <c r="D15" i="3"/>
  <c r="D5" i="3"/>
  <c r="C5" i="3"/>
  <c r="C6" i="3"/>
  <c r="C7" i="3"/>
  <c r="C8" i="3"/>
  <c r="C9" i="3"/>
  <c r="C10" i="3"/>
  <c r="C11" i="3"/>
  <c r="C12" i="3"/>
  <c r="C13" i="3"/>
  <c r="C14" i="3"/>
  <c r="C15" i="3"/>
  <c r="C4" i="3"/>
  <c r="C16" i="3" s="1"/>
  <c r="B5" i="3"/>
  <c r="B6" i="3"/>
  <c r="B7" i="3"/>
  <c r="B8" i="3"/>
  <c r="B9" i="3"/>
  <c r="B10" i="3"/>
  <c r="B11" i="3"/>
  <c r="B12" i="3"/>
  <c r="B13" i="3"/>
  <c r="B14" i="3"/>
  <c r="B15" i="3"/>
  <c r="B4" i="3"/>
  <c r="D3" i="11"/>
  <c r="E14" i="8"/>
  <c r="H10" i="17" l="1"/>
  <c r="K11" i="17"/>
  <c r="J11" i="17" s="1"/>
  <c r="H13" i="17"/>
  <c r="K14" i="17"/>
  <c r="J14" i="17" s="1"/>
  <c r="H16" i="17"/>
  <c r="K17" i="17"/>
  <c r="J17" i="17" s="1"/>
  <c r="H19" i="17"/>
  <c r="D9" i="17"/>
  <c r="J9" i="17" s="1"/>
  <c r="I10" i="17" a="1"/>
  <c r="I10" i="17" s="1"/>
  <c r="D12" i="17"/>
  <c r="J12" i="17" s="1"/>
  <c r="I13" i="17" a="1"/>
  <c r="I13" i="17" s="1"/>
  <c r="D15" i="17"/>
  <c r="J15" i="17" s="1"/>
  <c r="I16" i="17" a="1"/>
  <c r="I16" i="17" s="1"/>
  <c r="D18" i="17"/>
  <c r="J18" i="17" s="1"/>
  <c r="I19" i="17" a="1"/>
  <c r="I19" i="17" s="1"/>
  <c r="E9" i="17"/>
  <c r="F9" i="17" s="1"/>
  <c r="E12" i="17"/>
  <c r="F12" i="17" s="1"/>
  <c r="E15" i="17"/>
  <c r="F15" i="17" s="1"/>
  <c r="E18" i="17"/>
  <c r="F18" i="17" s="1"/>
  <c r="C8" i="17"/>
  <c r="H9" i="17"/>
  <c r="K10" i="17"/>
  <c r="J10" i="17" s="1"/>
  <c r="H12" i="17"/>
  <c r="K13" i="17"/>
  <c r="J13" i="17" s="1"/>
  <c r="H15" i="17"/>
  <c r="K16" i="17"/>
  <c r="J16" i="17" s="1"/>
  <c r="H18" i="17"/>
  <c r="G15" i="11"/>
  <c r="C11" i="11"/>
  <c r="D11" i="11"/>
  <c r="C10" i="11"/>
  <c r="D10" i="11"/>
  <c r="C9" i="11"/>
  <c r="D9" i="11"/>
  <c r="C8" i="11"/>
  <c r="D8" i="11"/>
  <c r="C7" i="11"/>
  <c r="D7" i="11"/>
  <c r="C6" i="11"/>
  <c r="D6" i="11"/>
  <c r="C5" i="11"/>
  <c r="F17" i="17" l="1"/>
  <c r="F14" i="17"/>
  <c r="K8" i="17"/>
  <c r="I8" i="17" a="1"/>
  <c r="I8" i="17" s="1"/>
  <c r="E8" i="17"/>
  <c r="D8" i="17"/>
  <c r="H8" i="17"/>
  <c r="F11" i="17"/>
  <c r="F8" i="17" l="1"/>
  <c r="F10" i="17"/>
  <c r="J8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<sst xmlns="http://schemas.openxmlformats.org/spreadsheetml/2006/main" count="2494" uniqueCount="820">
  <si>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</si>
  <si>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</si>
  <si>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</si>
  <si>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</si>
  <si>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</si>
  <si>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</si>
  <si>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</si>
  <si>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</si>
  <si>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</si>
  <si>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</si>
  <si>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</si>
  <si>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</si>
  <si>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</si>
  <si>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</si>
  <si>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</si>
  <si>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</si>
  <si>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</si>
  <si>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</si>
  <si>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</si>
  <si>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</si>
  <si>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</si>
  <si>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</si>
  <si>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</si>
  <si>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</si>
  <si>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</si>
  <si>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</si>
  <si>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</si>
  <si>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</si>
  <si>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</si>
  <si>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</si>
  <si>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</si>
  <si>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</si>
  <si>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</si>
  <si>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</si>
  <si>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</si>
  <si>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</si>
  <si>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</si>
  <si>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</si>
  <si>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</si>
  <si>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</si>
  <si>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</si>
  <si>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</si>
  <si>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</si>
  <si>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</si>
  <si>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</si>
  <si>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</si>
  <si>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</si>
  <si>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</si>
  <si>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</si>
  <si>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</si>
  <si>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</si>
  <si>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</si>
  <si>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</si>
  <si>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</si>
  <si>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</si>
  <si>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</si>
  <si>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</si>
  <si>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</si>
  <si>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</si>
  <si>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</si>
  <si>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</si>
  <si>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</si>
  <si>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</si>
  <si>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</si>
  <si>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</si>
  <si>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</si>
  <si>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</si>
  <si>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</si>
  <si>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</si>
  <si>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</si>
  <si>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</si>
  <si>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</si>
  <si>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</si>
  <si>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</si>
  <si>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</si>
  <si>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</si>
  <si>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</si>
  <si>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</si>
  <si>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</si>
  <si>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</si>
  <si>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</si>
  <si>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</si>
  <si>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</si>
  <si>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</si>
  <si>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</si>
  <si>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</si>
  <si>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</si>
  <si>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</si>
  <si>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</si>
  <si>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</si>
  <si>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</si>
  <si>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</si>
  <si>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</si>
  <si>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</si>
  <si>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</si>
  <si>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</si>
  <si>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</si>
  <si>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</si>
  <si>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</si>
  <si>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</si>
  <si>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</si>
  <si>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</si>
  <si>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</si>
  <si>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</si>
  <si>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</si>
  <si>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</si>
  <si>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</si>
  <si>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</si>
  <si>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</si>
  <si>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</si>
  <si>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</si>
  <si>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</si>
  <si>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</si>
  <si>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</si>
  <si>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</si>
  <si>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</si>
  <si>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</si>
  <si>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</si>
  <si>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</si>
  <si>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</si>
  <si>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</si>
  <si>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</si>
  <si>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</si>
  <si>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</si>
  <si>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</si>
  <si>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</si>
  <si>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</si>
  <si>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</si>
  <si>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</si>
  <si>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</si>
  <si>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</si>
  <si>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</si>
  <si>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</si>
  <si>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</si>
  <si>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</si>
  <si>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</si>
  <si>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</si>
  <si>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</si>
  <si>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</si>
  <si>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</si>
  <si>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</si>
  <si>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</si>
  <si>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</si>
  <si>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</si>
  <si>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</si>
  <si>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</si>
  <si>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</si>
  <si>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</si>
  <si>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</si>
  <si>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</si>
  <si>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</si>
  <si>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</si>
  <si>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</si>
  <si>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</si>
  <si>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</si>
  <si>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</si>
  <si>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</si>
  <si>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</si>
  <si>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</si>
  <si>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</si>
  <si>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</si>
  <si>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</si>
  <si>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</si>
  <si>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</si>
  <si>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</si>
  <si>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</si>
  <si>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</si>
  <si>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</si>
  <si>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</si>
  <si>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</si>
  <si>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</si>
  <si>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</si>
  <si>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</si>
  <si>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</si>
  <si>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</si>
  <si>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</si>
  <si>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</si>
  <si>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</si>
  <si>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</si>
  <si>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</si>
  <si>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</si>
  <si>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</si>
  <si>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</si>
  <si>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</si>
  <si>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</si>
  <si>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</si>
  <si>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</si>
  <si>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</si>
  <si>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</si>
  <si>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</si>
  <si>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</si>
  <si>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</si>
  <si>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</si>
  <si>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</si>
  <si>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</si>
  <si>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</si>
  <si>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</si>
  <si>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</si>
  <si>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</si>
  <si>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</si>
  <si>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</si>
  <si>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</si>
  <si>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</si>
  <si>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</si>
  <si>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</si>
  <si>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</si>
  <si>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</si>
  <si>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</si>
  <si>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</si>
  <si>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</si>
  <si>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</si>
  <si>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</si>
  <si>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</si>
  <si>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</si>
  <si>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</si>
  <si>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</si>
  <si>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</si>
  <si>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</si>
  <si>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</si>
  <si>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</si>
  <si>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</si>
  <si>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</si>
  <si>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</si>
  <si>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</si>
  <si>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</si>
  <si>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</si>
  <si>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</si>
  <si>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</si>
  <si>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</si>
  <si>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</si>
  <si>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</si>
  <si>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</si>
  <si>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</si>
  <si>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</si>
  <si>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</si>
  <si>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</si>
  <si>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</si>
  <si>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</si>
  <si>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</si>
  <si>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</si>
  <si>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</si>
  <si>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</si>
  <si>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</si>
  <si>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</si>
  <si>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</si>
  <si>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</si>
  <si>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</si>
  <si>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</si>
  <si>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</si>
  <si>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</si>
  <si>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</si>
  <si>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</si>
  <si>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</si>
  <si>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</si>
  <si>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</si>
  <si>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</si>
  <si>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</si>
  <si>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</si>
  <si>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</si>
  <si>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</si>
  <si>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</si>
  <si>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</si>
  <si>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</si>
  <si>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</si>
  <si>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</si>
  <si>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</si>
  <si>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</si>
  <si>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</si>
  <si>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</si>
  <si>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</si>
  <si>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</si>
  <si>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</si>
  <si>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</si>
  <si>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</si>
  <si>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</si>
  <si>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</si>
  <si>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</si>
  <si>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</si>
  <si>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</si>
  <si>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</si>
  <si>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</si>
  <si>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</si>
  <si>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</si>
  <si>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</si>
  <si>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</si>
  <si>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</si>
  <si>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</si>
  <si>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</si>
  <si>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</si>
  <si>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</si>
  <si>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</si>
  <si>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</si>
  <si>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</si>
  <si>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</si>
  <si>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</si>
  <si>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</si>
  <si>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</si>
  <si>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</si>
  <si>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</si>
  <si>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</si>
  <si>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</si>
  <si>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</si>
  <si>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</si>
  <si>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</si>
  <si>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</si>
  <si>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</si>
  <si>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</si>
  <si>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</si>
  <si>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</si>
  <si>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</si>
  <si>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</si>
  <si>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</si>
  <si>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</si>
  <si>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</si>
  <si>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</si>
  <si>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</si>
  <si>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</si>
  <si>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</si>
  <si>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</si>
  <si>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</si>
  <si>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</si>
  <si>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</si>
  <si>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</si>
  <si>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</si>
  <si>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</si>
  <si>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</si>
  <si>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</si>
  <si>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</si>
  <si>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</si>
  <si>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</si>
  <si>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</si>
  <si>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</si>
  <si>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</si>
  <si>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</si>
  <si>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</si>
  <si>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</si>
  <si>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</si>
  <si>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</si>
  <si>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</si>
  <si>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</si>
  <si>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</si>
  <si>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</si>
  <si>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</si>
  <si>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</si>
  <si>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</si>
  <si>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</si>
  <si>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</si>
  <si>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</si>
  <si>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</si>
  <si>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</si>
  <si>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</si>
  <si>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</si>
  <si>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</si>
  <si>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</si>
  <si>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</si>
  <si>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</si>
  <si>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</si>
  <si>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</si>
  <si>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</si>
  <si>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</si>
  <si>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</si>
  <si>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</si>
  <si>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</si>
  <si>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</si>
  <si>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</si>
  <si>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</si>
  <si>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</si>
  <si>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</si>
  <si>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</si>
  <si>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</si>
  <si>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</si>
  <si>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</si>
  <si>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</si>
  <si>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</si>
  <si>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</si>
  <si>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</si>
  <si>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</si>
  <si>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</si>
  <si>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</si>
  <si>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</si>
  <si>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</si>
  <si>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</si>
  <si>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</si>
  <si>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</si>
  <si>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</si>
  <si>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</si>
  <si>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</si>
  <si>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</si>
  <si>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</si>
  <si>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</si>
  <si>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</si>
  <si>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</si>
  <si>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</si>
  <si>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</si>
  <si>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</si>
  <si>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</si>
  <si>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</si>
  <si>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</si>
  <si>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</si>
  <si>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</si>
  <si>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</si>
  <si>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</si>
  <si>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</si>
  <si>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</si>
  <si>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</si>
  <si>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</si>
  <si>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</si>
  <si>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</si>
  <si>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</si>
  <si>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</si>
  <si>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</si>
  <si>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</si>
  <si>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</si>
  <si>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</si>
  <si>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</si>
  <si>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</si>
  <si>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</si>
  <si>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</si>
  <si>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</si>
  <si>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</si>
  <si>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</si>
  <si>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</si>
  <si>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</si>
  <si>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</si>
  <si>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</si>
  <si>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</si>
  <si>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</si>
  <si>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</si>
  <si>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</si>
  <si>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</si>
  <si>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</si>
  <si>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</si>
  <si>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</si>
  <si>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</si>
  <si>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</si>
  <si>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</si>
  <si>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</si>
  <si>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</si>
  <si>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</si>
  <si>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</si>
  <si>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</si>
  <si>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</si>
  <si>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</si>
  <si>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</si>
  <si>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</si>
  <si>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</si>
  <si>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</si>
  <si>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</si>
  <si>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</si>
  <si>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</si>
  <si>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</si>
  <si>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</si>
  <si>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</si>
  <si>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</si>
  <si>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</si>
  <si>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</si>
  <si>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</si>
  <si>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</si>
  <si>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</si>
  <si>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</si>
  <si>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</si>
  <si>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</si>
  <si>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</si>
  <si>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</si>
  <si>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</si>
  <si>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</si>
  <si>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</si>
  <si>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</si>
  <si>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</si>
  <si>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</si>
  <si>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</si>
  <si>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</si>
  <si>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</si>
  <si>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</si>
  <si>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</si>
  <si>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</si>
  <si>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</si>
  <si>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</si>
  <si>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</si>
  <si>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</si>
  <si>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</si>
  <si>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</si>
  <si>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</si>
  <si>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</si>
  <si>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</si>
  <si>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</si>
  <si>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</si>
  <si>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</si>
  <si>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</si>
  <si>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</si>
  <si>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</si>
  <si>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</si>
  <si>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</si>
  <si>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</si>
  <si>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</si>
  <si>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</si>
  <si>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</si>
  <si>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</si>
  <si>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</si>
  <si>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</si>
  <si>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</si>
  <si>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</si>
  <si>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</si>
  <si>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</si>
  <si>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</si>
  <si>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</si>
  <si>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</si>
  <si>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</si>
  <si>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</si>
  <si>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</si>
  <si>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</si>
  <si>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</si>
  <si>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</si>
  <si>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</si>
  <si>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</si>
  <si>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</si>
  <si>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</si>
  <si>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</si>
  <si>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</si>
  <si>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</si>
  <si>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</si>
  <si>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</si>
  <si>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</si>
  <si>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</si>
  <si>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</si>
  <si>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</si>
  <si>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</si>
  <si>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</si>
  <si>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</si>
  <si>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</si>
  <si>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</si>
  <si>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</si>
  <si>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</si>
  <si>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</si>
  <si>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</si>
  <si>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</si>
  <si>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</si>
  <si>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</si>
  <si>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</si>
  <si>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</si>
  <si>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</si>
  <si>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</si>
  <si>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</si>
  <si>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</si>
  <si>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</si>
  <si>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</si>
  <si>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</si>
  <si>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</si>
  <si>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</si>
  <si>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</si>
  <si>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</si>
  <si>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</si>
  <si>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</si>
  <si>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</si>
  <si>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</si>
  <si>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</si>
  <si>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</si>
  <si>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</si>
  <si>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</si>
  <si>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</si>
  <si>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</si>
  <si>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</si>
  <si>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</si>
  <si>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</si>
  <si>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</si>
  <si>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</si>
  <si>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</si>
  <si>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</si>
  <si>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</si>
  <si>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</si>
  <si>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</si>
  <si>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</si>
  <si>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</si>
  <si>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</si>
  <si>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</si>
  <si>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</si>
  <si>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</si>
  <si>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</si>
  <si>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</si>
  <si>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</si>
  <si>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</si>
  <si>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</si>
  <si>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</si>
  <si>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</si>
  <si>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</si>
  <si>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</si>
  <si>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</si>
  <si>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</si>
  <si>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</si>
  <si>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</si>
  <si>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</si>
  <si>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</si>
  <si>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</si>
  <si>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</si>
  <si>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</si>
  <si>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</si>
  <si>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</si>
  <si>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</si>
  <si>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</si>
  <si>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</si>
  <si>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</si>
  <si>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</si>
  <si>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</si>
  <si>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</si>
  <si>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</si>
  <si>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</si>
  <si>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</si>
  <si>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</si>
  <si>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</si>
  <si>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</si>
  <si>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</si>
  <si>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</si>
  <si>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</si>
  <si>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</si>
  <si>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</si>
  <si>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</si>
  <si>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</si>
  <si>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</si>
  <si>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</si>
  <si>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</si>
  <si>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</si>
  <si>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</si>
  <si>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</si>
  <si>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</si>
  <si>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</si>
  <si>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</si>
  <si>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</si>
  <si>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</si>
  <si>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</si>
  <si>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</si>
  <si>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</si>
  <si>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</si>
  <si>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</si>
  <si>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</si>
  <si>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</si>
  <si>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</si>
  <si>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</si>
  <si>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</si>
  <si>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</si>
  <si>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</si>
  <si>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</si>
  <si>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</si>
  <si>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</si>
  <si>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</si>
  <si>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</si>
  <si>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</si>
  <si>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</si>
  <si>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</si>
  <si>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</si>
  <si>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</si>
  <si>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</si>
  <si>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</si>
  <si>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</si>
  <si>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</si>
  <si>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</si>
  <si>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</si>
  <si>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</si>
  <si>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</si>
  <si>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</si>
  <si>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</si>
  <si>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</si>
  <si>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</si>
  <si>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</si>
  <si>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</si>
  <si>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</si>
  <si>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</si>
  <si>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</si>
  <si>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</si>
  <si>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</si>
  <si>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</si>
  <si>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</si>
  <si>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</si>
  <si>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</si>
  <si>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</si>
  <si>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</si>
  <si>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</si>
  <si>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</si>
  <si>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</si>
  <si>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</si>
  <si>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</si>
  <si>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</si>
  <si>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</si>
  <si>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</si>
  <si>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</si>
  <si>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</si>
  <si>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</si>
  <si>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</si>
  <si>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</si>
  <si>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</si>
  <si>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</si>
  <si>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</si>
  <si>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</si>
  <si>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</si>
  <si>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</si>
  <si>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</si>
  <si>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</si>
  <si>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</si>
  <si>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</si>
  <si>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</si>
  <si>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</si>
  <si>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</si>
  <si>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</si>
  <si>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</si>
  <si>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</si>
  <si>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</si>
  <si>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</si>
  <si>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</si>
  <si>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</si>
  <si>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</si>
  <si>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</si>
  <si>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</si>
  <si>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</si>
  <si>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</si>
  <si>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</si>
  <si>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</si>
  <si>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</si>
  <si>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</si>
  <si>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</si>
  <si>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</si>
  <si>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</si>
  <si>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</si>
  <si>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</si>
  <si>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</si>
  <si>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</si>
  <si>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</si>
  <si>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</si>
  <si>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</si>
  <si>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</si>
  <si>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</si>
  <si>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</si>
  <si>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</si>
  <si>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</si>
  <si>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</si>
  <si>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</si>
  <si>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</si>
  <si>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</si>
  <si>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</si>
  <si>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</si>
  <si>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</si>
  <si>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</si>
  <si>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</si>
  <si>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</si>
  <si>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</si>
  <si>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</si>
  <si>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</si>
  <si>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</si>
  <si>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</si>
  <si>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</si>
  <si>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</si>
  <si>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</si>
  <si>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</si>
  <si>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</si>
  <si>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</si>
  <si>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</si>
  <si>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</si>
  <si>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</si>
  <si>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</si>
  <si>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</si>
  <si>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</si>
  <si>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</si>
  <si>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</si>
  <si>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</si>
  <si>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</si>
  <si>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</si>
  <si>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</si>
  <si>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</si>
  <si>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</si>
  <si>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</si>
  <si>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</si>
  <si>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</si>
  <si>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</si>
  <si>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</si>
  <si>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</si>
  <si>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</si>
  <si>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</si>
  <si>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</si>
  <si>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</si>
  <si>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</si>
  <si>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</si>
  <si>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</si>
  <si>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</si>
  <si>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</si>
  <si>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</si>
  <si>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</si>
  <si>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</si>
  <si>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</si>
  <si>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</si>
  <si>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</si>
  <si>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</si>
  <si>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</si>
  <si>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</si>
  <si>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</si>
  <si>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</si>
  <si>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</si>
  <si>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</si>
  <si>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</si>
  <si>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</si>
  <si>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</si>
  <si>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</si>
  <si>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</si>
  <si>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</si>
  <si>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</si>
  <si>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</si>
  <si>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</si>
  <si>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</si>
  <si>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</si>
  <si>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</si>
  <si>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</si>
  <si>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</si>
  <si>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</si>
  <si>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</si>
  <si>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All female employees with more than $100k salary,</t>
  </si>
  <si>
    <t>who joined in 2020 or after…</t>
  </si>
  <si>
    <t>Top 5 Salaries using sort + take</t>
  </si>
  <si>
    <t>Top 5 salaries for male</t>
  </si>
  <si>
    <t>Top 5 salaries for female</t>
  </si>
  <si>
    <t>LOWEST</t>
  </si>
  <si>
    <t>HIGHEST</t>
  </si>
  <si>
    <t>List of all Department in one cell seperated by comma</t>
  </si>
  <si>
    <t>Finding Median Salary and 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</si>
</sst>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&quot;$&quot;#,##0_);[Red]\(&quot;$&quot;#,##0\)"/>
    <numFmt numFmtId="165" formatCode="[$-F800]dddd\,\ mmmm\ dd\,\ yyyy"/>
    <numFmt numFmtId="166" formatCode="[$-C09]dd\-mmm\-yy;@"/>
    <numFmt numFmtId="167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4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4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4" fontId="7" fillId="0" borderId="0" xfId="1" applyFont="1"/>
    <xf numFmtId="0" fontId="0" fillId="6" borderId="7" xfId="0" applyFill="1" applyBorder="1"/>
    <xf numFmtId="0" fontId="0" fillId="0" borderId="7" xfId="0" applyBorder="1"/>
    <xf numFmtId="0" fontId="8" fillId="0" borderId="1" xfId="2" applyFon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10" fontId="7" fillId="0" borderId="0" xfId="1" applyNumberFormat="1" applyFont="1"/>
    <xf numFmtId="167" fontId="7" fillId="0" borderId="0" xfId="1" applyNumberFormat="1" applyFont="1"/>
    <xf numFmtId="0" fontId="3" fillId="0" borderId="0" xfId="0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A3" workbookViewId="0">
      <selection activeCell="G26" sqref="G26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0</v>
      </c>
    </row>
    <row r="5" spans="1:14" ht="21" customHeight="1" x14ac:dyDescent="0.25">
      <c r="C5" s="4"/>
      <c r="D5" s="5" t="s">
        <v>1</v>
      </c>
      <c r="E5" s="4"/>
      <c r="F5" s="5" t="s">
        <v>2</v>
      </c>
      <c r="G5" s="5" t="s">
        <v>3</v>
      </c>
      <c r="H5" s="29" t="s">
        <v>768</v>
      </c>
    </row>
    <row r="6" spans="1:14" ht="21" customHeight="1" x14ac:dyDescent="0.25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25">
      <c r="C7" s="31">
        <v>2</v>
      </c>
      <c r="D7" s="30" t="s">
        <v>776</v>
      </c>
      <c r="E7" s="7"/>
      <c r="F7" s="8" t="s">
        <v>770</v>
      </c>
      <c r="G7" s="30" t="s">
        <v>769</v>
      </c>
      <c r="H7" s="8" t="s">
        <v>770</v>
      </c>
      <c r="J7" s="10"/>
      <c r="N7" s="11"/>
    </row>
    <row r="8" spans="1:14" ht="21" customHeight="1" x14ac:dyDescent="0.25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25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25">
      <c r="C10" s="33">
        <v>5</v>
      </c>
      <c r="D10" s="32" t="s">
        <v>778</v>
      </c>
      <c r="E10" s="13"/>
      <c r="F10" s="14"/>
      <c r="G10" s="30" t="s">
        <v>769</v>
      </c>
      <c r="H10" s="9"/>
      <c r="J10" s="10"/>
      <c r="N10" s="11"/>
    </row>
    <row r="11" spans="1:14" ht="21" customHeight="1" x14ac:dyDescent="0.25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5">
      <c r="C12" s="12">
        <v>7</v>
      </c>
      <c r="D12" s="36" t="s">
        <v>783</v>
      </c>
      <c r="E12" s="13"/>
      <c r="F12" s="14" t="s">
        <v>784</v>
      </c>
      <c r="G12" s="36" t="s">
        <v>769</v>
      </c>
      <c r="H12" s="9"/>
      <c r="J12" s="10"/>
      <c r="N12" s="11"/>
    </row>
    <row r="13" spans="1:14" ht="21" customHeight="1" x14ac:dyDescent="0.25">
      <c r="C13" s="12">
        <v>8</v>
      </c>
      <c r="D13" s="13" t="s">
        <v>12</v>
      </c>
      <c r="E13" s="13"/>
      <c r="F13" s="14" t="s">
        <v>787</v>
      </c>
      <c r="G13" s="15"/>
      <c r="H13" s="9"/>
      <c r="J13" s="10"/>
      <c r="N13" s="11"/>
    </row>
    <row r="14" spans="1:14" ht="21" customHeight="1" x14ac:dyDescent="0.25">
      <c r="C14" s="12">
        <v>9</v>
      </c>
      <c r="D14" s="36" t="s">
        <v>788</v>
      </c>
      <c r="E14" s="13"/>
      <c r="F14" s="14" t="s">
        <v>802</v>
      </c>
      <c r="G14" s="30" t="s">
        <v>769</v>
      </c>
      <c r="H14" s="9"/>
      <c r="J14" s="10"/>
      <c r="N14" s="11"/>
    </row>
    <row r="15" spans="1:14" ht="21" customHeight="1" x14ac:dyDescent="0.25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5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25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5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5">
      <c r="C19" s="12">
        <v>13</v>
      </c>
      <c r="D19" s="16" t="s">
        <v>803</v>
      </c>
      <c r="E19" s="19"/>
      <c r="F19" s="37"/>
      <c r="G19" s="30" t="s">
        <v>769</v>
      </c>
      <c r="H19" s="9"/>
      <c r="J19" s="10"/>
      <c r="N19" s="11"/>
    </row>
    <row r="20" spans="3:14" ht="30" x14ac:dyDescent="0.25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25">
      <c r="C21" s="38">
        <v>15</v>
      </c>
      <c r="D21" s="18" t="s">
        <v>23</v>
      </c>
      <c r="G21" s="30" t="s">
        <v>769</v>
      </c>
      <c r="H21" s="9"/>
      <c r="J21" s="10"/>
      <c r="N21" s="11"/>
    </row>
    <row r="22" spans="3:14" x14ac:dyDescent="0.25">
      <c r="H22" s="9"/>
      <c r="J22" s="10"/>
      <c r="N22" s="11"/>
    </row>
    <row r="23" spans="3:14" x14ac:dyDescent="0.25">
      <c r="H23" s="9"/>
      <c r="J23" s="10"/>
      <c r="N23" s="11"/>
    </row>
    <row r="24" spans="3:14" x14ac:dyDescent="0.25">
      <c r="H24" s="9"/>
      <c r="J24" s="10"/>
      <c r="N24" s="11"/>
    </row>
    <row r="25" spans="3:14" x14ac:dyDescent="0.25">
      <c r="H25" s="9"/>
      <c r="J25" s="10"/>
      <c r="N25" s="11"/>
    </row>
    <row r="26" spans="3:14" x14ac:dyDescent="0.25">
      <c r="H26" s="9"/>
      <c r="J26" s="10"/>
      <c r="N26" s="11"/>
    </row>
    <row r="27" spans="3:14" x14ac:dyDescent="0.25">
      <c r="H27" s="9"/>
      <c r="J27" s="10"/>
      <c r="N27" s="11"/>
    </row>
    <row r="28" spans="3:14" x14ac:dyDescent="0.25">
      <c r="H28" s="9"/>
      <c r="J28" s="10"/>
      <c r="N28" s="11"/>
    </row>
    <row r="29" spans="3:14" x14ac:dyDescent="0.25">
      <c r="H29" s="9"/>
      <c r="J29" s="10"/>
      <c r="N29" s="11"/>
    </row>
    <row r="30" spans="3:14" x14ac:dyDescent="0.25">
      <c r="H30" s="9"/>
      <c r="J30" s="10"/>
      <c r="N30" s="11"/>
    </row>
    <row r="31" spans="3:14" x14ac:dyDescent="0.25">
      <c r="H31" s="9"/>
      <c r="J31" s="10"/>
      <c r="N31" s="11"/>
    </row>
    <row r="32" spans="3:14" x14ac:dyDescent="0.25">
      <c r="H32" s="9"/>
      <c r="J32" s="10"/>
      <c r="N32" s="11"/>
    </row>
    <row r="33" spans="8:14" x14ac:dyDescent="0.25">
      <c r="H33" s="9"/>
      <c r="J33" s="10"/>
      <c r="N33" s="11"/>
    </row>
    <row r="34" spans="8:14" x14ac:dyDescent="0.25">
      <c r="H34" s="9"/>
      <c r="J34" s="10"/>
      <c r="N34" s="11"/>
    </row>
    <row r="35" spans="8:14" x14ac:dyDescent="0.25">
      <c r="H35" s="9"/>
      <c r="J35" s="10"/>
      <c r="N35" s="11"/>
    </row>
    <row r="36" spans="8:14" x14ac:dyDescent="0.25">
      <c r="H36" s="9"/>
      <c r="J36" s="10"/>
      <c r="N36" s="11"/>
    </row>
    <row r="37" spans="8:14" x14ac:dyDescent="0.25">
      <c r="H37" s="9"/>
      <c r="J37" s="10"/>
      <c r="N37" s="11"/>
    </row>
    <row r="38" spans="8:14" x14ac:dyDescent="0.25">
      <c r="H38" s="9"/>
      <c r="J38" s="10"/>
      <c r="N38" s="11"/>
    </row>
    <row r="39" spans="8:14" x14ac:dyDescent="0.25">
      <c r="H39" s="9"/>
      <c r="J39" s="10"/>
      <c r="N39" s="11"/>
    </row>
    <row r="40" spans="8:14" x14ac:dyDescent="0.25">
      <c r="H40" s="9"/>
      <c r="J40" s="10"/>
      <c r="N40" s="11"/>
    </row>
    <row r="41" spans="8:14" x14ac:dyDescent="0.25">
      <c r="H41" s="9"/>
      <c r="J41" s="10"/>
      <c r="N41" s="11"/>
    </row>
    <row r="42" spans="8:14" x14ac:dyDescent="0.25">
      <c r="H42" s="9"/>
      <c r="J42" s="10"/>
      <c r="N42" s="11"/>
    </row>
    <row r="43" spans="8:14" x14ac:dyDescent="0.25">
      <c r="H43" s="9"/>
      <c r="J43" s="10"/>
      <c r="N43" s="11"/>
    </row>
    <row r="44" spans="8:14" x14ac:dyDescent="0.25">
      <c r="H44" s="9"/>
      <c r="J44" s="10"/>
      <c r="N44" s="11"/>
    </row>
    <row r="45" spans="8:14" x14ac:dyDescent="0.25">
      <c r="H45" s="9"/>
      <c r="J45" s="10"/>
      <c r="N45" s="11"/>
    </row>
    <row r="46" spans="8:14" x14ac:dyDescent="0.25">
      <c r="H46" s="9"/>
      <c r="J46" s="10"/>
      <c r="N46" s="11"/>
    </row>
    <row r="47" spans="8:14" x14ac:dyDescent="0.25">
      <c r="H47" s="9"/>
      <c r="J47" s="10"/>
      <c r="N47" s="11"/>
    </row>
    <row r="48" spans="8:14" x14ac:dyDescent="0.25">
      <c r="H48" s="9"/>
      <c r="J48" s="10"/>
      <c r="N48" s="11"/>
    </row>
    <row r="49" spans="8:14" x14ac:dyDescent="0.25">
      <c r="H49" s="9"/>
      <c r="J49" s="10"/>
      <c r="N49" s="11"/>
    </row>
    <row r="50" spans="8:14" x14ac:dyDescent="0.25">
      <c r="H50" s="9"/>
      <c r="J50" s="10"/>
      <c r="N50" s="11"/>
    </row>
    <row r="51" spans="8:14" x14ac:dyDescent="0.25">
      <c r="H51" s="9"/>
      <c r="J51" s="10"/>
      <c r="N51" s="11"/>
    </row>
    <row r="52" spans="8:14" x14ac:dyDescent="0.25">
      <c r="H52" s="9"/>
      <c r="J52" s="10"/>
      <c r="N52" s="11"/>
    </row>
    <row r="53" spans="8:14" x14ac:dyDescent="0.25">
      <c r="H53" s="9"/>
      <c r="J53" s="10"/>
      <c r="N53" s="11"/>
    </row>
    <row r="54" spans="8:14" x14ac:dyDescent="0.25">
      <c r="H54" s="9"/>
      <c r="J54" s="10"/>
      <c r="N54" s="11"/>
    </row>
    <row r="55" spans="8:14" x14ac:dyDescent="0.25">
      <c r="H55" s="9"/>
      <c r="J55" s="10"/>
      <c r="N55" s="11"/>
    </row>
    <row r="56" spans="8:14" x14ac:dyDescent="0.25">
      <c r="H56" s="9"/>
      <c r="J56" s="10"/>
      <c r="N56" s="11"/>
    </row>
    <row r="57" spans="8:14" x14ac:dyDescent="0.25">
      <c r="H57" s="9"/>
      <c r="J57" s="10"/>
      <c r="N57" s="11"/>
    </row>
    <row r="58" spans="8:14" x14ac:dyDescent="0.25">
      <c r="H58" s="9"/>
      <c r="J58" s="10"/>
      <c r="N58" s="11"/>
    </row>
    <row r="59" spans="8:14" x14ac:dyDescent="0.25">
      <c r="H59" s="9"/>
      <c r="J59" s="10"/>
      <c r="N59" s="11"/>
    </row>
    <row r="60" spans="8:14" x14ac:dyDescent="0.25">
      <c r="H60" s="9"/>
      <c r="J60" s="10"/>
      <c r="N60" s="11"/>
    </row>
    <row r="61" spans="8:14" x14ac:dyDescent="0.25">
      <c r="H61" s="9"/>
      <c r="J61" s="10"/>
      <c r="N61" s="11"/>
    </row>
    <row r="62" spans="8:14" x14ac:dyDescent="0.25">
      <c r="H62" s="9"/>
      <c r="J62" s="10"/>
      <c r="N62" s="11"/>
    </row>
    <row r="63" spans="8:14" x14ac:dyDescent="0.25">
      <c r="H63" s="9"/>
      <c r="J63" s="10"/>
      <c r="N63" s="11"/>
    </row>
    <row r="64" spans="8:14" x14ac:dyDescent="0.25">
      <c r="H64" s="9"/>
      <c r="J64" s="10"/>
      <c r="N64" s="11"/>
    </row>
    <row r="65" spans="8:14" x14ac:dyDescent="0.25">
      <c r="H65" s="9"/>
      <c r="J65" s="10"/>
      <c r="N65" s="11"/>
    </row>
    <row r="66" spans="8:14" x14ac:dyDescent="0.25">
      <c r="H66" s="9"/>
      <c r="J66" s="10"/>
      <c r="N66" s="11"/>
    </row>
    <row r="67" spans="8:14" x14ac:dyDescent="0.25">
      <c r="H67" s="9"/>
      <c r="J67" s="10"/>
      <c r="N67" s="11"/>
    </row>
    <row r="68" spans="8:14" x14ac:dyDescent="0.25">
      <c r="H68" s="9"/>
      <c r="J68" s="10"/>
      <c r="N68" s="11"/>
    </row>
    <row r="69" spans="8:14" x14ac:dyDescent="0.25">
      <c r="H69" s="9"/>
      <c r="J69" s="10"/>
      <c r="N69" s="11"/>
    </row>
    <row r="70" spans="8:14" x14ac:dyDescent="0.25">
      <c r="H70" s="9"/>
      <c r="J70" s="10"/>
      <c r="N70" s="11"/>
    </row>
    <row r="71" spans="8:14" x14ac:dyDescent="0.25">
      <c r="H71" s="9"/>
      <c r="J71" s="10"/>
      <c r="N71" s="11"/>
    </row>
    <row r="72" spans="8:14" x14ac:dyDescent="0.25">
      <c r="H72" s="9"/>
      <c r="J72" s="10"/>
      <c r="N72" s="11"/>
    </row>
    <row r="73" spans="8:14" x14ac:dyDescent="0.25">
      <c r="H73" s="9"/>
      <c r="J73" s="10"/>
      <c r="N73" s="11"/>
    </row>
    <row r="74" spans="8:14" x14ac:dyDescent="0.25">
      <c r="H74" s="9"/>
      <c r="J74" s="10"/>
      <c r="N74" s="11"/>
    </row>
    <row r="75" spans="8:14" x14ac:dyDescent="0.25">
      <c r="H75" s="9"/>
      <c r="J75" s="10"/>
      <c r="N75" s="11"/>
    </row>
    <row r="76" spans="8:14" x14ac:dyDescent="0.25">
      <c r="H76" s="9"/>
      <c r="J76" s="10"/>
      <c r="N76" s="11"/>
    </row>
    <row r="77" spans="8:14" x14ac:dyDescent="0.25">
      <c r="H77" s="9"/>
      <c r="J77" s="10"/>
      <c r="N77" s="11"/>
    </row>
    <row r="78" spans="8:14" x14ac:dyDescent="0.25">
      <c r="H78" s="9"/>
      <c r="J78" s="10"/>
      <c r="N78" s="11"/>
    </row>
    <row r="79" spans="8:14" x14ac:dyDescent="0.25">
      <c r="H79" s="9"/>
      <c r="J79" s="10"/>
      <c r="N79" s="11"/>
    </row>
    <row r="80" spans="8:14" x14ac:dyDescent="0.25">
      <c r="H80" s="9"/>
      <c r="J80" s="10"/>
      <c r="N80" s="11"/>
    </row>
    <row r="81" spans="8:14" x14ac:dyDescent="0.25">
      <c r="H81" s="9"/>
      <c r="J81" s="10"/>
      <c r="N81" s="11"/>
    </row>
    <row r="82" spans="8:14" x14ac:dyDescent="0.25">
      <c r="H82" s="9"/>
      <c r="J82" s="10"/>
      <c r="N82" s="11"/>
    </row>
    <row r="83" spans="8:14" x14ac:dyDescent="0.25">
      <c r="H83" s="9"/>
      <c r="J83" s="10"/>
      <c r="N83" s="11"/>
    </row>
    <row r="84" spans="8:14" x14ac:dyDescent="0.25">
      <c r="H84" s="9"/>
      <c r="J84" s="10"/>
      <c r="N84" s="11"/>
    </row>
    <row r="85" spans="8:14" x14ac:dyDescent="0.25">
      <c r="H85" s="9"/>
      <c r="J85" s="10"/>
      <c r="N85" s="11"/>
    </row>
    <row r="86" spans="8:14" x14ac:dyDescent="0.25">
      <c r="H86" s="9"/>
      <c r="J86" s="10"/>
      <c r="N86" s="11"/>
    </row>
    <row r="87" spans="8:14" x14ac:dyDescent="0.25">
      <c r="H87" s="9"/>
      <c r="J87" s="10"/>
      <c r="N87" s="11"/>
    </row>
    <row r="88" spans="8:14" x14ac:dyDescent="0.25">
      <c r="H88" s="9"/>
      <c r="J88" s="10"/>
      <c r="N88" s="11"/>
    </row>
    <row r="89" spans="8:14" x14ac:dyDescent="0.25">
      <c r="H89" s="9"/>
      <c r="J89" s="10"/>
      <c r="N89" s="11"/>
    </row>
    <row r="90" spans="8:14" x14ac:dyDescent="0.25">
      <c r="H90" s="9"/>
      <c r="J90" s="10"/>
      <c r="N90" s="11"/>
    </row>
    <row r="91" spans="8:14" x14ac:dyDescent="0.25">
      <c r="H91" s="9"/>
      <c r="J91" s="10"/>
      <c r="N91" s="11"/>
    </row>
    <row r="92" spans="8:14" x14ac:dyDescent="0.25">
      <c r="H92" s="9"/>
      <c r="J92" s="10"/>
      <c r="N92" s="11"/>
    </row>
    <row r="93" spans="8:14" x14ac:dyDescent="0.25">
      <c r="H93" s="9"/>
      <c r="J93" s="10"/>
      <c r="N93" s="11"/>
    </row>
    <row r="94" spans="8:14" x14ac:dyDescent="0.25">
      <c r="H94" s="9"/>
      <c r="J94" s="10"/>
      <c r="N94" s="11"/>
    </row>
    <row r="95" spans="8:14" x14ac:dyDescent="0.25">
      <c r="H95" s="9"/>
      <c r="J95" s="10"/>
      <c r="N95" s="11"/>
    </row>
    <row r="96" spans="8:14" x14ac:dyDescent="0.25">
      <c r="H96" s="9"/>
      <c r="J96" s="10"/>
      <c r="N96" s="11"/>
    </row>
    <row r="97" spans="8:14" x14ac:dyDescent="0.25">
      <c r="H97" s="9"/>
      <c r="J97" s="10"/>
      <c r="N97" s="11"/>
    </row>
    <row r="98" spans="8:14" x14ac:dyDescent="0.25">
      <c r="H98" s="9"/>
      <c r="J98" s="10"/>
      <c r="N98" s="11"/>
    </row>
    <row r="99" spans="8:14" x14ac:dyDescent="0.25">
      <c r="H99" s="9"/>
      <c r="J99" s="10"/>
      <c r="N99" s="11"/>
    </row>
    <row r="100" spans="8:14" x14ac:dyDescent="0.25">
      <c r="H100" s="9"/>
      <c r="J100" s="10"/>
      <c r="N100" s="11"/>
    </row>
    <row r="101" spans="8:14" x14ac:dyDescent="0.25">
      <c r="H101" s="9"/>
      <c r="J101" s="10"/>
      <c r="N101" s="11"/>
    </row>
    <row r="102" spans="8:14" x14ac:dyDescent="0.25">
      <c r="H102" s="9"/>
      <c r="J102" s="10"/>
      <c r="N102" s="11"/>
    </row>
    <row r="103" spans="8:14" x14ac:dyDescent="0.25">
      <c r="H103" s="9"/>
      <c r="J103" s="10"/>
      <c r="N103" s="11"/>
    </row>
    <row r="104" spans="8:14" x14ac:dyDescent="0.25">
      <c r="H104" s="9"/>
      <c r="J104" s="10"/>
      <c r="N104" s="11"/>
    </row>
    <row r="105" spans="8:14" x14ac:dyDescent="0.25">
      <c r="H105" s="9"/>
      <c r="J105" s="10"/>
      <c r="N105" s="11"/>
    </row>
    <row r="106" spans="8:14" x14ac:dyDescent="0.25">
      <c r="H106" s="9"/>
      <c r="J106" s="10"/>
      <c r="N106" s="11"/>
    </row>
    <row r="107" spans="8:14" x14ac:dyDescent="0.25">
      <c r="H107" s="9"/>
      <c r="J107" s="10"/>
      <c r="N107" s="11"/>
    </row>
    <row r="108" spans="8:14" x14ac:dyDescent="0.25">
      <c r="H108" s="9"/>
      <c r="J108" s="10"/>
      <c r="N108" s="11"/>
    </row>
    <row r="109" spans="8:14" x14ac:dyDescent="0.25">
      <c r="H109" s="9"/>
      <c r="J109" s="10"/>
      <c r="N109" s="11"/>
    </row>
    <row r="110" spans="8:14" x14ac:dyDescent="0.25">
      <c r="H110" s="9"/>
      <c r="J110" s="10"/>
      <c r="N110" s="11"/>
    </row>
    <row r="111" spans="8:14" x14ac:dyDescent="0.25">
      <c r="H111" s="9"/>
      <c r="J111" s="10"/>
      <c r="N111" s="11"/>
    </row>
    <row r="112" spans="8:14" x14ac:dyDescent="0.25">
      <c r="H112" s="9"/>
      <c r="J112" s="10"/>
      <c r="N112" s="11"/>
    </row>
    <row r="113" spans="8:14" x14ac:dyDescent="0.25">
      <c r="H113" s="9"/>
      <c r="J113" s="10"/>
      <c r="N113" s="11"/>
    </row>
    <row r="114" spans="8:14" x14ac:dyDescent="0.25">
      <c r="H114" s="9"/>
      <c r="J114" s="10"/>
      <c r="N114" s="11"/>
    </row>
    <row r="115" spans="8:14" x14ac:dyDescent="0.25">
      <c r="H115" s="9"/>
      <c r="J115" s="10"/>
      <c r="N115" s="11"/>
    </row>
    <row r="116" spans="8:14" x14ac:dyDescent="0.25">
      <c r="H116" s="9"/>
      <c r="J116" s="10"/>
      <c r="N116" s="11"/>
    </row>
    <row r="117" spans="8:14" x14ac:dyDescent="0.25">
      <c r="H117" s="9"/>
      <c r="J117" s="10"/>
      <c r="N117" s="11"/>
    </row>
    <row r="118" spans="8:14" x14ac:dyDescent="0.25">
      <c r="H118" s="9"/>
      <c r="J118" s="10"/>
      <c r="N118" s="11"/>
    </row>
    <row r="119" spans="8:14" x14ac:dyDescent="0.25">
      <c r="H119" s="9"/>
      <c r="J119" s="10"/>
      <c r="N119" s="11"/>
    </row>
    <row r="120" spans="8:14" x14ac:dyDescent="0.25">
      <c r="H120" s="9"/>
      <c r="J120" s="10"/>
      <c r="N120" s="11"/>
    </row>
    <row r="121" spans="8:14" x14ac:dyDescent="0.25">
      <c r="H121" s="9"/>
      <c r="J121" s="10"/>
      <c r="N121" s="11"/>
    </row>
    <row r="122" spans="8:14" x14ac:dyDescent="0.25">
      <c r="H122" s="9"/>
      <c r="J122" s="10"/>
      <c r="N122" s="11"/>
    </row>
    <row r="123" spans="8:14" x14ac:dyDescent="0.25">
      <c r="H123" s="9"/>
      <c r="J123" s="10"/>
      <c r="N123" s="11"/>
    </row>
    <row r="124" spans="8:14" x14ac:dyDescent="0.25">
      <c r="H124" s="9"/>
      <c r="J124" s="10"/>
      <c r="N124" s="11"/>
    </row>
    <row r="125" spans="8:14" x14ac:dyDescent="0.25">
      <c r="H125" s="9"/>
      <c r="J125" s="10"/>
      <c r="N125" s="11"/>
    </row>
    <row r="126" spans="8:14" x14ac:dyDescent="0.25">
      <c r="H126" s="9"/>
      <c r="J126" s="10"/>
      <c r="N126" s="11"/>
    </row>
    <row r="127" spans="8:14" x14ac:dyDescent="0.25">
      <c r="H127" s="9"/>
      <c r="J127" s="10"/>
      <c r="N127" s="11"/>
    </row>
    <row r="128" spans="8:14" x14ac:dyDescent="0.25">
      <c r="H128" s="9"/>
      <c r="J128" s="10"/>
      <c r="N128" s="11"/>
    </row>
    <row r="129" spans="8:14" x14ac:dyDescent="0.25">
      <c r="H129" s="9"/>
      <c r="J129" s="10"/>
      <c r="N129" s="11"/>
    </row>
    <row r="130" spans="8:14" x14ac:dyDescent="0.25">
      <c r="H130" s="9"/>
      <c r="J130" s="10"/>
      <c r="N130" s="11"/>
    </row>
    <row r="131" spans="8:14" x14ac:dyDescent="0.25">
      <c r="H131" s="9"/>
      <c r="J131" s="10"/>
      <c r="N131" s="11"/>
    </row>
    <row r="132" spans="8:14" x14ac:dyDescent="0.25">
      <c r="H132" s="9"/>
      <c r="J132" s="10"/>
      <c r="N132" s="11"/>
    </row>
    <row r="133" spans="8:14" x14ac:dyDescent="0.25">
      <c r="H133" s="9"/>
      <c r="J133" s="10"/>
      <c r="N133" s="11"/>
    </row>
    <row r="134" spans="8:14" x14ac:dyDescent="0.25">
      <c r="H134" s="9"/>
      <c r="J134" s="10"/>
      <c r="N134" s="11"/>
    </row>
    <row r="135" spans="8:14" x14ac:dyDescent="0.25">
      <c r="H135" s="9"/>
      <c r="J135" s="10"/>
      <c r="N135" s="11"/>
    </row>
    <row r="136" spans="8:14" x14ac:dyDescent="0.25">
      <c r="H136" s="9"/>
      <c r="J136" s="10"/>
      <c r="N136" s="11"/>
    </row>
    <row r="137" spans="8:14" x14ac:dyDescent="0.25">
      <c r="H137" s="9"/>
      <c r="J137" s="10"/>
      <c r="N137" s="11"/>
    </row>
    <row r="138" spans="8:14" x14ac:dyDescent="0.25">
      <c r="H138" s="9"/>
      <c r="J138" s="10"/>
      <c r="N138" s="11"/>
    </row>
    <row r="139" spans="8:14" x14ac:dyDescent="0.25">
      <c r="H139" s="9"/>
      <c r="J139" s="10"/>
      <c r="N139" s="11"/>
    </row>
    <row r="140" spans="8:14" x14ac:dyDescent="0.25">
      <c r="H140" s="9"/>
      <c r="J140" s="10"/>
      <c r="N140" s="11"/>
    </row>
    <row r="141" spans="8:14" x14ac:dyDescent="0.25">
      <c r="H141" s="9"/>
      <c r="J141" s="10"/>
      <c r="N141" s="11"/>
    </row>
    <row r="142" spans="8:14" x14ac:dyDescent="0.25">
      <c r="H142" s="9"/>
      <c r="J142" s="10"/>
      <c r="N142" s="11"/>
    </row>
    <row r="143" spans="8:14" x14ac:dyDescent="0.25">
      <c r="H143" s="9"/>
      <c r="J143" s="10"/>
      <c r="N143" s="11"/>
    </row>
    <row r="144" spans="8:14" x14ac:dyDescent="0.25">
      <c r="H144" s="9"/>
      <c r="J144" s="10"/>
      <c r="N144" s="11"/>
    </row>
    <row r="145" spans="8:14" x14ac:dyDescent="0.25">
      <c r="H145" s="9"/>
      <c r="J145" s="10"/>
      <c r="N145" s="11"/>
    </row>
    <row r="146" spans="8:14" x14ac:dyDescent="0.25">
      <c r="H146" s="9"/>
      <c r="J146" s="10"/>
      <c r="N146" s="11"/>
    </row>
    <row r="147" spans="8:14" x14ac:dyDescent="0.25">
      <c r="H147" s="9"/>
      <c r="J147" s="10"/>
      <c r="N147" s="11"/>
    </row>
    <row r="148" spans="8:14" x14ac:dyDescent="0.25">
      <c r="H148" s="9"/>
      <c r="J148" s="10"/>
      <c r="N148" s="11"/>
    </row>
    <row r="149" spans="8:14" x14ac:dyDescent="0.25">
      <c r="H149" s="9"/>
      <c r="J149" s="10"/>
      <c r="N149" s="11"/>
    </row>
    <row r="150" spans="8:14" x14ac:dyDescent="0.25">
      <c r="H150" s="9"/>
      <c r="J150" s="10"/>
      <c r="N150" s="11"/>
    </row>
    <row r="151" spans="8:14" x14ac:dyDescent="0.25">
      <c r="H151" s="9"/>
      <c r="J151" s="10"/>
      <c r="N151" s="11"/>
    </row>
    <row r="152" spans="8:14" x14ac:dyDescent="0.25">
      <c r="H152" s="9"/>
      <c r="J152" s="10"/>
      <c r="N152" s="11"/>
    </row>
    <row r="153" spans="8:14" x14ac:dyDescent="0.25">
      <c r="H153" s="9"/>
      <c r="J153" s="10"/>
      <c r="N153" s="11"/>
    </row>
    <row r="154" spans="8:14" x14ac:dyDescent="0.25">
      <c r="H154" s="9"/>
      <c r="J154" s="10"/>
      <c r="N154" s="11"/>
    </row>
    <row r="155" spans="8:14" x14ac:dyDescent="0.25">
      <c r="H155" s="9"/>
      <c r="J155" s="10"/>
      <c r="N155" s="11"/>
    </row>
    <row r="156" spans="8:14" x14ac:dyDescent="0.25">
      <c r="H156" s="9"/>
      <c r="J156" s="10"/>
      <c r="N156" s="11"/>
    </row>
    <row r="157" spans="8:14" x14ac:dyDescent="0.25">
      <c r="H157" s="9"/>
      <c r="J157" s="10"/>
      <c r="N157" s="11"/>
    </row>
    <row r="158" spans="8:14" x14ac:dyDescent="0.25">
      <c r="H158" s="9"/>
      <c r="J158" s="10"/>
      <c r="N158" s="11"/>
    </row>
    <row r="159" spans="8:14" x14ac:dyDescent="0.25">
      <c r="H159" s="9"/>
      <c r="J159" s="10"/>
      <c r="N159" s="11"/>
    </row>
    <row r="160" spans="8:14" x14ac:dyDescent="0.25">
      <c r="H160" s="9"/>
      <c r="J160" s="10"/>
      <c r="N160" s="11"/>
    </row>
    <row r="161" spans="8:14" x14ac:dyDescent="0.25">
      <c r="H161" s="9"/>
      <c r="J161" s="10"/>
      <c r="N161" s="11"/>
    </row>
    <row r="162" spans="8:14" x14ac:dyDescent="0.25">
      <c r="H162" s="9"/>
      <c r="J162" s="10"/>
      <c r="N162" s="11"/>
    </row>
    <row r="163" spans="8:14" x14ac:dyDescent="0.25">
      <c r="H163" s="9"/>
      <c r="J163" s="10"/>
      <c r="N163" s="11"/>
    </row>
    <row r="164" spans="8:14" x14ac:dyDescent="0.25">
      <c r="H164" s="9"/>
      <c r="J164" s="10"/>
      <c r="N164" s="11"/>
    </row>
    <row r="165" spans="8:14" x14ac:dyDescent="0.25">
      <c r="H165" s="9"/>
      <c r="J165" s="10"/>
      <c r="N165" s="11"/>
    </row>
    <row r="166" spans="8:14" x14ac:dyDescent="0.25">
      <c r="H166" s="9"/>
      <c r="J166" s="10"/>
      <c r="N166" s="11"/>
    </row>
    <row r="167" spans="8:14" x14ac:dyDescent="0.25">
      <c r="H167" s="9"/>
      <c r="J167" s="10"/>
      <c r="N167" s="11"/>
    </row>
    <row r="168" spans="8:14" x14ac:dyDescent="0.25">
      <c r="H168" s="9"/>
      <c r="J168" s="10"/>
      <c r="N168" s="11"/>
    </row>
    <row r="169" spans="8:14" x14ac:dyDescent="0.25">
      <c r="H169" s="9"/>
      <c r="J169" s="10"/>
      <c r="N169" s="11"/>
    </row>
    <row r="170" spans="8:14" x14ac:dyDescent="0.25">
      <c r="H170" s="9"/>
      <c r="J170" s="10"/>
      <c r="N170" s="11"/>
    </row>
    <row r="171" spans="8:14" x14ac:dyDescent="0.25">
      <c r="H171" s="9"/>
      <c r="J171" s="10"/>
      <c r="N171" s="11"/>
    </row>
    <row r="172" spans="8:14" x14ac:dyDescent="0.25">
      <c r="H172" s="9"/>
      <c r="J172" s="10"/>
      <c r="N172" s="11"/>
    </row>
    <row r="173" spans="8:14" x14ac:dyDescent="0.25">
      <c r="H173" s="9"/>
      <c r="J173" s="10"/>
      <c r="N173" s="11"/>
    </row>
    <row r="174" spans="8:14" x14ac:dyDescent="0.25">
      <c r="H174" s="9"/>
      <c r="J174" s="10"/>
      <c r="N174" s="11"/>
    </row>
    <row r="175" spans="8:14" x14ac:dyDescent="0.25">
      <c r="H175" s="9"/>
      <c r="J175" s="10"/>
      <c r="N175" s="11"/>
    </row>
    <row r="176" spans="8:14" x14ac:dyDescent="0.25">
      <c r="H176" s="9"/>
      <c r="J176" s="10"/>
      <c r="N176" s="11"/>
    </row>
    <row r="177" spans="8:14" x14ac:dyDescent="0.25">
      <c r="H177" s="9"/>
      <c r="J177" s="10"/>
      <c r="N177" s="11"/>
    </row>
    <row r="178" spans="8:14" x14ac:dyDescent="0.25">
      <c r="H178" s="9"/>
      <c r="J178" s="10"/>
      <c r="N178" s="11"/>
    </row>
    <row r="179" spans="8:14" x14ac:dyDescent="0.25">
      <c r="H179" s="9"/>
      <c r="J179" s="10"/>
      <c r="N179" s="11"/>
    </row>
    <row r="180" spans="8:14" x14ac:dyDescent="0.25">
      <c r="H180" s="9"/>
      <c r="J180" s="10"/>
      <c r="N180" s="11"/>
    </row>
    <row r="181" spans="8:14" x14ac:dyDescent="0.25">
      <c r="H181" s="9"/>
      <c r="J181" s="10"/>
      <c r="N181" s="11"/>
    </row>
    <row r="182" spans="8:14" x14ac:dyDescent="0.25">
      <c r="H182" s="9"/>
      <c r="J182" s="10"/>
      <c r="N182" s="11"/>
    </row>
    <row r="183" spans="8:14" x14ac:dyDescent="0.25">
      <c r="H183" s="9"/>
      <c r="J183" s="10"/>
      <c r="N183" s="11"/>
    </row>
    <row r="184" spans="8:14" x14ac:dyDescent="0.25">
      <c r="H184" s="9"/>
      <c r="J184" s="10"/>
      <c r="N184" s="11"/>
    </row>
    <row r="185" spans="8:14" x14ac:dyDescent="0.25">
      <c r="H185" s="9"/>
      <c r="J185" s="10"/>
      <c r="N185" s="11"/>
    </row>
    <row r="186" spans="8:14" x14ac:dyDescent="0.25">
      <c r="H186" s="9"/>
      <c r="J186" s="10"/>
      <c r="N186" s="11"/>
    </row>
    <row r="187" spans="8:14" x14ac:dyDescent="0.25">
      <c r="H187" s="9"/>
      <c r="J187" s="10"/>
      <c r="N187" s="11"/>
    </row>
    <row r="188" spans="8:14" x14ac:dyDescent="0.25">
      <c r="H188" s="9"/>
      <c r="J188" s="10"/>
      <c r="N188" s="11"/>
    </row>
    <row r="189" spans="8:14" x14ac:dyDescent="0.25">
      <c r="H189" s="9"/>
      <c r="J189" s="10"/>
      <c r="N189" s="11"/>
    </row>
    <row r="190" spans="8:14" x14ac:dyDescent="0.25">
      <c r="H190" s="9"/>
      <c r="J190" s="10"/>
      <c r="N190" s="11"/>
    </row>
    <row r="191" spans="8:14" x14ac:dyDescent="0.25">
      <c r="H191" s="9"/>
      <c r="J191" s="10"/>
      <c r="N191" s="11"/>
    </row>
    <row r="192" spans="8:14" x14ac:dyDescent="0.25">
      <c r="H192" s="9"/>
      <c r="J192" s="10"/>
      <c r="N192" s="11"/>
    </row>
    <row r="193" spans="8:14" x14ac:dyDescent="0.25">
      <c r="H193" s="9"/>
      <c r="J193" s="10"/>
      <c r="N193" s="11"/>
    </row>
    <row r="194" spans="8:14" x14ac:dyDescent="0.25">
      <c r="H194" s="9"/>
      <c r="J194" s="10"/>
      <c r="N194" s="11"/>
    </row>
    <row r="195" spans="8:14" x14ac:dyDescent="0.25">
      <c r="H195" s="9"/>
      <c r="J195" s="10"/>
      <c r="N195" s="11"/>
    </row>
    <row r="196" spans="8:14" x14ac:dyDescent="0.25">
      <c r="H196" s="9"/>
      <c r="J196" s="10"/>
      <c r="N196" s="11"/>
    </row>
    <row r="197" spans="8:14" x14ac:dyDescent="0.25">
      <c r="H197" s="9"/>
      <c r="J197" s="10"/>
      <c r="N197" s="11"/>
    </row>
    <row r="198" spans="8:14" x14ac:dyDescent="0.25">
      <c r="H198" s="9"/>
      <c r="J198" s="10"/>
      <c r="N198" s="11"/>
    </row>
    <row r="199" spans="8:14" x14ac:dyDescent="0.25">
      <c r="H199" s="9"/>
      <c r="J199" s="10"/>
      <c r="N199" s="11"/>
    </row>
    <row r="200" spans="8:14" x14ac:dyDescent="0.25">
      <c r="H200" s="9"/>
      <c r="J200" s="10"/>
      <c r="N200" s="11"/>
    </row>
    <row r="201" spans="8:14" x14ac:dyDescent="0.25">
      <c r="H201" s="9"/>
      <c r="J201" s="10"/>
      <c r="N201" s="11"/>
    </row>
    <row r="202" spans="8:14" x14ac:dyDescent="0.25">
      <c r="H202" s="9"/>
      <c r="J202" s="10"/>
      <c r="N202" s="11"/>
    </row>
    <row r="203" spans="8:14" x14ac:dyDescent="0.25">
      <c r="H203" s="9"/>
      <c r="J203" s="10"/>
      <c r="N203" s="11"/>
    </row>
    <row r="204" spans="8:14" x14ac:dyDescent="0.25">
      <c r="H204" s="9"/>
      <c r="J204" s="10"/>
      <c r="N204" s="11"/>
    </row>
    <row r="205" spans="8:14" x14ac:dyDescent="0.25">
      <c r="H205" s="9"/>
      <c r="J205" s="10"/>
      <c r="N205" s="11"/>
    </row>
    <row r="206" spans="8:14" x14ac:dyDescent="0.25">
      <c r="H206" s="9"/>
      <c r="J206" s="10"/>
      <c r="N206" s="11"/>
    </row>
    <row r="207" spans="8:14" x14ac:dyDescent="0.25">
      <c r="H207" s="9"/>
      <c r="J207" s="10"/>
      <c r="N207" s="11"/>
    </row>
    <row r="208" spans="8:14" x14ac:dyDescent="0.25">
      <c r="H208" s="9"/>
      <c r="J208" s="10"/>
      <c r="N208" s="11"/>
    </row>
    <row r="209" spans="8:14" x14ac:dyDescent="0.25">
      <c r="H209" s="9"/>
      <c r="J209" s="10"/>
      <c r="N209" s="11"/>
    </row>
    <row r="210" spans="8:14" x14ac:dyDescent="0.25">
      <c r="H210" s="9"/>
      <c r="J210" s="10"/>
      <c r="N210" s="11"/>
    </row>
    <row r="211" spans="8:14" x14ac:dyDescent="0.25">
      <c r="H211" s="9"/>
      <c r="J211" s="10"/>
      <c r="N211" s="11"/>
    </row>
    <row r="212" spans="8:14" x14ac:dyDescent="0.25">
      <c r="H212" s="9"/>
      <c r="J212" s="10"/>
      <c r="N212" s="11"/>
    </row>
    <row r="213" spans="8:14" x14ac:dyDescent="0.25">
      <c r="H213" s="9"/>
      <c r="J213" s="10"/>
      <c r="N213" s="11"/>
    </row>
    <row r="214" spans="8:14" x14ac:dyDescent="0.25">
      <c r="H214" s="9"/>
      <c r="J214" s="10"/>
      <c r="N214" s="11"/>
    </row>
    <row r="215" spans="8:14" x14ac:dyDescent="0.25">
      <c r="H215" s="9"/>
      <c r="J215" s="10"/>
      <c r="N215" s="11"/>
    </row>
    <row r="216" spans="8:14" x14ac:dyDescent="0.25">
      <c r="H216" s="9"/>
      <c r="J216" s="10"/>
      <c r="N216" s="11"/>
    </row>
    <row r="217" spans="8:14" x14ac:dyDescent="0.25">
      <c r="H217" s="9"/>
      <c r="J217" s="10"/>
      <c r="N217" s="11"/>
    </row>
    <row r="218" spans="8:14" x14ac:dyDescent="0.25">
      <c r="H218" s="9"/>
      <c r="J218" s="10"/>
      <c r="N218" s="11"/>
    </row>
    <row r="219" spans="8:14" x14ac:dyDescent="0.25">
      <c r="H219" s="9"/>
      <c r="J219" s="10"/>
      <c r="N219" s="11"/>
    </row>
    <row r="220" spans="8:14" x14ac:dyDescent="0.25">
      <c r="H220" s="9"/>
      <c r="J220" s="10"/>
      <c r="N220" s="11"/>
    </row>
    <row r="221" spans="8:14" x14ac:dyDescent="0.25">
      <c r="H221" s="9"/>
      <c r="J221" s="10"/>
      <c r="N221" s="11"/>
    </row>
    <row r="222" spans="8:14" x14ac:dyDescent="0.25">
      <c r="H222" s="9"/>
      <c r="J222" s="10"/>
      <c r="N222" s="11"/>
    </row>
    <row r="223" spans="8:14" x14ac:dyDescent="0.25">
      <c r="H223" s="9"/>
      <c r="J223" s="10"/>
      <c r="N223" s="11"/>
    </row>
    <row r="224" spans="8:14" x14ac:dyDescent="0.25">
      <c r="H224" s="9"/>
      <c r="J224" s="10"/>
      <c r="N224" s="11"/>
    </row>
    <row r="225" spans="8:14" x14ac:dyDescent="0.25">
      <c r="H225" s="9"/>
      <c r="J225" s="10"/>
      <c r="N225" s="11"/>
    </row>
    <row r="226" spans="8:14" x14ac:dyDescent="0.25">
      <c r="H226" s="9"/>
      <c r="J226" s="10"/>
      <c r="N226" s="11"/>
    </row>
    <row r="227" spans="8:14" x14ac:dyDescent="0.25">
      <c r="H227" s="9"/>
      <c r="J227" s="10"/>
      <c r="N227" s="11"/>
    </row>
    <row r="228" spans="8:14" x14ac:dyDescent="0.25">
      <c r="H228" s="9"/>
      <c r="J228" s="10"/>
      <c r="N228" s="11"/>
    </row>
    <row r="229" spans="8:14" x14ac:dyDescent="0.25">
      <c r="H229" s="9"/>
      <c r="J229" s="10"/>
      <c r="N229" s="11"/>
    </row>
    <row r="230" spans="8:14" x14ac:dyDescent="0.25">
      <c r="H230" s="9"/>
      <c r="J230" s="10"/>
      <c r="N230" s="11"/>
    </row>
    <row r="231" spans="8:14" x14ac:dyDescent="0.25">
      <c r="H231" s="9"/>
      <c r="J231" s="10"/>
      <c r="N231" s="11"/>
    </row>
    <row r="232" spans="8:14" x14ac:dyDescent="0.25">
      <c r="H232" s="9"/>
      <c r="J232" s="10"/>
      <c r="N232" s="11"/>
    </row>
    <row r="233" spans="8:14" x14ac:dyDescent="0.25">
      <c r="H233" s="9"/>
      <c r="J233" s="10"/>
      <c r="N233" s="11"/>
    </row>
    <row r="234" spans="8:14" x14ac:dyDescent="0.25">
      <c r="H234" s="9"/>
      <c r="J234" s="10"/>
      <c r="N234" s="11"/>
    </row>
    <row r="235" spans="8:14" x14ac:dyDescent="0.25">
      <c r="H235" s="9"/>
      <c r="J235" s="10"/>
      <c r="N235" s="11"/>
    </row>
    <row r="236" spans="8:14" x14ac:dyDescent="0.25">
      <c r="H236" s="9"/>
      <c r="J236" s="10"/>
      <c r="N236" s="11"/>
    </row>
    <row r="237" spans="8:14" x14ac:dyDescent="0.25">
      <c r="H237" s="9"/>
      <c r="J237" s="10"/>
      <c r="N237" s="11"/>
    </row>
    <row r="238" spans="8:14" x14ac:dyDescent="0.25">
      <c r="H238" s="9"/>
      <c r="J238" s="10"/>
      <c r="N238" s="11"/>
    </row>
    <row r="239" spans="8:14" x14ac:dyDescent="0.25">
      <c r="H239" s="9"/>
      <c r="J239" s="10"/>
      <c r="N239" s="11"/>
    </row>
    <row r="240" spans="8:14" x14ac:dyDescent="0.25">
      <c r="H240" s="9"/>
      <c r="J240" s="10"/>
      <c r="N240" s="11"/>
    </row>
    <row r="241" spans="8:14" x14ac:dyDescent="0.25">
      <c r="H241" s="9"/>
      <c r="J241" s="10"/>
      <c r="N241" s="11"/>
    </row>
    <row r="242" spans="8:14" x14ac:dyDescent="0.25">
      <c r="H242" s="9"/>
      <c r="J242" s="10"/>
      <c r="N242" s="11"/>
    </row>
    <row r="243" spans="8:14" x14ac:dyDescent="0.25">
      <c r="H243" s="9"/>
      <c r="J243" s="10"/>
      <c r="N243" s="11"/>
    </row>
    <row r="244" spans="8:14" x14ac:dyDescent="0.25">
      <c r="H244" s="9"/>
      <c r="J244" s="10"/>
      <c r="N244" s="11"/>
    </row>
    <row r="245" spans="8:14" x14ac:dyDescent="0.25">
      <c r="H245" s="9"/>
      <c r="J245" s="10"/>
      <c r="N245" s="11"/>
    </row>
    <row r="246" spans="8:14" x14ac:dyDescent="0.25">
      <c r="H246" s="9"/>
      <c r="J246" s="10"/>
      <c r="N246" s="11"/>
    </row>
    <row r="247" spans="8:14" x14ac:dyDescent="0.25">
      <c r="H247" s="9"/>
      <c r="J247" s="10"/>
      <c r="N247" s="11"/>
    </row>
    <row r="248" spans="8:14" x14ac:dyDescent="0.25">
      <c r="H248" s="9"/>
      <c r="J248" s="10"/>
      <c r="N248" s="11"/>
    </row>
    <row r="249" spans="8:14" x14ac:dyDescent="0.25">
      <c r="H249" s="9"/>
      <c r="J249" s="10"/>
      <c r="N249" s="11"/>
    </row>
    <row r="250" spans="8:14" x14ac:dyDescent="0.25">
      <c r="H250" s="9"/>
      <c r="J250" s="10"/>
      <c r="N250" s="11"/>
    </row>
    <row r="251" spans="8:14" x14ac:dyDescent="0.25">
      <c r="H251" s="9"/>
      <c r="J251" s="10"/>
      <c r="N251" s="11"/>
    </row>
    <row r="252" spans="8:14" x14ac:dyDescent="0.25">
      <c r="H252" s="9"/>
      <c r="J252" s="10"/>
      <c r="N252" s="11"/>
    </row>
    <row r="253" spans="8:14" x14ac:dyDescent="0.25">
      <c r="H253" s="9"/>
      <c r="J253" s="10"/>
      <c r="N253" s="11"/>
    </row>
    <row r="254" spans="8:14" x14ac:dyDescent="0.25">
      <c r="H254" s="9"/>
      <c r="J254" s="10"/>
      <c r="N254" s="11"/>
    </row>
    <row r="255" spans="8:14" x14ac:dyDescent="0.25">
      <c r="H255" s="9"/>
      <c r="J255" s="10"/>
      <c r="N255" s="11"/>
    </row>
    <row r="256" spans="8:14" x14ac:dyDescent="0.25">
      <c r="H256" s="9"/>
      <c r="J256" s="10"/>
      <c r="N256" s="11"/>
    </row>
    <row r="257" spans="8:14" x14ac:dyDescent="0.25">
      <c r="H257" s="9"/>
      <c r="J257" s="10"/>
      <c r="N257" s="11"/>
    </row>
    <row r="258" spans="8:14" x14ac:dyDescent="0.25">
      <c r="H258" s="9"/>
      <c r="J258" s="10"/>
      <c r="N258" s="11"/>
    </row>
    <row r="259" spans="8:14" x14ac:dyDescent="0.25">
      <c r="H259" s="9"/>
      <c r="J259" s="10"/>
      <c r="N259" s="11"/>
    </row>
    <row r="260" spans="8:14" x14ac:dyDescent="0.25">
      <c r="H260" s="9"/>
      <c r="J260" s="10"/>
      <c r="N260" s="11"/>
    </row>
    <row r="261" spans="8:14" x14ac:dyDescent="0.25">
      <c r="H261" s="9"/>
      <c r="J261" s="10"/>
      <c r="N261" s="11"/>
    </row>
    <row r="262" spans="8:14" x14ac:dyDescent="0.25">
      <c r="H262" s="9"/>
      <c r="J262" s="10"/>
      <c r="N262" s="11"/>
    </row>
    <row r="263" spans="8:14" x14ac:dyDescent="0.25">
      <c r="H263" s="9"/>
      <c r="J263" s="10"/>
      <c r="N263" s="11"/>
    </row>
    <row r="264" spans="8:14" x14ac:dyDescent="0.25">
      <c r="H264" s="9"/>
      <c r="J264" s="10"/>
      <c r="N264" s="11"/>
    </row>
    <row r="265" spans="8:14" x14ac:dyDescent="0.25">
      <c r="H265" s="9"/>
      <c r="J265" s="10"/>
      <c r="N265" s="11"/>
    </row>
    <row r="266" spans="8:14" x14ac:dyDescent="0.25">
      <c r="H266" s="9"/>
      <c r="J266" s="10"/>
      <c r="N266" s="11"/>
    </row>
    <row r="267" spans="8:14" x14ac:dyDescent="0.25">
      <c r="H267" s="9"/>
      <c r="J267" s="10"/>
      <c r="N267" s="11"/>
    </row>
    <row r="268" spans="8:14" x14ac:dyDescent="0.25">
      <c r="H268" s="9"/>
      <c r="J268" s="10"/>
      <c r="N268" s="11"/>
    </row>
    <row r="269" spans="8:14" x14ac:dyDescent="0.25">
      <c r="H269" s="9"/>
      <c r="J269" s="10"/>
      <c r="N269" s="11"/>
    </row>
    <row r="270" spans="8:14" x14ac:dyDescent="0.25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F151" sqref="F151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3.7109375" bestFit="1" customWidth="1"/>
    <col min="4" max="4" width="12.42578125" bestFit="1" customWidth="1"/>
    <col min="5" max="5" width="23.28515625" bestFit="1" customWidth="1"/>
    <col min="6" max="6" width="9.140625" bestFit="1" customWidth="1"/>
    <col min="7" max="7" width="12.28515625" bestFit="1" customWidth="1"/>
    <col min="8" max="8" width="9.5703125" bestFit="1" customWidth="1"/>
    <col min="9" max="9" width="4" bestFit="1" customWidth="1"/>
    <col min="10" max="10" width="13.28515625" bestFit="1" customWidth="1"/>
    <col min="11" max="11" width="20.85546875" bestFit="1" customWidth="1"/>
    <col min="12" max="12" width="6.5703125" bestFit="1" customWidth="1"/>
    <col min="13" max="13" width="9.5703125" bestFit="1" customWidth="1"/>
  </cols>
  <sheetData>
    <row r="1" spans="1:1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x14ac:dyDescent="0.25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x14ac:dyDescent="0.25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x14ac:dyDescent="0.25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x14ac:dyDescent="0.25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x14ac:dyDescent="0.25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x14ac:dyDescent="0.25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x14ac:dyDescent="0.25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x14ac:dyDescent="0.25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x14ac:dyDescent="0.25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x14ac:dyDescent="0.25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x14ac:dyDescent="0.25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x14ac:dyDescent="0.25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x14ac:dyDescent="0.25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x14ac:dyDescent="0.25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25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x14ac:dyDescent="0.25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x14ac:dyDescent="0.25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25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x14ac:dyDescent="0.25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25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x14ac:dyDescent="0.25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x14ac:dyDescent="0.25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x14ac:dyDescent="0.25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x14ac:dyDescent="0.25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25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25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x14ac:dyDescent="0.25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25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25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x14ac:dyDescent="0.25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25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25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25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x14ac:dyDescent="0.25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25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x14ac:dyDescent="0.25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x14ac:dyDescent="0.25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25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25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x14ac:dyDescent="0.25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x14ac:dyDescent="0.25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x14ac:dyDescent="0.25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x14ac:dyDescent="0.25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25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x14ac:dyDescent="0.25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x14ac:dyDescent="0.25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25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25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25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25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x14ac:dyDescent="0.25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25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25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x14ac:dyDescent="0.25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x14ac:dyDescent="0.25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25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x14ac:dyDescent="0.25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25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25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x14ac:dyDescent="0.25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25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25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x14ac:dyDescent="0.25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x14ac:dyDescent="0.25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25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25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25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25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x14ac:dyDescent="0.25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x14ac:dyDescent="0.25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25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x14ac:dyDescent="0.25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25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x14ac:dyDescent="0.25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x14ac:dyDescent="0.25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25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x14ac:dyDescent="0.25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25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x14ac:dyDescent="0.25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25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x14ac:dyDescent="0.25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x14ac:dyDescent="0.25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x14ac:dyDescent="0.25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x14ac:dyDescent="0.25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25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25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x14ac:dyDescent="0.25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x14ac:dyDescent="0.25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x14ac:dyDescent="0.25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25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x14ac:dyDescent="0.25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x14ac:dyDescent="0.25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x14ac:dyDescent="0.25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25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25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25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x14ac:dyDescent="0.25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25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25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25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25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x14ac:dyDescent="0.25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x14ac:dyDescent="0.25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25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25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25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25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x14ac:dyDescent="0.25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25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25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25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25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x14ac:dyDescent="0.25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25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x14ac:dyDescent="0.25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x14ac:dyDescent="0.25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x14ac:dyDescent="0.25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25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25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x14ac:dyDescent="0.25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25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25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25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25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25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25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25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25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x14ac:dyDescent="0.25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25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25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25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x14ac:dyDescent="0.25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x14ac:dyDescent="0.25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25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x14ac:dyDescent="0.25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x14ac:dyDescent="0.25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x14ac:dyDescent="0.25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x14ac:dyDescent="0.25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25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x14ac:dyDescent="0.25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x14ac:dyDescent="0.25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x14ac:dyDescent="0.25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25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25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x14ac:dyDescent="0.25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x14ac:dyDescent="0.25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x14ac:dyDescent="0.25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x14ac:dyDescent="0.25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x14ac:dyDescent="0.25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x14ac:dyDescent="0.25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x14ac:dyDescent="0.25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x14ac:dyDescent="0.25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x14ac:dyDescent="0.25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x14ac:dyDescent="0.25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25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25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25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25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25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25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25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25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x14ac:dyDescent="0.25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25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25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x14ac:dyDescent="0.25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x14ac:dyDescent="0.25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25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25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x14ac:dyDescent="0.25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x14ac:dyDescent="0.25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x14ac:dyDescent="0.25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x14ac:dyDescent="0.25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25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25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x14ac:dyDescent="0.25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x14ac:dyDescent="0.25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25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x14ac:dyDescent="0.25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25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25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25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25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x14ac:dyDescent="0.25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x14ac:dyDescent="0.25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x14ac:dyDescent="0.25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25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25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x14ac:dyDescent="0.25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25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x14ac:dyDescent="0.25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x14ac:dyDescent="0.25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25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25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25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25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x14ac:dyDescent="0.25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25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x14ac:dyDescent="0.25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x14ac:dyDescent="0.25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x14ac:dyDescent="0.25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25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25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25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25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25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25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x14ac:dyDescent="0.25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25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x14ac:dyDescent="0.25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25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x14ac:dyDescent="0.25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x14ac:dyDescent="0.25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x14ac:dyDescent="0.25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25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25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x14ac:dyDescent="0.25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x14ac:dyDescent="0.25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25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25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25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x14ac:dyDescent="0.25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x14ac:dyDescent="0.25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25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x14ac:dyDescent="0.25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x14ac:dyDescent="0.25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x14ac:dyDescent="0.25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x14ac:dyDescent="0.25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25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x14ac:dyDescent="0.25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x14ac:dyDescent="0.25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x14ac:dyDescent="0.25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x14ac:dyDescent="0.25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x14ac:dyDescent="0.25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x14ac:dyDescent="0.25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25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x14ac:dyDescent="0.25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25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x14ac:dyDescent="0.25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25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x14ac:dyDescent="0.25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x14ac:dyDescent="0.25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x14ac:dyDescent="0.25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25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25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x14ac:dyDescent="0.25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x14ac:dyDescent="0.25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x14ac:dyDescent="0.25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x14ac:dyDescent="0.25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x14ac:dyDescent="0.25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25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25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25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x14ac:dyDescent="0.25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25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25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x14ac:dyDescent="0.25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AED7-44B6-4854-9D37-C56338B1214B}">
  <dimension ref="B3:K19"/>
  <sheetViews>
    <sheetView workbookViewId="0">
      <selection activeCell="D19" sqref="D19"/>
    </sheetView>
  </sheetViews>
  <sheetFormatPr defaultRowHeight="15" x14ac:dyDescent="0.25"/>
  <cols>
    <col min="3" max="3" width="12.140625" customWidth="1"/>
    <col min="5" max="5" width="28.42578125" customWidth="1"/>
    <col min="6" max="6" width="17.28515625" customWidth="1"/>
    <col min="8" max="8" width="16.5703125" customWidth="1"/>
    <col min="9" max="9" width="21.28515625" customWidth="1"/>
    <col min="10" max="11" width="13.7109375" customWidth="1"/>
  </cols>
  <sheetData>
    <row r="3" spans="2:11" x14ac:dyDescent="0.25">
      <c r="B3" s="28" t="s">
        <v>819</v>
      </c>
    </row>
    <row r="6" spans="2:11" x14ac:dyDescent="0.25">
      <c r="C6" s="28" t="s">
        <v>808</v>
      </c>
      <c r="E6" s="9">
        <f>AVERAGE(staff[Salary])</f>
        <v>73861.325230769246</v>
      </c>
      <c r="F6" s="46"/>
    </row>
    <row r="7" spans="2:11" x14ac:dyDescent="0.25">
      <c r="C7" s="28" t="s">
        <v>28</v>
      </c>
      <c r="D7" s="28" t="s">
        <v>805</v>
      </c>
      <c r="E7" s="28" t="s">
        <v>806</v>
      </c>
      <c r="F7" s="49" t="s">
        <v>807</v>
      </c>
      <c r="G7" s="49"/>
      <c r="H7" s="28" t="s">
        <v>780</v>
      </c>
      <c r="I7" s="28" t="s">
        <v>809</v>
      </c>
      <c r="J7" s="28" t="s">
        <v>810</v>
      </c>
      <c r="K7" s="28" t="s">
        <v>40</v>
      </c>
    </row>
    <row r="8" spans="2:11" x14ac:dyDescent="0.25">
      <c r="C8" t="str" cm="1">
        <f t="array" ref="C8:C19">_xlfn.UNIQUE(staff[Department])</f>
        <v>Training</v>
      </c>
      <c r="D8">
        <f>COUNTIF(staff[Department],C8)</f>
        <v>24</v>
      </c>
      <c r="E8" s="26">
        <f>AVERAGEIF(staff[Department],C8, staff[Salary])</f>
        <v>83883.965000000011</v>
      </c>
      <c r="F8" s="48">
        <f>E8-E6</f>
        <v>10022.639769230766</v>
      </c>
      <c r="H8" s="26">
        <f>_xlfn.MAXIFS( staff[Salary], staff[Department],C8)</f>
        <v>116767.63</v>
      </c>
      <c r="I8" cm="1">
        <f t="array" ref="I8">MEDIAN(_xlfn._xlws.FILTER(staff[Salary],staff[Department]=C8))</f>
        <v>89569.44</v>
      </c>
      <c r="J8">
        <f>K8/D8</f>
        <v>0.70833333333333337</v>
      </c>
      <c r="K8">
        <f>COUNTIFS(staff[Department],C8, staff[Gender], K7)</f>
        <v>17</v>
      </c>
    </row>
    <row r="9" spans="2:11" x14ac:dyDescent="0.25">
      <c r="C9" t="str">
        <v>Business Development</v>
      </c>
      <c r="D9">
        <f>COUNTIF(staff[Department],C9)</f>
        <v>26</v>
      </c>
      <c r="E9" s="26">
        <f>AVERAGEIF(staff[Department],C9, staff[Salary])</f>
        <v>79781.805769230778</v>
      </c>
      <c r="F9" s="48">
        <f>E9-E6</f>
        <v>5920.480538461532</v>
      </c>
      <c r="G9" s="39"/>
      <c r="H9" s="26">
        <f>_xlfn.MAXIFS( staff[Salary], staff[Department],C9)</f>
        <v>110042.37</v>
      </c>
      <c r="I9" cm="1">
        <f t="array" ref="I9">MEDIAN(_xlfn._xlws.FILTER(staff[Salary],staff[Department]=C9))</f>
        <v>80695.740000000005</v>
      </c>
      <c r="J9">
        <f t="shared" ref="J9:J19" si="0">K9/D9</f>
        <v>0.42307692307692307</v>
      </c>
      <c r="K9">
        <f>COUNTIFS(staff[Department],C9, staff[Gender], K7)</f>
        <v>11</v>
      </c>
    </row>
    <row r="10" spans="2:11" x14ac:dyDescent="0.25">
      <c r="C10" t="str">
        <v>Engineering</v>
      </c>
      <c r="D10">
        <f>COUNTIF(staff[Department],C10)</f>
        <v>26</v>
      </c>
      <c r="E10" s="26">
        <f>AVERAGEIF(staff[Department],C10, staff[Salary])</f>
        <v>81976.441923076913</v>
      </c>
      <c r="F10" s="48">
        <f t="shared" ref="F10:F19" si="1">E10-E8</f>
        <v>-1907.5230769230984</v>
      </c>
      <c r="G10" s="39"/>
      <c r="H10" s="26">
        <f>_xlfn.MAXIFS( staff[Salary], staff[Department],C10)</f>
        <v>120000</v>
      </c>
      <c r="I10" cm="1">
        <f t="array" ref="I10">MEDIAN(_xlfn._xlws.FILTER(staff[Salary],staff[Department]=C10))</f>
        <v>85332.304999999993</v>
      </c>
      <c r="J10">
        <f t="shared" si="0"/>
        <v>0.38461538461538464</v>
      </c>
      <c r="K10">
        <f>COUNTIFS(staff[Department],C10, staff[Gender], K7)</f>
        <v>10</v>
      </c>
    </row>
    <row r="11" spans="2:11" x14ac:dyDescent="0.25">
      <c r="C11" t="str">
        <v>Marketing</v>
      </c>
      <c r="D11">
        <f>COUNTIF(staff[Department],C11)</f>
        <v>12</v>
      </c>
      <c r="E11" s="26">
        <f>AVERAGEIF(staff[Department],C11, staff[Salary])</f>
        <v>64441.299999999996</v>
      </c>
      <c r="F11" s="48">
        <f t="shared" si="1"/>
        <v>-15340.505769230782</v>
      </c>
      <c r="G11" s="39"/>
      <c r="H11" s="26">
        <f>_xlfn.MAXIFS( staff[Salary], staff[Department],C11)</f>
        <v>104903.79</v>
      </c>
      <c r="I11" cm="1">
        <f t="array" ref="I11">MEDIAN(_xlfn._xlws.FILTER(staff[Salary],staff[Department]=C11))</f>
        <v>66961.489999999991</v>
      </c>
      <c r="J11">
        <f t="shared" si="0"/>
        <v>0.41666666666666669</v>
      </c>
      <c r="K11">
        <f>COUNTIFS(staff[Department],C11, staff[Gender], K7)</f>
        <v>5</v>
      </c>
    </row>
    <row r="12" spans="2:11" x14ac:dyDescent="0.25">
      <c r="C12" t="str">
        <v>Legal</v>
      </c>
      <c r="D12">
        <f>COUNTIF(staff[Department],C12)</f>
        <v>21</v>
      </c>
      <c r="E12" s="26">
        <f>AVERAGEIF(staff[Department],C12, staff[Salary])</f>
        <v>67242.51761904762</v>
      </c>
      <c r="F12" s="48">
        <f t="shared" si="1"/>
        <v>-14733.924304029293</v>
      </c>
      <c r="G12" s="39"/>
      <c r="H12" s="26">
        <f>_xlfn.MAXIFS( staff[Salary], staff[Department],C12)</f>
        <v>113747.56</v>
      </c>
      <c r="I12" cm="1">
        <f t="array" ref="I12">MEDIAN(_xlfn._xlws.FILTER(staff[Salary],staff[Department]=C12))</f>
        <v>66572.58</v>
      </c>
      <c r="J12">
        <f t="shared" si="0"/>
        <v>0.33333333333333331</v>
      </c>
      <c r="K12">
        <f>COUNTIFS(staff[Department],C12, staff[Gender], K7)</f>
        <v>7</v>
      </c>
    </row>
    <row r="13" spans="2:11" x14ac:dyDescent="0.25">
      <c r="C13" t="str">
        <v>Accounting</v>
      </c>
      <c r="D13">
        <f>COUNTIF(staff[Department],C13)</f>
        <v>26</v>
      </c>
      <c r="E13" s="26">
        <f>AVERAGEIF(staff[Department],C13, staff[Salary])</f>
        <v>69806.945769230777</v>
      </c>
      <c r="F13" s="48">
        <f t="shared" si="1"/>
        <v>5365.6457692307813</v>
      </c>
      <c r="G13" s="39"/>
      <c r="H13" s="26">
        <f>_xlfn.MAXIFS( staff[Salary], staff[Department],C13)</f>
        <v>119022.49</v>
      </c>
      <c r="I13" cm="1">
        <f t="array" ref="I13">MEDIAN(_xlfn._xlws.FILTER(staff[Salary],staff[Department]=C13))</f>
        <v>69025.614999999991</v>
      </c>
      <c r="J13">
        <f t="shared" si="0"/>
        <v>0.34615384615384615</v>
      </c>
      <c r="K13">
        <f>COUNTIFS(staff[Department],C13, staff[Gender], K7)</f>
        <v>9</v>
      </c>
    </row>
    <row r="14" spans="2:11" x14ac:dyDescent="0.25">
      <c r="C14" t="str">
        <v>Human Resources</v>
      </c>
      <c r="D14">
        <f>COUNTIF(staff[Department],C14)</f>
        <v>22</v>
      </c>
      <c r="E14" s="26">
        <f>AVERAGEIF(staff[Department],C14, staff[Salary])</f>
        <v>73109.377727272746</v>
      </c>
      <c r="F14" s="48">
        <f t="shared" si="1"/>
        <v>5866.8601082251262</v>
      </c>
      <c r="G14" s="39"/>
      <c r="H14" s="26">
        <f>_xlfn.MAXIFS( staff[Salary], staff[Department],C14)</f>
        <v>103494.94</v>
      </c>
      <c r="I14" cm="1">
        <f t="array" ref="I14">MEDIAN(_xlfn._xlws.FILTER(staff[Salary],staff[Department]=C14))</f>
        <v>73182.794999999998</v>
      </c>
      <c r="J14">
        <f t="shared" si="0"/>
        <v>0.31818181818181818</v>
      </c>
      <c r="K14">
        <f>COUNTIFS(staff[Department],C14, staff[Gender], K7)</f>
        <v>7</v>
      </c>
    </row>
    <row r="15" spans="2:11" x14ac:dyDescent="0.25">
      <c r="C15" t="str">
        <v>Research and Development</v>
      </c>
      <c r="D15">
        <f>COUNTIF(staff[Department],C15)</f>
        <v>18</v>
      </c>
      <c r="E15" s="26">
        <f>AVERAGEIF(staff[Department],C15, staff[Salary])</f>
        <v>66910.765555555554</v>
      </c>
      <c r="F15" s="48">
        <f t="shared" si="1"/>
        <v>-2896.1802136752231</v>
      </c>
      <c r="G15" s="39"/>
      <c r="H15" s="26">
        <f>_xlfn.MAXIFS( staff[Salary], staff[Department],C15)</f>
        <v>99683.67</v>
      </c>
      <c r="I15" cm="1">
        <f t="array" ref="I15">MEDIAN(_xlfn._xlws.FILTER(staff[Salary],staff[Department]=C15))</f>
        <v>65995.375</v>
      </c>
      <c r="J15">
        <f t="shared" si="0"/>
        <v>0.61111111111111116</v>
      </c>
      <c r="K15">
        <f>COUNTIFS(staff[Department],C15, staff[Gender], K7)</f>
        <v>11</v>
      </c>
    </row>
    <row r="16" spans="2:11" x14ac:dyDescent="0.25">
      <c r="C16" t="str">
        <v>Services</v>
      </c>
      <c r="D16">
        <f>COUNTIF(staff[Department],C16)</f>
        <v>21</v>
      </c>
      <c r="E16" s="26">
        <f>AVERAGEIF(staff[Department],C16, staff[Salary])</f>
        <v>74673.974761904756</v>
      </c>
      <c r="F16" s="48">
        <f t="shared" si="1"/>
        <v>1564.59703463201</v>
      </c>
      <c r="G16" s="39"/>
      <c r="H16" s="26">
        <f>_xlfn.MAXIFS( staff[Salary], staff[Department],C16)</f>
        <v>120000</v>
      </c>
      <c r="I16" cm="1">
        <f t="array" ref="I16">MEDIAN(_xlfn._xlws.FILTER(staff[Salary],staff[Department]=C16))</f>
        <v>77096.05</v>
      </c>
      <c r="J16">
        <f t="shared" si="0"/>
        <v>0.61904761904761907</v>
      </c>
      <c r="K16">
        <f>COUNTIFS(staff[Department],C16, staff[Gender], K7)</f>
        <v>13</v>
      </c>
    </row>
    <row r="17" spans="3:11" x14ac:dyDescent="0.25">
      <c r="C17" t="str">
        <v>Product Management</v>
      </c>
      <c r="D17">
        <f>COUNTIF(staff[Department],C17)</f>
        <v>29</v>
      </c>
      <c r="E17" s="26">
        <f>AVERAGEIF(staff[Department],C17, staff[Salary])</f>
        <v>75179.064482758593</v>
      </c>
      <c r="F17" s="48">
        <f t="shared" si="1"/>
        <v>8268.2989272030391</v>
      </c>
      <c r="G17" s="39"/>
      <c r="H17" s="26">
        <f>_xlfn.MAXIFS( staff[Salary], staff[Department],C17)</f>
        <v>115191.38</v>
      </c>
      <c r="I17" cm="1">
        <f t="array" ref="I17">MEDIAN(_xlfn._xlws.FILTER(staff[Salary],staff[Department]=C17))</f>
        <v>72502.61</v>
      </c>
      <c r="J17">
        <f t="shared" si="0"/>
        <v>0.58620689655172409</v>
      </c>
      <c r="K17">
        <f>COUNTIFS(staff[Department],C17, staff[Gender],K7)</f>
        <v>17</v>
      </c>
    </row>
    <row r="18" spans="3:11" x14ac:dyDescent="0.25">
      <c r="C18" t="str">
        <v>Support</v>
      </c>
      <c r="D18">
        <f>COUNTIF(staff[Department],C18)</f>
        <v>17</v>
      </c>
      <c r="E18" s="26">
        <f>AVERAGEIF(staff[Department],C18, staff[Salary])</f>
        <v>66432.455882352937</v>
      </c>
      <c r="F18" s="48">
        <f t="shared" si="1"/>
        <v>-8241.5188795518188</v>
      </c>
      <c r="G18" s="39"/>
      <c r="H18" s="26">
        <f>_xlfn.MAXIFS( staff[Salary], staff[Department],C18)</f>
        <v>104802.63</v>
      </c>
      <c r="I18" cm="1">
        <f t="array" ref="I18">MEDIAN(_xlfn._xlws.FILTER(staff[Salary],staff[Department]=C18))</f>
        <v>61214.26</v>
      </c>
      <c r="J18">
        <f t="shared" si="0"/>
        <v>0.47058823529411764</v>
      </c>
      <c r="K18">
        <f>COUNTIFS(staff[Department],C18, staff[Gender], K7)</f>
        <v>8</v>
      </c>
    </row>
    <row r="19" spans="3:11" x14ac:dyDescent="0.25">
      <c r="C19" t="str">
        <v>Sales</v>
      </c>
      <c r="D19">
        <f>COUNTIF(staff[Department],C19)</f>
        <v>18</v>
      </c>
      <c r="E19" s="26">
        <f>AVERAGEIF(staff[Department],C19, staff[Salary])</f>
        <v>71897.095555555556</v>
      </c>
      <c r="F19" s="48">
        <f t="shared" si="1"/>
        <v>-3281.9689272030373</v>
      </c>
      <c r="G19" s="39"/>
      <c r="H19" s="26">
        <f>_xlfn.MAXIFS( staff[Salary], staff[Department],C19)</f>
        <v>102129.37</v>
      </c>
      <c r="I19" cm="1">
        <f t="array" ref="I19">MEDIAN(_xlfn._xlws.FILTER(staff[Salary],staff[Department]=C19))</f>
        <v>79396.654999999999</v>
      </c>
      <c r="J19">
        <f t="shared" si="0"/>
        <v>0.55555555555555558</v>
      </c>
      <c r="K19">
        <f>COUNTIFS(staff[Department],C19, staff[Gender], K7)</f>
        <v>10</v>
      </c>
    </row>
  </sheetData>
  <mergeCells count="1"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J16"/>
  <sheetViews>
    <sheetView workbookViewId="0">
      <selection activeCell="D19" sqref="D19"/>
    </sheetView>
  </sheetViews>
  <sheetFormatPr defaultColWidth="18.140625" defaultRowHeight="15" x14ac:dyDescent="0.25"/>
  <cols>
    <col min="2" max="2" width="27" customWidth="1"/>
    <col min="5" max="5" width="31.140625" customWidth="1"/>
    <col min="6" max="6" width="9.7109375" customWidth="1"/>
  </cols>
  <sheetData>
    <row r="1" spans="2:10" x14ac:dyDescent="0.25">
      <c r="B1" t="s">
        <v>804</v>
      </c>
    </row>
    <row r="3" spans="2:10" x14ac:dyDescent="0.25">
      <c r="B3" s="28" t="s">
        <v>808</v>
      </c>
      <c r="D3" s="9">
        <f>AVERAGE(staff[Salary])</f>
        <v>73861.325230769246</v>
      </c>
      <c r="E3" s="46"/>
    </row>
    <row r="4" spans="2:10" x14ac:dyDescent="0.25">
      <c r="B4" s="28" t="s">
        <v>28</v>
      </c>
      <c r="C4" s="28" t="s">
        <v>805</v>
      </c>
      <c r="D4" s="28" t="s">
        <v>806</v>
      </c>
      <c r="E4" s="49" t="s">
        <v>807</v>
      </c>
      <c r="F4" s="49"/>
      <c r="G4" s="28" t="s">
        <v>780</v>
      </c>
      <c r="H4" s="28"/>
      <c r="I4" s="28"/>
      <c r="J4" s="28"/>
    </row>
    <row r="5" spans="2:10" x14ac:dyDescent="0.25">
      <c r="B5" t="str" cm="1">
        <f t="array" ref="B5:B16">_xlfn.UNIQUE(staff[Department])</f>
        <v>Training</v>
      </c>
      <c r="C5">
        <f>COUNTIF(staff[Department],B5)</f>
        <v>24</v>
      </c>
      <c r="D5" s="26">
        <f>AVERAGEIF(staff[Department],B5, staff[Salary])</f>
        <v>83883.965000000011</v>
      </c>
      <c r="E5" s="47">
        <f>(D5-D3)/D3</f>
        <v>0.1356953688268718</v>
      </c>
      <c r="G5" s="26">
        <f>_xlfn.MAXIFS( staff[Salary], staff[Department],B5)</f>
        <v>116767.63</v>
      </c>
    </row>
    <row r="6" spans="2:10" x14ac:dyDescent="0.25">
      <c r="B6" t="str">
        <v>Business Development</v>
      </c>
      <c r="C6">
        <f>COUNTIF(staff[Department],B6)</f>
        <v>26</v>
      </c>
      <c r="D6" s="26">
        <f>AVERAGEIF(staff[Department],B6, staff[Salary])</f>
        <v>79781.805769230778</v>
      </c>
      <c r="E6" s="47">
        <f>(D6-D3)/D3</f>
        <v>8.0156706097051861E-2</v>
      </c>
      <c r="F6" s="39"/>
      <c r="G6" s="26">
        <f>_xlfn.MAXIFS( staff[Salary], staff[Department],B6)</f>
        <v>110042.37</v>
      </c>
    </row>
    <row r="7" spans="2:10" x14ac:dyDescent="0.25">
      <c r="B7" t="str">
        <v>Engineering</v>
      </c>
      <c r="C7">
        <f>COUNTIF(staff[Department],B7)</f>
        <v>26</v>
      </c>
      <c r="D7" s="26">
        <f>AVERAGEIF(staff[Department],B7, staff[Salary])</f>
        <v>81976.441923076913</v>
      </c>
      <c r="E7" s="47">
        <f t="shared" ref="E7:E16" si="0">(D7-D5)/D5</f>
        <v>-2.2740020418957285E-2</v>
      </c>
      <c r="F7" s="39"/>
      <c r="G7" s="26">
        <f>_xlfn.MAXIFS( staff[Salary], staff[Department],B7)</f>
        <v>120000</v>
      </c>
    </row>
    <row r="8" spans="2:10" x14ac:dyDescent="0.25">
      <c r="B8" t="str">
        <v>Marketing</v>
      </c>
      <c r="C8">
        <f>COUNTIF(staff[Department],B8)</f>
        <v>12</v>
      </c>
      <c r="D8" s="26">
        <f>AVERAGEIF(staff[Department],B8, staff[Salary])</f>
        <v>64441.299999999996</v>
      </c>
      <c r="E8" s="47">
        <f t="shared" si="0"/>
        <v>-0.19228075400553432</v>
      </c>
      <c r="F8" s="39"/>
      <c r="G8" s="26">
        <f>_xlfn.MAXIFS( staff[Salary], staff[Department],B8)</f>
        <v>104903.79</v>
      </c>
    </row>
    <row r="9" spans="2:10" x14ac:dyDescent="0.25">
      <c r="B9" t="str">
        <v>Legal</v>
      </c>
      <c r="C9">
        <f>COUNTIF(staff[Department],B9)</f>
        <v>21</v>
      </c>
      <c r="D9" s="26">
        <f>AVERAGEIF(staff[Department],B9, staff[Salary])</f>
        <v>67242.51761904762</v>
      </c>
      <c r="E9" s="47">
        <f t="shared" si="0"/>
        <v>-0.17973364003593811</v>
      </c>
      <c r="F9" s="39"/>
      <c r="G9" s="26">
        <f>_xlfn.MAXIFS( staff[Salary], staff[Department],B9)</f>
        <v>113747.56</v>
      </c>
    </row>
    <row r="10" spans="2:10" x14ac:dyDescent="0.25">
      <c r="B10" t="str">
        <v>Accounting</v>
      </c>
      <c r="C10">
        <f>COUNTIF(staff[Department],B10)</f>
        <v>26</v>
      </c>
      <c r="D10" s="26">
        <f>AVERAGEIF(staff[Department],B10, staff[Salary])</f>
        <v>69806.945769230777</v>
      </c>
      <c r="E10" s="47">
        <f t="shared" si="0"/>
        <v>8.3264083270057895E-2</v>
      </c>
      <c r="F10" s="39"/>
      <c r="G10" s="26">
        <f>_xlfn.MAXIFS( staff[Salary], staff[Department],B10)</f>
        <v>119022.49</v>
      </c>
    </row>
    <row r="11" spans="2:10" x14ac:dyDescent="0.25">
      <c r="B11" t="str">
        <v>Human Resources</v>
      </c>
      <c r="C11">
        <f>COUNTIF(staff[Department],B11)</f>
        <v>22</v>
      </c>
      <c r="D11" s="26">
        <f>AVERAGEIF(staff[Department],B11, staff[Salary])</f>
        <v>73109.377727272746</v>
      </c>
      <c r="E11" s="47">
        <f t="shared" si="0"/>
        <v>8.724926305500548E-2</v>
      </c>
      <c r="F11" s="39"/>
      <c r="G11" s="26">
        <f>_xlfn.MAXIFS( staff[Salary], staff[Department],B11)</f>
        <v>103494.94</v>
      </c>
    </row>
    <row r="12" spans="2:10" x14ac:dyDescent="0.25">
      <c r="B12" t="str">
        <v>Research and Development</v>
      </c>
      <c r="C12">
        <f>COUNTIF(staff[Department],B12)</f>
        <v>18</v>
      </c>
      <c r="D12" s="26">
        <f>AVERAGEIF(staff[Department],B12, staff[Salary])</f>
        <v>66910.765555555554</v>
      </c>
      <c r="E12" s="47">
        <f t="shared" si="0"/>
        <v>-4.1488424708473491E-2</v>
      </c>
      <c r="F12" s="39"/>
      <c r="G12" s="26">
        <f>_xlfn.MAXIFS( staff[Salary], staff[Department],B12)</f>
        <v>99683.67</v>
      </c>
    </row>
    <row r="13" spans="2:10" x14ac:dyDescent="0.25">
      <c r="B13" t="str">
        <v>Services</v>
      </c>
      <c r="C13">
        <f>COUNTIF(staff[Department],B13)</f>
        <v>21</v>
      </c>
      <c r="D13" s="26">
        <f>AVERAGEIF(staff[Department],B13, staff[Salary])</f>
        <v>74673.974761904756</v>
      </c>
      <c r="E13" s="47">
        <f t="shared" si="0"/>
        <v>2.1400770780303773E-2</v>
      </c>
      <c r="F13" s="39"/>
      <c r="G13" s="26">
        <f>_xlfn.MAXIFS( staff[Salary], staff[Department],B13)</f>
        <v>120000</v>
      </c>
    </row>
    <row r="14" spans="2:10" x14ac:dyDescent="0.25">
      <c r="B14" t="str">
        <v>Product Management</v>
      </c>
      <c r="C14">
        <f>COUNTIF(staff[Department],B14)</f>
        <v>29</v>
      </c>
      <c r="D14" s="26">
        <f>AVERAGEIF(staff[Department],B14, staff[Salary])</f>
        <v>75179.064482758593</v>
      </c>
      <c r="E14" s="47">
        <f t="shared" si="0"/>
        <v>0.12357202699075273</v>
      </c>
      <c r="F14" s="39"/>
      <c r="G14" s="26">
        <f>_xlfn.MAXIFS( staff[Salary], staff[Department],B14)</f>
        <v>115191.38</v>
      </c>
    </row>
    <row r="15" spans="2:10" x14ac:dyDescent="0.25">
      <c r="B15" t="str">
        <v>Support</v>
      </c>
      <c r="C15">
        <f>COUNTIF(staff[Department],B15)</f>
        <v>17</v>
      </c>
      <c r="D15" s="26">
        <f>AVERAGEIF(staff[Department],B15, staff[Salary])</f>
        <v>66432.455882352937</v>
      </c>
      <c r="E15" s="47">
        <f t="shared" si="0"/>
        <v>-0.11036668271415311</v>
      </c>
      <c r="F15" s="39"/>
      <c r="G15" s="26">
        <f>_xlfn.MAXIFS( staff[Salary], staff[Department],B15)</f>
        <v>104802.63</v>
      </c>
    </row>
    <row r="16" spans="2:10" x14ac:dyDescent="0.25">
      <c r="B16" t="str">
        <v>Sales</v>
      </c>
      <c r="C16">
        <f>COUNTIF(staff[Department],B16)</f>
        <v>18</v>
      </c>
      <c r="D16" s="26">
        <f>AVERAGEIF(staff[Department],B16, staff[Salary])</f>
        <v>71897.095555555556</v>
      </c>
      <c r="E16" s="47">
        <f t="shared" si="0"/>
        <v>-4.365535737619769E-2</v>
      </c>
      <c r="F16" s="39"/>
      <c r="G16" s="26">
        <f>_xlfn.MAXIFS( staff[Salary], staff[Department],B16)</f>
        <v>102129.37</v>
      </c>
    </row>
  </sheetData>
  <mergeCells count="1">
    <mergeCell ref="E4:F4"/>
  </mergeCells>
  <pageMargins left="0.7" right="0.7" top="0.75" bottom="0.75" header="0.3" footer="0.3"/>
  <ignoredErrors>
    <ignoredError sqref="E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88E3-E658-428A-AF05-B58964B9FCF7}">
  <dimension ref="B4:N140"/>
  <sheetViews>
    <sheetView workbookViewId="0">
      <selection activeCell="B7" sqref="B7"/>
    </sheetView>
  </sheetViews>
  <sheetFormatPr defaultRowHeight="15" x14ac:dyDescent="0.25"/>
  <cols>
    <col min="9" max="9" width="29.28515625" customWidth="1"/>
  </cols>
  <sheetData>
    <row r="4" spans="2:14" x14ac:dyDescent="0.25">
      <c r="B4" s="28" t="s">
        <v>803</v>
      </c>
    </row>
    <row r="6" spans="2:14" x14ac:dyDescent="0.25">
      <c r="B6" s="28" t="str" cm="1">
        <f t="array" ref="B6:N6">staff[#Headers]</f>
        <v>Emp ID</v>
      </c>
      <c r="C6" s="28" t="str">
        <v>First Name</v>
      </c>
      <c r="D6" s="28" t="str">
        <v>Last Name</v>
      </c>
      <c r="E6" s="28" t="str">
        <v>Gender</v>
      </c>
      <c r="F6" s="28" t="str">
        <v>Department</v>
      </c>
      <c r="G6" s="28" t="str">
        <v>Salary</v>
      </c>
      <c r="H6" s="28" t="str">
        <v>Salary Bucket</v>
      </c>
      <c r="I6" s="28" t="str">
        <v>Start Date</v>
      </c>
      <c r="J6" s="28" t="str">
        <v>FTE</v>
      </c>
      <c r="K6" s="28" t="str">
        <v>Employee type</v>
      </c>
      <c r="L6" s="28" t="str">
        <v>Work location</v>
      </c>
      <c r="M6" s="28" t="str">
        <v>Tenure</v>
      </c>
      <c r="N6" s="28" t="str">
        <v>Work Type</v>
      </c>
    </row>
    <row r="7" spans="2:14" x14ac:dyDescent="0.25">
      <c r="B7" t="str" cm="1">
        <f t="array" ref="B7:N68">_xlfn._xlws.FILTER(staff[],(staff[Gender]="Female")*(WEEKDAY(staff[Start Date])=2))</f>
        <v>PR00007</v>
      </c>
      <c r="C7" t="str">
        <v>Torrance</v>
      </c>
      <c r="D7" t="str">
        <v>Collier</v>
      </c>
      <c r="E7" t="str">
        <v>Female</v>
      </c>
      <c r="F7" t="str">
        <v>Training</v>
      </c>
      <c r="G7">
        <v>96135.75</v>
      </c>
      <c r="H7" t="str">
        <v>50k to 100k</v>
      </c>
      <c r="I7" s="44">
        <v>44025</v>
      </c>
      <c r="J7">
        <v>0.3</v>
      </c>
      <c r="K7" t="str">
        <v>Permanent</v>
      </c>
      <c r="L7" t="str">
        <v>Wellington, New Zealand</v>
      </c>
      <c r="M7">
        <v>3.9424657534246577</v>
      </c>
      <c r="N7" t="str">
        <v>Part time</v>
      </c>
    </row>
    <row r="8" spans="2:14" x14ac:dyDescent="0.25">
      <c r="B8" t="str">
        <v>PR00095</v>
      </c>
      <c r="C8" t="str">
        <v>Devrat</v>
      </c>
      <c r="D8" t="str">
        <v>Damarsingh</v>
      </c>
      <c r="E8" t="str">
        <v>Female</v>
      </c>
      <c r="F8" t="str">
        <v>Business Development</v>
      </c>
      <c r="G8">
        <v>70649.460000000006</v>
      </c>
      <c r="H8" t="str">
        <v>50k to 100k</v>
      </c>
      <c r="I8" s="44">
        <v>43843</v>
      </c>
      <c r="J8">
        <v>1</v>
      </c>
      <c r="K8" t="str">
        <v>Permanent</v>
      </c>
      <c r="L8" t="str">
        <v>Hyderabad, India</v>
      </c>
      <c r="M8">
        <v>4.441095890410959</v>
      </c>
      <c r="N8" t="str">
        <v>Full time</v>
      </c>
    </row>
    <row r="9" spans="2:14" x14ac:dyDescent="0.25">
      <c r="B9" t="str">
        <v>PR00113</v>
      </c>
      <c r="C9" t="str">
        <v>Van</v>
      </c>
      <c r="D9" t="str">
        <v>Tuxwell</v>
      </c>
      <c r="E9" t="str">
        <v>Female</v>
      </c>
      <c r="F9" t="str">
        <v>Business Development</v>
      </c>
      <c r="G9">
        <v>80695.740000000005</v>
      </c>
      <c r="H9" t="str">
        <v>50k to 100k</v>
      </c>
      <c r="I9" s="44">
        <v>43360</v>
      </c>
      <c r="J9">
        <v>1</v>
      </c>
      <c r="K9" t="str">
        <v>Permanent</v>
      </c>
      <c r="L9" t="str">
        <v>Columbus, USA</v>
      </c>
      <c r="M9">
        <v>5.7643835616438359</v>
      </c>
      <c r="N9" t="str">
        <v>Full time</v>
      </c>
    </row>
    <row r="10" spans="2:14" x14ac:dyDescent="0.25">
      <c r="B10" t="str">
        <v>PR00113</v>
      </c>
      <c r="C10" t="str">
        <v>Van</v>
      </c>
      <c r="D10" t="str">
        <v>Tuxwell</v>
      </c>
      <c r="E10" t="str">
        <v>Female</v>
      </c>
      <c r="F10" t="str">
        <v>Business Development</v>
      </c>
      <c r="G10">
        <v>80695.740000000005</v>
      </c>
      <c r="H10" t="str">
        <v>50k to 100k</v>
      </c>
      <c r="I10" s="44">
        <v>43360</v>
      </c>
      <c r="J10">
        <v>1</v>
      </c>
      <c r="K10" t="str">
        <v>Permanent</v>
      </c>
      <c r="L10" t="str">
        <v>Columbus, USA</v>
      </c>
      <c r="M10">
        <v>5.7643835616438359</v>
      </c>
      <c r="N10" t="str">
        <v>Full time</v>
      </c>
    </row>
    <row r="11" spans="2:14" x14ac:dyDescent="0.25">
      <c r="B11" t="str">
        <v>PR00576</v>
      </c>
      <c r="C11" t="str">
        <v>Lalitchandra</v>
      </c>
      <c r="D11" t="str">
        <v>Vadali</v>
      </c>
      <c r="E11" t="str">
        <v>Female</v>
      </c>
      <c r="F11" t="str">
        <v>Legal</v>
      </c>
      <c r="G11">
        <v>63705.4</v>
      </c>
      <c r="H11" t="str">
        <v>50k to 100k</v>
      </c>
      <c r="I11" s="44">
        <v>43682</v>
      </c>
      <c r="J11">
        <v>1</v>
      </c>
      <c r="K11" t="str">
        <v>Permanent</v>
      </c>
      <c r="L11" t="str">
        <v>Hyderabad, India</v>
      </c>
      <c r="M11">
        <v>4.882191780821918</v>
      </c>
      <c r="N11" t="str">
        <v>Full time</v>
      </c>
    </row>
    <row r="12" spans="2:14" x14ac:dyDescent="0.25">
      <c r="B12" t="str">
        <v>PR00916</v>
      </c>
      <c r="C12" t="str">
        <v>Inger</v>
      </c>
      <c r="D12" t="str">
        <v>Chapelhow</v>
      </c>
      <c r="E12" t="str">
        <v>Female</v>
      </c>
      <c r="F12" t="str">
        <v>Research and Development</v>
      </c>
      <c r="G12">
        <v>84309.95</v>
      </c>
      <c r="H12" t="str">
        <v>50k to 100k</v>
      </c>
      <c r="I12" s="44">
        <v>44501</v>
      </c>
      <c r="J12">
        <v>1</v>
      </c>
      <c r="K12" t="str">
        <v>Permanent</v>
      </c>
      <c r="L12" t="str">
        <v>Remote</v>
      </c>
      <c r="M12">
        <v>2.6383561643835618</v>
      </c>
      <c r="N12" t="str">
        <v>Full time</v>
      </c>
    </row>
    <row r="13" spans="2:14" x14ac:dyDescent="0.25">
      <c r="B13" t="str">
        <v>PR01383</v>
      </c>
      <c r="C13" t="str">
        <v>Addi</v>
      </c>
      <c r="D13" t="str">
        <v>Studdeard</v>
      </c>
      <c r="E13" t="str">
        <v>Female</v>
      </c>
      <c r="F13" t="str">
        <v>Product Management</v>
      </c>
      <c r="G13">
        <v>72502.61</v>
      </c>
      <c r="H13" t="str">
        <v>50k to 100k</v>
      </c>
      <c r="I13" s="44">
        <v>44235</v>
      </c>
      <c r="J13">
        <v>1</v>
      </c>
      <c r="K13" t="str">
        <v>Permanent</v>
      </c>
      <c r="L13" t="str">
        <v>Wellington, New Zealand</v>
      </c>
      <c r="M13">
        <v>3.3671232876712329</v>
      </c>
      <c r="N13" t="str">
        <v>Full time</v>
      </c>
    </row>
    <row r="14" spans="2:14" x14ac:dyDescent="0.25">
      <c r="B14" t="str">
        <v>PR02016</v>
      </c>
      <c r="C14" t="str">
        <v>Iris</v>
      </c>
      <c r="D14" t="str">
        <v>Wagg</v>
      </c>
      <c r="E14" t="str">
        <v>Female</v>
      </c>
      <c r="F14" t="str">
        <v>Engineering</v>
      </c>
      <c r="G14">
        <v>58861.19</v>
      </c>
      <c r="H14" t="str">
        <v>50k to 100k</v>
      </c>
      <c r="I14" s="44">
        <v>43654</v>
      </c>
      <c r="J14">
        <v>1</v>
      </c>
      <c r="K14" t="str">
        <v>Permanent</v>
      </c>
      <c r="L14" t="str">
        <v>Columbus, USA</v>
      </c>
      <c r="M14">
        <v>4.9589041095890414</v>
      </c>
      <c r="N14" t="str">
        <v>Full time</v>
      </c>
    </row>
    <row r="15" spans="2:14" x14ac:dyDescent="0.25">
      <c r="B15" t="str">
        <v>PR02113</v>
      </c>
      <c r="C15" t="str">
        <v>Beverie</v>
      </c>
      <c r="D15" t="str">
        <v>Moffet</v>
      </c>
      <c r="E15" t="str">
        <v>Female</v>
      </c>
      <c r="F15" t="str">
        <v>Support</v>
      </c>
      <c r="G15">
        <v>75974.990000000005</v>
      </c>
      <c r="H15" t="str">
        <v>50k to 100k</v>
      </c>
      <c r="I15" s="44">
        <v>44172</v>
      </c>
      <c r="J15">
        <v>1</v>
      </c>
      <c r="K15" t="str">
        <v>Permanent</v>
      </c>
      <c r="L15" t="str">
        <v>Remote</v>
      </c>
      <c r="M15">
        <v>3.5397260273972604</v>
      </c>
      <c r="N15" t="str">
        <v>Full time</v>
      </c>
    </row>
    <row r="16" spans="2:14" x14ac:dyDescent="0.25">
      <c r="B16" t="str">
        <v>PR02275</v>
      </c>
      <c r="C16" t="str">
        <v>Louise</v>
      </c>
      <c r="D16" t="str">
        <v>Lamming</v>
      </c>
      <c r="E16" t="str">
        <v>Female</v>
      </c>
      <c r="F16" t="str">
        <v>Sales</v>
      </c>
      <c r="G16">
        <v>41934.71</v>
      </c>
      <c r="H16" t="str">
        <v>Under 50k</v>
      </c>
      <c r="I16" s="44">
        <v>43780</v>
      </c>
      <c r="J16">
        <v>1</v>
      </c>
      <c r="K16" t="str">
        <v>Permanent</v>
      </c>
      <c r="L16" t="str">
        <v>Remote</v>
      </c>
      <c r="M16">
        <v>4.6136986301369864</v>
      </c>
      <c r="N16" t="str">
        <v>Full time</v>
      </c>
    </row>
    <row r="17" spans="2:14" x14ac:dyDescent="0.25">
      <c r="B17" t="str">
        <v>PR02436</v>
      </c>
      <c r="C17" t="str">
        <v>Marmaduke</v>
      </c>
      <c r="D17" t="str">
        <v>Worssam</v>
      </c>
      <c r="E17" t="str">
        <v>Female</v>
      </c>
      <c r="F17" t="str">
        <v>Engineering</v>
      </c>
      <c r="G17">
        <v>78378.2</v>
      </c>
      <c r="H17" t="str">
        <v>50k to 100k</v>
      </c>
      <c r="I17" s="44">
        <v>43465</v>
      </c>
      <c r="J17">
        <v>0.4</v>
      </c>
      <c r="K17" t="str">
        <v>Permanent</v>
      </c>
      <c r="L17" t="str">
        <v>Remote</v>
      </c>
      <c r="M17">
        <v>5.4767123287671229</v>
      </c>
      <c r="N17" t="str">
        <v>Part time</v>
      </c>
    </row>
    <row r="18" spans="2:14" x14ac:dyDescent="0.25">
      <c r="B18" t="str">
        <v>PR02603</v>
      </c>
      <c r="C18" t="str">
        <v>Dinanath</v>
      </c>
      <c r="D18" t="str">
        <v>Simhambhatla</v>
      </c>
      <c r="E18" t="str">
        <v>Female</v>
      </c>
      <c r="F18" t="str">
        <v>Human Resources</v>
      </c>
      <c r="G18">
        <v>61994.76</v>
      </c>
      <c r="H18" t="str">
        <v>50k to 100k</v>
      </c>
      <c r="I18" s="44">
        <v>43794</v>
      </c>
      <c r="J18">
        <v>0.3</v>
      </c>
      <c r="K18" t="str">
        <v>Permanent</v>
      </c>
      <c r="L18" t="str">
        <v>Hyderabad, India</v>
      </c>
      <c r="M18">
        <v>4.5753424657534243</v>
      </c>
      <c r="N18" t="str">
        <v>Part time</v>
      </c>
    </row>
    <row r="19" spans="2:14" x14ac:dyDescent="0.25">
      <c r="B19" t="str">
        <v>PR03158</v>
      </c>
      <c r="C19" t="str">
        <v>Danica</v>
      </c>
      <c r="D19" t="str">
        <v>Nayshe</v>
      </c>
      <c r="E19" t="str">
        <v>Female</v>
      </c>
      <c r="F19" t="str">
        <v>Services</v>
      </c>
      <c r="G19">
        <v>89690.38</v>
      </c>
      <c r="H19" t="str">
        <v>50k to 100k</v>
      </c>
      <c r="I19" s="44">
        <v>43206</v>
      </c>
      <c r="J19">
        <v>1</v>
      </c>
      <c r="K19" t="str">
        <v>Permanent</v>
      </c>
      <c r="L19" t="str">
        <v>Wellington, New Zealand</v>
      </c>
      <c r="M19">
        <v>6.1863013698630134</v>
      </c>
      <c r="N19" t="str">
        <v>Full time</v>
      </c>
    </row>
    <row r="20" spans="2:14" x14ac:dyDescent="0.25">
      <c r="B20" t="str">
        <v>PR04380</v>
      </c>
      <c r="C20" t="str">
        <v>Van</v>
      </c>
      <c r="D20" t="str">
        <v>Tuxwell</v>
      </c>
      <c r="E20" t="str">
        <v>Female</v>
      </c>
      <c r="F20" t="str">
        <v>Business Development</v>
      </c>
      <c r="G20">
        <v>80695.740000000005</v>
      </c>
      <c r="H20" t="str">
        <v>50k to 100k</v>
      </c>
      <c r="I20" s="44">
        <v>43787</v>
      </c>
      <c r="J20">
        <v>0.8</v>
      </c>
      <c r="K20" t="str">
        <v>Permanent</v>
      </c>
      <c r="L20" t="str">
        <v>Columbus, USA</v>
      </c>
      <c r="M20">
        <v>4.5945205479452058</v>
      </c>
      <c r="N20" t="str">
        <v>Part time</v>
      </c>
    </row>
    <row r="21" spans="2:14" x14ac:dyDescent="0.25">
      <c r="B21" t="str">
        <v>PR04446</v>
      </c>
      <c r="C21" t="str">
        <v>Sameer</v>
      </c>
      <c r="D21" t="str">
        <v>Shashank</v>
      </c>
      <c r="E21" t="str">
        <v>Female</v>
      </c>
      <c r="F21" t="str">
        <v>Research and Development</v>
      </c>
      <c r="G21">
        <v>92336.08</v>
      </c>
      <c r="H21" t="str">
        <v>50k to 100k</v>
      </c>
      <c r="I21" s="44">
        <v>44431</v>
      </c>
      <c r="J21">
        <v>1</v>
      </c>
      <c r="K21" t="str">
        <v>Permanent</v>
      </c>
      <c r="L21" t="str">
        <v>Hyderabad, India</v>
      </c>
      <c r="M21">
        <v>2.8301369863013699</v>
      </c>
      <c r="N21" t="str">
        <v>Full time</v>
      </c>
    </row>
    <row r="22" spans="2:14" x14ac:dyDescent="0.25">
      <c r="B22" t="str">
        <v>PR04473</v>
      </c>
      <c r="C22" t="str">
        <v>Wyn</v>
      </c>
      <c r="D22" t="str">
        <v>Treadger</v>
      </c>
      <c r="E22" t="str">
        <v>Female</v>
      </c>
      <c r="F22" t="str">
        <v>Business Development</v>
      </c>
      <c r="G22">
        <v>69192.850000000006</v>
      </c>
      <c r="H22" t="str">
        <v>50k to 100k</v>
      </c>
      <c r="I22" s="44">
        <v>44305</v>
      </c>
      <c r="J22">
        <v>1</v>
      </c>
      <c r="K22" t="str">
        <v>Permanent</v>
      </c>
      <c r="L22" t="str">
        <v>Columbus, USA</v>
      </c>
      <c r="M22">
        <v>3.1753424657534248</v>
      </c>
      <c r="N22" t="str">
        <v>Full time</v>
      </c>
    </row>
    <row r="23" spans="2:14" x14ac:dyDescent="0.25">
      <c r="B23" t="str">
        <v>PR04686</v>
      </c>
      <c r="C23" t="str">
        <v>Oona</v>
      </c>
      <c r="D23" t="str">
        <v>Donan</v>
      </c>
      <c r="E23" t="str">
        <v>Female</v>
      </c>
      <c r="F23" t="str">
        <v>Business Development</v>
      </c>
      <c r="G23">
        <v>98000</v>
      </c>
      <c r="H23" t="str">
        <v>50k to 100k</v>
      </c>
      <c r="I23" s="44">
        <v>43710</v>
      </c>
      <c r="J23">
        <v>0.9</v>
      </c>
      <c r="K23" t="str">
        <v>Permanent</v>
      </c>
      <c r="L23" t="str">
        <v>Seattle, USA</v>
      </c>
      <c r="M23">
        <v>4.8054794520547945</v>
      </c>
      <c r="N23" t="str">
        <v>Part time</v>
      </c>
    </row>
    <row r="24" spans="2:14" x14ac:dyDescent="0.25">
      <c r="B24" t="str">
        <v>SQ00105</v>
      </c>
      <c r="C24" t="str">
        <v>Sarayu</v>
      </c>
      <c r="D24" t="str">
        <v>Ragunathan</v>
      </c>
      <c r="E24" t="str">
        <v>Female</v>
      </c>
      <c r="F24" t="str">
        <v>Training</v>
      </c>
      <c r="G24">
        <v>86010.54</v>
      </c>
      <c r="H24" t="str">
        <v>50k to 100k</v>
      </c>
      <c r="I24" s="44">
        <v>43164</v>
      </c>
      <c r="J24">
        <v>1</v>
      </c>
      <c r="K24" t="str">
        <v>Permanent</v>
      </c>
      <c r="L24" t="str">
        <v>Chennai, India</v>
      </c>
      <c r="M24">
        <v>6.3013698630136989</v>
      </c>
      <c r="N24" t="str">
        <v>Full time</v>
      </c>
    </row>
    <row r="25" spans="2:14" x14ac:dyDescent="0.25">
      <c r="B25" t="str">
        <v>SQ00841</v>
      </c>
      <c r="C25" t="str">
        <v>Bhuvan</v>
      </c>
      <c r="D25" t="str">
        <v>Pals</v>
      </c>
      <c r="E25" t="str">
        <v>Female</v>
      </c>
      <c r="F25" t="str">
        <v>Services</v>
      </c>
      <c r="G25">
        <v>89690.38</v>
      </c>
      <c r="H25" t="str">
        <v>50k to 100k</v>
      </c>
      <c r="I25" s="44">
        <v>43213</v>
      </c>
      <c r="J25">
        <v>1</v>
      </c>
      <c r="K25" t="str">
        <v>Permanent</v>
      </c>
      <c r="L25" t="str">
        <v>Hyderabad, India</v>
      </c>
      <c r="M25">
        <v>6.1671232876712327</v>
      </c>
      <c r="N25" t="str">
        <v>Full time</v>
      </c>
    </row>
    <row r="26" spans="2:14" x14ac:dyDescent="0.25">
      <c r="B26" t="str">
        <v>SQ00914</v>
      </c>
      <c r="C26" t="str">
        <v>Duran</v>
      </c>
      <c r="D26" t="str">
        <v>Appala</v>
      </c>
      <c r="E26" t="str">
        <v>Female</v>
      </c>
      <c r="F26" t="str">
        <v>Product Management</v>
      </c>
      <c r="G26">
        <v>38438.239999999998</v>
      </c>
      <c r="H26" t="str">
        <v>Under 50k</v>
      </c>
      <c r="I26" s="44">
        <v>43962</v>
      </c>
      <c r="J26">
        <v>1</v>
      </c>
      <c r="K26" t="str">
        <v>Permanent</v>
      </c>
      <c r="L26" t="str">
        <v>Chennai, India</v>
      </c>
      <c r="M26">
        <v>4.1150684931506847</v>
      </c>
      <c r="N26" t="str">
        <v>Full time</v>
      </c>
    </row>
    <row r="27" spans="2:14" x14ac:dyDescent="0.25">
      <c r="B27" t="str">
        <v>SQ00914</v>
      </c>
      <c r="C27" t="str">
        <v>Karuna</v>
      </c>
      <c r="D27" t="str">
        <v>Pashupathy</v>
      </c>
      <c r="E27" t="str">
        <v>Female</v>
      </c>
      <c r="F27" t="str">
        <v>Product Management</v>
      </c>
      <c r="G27">
        <v>38438.239999999998</v>
      </c>
      <c r="H27" t="str">
        <v>Under 50k</v>
      </c>
      <c r="I27" s="44">
        <v>43962</v>
      </c>
      <c r="J27">
        <v>1</v>
      </c>
      <c r="K27" t="str">
        <v>Permanent</v>
      </c>
      <c r="L27" t="str">
        <v>Chennai, India</v>
      </c>
      <c r="M27">
        <v>4.1150684931506847</v>
      </c>
      <c r="N27" t="str">
        <v>Full time</v>
      </c>
    </row>
    <row r="28" spans="2:14" x14ac:dyDescent="0.25">
      <c r="B28" t="str">
        <v>SQ01402</v>
      </c>
      <c r="C28" t="str">
        <v>Sahaj</v>
      </c>
      <c r="D28" t="str">
        <v>Jonnalagadda</v>
      </c>
      <c r="E28" t="str">
        <v>Female</v>
      </c>
      <c r="F28" t="str">
        <v>Engineering</v>
      </c>
      <c r="G28">
        <v>44403.77</v>
      </c>
      <c r="H28" t="str">
        <v>Under 50k</v>
      </c>
      <c r="I28" s="44">
        <v>43416</v>
      </c>
      <c r="J28">
        <v>1</v>
      </c>
      <c r="K28" t="str">
        <v>Permanent</v>
      </c>
      <c r="L28" t="str">
        <v>Hyderabad, India</v>
      </c>
      <c r="M28">
        <v>5.6109589041095891</v>
      </c>
      <c r="N28" t="str">
        <v>Full time</v>
      </c>
    </row>
    <row r="29" spans="2:14" x14ac:dyDescent="0.25">
      <c r="B29" t="str">
        <v>SQ01730</v>
      </c>
      <c r="C29" t="str">
        <v>Austine</v>
      </c>
      <c r="D29" t="str">
        <v>Littlewood</v>
      </c>
      <c r="E29" t="str">
        <v>Female</v>
      </c>
      <c r="F29" t="str">
        <v>Services</v>
      </c>
      <c r="G29">
        <v>32269.91</v>
      </c>
      <c r="H29" t="str">
        <v>Under 50k</v>
      </c>
      <c r="I29" s="44">
        <v>43346</v>
      </c>
      <c r="J29">
        <v>1</v>
      </c>
      <c r="K29" t="str">
        <v>Permanent</v>
      </c>
      <c r="L29" t="str">
        <v>Remote</v>
      </c>
      <c r="M29">
        <v>5.8027397260273972</v>
      </c>
      <c r="N29" t="str">
        <v>Full time</v>
      </c>
    </row>
    <row r="30" spans="2:14" x14ac:dyDescent="0.25">
      <c r="B30" t="str">
        <v>SQ02174</v>
      </c>
      <c r="C30" t="str">
        <v>Sidoney</v>
      </c>
      <c r="D30" t="str">
        <v>Yitzhok</v>
      </c>
      <c r="E30" t="str">
        <v>Female</v>
      </c>
      <c r="F30" t="str">
        <v>Engineering</v>
      </c>
      <c r="G30">
        <v>118442.54</v>
      </c>
      <c r="H30" t="str">
        <v>Above 100k</v>
      </c>
      <c r="I30" s="44">
        <v>44193</v>
      </c>
      <c r="J30">
        <v>1</v>
      </c>
      <c r="K30" t="str">
        <v>Permanent</v>
      </c>
      <c r="L30" t="str">
        <v>Auckland, New Zealand</v>
      </c>
      <c r="M30">
        <v>3.4821917808219176</v>
      </c>
      <c r="N30" t="str">
        <v>Full time</v>
      </c>
    </row>
    <row r="31" spans="2:14" x14ac:dyDescent="0.25">
      <c r="B31" t="str">
        <v>SQ03321</v>
      </c>
      <c r="C31" t="str">
        <v>Gradey</v>
      </c>
      <c r="D31" t="str">
        <v>Litton</v>
      </c>
      <c r="E31" t="str">
        <v>Female</v>
      </c>
      <c r="F31" t="str">
        <v>Accounting</v>
      </c>
      <c r="G31">
        <v>68887.839999999997</v>
      </c>
      <c r="H31" t="str">
        <v>50k to 100k</v>
      </c>
      <c r="I31" s="44">
        <v>43297</v>
      </c>
      <c r="J31">
        <v>1</v>
      </c>
      <c r="K31" t="str">
        <v>Permanent</v>
      </c>
      <c r="L31" t="str">
        <v>Remote</v>
      </c>
      <c r="M31">
        <v>5.9369863013698634</v>
      </c>
      <c r="N31" t="str">
        <v>Full time</v>
      </c>
    </row>
    <row r="32" spans="2:14" x14ac:dyDescent="0.25">
      <c r="B32" t="str">
        <v>SQ03350</v>
      </c>
      <c r="C32" t="str">
        <v>Felice</v>
      </c>
      <c r="D32" t="str">
        <v>McMurty</v>
      </c>
      <c r="E32" t="str">
        <v>Female</v>
      </c>
      <c r="F32" t="str">
        <v>Product Management</v>
      </c>
      <c r="G32">
        <v>66865.490000000005</v>
      </c>
      <c r="H32" t="str">
        <v>50k to 100k</v>
      </c>
      <c r="I32" s="44">
        <v>43514</v>
      </c>
      <c r="J32">
        <v>1</v>
      </c>
      <c r="K32" t="str">
        <v>Permanent</v>
      </c>
      <c r="L32" t="str">
        <v>Seattle, USA</v>
      </c>
      <c r="M32">
        <v>5.3424657534246576</v>
      </c>
      <c r="N32" t="str">
        <v>Full time</v>
      </c>
    </row>
    <row r="33" spans="2:14" x14ac:dyDescent="0.25">
      <c r="B33" t="str">
        <v>SQ03350</v>
      </c>
      <c r="C33" t="str">
        <v>Felice</v>
      </c>
      <c r="D33" t="str">
        <v>McMurty</v>
      </c>
      <c r="E33" t="str">
        <v>Female</v>
      </c>
      <c r="F33" t="str">
        <v>Product Management</v>
      </c>
      <c r="G33">
        <v>66865.490000000005</v>
      </c>
      <c r="H33" t="str">
        <v>50k to 100k</v>
      </c>
      <c r="I33" s="44">
        <v>43514</v>
      </c>
      <c r="J33">
        <v>1</v>
      </c>
      <c r="K33" t="str">
        <v>Permanent</v>
      </c>
      <c r="L33" t="str">
        <v>Seattle, USA</v>
      </c>
      <c r="M33">
        <v>5.3424657534246576</v>
      </c>
      <c r="N33" t="str">
        <v>Full time</v>
      </c>
    </row>
    <row r="34" spans="2:14" x14ac:dyDescent="0.25">
      <c r="B34" t="str">
        <v>SQ03491</v>
      </c>
      <c r="C34" t="str">
        <v>Freda</v>
      </c>
      <c r="D34" t="str">
        <v>Legan</v>
      </c>
      <c r="E34" t="str">
        <v>Female</v>
      </c>
      <c r="F34" t="str">
        <v>Sales</v>
      </c>
      <c r="G34">
        <v>102129.37</v>
      </c>
      <c r="H34" t="str">
        <v>Above 100k</v>
      </c>
      <c r="I34" s="44">
        <v>44396</v>
      </c>
      <c r="J34">
        <v>1</v>
      </c>
      <c r="K34" t="str">
        <v>Permanent</v>
      </c>
      <c r="L34" t="str">
        <v>Columbus, USA</v>
      </c>
      <c r="M34">
        <v>2.9260273972602739</v>
      </c>
      <c r="N34" t="str">
        <v>Full time</v>
      </c>
    </row>
    <row r="35" spans="2:14" x14ac:dyDescent="0.25">
      <c r="B35" t="str">
        <v>SQ03546</v>
      </c>
      <c r="C35" t="str">
        <v>Amlankusum</v>
      </c>
      <c r="D35" t="str">
        <v>Rajabhushan</v>
      </c>
      <c r="E35" t="str">
        <v>Female</v>
      </c>
      <c r="F35" t="str">
        <v>Legal</v>
      </c>
      <c r="G35">
        <v>75733.740000000005</v>
      </c>
      <c r="H35" t="str">
        <v>50k to 100k</v>
      </c>
      <c r="I35" s="44">
        <v>44382</v>
      </c>
      <c r="J35">
        <v>1</v>
      </c>
      <c r="K35" t="str">
        <v>Permanent</v>
      </c>
      <c r="L35" t="str">
        <v>Hyderabad, India</v>
      </c>
      <c r="M35">
        <v>2.9643835616438357</v>
      </c>
      <c r="N35" t="str">
        <v>Full time</v>
      </c>
    </row>
    <row r="36" spans="2:14" x14ac:dyDescent="0.25">
      <c r="B36" t="str">
        <v>SQ03625</v>
      </c>
      <c r="C36" t="str">
        <v>Fidela</v>
      </c>
      <c r="D36" t="str">
        <v>Artis</v>
      </c>
      <c r="E36" t="str">
        <v>Female</v>
      </c>
      <c r="F36" t="str">
        <v>Sales</v>
      </c>
      <c r="G36">
        <v>78020.39</v>
      </c>
      <c r="H36" t="str">
        <v>50k to 100k</v>
      </c>
      <c r="I36" s="44">
        <v>43899</v>
      </c>
      <c r="J36">
        <v>1</v>
      </c>
      <c r="K36" t="str">
        <v>Permanent</v>
      </c>
      <c r="L36" t="str">
        <v>Remote</v>
      </c>
      <c r="M36">
        <v>4.2876712328767121</v>
      </c>
      <c r="N36" t="str">
        <v>Full time</v>
      </c>
    </row>
    <row r="37" spans="2:14" x14ac:dyDescent="0.25">
      <c r="B37" t="str">
        <v>SQ03626</v>
      </c>
      <c r="C37" t="str">
        <v>Krishnakanta</v>
      </c>
      <c r="D37" t="str">
        <v>Vellanki</v>
      </c>
      <c r="E37" t="str">
        <v>Female</v>
      </c>
      <c r="F37" t="str">
        <v>Training</v>
      </c>
      <c r="G37">
        <v>95677.9</v>
      </c>
      <c r="H37" t="str">
        <v>50k to 100k</v>
      </c>
      <c r="I37" s="44">
        <v>44396</v>
      </c>
      <c r="J37">
        <v>0.3</v>
      </c>
      <c r="K37" t="str">
        <v>Permanent</v>
      </c>
      <c r="L37" t="str">
        <v>Chennai, India</v>
      </c>
      <c r="M37">
        <v>2.9260273972602739</v>
      </c>
      <c r="N37" t="str">
        <v>Part time</v>
      </c>
    </row>
    <row r="38" spans="2:14" x14ac:dyDescent="0.25">
      <c r="B38" t="str">
        <v>SQ04613</v>
      </c>
      <c r="C38" t="str">
        <v>Sarojini</v>
      </c>
      <c r="D38" t="str">
        <v>Naueshwara</v>
      </c>
      <c r="E38" t="str">
        <v>Female</v>
      </c>
      <c r="F38" t="str">
        <v>Human Resources</v>
      </c>
      <c r="G38">
        <v>85264.38</v>
      </c>
      <c r="H38" t="str">
        <v>50k to 100k</v>
      </c>
      <c r="I38" s="44">
        <v>43220</v>
      </c>
      <c r="J38">
        <v>1</v>
      </c>
      <c r="K38" t="str">
        <v>Permanent</v>
      </c>
      <c r="L38" t="str">
        <v>Chennai, India</v>
      </c>
      <c r="M38">
        <v>6.1479452054794521</v>
      </c>
      <c r="N38" t="str">
        <v>Full time</v>
      </c>
    </row>
    <row r="39" spans="2:14" x14ac:dyDescent="0.25">
      <c r="B39" t="str">
        <v>SQ04960</v>
      </c>
      <c r="C39" t="str">
        <v>Shubhra</v>
      </c>
      <c r="D39" t="str">
        <v>Potla</v>
      </c>
      <c r="E39" t="str">
        <v>Female</v>
      </c>
      <c r="F39" t="str">
        <v>Support</v>
      </c>
      <c r="G39">
        <v>71924.850000000006</v>
      </c>
      <c r="H39" t="str">
        <v>50k to 100k</v>
      </c>
      <c r="I39" s="44">
        <v>43822</v>
      </c>
      <c r="J39">
        <v>1</v>
      </c>
      <c r="K39" t="str">
        <v>Permanent</v>
      </c>
      <c r="L39" t="str">
        <v>Chennai, India</v>
      </c>
      <c r="M39">
        <v>4.4986301369863018</v>
      </c>
      <c r="N39" t="str">
        <v>Full time</v>
      </c>
    </row>
    <row r="40" spans="2:14" x14ac:dyDescent="0.25">
      <c r="B40" t="str">
        <v>TN00083</v>
      </c>
      <c r="C40" t="str">
        <v>Chandana</v>
      </c>
      <c r="D40" t="str">
        <v>Sannidhi</v>
      </c>
      <c r="E40" t="str">
        <v>Female</v>
      </c>
      <c r="F40" t="str">
        <v>Business Development</v>
      </c>
      <c r="G40">
        <v>61688.77</v>
      </c>
      <c r="H40" t="str">
        <v>50k to 100k</v>
      </c>
      <c r="I40" s="44">
        <v>43346</v>
      </c>
      <c r="J40">
        <v>0.9</v>
      </c>
      <c r="K40" t="str">
        <v>Permanent</v>
      </c>
      <c r="L40" t="str">
        <v>Chennai, India</v>
      </c>
      <c r="M40">
        <v>5.8027397260273972</v>
      </c>
      <c r="N40" t="str">
        <v>Part time</v>
      </c>
    </row>
    <row r="41" spans="2:14" x14ac:dyDescent="0.25">
      <c r="B41" t="str">
        <v>TN00182</v>
      </c>
      <c r="C41" t="str">
        <v>Camilla</v>
      </c>
      <c r="D41" t="str">
        <v>Castle</v>
      </c>
      <c r="E41" t="str">
        <v>Female</v>
      </c>
      <c r="F41" t="str">
        <v>Product Management</v>
      </c>
      <c r="G41">
        <v>75475.929999999993</v>
      </c>
      <c r="H41" t="str">
        <v>50k to 100k</v>
      </c>
      <c r="I41" s="44">
        <v>43794</v>
      </c>
      <c r="J41">
        <v>1</v>
      </c>
      <c r="K41" t="str">
        <v>Permanent</v>
      </c>
      <c r="L41" t="str">
        <v>Remote</v>
      </c>
      <c r="M41">
        <v>4.5753424657534243</v>
      </c>
      <c r="N41" t="str">
        <v>Full time</v>
      </c>
    </row>
    <row r="42" spans="2:14" x14ac:dyDescent="0.25">
      <c r="B42" t="str">
        <v>TN00890</v>
      </c>
      <c r="C42" t="str">
        <v>Mayur</v>
      </c>
      <c r="D42" t="str">
        <v>Kousika</v>
      </c>
      <c r="E42" t="str">
        <v>Female</v>
      </c>
      <c r="F42" t="str">
        <v>Training</v>
      </c>
      <c r="G42">
        <v>71570.990000000005</v>
      </c>
      <c r="H42" t="str">
        <v>50k to 100k</v>
      </c>
      <c r="I42" s="44">
        <v>44249</v>
      </c>
      <c r="J42">
        <v>0.5</v>
      </c>
      <c r="K42" t="str">
        <v>Permanent</v>
      </c>
      <c r="L42" t="str">
        <v>Hyderabad, India</v>
      </c>
      <c r="M42">
        <v>3.3287671232876712</v>
      </c>
      <c r="N42" t="str">
        <v>Part time</v>
      </c>
    </row>
    <row r="43" spans="2:14" x14ac:dyDescent="0.25">
      <c r="B43" t="str">
        <v>TN01281</v>
      </c>
      <c r="C43" t="str">
        <v>Cletus</v>
      </c>
      <c r="D43" t="str">
        <v>McGarahan</v>
      </c>
      <c r="E43" t="str">
        <v>Female</v>
      </c>
      <c r="F43" t="str">
        <v>Engineering</v>
      </c>
      <c r="G43">
        <v>114425.19</v>
      </c>
      <c r="H43" t="str">
        <v>Above 100k</v>
      </c>
      <c r="I43" s="44">
        <v>43857</v>
      </c>
      <c r="J43">
        <v>1</v>
      </c>
      <c r="K43" t="str">
        <v>Permanent</v>
      </c>
      <c r="L43" t="str">
        <v>Wellington, New Zealand</v>
      </c>
      <c r="M43">
        <v>4.4027397260273968</v>
      </c>
      <c r="N43" t="str">
        <v>Full time</v>
      </c>
    </row>
    <row r="44" spans="2:14" x14ac:dyDescent="0.25">
      <c r="B44" t="str">
        <v>TN01601</v>
      </c>
      <c r="C44" t="str">
        <v>Melva</v>
      </c>
      <c r="D44" t="str">
        <v>Jickells</v>
      </c>
      <c r="E44" t="str">
        <v>Female</v>
      </c>
      <c r="F44" t="str">
        <v>Product Management</v>
      </c>
      <c r="G44">
        <v>68795.48</v>
      </c>
      <c r="H44" t="str">
        <v>50k to 100k</v>
      </c>
      <c r="I44" s="44">
        <v>44277</v>
      </c>
      <c r="J44">
        <v>0.2</v>
      </c>
      <c r="K44" t="str">
        <v>Permanent</v>
      </c>
      <c r="L44" t="str">
        <v>Remote</v>
      </c>
      <c r="M44">
        <v>3.2520547945205478</v>
      </c>
      <c r="N44" t="str">
        <v>Part time</v>
      </c>
    </row>
    <row r="45" spans="2:14" x14ac:dyDescent="0.25">
      <c r="B45" t="str">
        <v>TN01601</v>
      </c>
      <c r="C45" t="str">
        <v>Melva</v>
      </c>
      <c r="D45" t="str">
        <v>Jickells</v>
      </c>
      <c r="E45" t="str">
        <v>Female</v>
      </c>
      <c r="F45" t="str">
        <v>Product Management</v>
      </c>
      <c r="G45">
        <v>68795.48</v>
      </c>
      <c r="H45" t="str">
        <v>50k to 100k</v>
      </c>
      <c r="I45" s="44">
        <v>44277</v>
      </c>
      <c r="J45">
        <v>0.2</v>
      </c>
      <c r="K45" t="str">
        <v>Permanent</v>
      </c>
      <c r="L45" t="str">
        <v>Remote</v>
      </c>
      <c r="M45">
        <v>3.2520547945205478</v>
      </c>
      <c r="N45" t="str">
        <v>Part time</v>
      </c>
    </row>
    <row r="46" spans="2:14" x14ac:dyDescent="0.25">
      <c r="B46" t="str">
        <v>TN02749</v>
      </c>
      <c r="C46" t="str">
        <v>Parasuramudu</v>
      </c>
      <c r="D46" t="str">
        <v>Jamakayala</v>
      </c>
      <c r="E46" t="str">
        <v>Female</v>
      </c>
      <c r="F46" t="str">
        <v>Training</v>
      </c>
      <c r="G46">
        <v>57002.02</v>
      </c>
      <c r="H46" t="str">
        <v>50k to 100k</v>
      </c>
      <c r="I46" s="44">
        <v>43192</v>
      </c>
      <c r="J46">
        <v>0.7</v>
      </c>
      <c r="K46" t="str">
        <v>Permanent</v>
      </c>
      <c r="L46" t="str">
        <v>Hyderabad, India</v>
      </c>
      <c r="M46">
        <v>6.2246575342465755</v>
      </c>
      <c r="N46" t="str">
        <v>Part time</v>
      </c>
    </row>
    <row r="47" spans="2:14" x14ac:dyDescent="0.25">
      <c r="B47" t="str">
        <v>TN02883</v>
      </c>
      <c r="C47" t="str">
        <v>John</v>
      </c>
      <c r="D47" t="str">
        <v>Joseph</v>
      </c>
      <c r="E47" t="str">
        <v>Female</v>
      </c>
      <c r="F47" t="str">
        <v>Sales</v>
      </c>
      <c r="G47">
        <v>84762.76</v>
      </c>
      <c r="H47" t="str">
        <v>50k to 100k</v>
      </c>
      <c r="I47" s="44">
        <v>43332</v>
      </c>
      <c r="J47">
        <v>1</v>
      </c>
      <c r="K47" t="str">
        <v>Permanent</v>
      </c>
      <c r="L47" t="str">
        <v>Hyderabad, India</v>
      </c>
      <c r="M47">
        <v>5.8410958904109593</v>
      </c>
      <c r="N47" t="str">
        <v>Full time</v>
      </c>
    </row>
    <row r="48" spans="2:14" x14ac:dyDescent="0.25">
      <c r="B48" t="str">
        <v>TN03575</v>
      </c>
      <c r="C48" t="str">
        <v>Janina</v>
      </c>
      <c r="D48" t="str">
        <v>Wolverson</v>
      </c>
      <c r="E48" t="str">
        <v>Female</v>
      </c>
      <c r="F48" t="str">
        <v>Research and Development</v>
      </c>
      <c r="G48">
        <v>99683.67</v>
      </c>
      <c r="H48" t="str">
        <v>50k to 100k</v>
      </c>
      <c r="I48" s="44">
        <v>43500</v>
      </c>
      <c r="J48">
        <v>1</v>
      </c>
      <c r="K48" t="str">
        <v>Fixed Term</v>
      </c>
      <c r="L48" t="str">
        <v>Seattle, USA</v>
      </c>
      <c r="M48">
        <v>5.3808219178082188</v>
      </c>
      <c r="N48" t="str">
        <v>Full time</v>
      </c>
    </row>
    <row r="49" spans="2:14" x14ac:dyDescent="0.25">
      <c r="B49" t="str">
        <v>TN03575</v>
      </c>
      <c r="C49" t="str">
        <v>Janina</v>
      </c>
      <c r="D49" t="str">
        <v>Wolverson</v>
      </c>
      <c r="E49" t="str">
        <v>Female</v>
      </c>
      <c r="F49" t="str">
        <v>Research and Development</v>
      </c>
      <c r="G49">
        <v>99683.67</v>
      </c>
      <c r="H49" t="str">
        <v>50k to 100k</v>
      </c>
      <c r="I49" s="44">
        <v>43500</v>
      </c>
      <c r="J49">
        <v>1</v>
      </c>
      <c r="K49" t="str">
        <v>Fixed Term</v>
      </c>
      <c r="L49" t="str">
        <v>Seattle, USA</v>
      </c>
      <c r="M49">
        <v>5.3808219178082188</v>
      </c>
      <c r="N49" t="str">
        <v>Full time</v>
      </c>
    </row>
    <row r="50" spans="2:14" x14ac:dyDescent="0.25">
      <c r="B50" t="str">
        <v>TN04067</v>
      </c>
      <c r="C50" t="str">
        <v>Lea</v>
      </c>
      <c r="D50" t="str">
        <v>Chaplin</v>
      </c>
      <c r="E50" t="str">
        <v>Female</v>
      </c>
      <c r="F50" t="str">
        <v>Human Resources</v>
      </c>
      <c r="G50">
        <v>73488.679999999993</v>
      </c>
      <c r="H50" t="str">
        <v>50k to 100k</v>
      </c>
      <c r="I50" s="44">
        <v>43570</v>
      </c>
      <c r="J50">
        <v>1</v>
      </c>
      <c r="K50" t="str">
        <v>Fixed Term</v>
      </c>
      <c r="L50" t="str">
        <v>Seattle, USA</v>
      </c>
      <c r="M50">
        <v>5.1890410958904107</v>
      </c>
      <c r="N50" t="str">
        <v>Full time</v>
      </c>
    </row>
    <row r="51" spans="2:14" x14ac:dyDescent="0.25">
      <c r="B51" t="str">
        <v>TN04175</v>
      </c>
      <c r="C51" t="str">
        <v>Hinda</v>
      </c>
      <c r="D51" t="str">
        <v>Label</v>
      </c>
      <c r="E51" t="str">
        <v>Female</v>
      </c>
      <c r="F51" t="str">
        <v>Human Resources</v>
      </c>
      <c r="G51">
        <v>92704.48</v>
      </c>
      <c r="H51" t="str">
        <v>50k to 100k</v>
      </c>
      <c r="I51" s="44">
        <v>43430</v>
      </c>
      <c r="J51">
        <v>1</v>
      </c>
      <c r="K51" t="str">
        <v>Fixed Term</v>
      </c>
      <c r="L51" t="str">
        <v>Columbus, USA</v>
      </c>
      <c r="M51">
        <v>5.5726027397260278</v>
      </c>
      <c r="N51" t="str">
        <v>Full time</v>
      </c>
    </row>
    <row r="52" spans="2:14" x14ac:dyDescent="0.25">
      <c r="B52" t="str">
        <v>TN04246</v>
      </c>
      <c r="C52" t="str">
        <v>Shaylyn</v>
      </c>
      <c r="D52" t="str">
        <v>Ransbury</v>
      </c>
      <c r="E52" t="str">
        <v>Female</v>
      </c>
      <c r="F52" t="str">
        <v>Support</v>
      </c>
      <c r="G52">
        <v>100371.31</v>
      </c>
      <c r="H52" t="str">
        <v>Above 100k</v>
      </c>
      <c r="I52" s="44">
        <v>44067</v>
      </c>
      <c r="J52">
        <v>0.8</v>
      </c>
      <c r="K52" t="str">
        <v>Fixed Term</v>
      </c>
      <c r="L52" t="str">
        <v>Auckland, New Zealand</v>
      </c>
      <c r="M52">
        <v>3.8273972602739725</v>
      </c>
      <c r="N52" t="str">
        <v>Part time</v>
      </c>
    </row>
    <row r="53" spans="2:14" x14ac:dyDescent="0.25">
      <c r="B53" t="str">
        <v>TN04740</v>
      </c>
      <c r="C53" t="str">
        <v>Tristam</v>
      </c>
      <c r="D53" t="str">
        <v>Cuming</v>
      </c>
      <c r="E53" t="str">
        <v>Female</v>
      </c>
      <c r="F53" t="str">
        <v>Support</v>
      </c>
      <c r="G53">
        <v>104038.9</v>
      </c>
      <c r="H53" t="str">
        <v>Above 100k</v>
      </c>
      <c r="I53" s="44">
        <v>43815</v>
      </c>
      <c r="J53">
        <v>1</v>
      </c>
      <c r="K53" t="str">
        <v>Fixed Term</v>
      </c>
      <c r="L53" t="str">
        <v>Remote</v>
      </c>
      <c r="M53">
        <v>4.5178082191780824</v>
      </c>
      <c r="N53" t="str">
        <v>Full time</v>
      </c>
    </row>
    <row r="54" spans="2:14" x14ac:dyDescent="0.25">
      <c r="B54" t="str">
        <v>VT00578</v>
      </c>
      <c r="C54" t="str">
        <v>Magnum</v>
      </c>
      <c r="D54" t="str">
        <v>Locksley</v>
      </c>
      <c r="E54" t="str">
        <v>Female</v>
      </c>
      <c r="F54" t="str">
        <v>Services</v>
      </c>
      <c r="G54">
        <v>42314.39</v>
      </c>
      <c r="H54" t="str">
        <v>Under 50k</v>
      </c>
      <c r="I54" s="44">
        <v>44487</v>
      </c>
      <c r="J54">
        <v>1</v>
      </c>
      <c r="K54" t="str">
        <v>Fixed Term</v>
      </c>
      <c r="L54" t="str">
        <v>Remote</v>
      </c>
      <c r="M54">
        <v>2.6767123287671235</v>
      </c>
      <c r="N54" t="str">
        <v>Full time</v>
      </c>
    </row>
    <row r="55" spans="2:14" x14ac:dyDescent="0.25">
      <c r="B55" t="str">
        <v>VT00596</v>
      </c>
      <c r="C55" t="str">
        <v>Letisha</v>
      </c>
      <c r="D55" t="str">
        <v>Carrett</v>
      </c>
      <c r="E55" t="str">
        <v>Female</v>
      </c>
      <c r="F55" t="str">
        <v>Sales</v>
      </c>
      <c r="G55">
        <v>84598.88</v>
      </c>
      <c r="H55" t="str">
        <v>50k to 100k</v>
      </c>
      <c r="I55" s="44">
        <v>44116</v>
      </c>
      <c r="J55">
        <v>1</v>
      </c>
      <c r="K55" t="str">
        <v>Fixed Term</v>
      </c>
      <c r="L55" t="str">
        <v>Seattle, USA</v>
      </c>
      <c r="M55">
        <v>3.6931506849315068</v>
      </c>
      <c r="N55" t="str">
        <v>Full time</v>
      </c>
    </row>
    <row r="56" spans="2:14" x14ac:dyDescent="0.25">
      <c r="B56" t="str">
        <v>VT00596</v>
      </c>
      <c r="C56" t="str">
        <v>Letisha</v>
      </c>
      <c r="D56" t="str">
        <v>Carrett</v>
      </c>
      <c r="E56" t="str">
        <v>Female</v>
      </c>
      <c r="F56" t="str">
        <v>Sales</v>
      </c>
      <c r="G56">
        <v>84598.88</v>
      </c>
      <c r="H56" t="str">
        <v>50k to 100k</v>
      </c>
      <c r="I56" s="44">
        <v>44116</v>
      </c>
      <c r="J56">
        <v>1</v>
      </c>
      <c r="K56" t="str">
        <v>Fixed Term</v>
      </c>
      <c r="L56" t="str">
        <v>Seattle, USA</v>
      </c>
      <c r="M56">
        <v>3.6931506849315068</v>
      </c>
      <c r="N56" t="str">
        <v>Full time</v>
      </c>
    </row>
    <row r="57" spans="2:14" x14ac:dyDescent="0.25">
      <c r="B57" t="str">
        <v>VT00740</v>
      </c>
      <c r="C57" t="str">
        <v>Chitrasen</v>
      </c>
      <c r="D57" t="str">
        <v>Laul</v>
      </c>
      <c r="E57" t="str">
        <v>Female</v>
      </c>
      <c r="F57" t="str">
        <v>Research and Development</v>
      </c>
      <c r="G57">
        <v>46751.7</v>
      </c>
      <c r="H57" t="str">
        <v>Under 50k</v>
      </c>
      <c r="I57" s="44">
        <v>43843</v>
      </c>
      <c r="J57">
        <v>1</v>
      </c>
      <c r="K57" t="str">
        <v>Fixed Term</v>
      </c>
      <c r="L57" t="str">
        <v>Hyderabad, India</v>
      </c>
      <c r="M57">
        <v>4.441095890410959</v>
      </c>
      <c r="N57" t="str">
        <v>Full time</v>
      </c>
    </row>
    <row r="58" spans="2:14" x14ac:dyDescent="0.25">
      <c r="B58" t="str">
        <v>VT01249</v>
      </c>
      <c r="C58" t="str">
        <v>Brendan</v>
      </c>
      <c r="D58" t="str">
        <v>Edgeller</v>
      </c>
      <c r="E58" t="str">
        <v>Female</v>
      </c>
      <c r="F58" t="str">
        <v>Legal</v>
      </c>
      <c r="G58">
        <v>31042.51</v>
      </c>
      <c r="H58" t="str">
        <v>Under 50k</v>
      </c>
      <c r="I58" s="44">
        <v>44473</v>
      </c>
      <c r="J58">
        <v>0.3</v>
      </c>
      <c r="K58" t="str">
        <v>Fixed Term</v>
      </c>
      <c r="L58" t="str">
        <v>Remote</v>
      </c>
      <c r="M58">
        <v>2.7150684931506848</v>
      </c>
      <c r="N58" t="str">
        <v>Part time</v>
      </c>
    </row>
    <row r="59" spans="2:14" x14ac:dyDescent="0.25">
      <c r="B59" t="str">
        <v>VT01610</v>
      </c>
      <c r="C59" t="str">
        <v>Dhruv</v>
      </c>
      <c r="D59" t="str">
        <v>Manjunath</v>
      </c>
      <c r="E59" t="str">
        <v>Female</v>
      </c>
      <c r="F59" t="str">
        <v>Accounting</v>
      </c>
      <c r="G59">
        <v>76303.820000000007</v>
      </c>
      <c r="H59" t="str">
        <v>50k to 100k</v>
      </c>
      <c r="I59" s="44">
        <v>43458</v>
      </c>
      <c r="J59">
        <v>1</v>
      </c>
      <c r="K59" t="str">
        <v>Fixed Term</v>
      </c>
      <c r="L59" t="str">
        <v>Hyderabad, India</v>
      </c>
      <c r="M59">
        <v>5.4958904109589044</v>
      </c>
      <c r="N59" t="str">
        <v>Full time</v>
      </c>
    </row>
    <row r="60" spans="2:14" x14ac:dyDescent="0.25">
      <c r="B60" t="str">
        <v>VT01610</v>
      </c>
      <c r="C60" t="str">
        <v>Kunja</v>
      </c>
      <c r="D60" t="str">
        <v>Prashanta</v>
      </c>
      <c r="E60" t="str">
        <v>Female</v>
      </c>
      <c r="F60" t="str">
        <v>Accounting</v>
      </c>
      <c r="G60">
        <v>76303.820000000007</v>
      </c>
      <c r="H60" t="str">
        <v>50k to 100k</v>
      </c>
      <c r="I60" s="44">
        <v>43458</v>
      </c>
      <c r="J60">
        <v>1</v>
      </c>
      <c r="K60" t="str">
        <v>Fixed Term</v>
      </c>
      <c r="L60" t="str">
        <v>Hyderabad, India</v>
      </c>
      <c r="M60">
        <v>5.4958904109589044</v>
      </c>
      <c r="N60" t="str">
        <v>Full time</v>
      </c>
    </row>
    <row r="61" spans="2:14" x14ac:dyDescent="0.25">
      <c r="B61" t="str">
        <v>VT01803</v>
      </c>
      <c r="C61" t="str">
        <v>Freddy</v>
      </c>
      <c r="D61" t="str">
        <v>Linford</v>
      </c>
      <c r="E61" t="str">
        <v>Female</v>
      </c>
      <c r="F61" t="str">
        <v>Training</v>
      </c>
      <c r="G61">
        <v>93128.34</v>
      </c>
      <c r="H61" t="str">
        <v>50k to 100k</v>
      </c>
      <c r="I61" s="44">
        <v>43164</v>
      </c>
      <c r="J61">
        <v>1</v>
      </c>
      <c r="K61" t="str">
        <v>Fixed Term</v>
      </c>
      <c r="L61" t="str">
        <v>Seattle, USA</v>
      </c>
      <c r="M61">
        <v>6.3013698630136989</v>
      </c>
      <c r="N61" t="str">
        <v>Full time</v>
      </c>
    </row>
    <row r="62" spans="2:14" x14ac:dyDescent="0.25">
      <c r="B62" t="str">
        <v>VT02374</v>
      </c>
      <c r="C62" t="str">
        <v>Delphine</v>
      </c>
      <c r="D62" t="str">
        <v>Jewis</v>
      </c>
      <c r="E62" t="str">
        <v>Female</v>
      </c>
      <c r="F62" t="str">
        <v>Accounting</v>
      </c>
      <c r="G62">
        <v>71823.56</v>
      </c>
      <c r="H62" t="str">
        <v>50k to 100k</v>
      </c>
      <c r="I62" s="44">
        <v>43374</v>
      </c>
      <c r="J62">
        <v>0.3</v>
      </c>
      <c r="K62" t="str">
        <v>Temporary</v>
      </c>
      <c r="L62" t="str">
        <v>Remote</v>
      </c>
      <c r="M62">
        <v>5.7260273972602738</v>
      </c>
      <c r="N62" t="str">
        <v>Part time</v>
      </c>
    </row>
    <row r="63" spans="2:14" x14ac:dyDescent="0.25">
      <c r="B63" t="str">
        <v>VT02374</v>
      </c>
      <c r="C63" t="str">
        <v>Delphine</v>
      </c>
      <c r="D63" t="str">
        <v>Jewis</v>
      </c>
      <c r="E63" t="str">
        <v>Female</v>
      </c>
      <c r="F63" t="str">
        <v>Accounting</v>
      </c>
      <c r="G63">
        <v>71823.56</v>
      </c>
      <c r="H63" t="str">
        <v>50k to 100k</v>
      </c>
      <c r="I63" s="44">
        <v>43374</v>
      </c>
      <c r="J63">
        <v>0.3</v>
      </c>
      <c r="K63" t="str">
        <v>Temporary</v>
      </c>
      <c r="L63" t="str">
        <v>Remote</v>
      </c>
      <c r="M63">
        <v>5.7260273972602738</v>
      </c>
      <c r="N63" t="str">
        <v>Part time</v>
      </c>
    </row>
    <row r="64" spans="2:14" x14ac:dyDescent="0.25">
      <c r="B64" t="str">
        <v>VT02532</v>
      </c>
      <c r="C64" t="str">
        <v>Adey</v>
      </c>
      <c r="D64" t="str">
        <v>Ryal</v>
      </c>
      <c r="E64" t="str">
        <v>Female</v>
      </c>
      <c r="F64" t="str">
        <v>Legal</v>
      </c>
      <c r="G64">
        <v>32496.880000000001</v>
      </c>
      <c r="H64" t="str">
        <v>Under 50k</v>
      </c>
      <c r="I64" s="44">
        <v>43234</v>
      </c>
      <c r="J64">
        <v>1</v>
      </c>
      <c r="K64" t="str">
        <v>Temporary</v>
      </c>
      <c r="L64" t="str">
        <v>Remote</v>
      </c>
      <c r="M64">
        <v>6.1095890410958908</v>
      </c>
      <c r="N64" t="str">
        <v>Full time</v>
      </c>
    </row>
    <row r="65" spans="2:14" x14ac:dyDescent="0.25">
      <c r="B65" t="str">
        <v>VT03701</v>
      </c>
      <c r="C65" t="str">
        <v>Narois</v>
      </c>
      <c r="D65" t="str">
        <v>Motiwala</v>
      </c>
      <c r="E65" t="str">
        <v>Female</v>
      </c>
      <c r="F65" t="str">
        <v>Product Management</v>
      </c>
      <c r="G65">
        <v>89829.33</v>
      </c>
      <c r="H65" t="str">
        <v>50k to 100k</v>
      </c>
      <c r="I65" s="44">
        <v>43794</v>
      </c>
      <c r="J65">
        <v>1</v>
      </c>
      <c r="K65" t="str">
        <v>Temporary</v>
      </c>
      <c r="L65" t="str">
        <v>Chennai, India</v>
      </c>
      <c r="M65">
        <v>4.5753424657534243</v>
      </c>
      <c r="N65" t="str">
        <v>Full time</v>
      </c>
    </row>
    <row r="66" spans="2:14" x14ac:dyDescent="0.25">
      <c r="B66" t="str">
        <v>VT03988</v>
      </c>
      <c r="C66" t="str">
        <v>Venkat</v>
      </c>
      <c r="D66" t="str">
        <v>Kodi</v>
      </c>
      <c r="E66" t="str">
        <v>Female</v>
      </c>
      <c r="F66" t="str">
        <v>Support</v>
      </c>
      <c r="G66">
        <v>58935.92</v>
      </c>
      <c r="H66" t="str">
        <v>50k to 100k</v>
      </c>
      <c r="I66" s="44">
        <v>43717</v>
      </c>
      <c r="J66">
        <v>1</v>
      </c>
      <c r="K66" t="str">
        <v>Temporary</v>
      </c>
      <c r="L66" t="str">
        <v>Hyderabad, India</v>
      </c>
      <c r="M66">
        <v>4.7863013698630139</v>
      </c>
      <c r="N66" t="str">
        <v>Full time</v>
      </c>
    </row>
    <row r="67" spans="2:14" x14ac:dyDescent="0.25">
      <c r="B67" t="str">
        <v>VT04415</v>
      </c>
      <c r="C67" t="str">
        <v>Malory</v>
      </c>
      <c r="D67" t="str">
        <v>Biles</v>
      </c>
      <c r="E67" t="str">
        <v>Female</v>
      </c>
      <c r="F67" t="str">
        <v>Training</v>
      </c>
      <c r="G67">
        <v>58744.17</v>
      </c>
      <c r="H67" t="str">
        <v>50k to 100k</v>
      </c>
      <c r="I67" s="44">
        <v>43171</v>
      </c>
      <c r="J67">
        <v>1</v>
      </c>
      <c r="K67" t="str">
        <v>Temporary</v>
      </c>
      <c r="L67" t="str">
        <v>Columbus, USA</v>
      </c>
      <c r="M67">
        <v>6.2821917808219174</v>
      </c>
      <c r="N67" t="str">
        <v>Full time</v>
      </c>
    </row>
    <row r="68" spans="2:14" x14ac:dyDescent="0.25">
      <c r="B68" t="str">
        <v>VT04552</v>
      </c>
      <c r="C68" t="str">
        <v>Theresita</v>
      </c>
      <c r="D68" t="str">
        <v>Chasmer</v>
      </c>
      <c r="E68" t="str">
        <v>Female</v>
      </c>
      <c r="F68" t="str">
        <v>Product Management</v>
      </c>
      <c r="G68">
        <v>106665.67</v>
      </c>
      <c r="H68" t="str">
        <v>Above 100k</v>
      </c>
      <c r="I68" s="44">
        <v>43311</v>
      </c>
      <c r="J68">
        <v>1</v>
      </c>
      <c r="K68" t="str">
        <v>Temporary</v>
      </c>
      <c r="L68" t="str">
        <v>Columbus, USA</v>
      </c>
      <c r="M68">
        <v>5.8986301369863012</v>
      </c>
      <c r="N68" t="str">
        <v>Full time</v>
      </c>
    </row>
    <row r="69" spans="2:14" x14ac:dyDescent="0.25">
      <c r="I69" s="44"/>
    </row>
    <row r="70" spans="2:14" x14ac:dyDescent="0.25">
      <c r="I70" s="44"/>
    </row>
    <row r="71" spans="2:14" x14ac:dyDescent="0.25">
      <c r="I71" s="44"/>
    </row>
    <row r="72" spans="2:14" x14ac:dyDescent="0.25">
      <c r="I72" s="44"/>
    </row>
    <row r="73" spans="2:14" x14ac:dyDescent="0.25">
      <c r="I73" s="44"/>
    </row>
    <row r="74" spans="2:14" x14ac:dyDescent="0.25">
      <c r="I74" s="44"/>
    </row>
    <row r="75" spans="2:14" x14ac:dyDescent="0.25">
      <c r="I75" s="44"/>
    </row>
    <row r="76" spans="2:14" x14ac:dyDescent="0.25">
      <c r="I76" s="44"/>
    </row>
    <row r="77" spans="2:14" x14ac:dyDescent="0.25">
      <c r="I77" s="44"/>
    </row>
    <row r="78" spans="2:14" x14ac:dyDescent="0.25">
      <c r="I78" s="44"/>
    </row>
    <row r="79" spans="2:14" x14ac:dyDescent="0.25">
      <c r="I79" s="44"/>
    </row>
    <row r="80" spans="2:14" x14ac:dyDescent="0.25">
      <c r="I80" s="44"/>
    </row>
    <row r="81" spans="9:9" x14ac:dyDescent="0.25">
      <c r="I81" s="44"/>
    </row>
    <row r="82" spans="9:9" x14ac:dyDescent="0.25">
      <c r="I82" s="44"/>
    </row>
    <row r="83" spans="9:9" x14ac:dyDescent="0.25">
      <c r="I83" s="44"/>
    </row>
    <row r="84" spans="9:9" x14ac:dyDescent="0.25">
      <c r="I84" s="44"/>
    </row>
    <row r="85" spans="9:9" x14ac:dyDescent="0.25">
      <c r="I85" s="44"/>
    </row>
    <row r="86" spans="9:9" x14ac:dyDescent="0.25">
      <c r="I86" s="44"/>
    </row>
    <row r="87" spans="9:9" x14ac:dyDescent="0.25">
      <c r="I87" s="44"/>
    </row>
    <row r="88" spans="9:9" x14ac:dyDescent="0.25">
      <c r="I88" s="44"/>
    </row>
    <row r="89" spans="9:9" x14ac:dyDescent="0.25">
      <c r="I89" s="44"/>
    </row>
    <row r="90" spans="9:9" x14ac:dyDescent="0.25">
      <c r="I90" s="44"/>
    </row>
    <row r="91" spans="9:9" x14ac:dyDescent="0.25">
      <c r="I91" s="44"/>
    </row>
    <row r="92" spans="9:9" x14ac:dyDescent="0.25">
      <c r="I92" s="44"/>
    </row>
    <row r="93" spans="9:9" x14ac:dyDescent="0.25">
      <c r="I93" s="44"/>
    </row>
    <row r="94" spans="9:9" x14ac:dyDescent="0.25">
      <c r="I94" s="44"/>
    </row>
    <row r="95" spans="9:9" x14ac:dyDescent="0.25">
      <c r="I95" s="44"/>
    </row>
    <row r="96" spans="9:9" x14ac:dyDescent="0.25">
      <c r="I96" s="44"/>
    </row>
    <row r="97" spans="9:9" x14ac:dyDescent="0.25">
      <c r="I97" s="44"/>
    </row>
    <row r="98" spans="9:9" x14ac:dyDescent="0.25">
      <c r="I98" s="44"/>
    </row>
    <row r="99" spans="9:9" x14ac:dyDescent="0.25">
      <c r="I99" s="44"/>
    </row>
    <row r="100" spans="9:9" x14ac:dyDescent="0.25">
      <c r="I100" s="44"/>
    </row>
    <row r="101" spans="9:9" x14ac:dyDescent="0.25">
      <c r="I101" s="44"/>
    </row>
    <row r="102" spans="9:9" x14ac:dyDescent="0.25">
      <c r="I102" s="44"/>
    </row>
    <row r="103" spans="9:9" x14ac:dyDescent="0.25">
      <c r="I103" s="44"/>
    </row>
    <row r="104" spans="9:9" x14ac:dyDescent="0.25">
      <c r="I104" s="44"/>
    </row>
    <row r="105" spans="9:9" x14ac:dyDescent="0.25">
      <c r="I105" s="44"/>
    </row>
    <row r="106" spans="9:9" x14ac:dyDescent="0.25">
      <c r="I106" s="44"/>
    </row>
    <row r="107" spans="9:9" x14ac:dyDescent="0.25">
      <c r="I107" s="44"/>
    </row>
    <row r="108" spans="9:9" x14ac:dyDescent="0.25">
      <c r="I108" s="44"/>
    </row>
    <row r="109" spans="9:9" x14ac:dyDescent="0.25">
      <c r="I109" s="44"/>
    </row>
    <row r="110" spans="9:9" x14ac:dyDescent="0.25">
      <c r="I110" s="44"/>
    </row>
    <row r="111" spans="9:9" x14ac:dyDescent="0.25">
      <c r="I111" s="44"/>
    </row>
    <row r="112" spans="9:9" x14ac:dyDescent="0.25">
      <c r="I112" s="44"/>
    </row>
    <row r="113" spans="9:9" x14ac:dyDescent="0.25">
      <c r="I113" s="44"/>
    </row>
    <row r="114" spans="9:9" x14ac:dyDescent="0.25">
      <c r="I114" s="44"/>
    </row>
    <row r="115" spans="9:9" x14ac:dyDescent="0.25">
      <c r="I115" s="44"/>
    </row>
    <row r="116" spans="9:9" x14ac:dyDescent="0.25">
      <c r="I116" s="44"/>
    </row>
    <row r="117" spans="9:9" x14ac:dyDescent="0.25">
      <c r="I117" s="44"/>
    </row>
    <row r="118" spans="9:9" x14ac:dyDescent="0.25">
      <c r="I118" s="44"/>
    </row>
    <row r="119" spans="9:9" x14ac:dyDescent="0.25">
      <c r="I119" s="44"/>
    </row>
    <row r="120" spans="9:9" x14ac:dyDescent="0.25">
      <c r="I120" s="44"/>
    </row>
    <row r="121" spans="9:9" x14ac:dyDescent="0.25">
      <c r="I121" s="44"/>
    </row>
    <row r="122" spans="9:9" x14ac:dyDescent="0.25">
      <c r="I122" s="44"/>
    </row>
    <row r="123" spans="9:9" x14ac:dyDescent="0.25">
      <c r="I123" s="44"/>
    </row>
    <row r="124" spans="9:9" x14ac:dyDescent="0.25">
      <c r="I124" s="44"/>
    </row>
    <row r="125" spans="9:9" x14ac:dyDescent="0.25">
      <c r="I125" s="44"/>
    </row>
    <row r="126" spans="9:9" x14ac:dyDescent="0.25">
      <c r="I126" s="44"/>
    </row>
    <row r="127" spans="9:9" x14ac:dyDescent="0.25">
      <c r="I127" s="44"/>
    </row>
    <row r="128" spans="9:9" x14ac:dyDescent="0.25">
      <c r="I128" s="44"/>
    </row>
    <row r="129" spans="9:9" x14ac:dyDescent="0.25">
      <c r="I129" s="44"/>
    </row>
    <row r="130" spans="9:9" x14ac:dyDescent="0.25">
      <c r="I130" s="44"/>
    </row>
    <row r="131" spans="9:9" x14ac:dyDescent="0.25">
      <c r="I131" s="44"/>
    </row>
    <row r="132" spans="9:9" x14ac:dyDescent="0.25">
      <c r="I132" s="44"/>
    </row>
    <row r="133" spans="9:9" x14ac:dyDescent="0.25">
      <c r="I133" s="44"/>
    </row>
    <row r="134" spans="9:9" x14ac:dyDescent="0.25">
      <c r="I134" s="43"/>
    </row>
    <row r="135" spans="9:9" x14ac:dyDescent="0.25">
      <c r="I135" s="43"/>
    </row>
    <row r="136" spans="9:9" x14ac:dyDescent="0.25">
      <c r="I136" s="43"/>
    </row>
    <row r="137" spans="9:9" x14ac:dyDescent="0.25">
      <c r="I137" s="43"/>
    </row>
    <row r="138" spans="9:9" x14ac:dyDescent="0.25">
      <c r="I138" s="43"/>
    </row>
    <row r="139" spans="9:9" x14ac:dyDescent="0.25">
      <c r="I139" s="43"/>
    </row>
    <row r="140" spans="9:9" x14ac:dyDescent="0.25">
      <c r="I140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E25"/>
  <sheetViews>
    <sheetView workbookViewId="0">
      <selection activeCell="I8" sqref="I8"/>
    </sheetView>
  </sheetViews>
  <sheetFormatPr defaultRowHeight="15" x14ac:dyDescent="0.25"/>
  <cols>
    <col min="5" max="5" width="9.85546875" bestFit="1" customWidth="1"/>
  </cols>
  <sheetData>
    <row r="1" spans="2:5" x14ac:dyDescent="0.25">
      <c r="B1" s="28" t="s">
        <v>18</v>
      </c>
    </row>
    <row r="3" spans="2:5" x14ac:dyDescent="0.25">
      <c r="B3" s="28" t="s">
        <v>24</v>
      </c>
      <c r="C3" s="28" t="s">
        <v>25</v>
      </c>
      <c r="D3" s="28" t="s">
        <v>26</v>
      </c>
      <c r="E3" s="28" t="s">
        <v>31</v>
      </c>
    </row>
    <row r="4" spans="2:5" x14ac:dyDescent="0.25">
      <c r="B4" t="str" cm="1">
        <f t="array" ref="B4:E25">_xlfn.CHOOSECOLS(_xlfn._xlws.FILTER(staff[], MONTH(staff[Start Date])=3),1,2,3,8)</f>
        <v>PR00746</v>
      </c>
      <c r="C4" t="str">
        <v>Hogan</v>
      </c>
      <c r="D4" t="str">
        <v>Iles</v>
      </c>
      <c r="E4" s="45">
        <v>43908</v>
      </c>
    </row>
    <row r="5" spans="2:5" x14ac:dyDescent="0.25">
      <c r="B5" t="str">
        <v>PR00893</v>
      </c>
      <c r="C5" t="str">
        <v>Vasavi</v>
      </c>
      <c r="D5" t="str">
        <v>Veeravasarapu</v>
      </c>
      <c r="E5" s="45">
        <v>44285</v>
      </c>
    </row>
    <row r="6" spans="2:5" x14ac:dyDescent="0.25">
      <c r="B6" t="str">
        <v>SQ00022</v>
      </c>
      <c r="C6" t="str">
        <v>Carlin</v>
      </c>
      <c r="D6" t="str">
        <v>Demke</v>
      </c>
      <c r="E6" s="45">
        <v>43914</v>
      </c>
    </row>
    <row r="7" spans="2:5" x14ac:dyDescent="0.25">
      <c r="B7" t="str">
        <v>SQ00105</v>
      </c>
      <c r="C7" t="str">
        <v>Sarayu</v>
      </c>
      <c r="D7" t="str">
        <v>Ragunathan</v>
      </c>
      <c r="E7" s="45">
        <v>43164</v>
      </c>
    </row>
    <row r="8" spans="2:5" x14ac:dyDescent="0.25">
      <c r="B8" t="str">
        <v>SQ01519</v>
      </c>
      <c r="C8" t="str">
        <v>Caron</v>
      </c>
      <c r="D8" t="str">
        <v>Kolakovic</v>
      </c>
      <c r="E8" s="45">
        <v>43550</v>
      </c>
    </row>
    <row r="9" spans="2:5" x14ac:dyDescent="0.25">
      <c r="B9" t="str">
        <v>SQ03112</v>
      </c>
      <c r="C9" t="str">
        <v>Kantimoy</v>
      </c>
      <c r="D9" t="str">
        <v>Pritish</v>
      </c>
      <c r="E9" s="45">
        <v>43920</v>
      </c>
    </row>
    <row r="10" spans="2:5" x14ac:dyDescent="0.25">
      <c r="B10" t="str">
        <v>SQ03625</v>
      </c>
      <c r="C10" t="str">
        <v>Fidela</v>
      </c>
      <c r="D10" t="str">
        <v>Artis</v>
      </c>
      <c r="E10" s="45">
        <v>43899</v>
      </c>
    </row>
    <row r="11" spans="2:5" x14ac:dyDescent="0.25">
      <c r="B11" t="str">
        <v>SQ04612</v>
      </c>
      <c r="C11" t="str">
        <v>Mick</v>
      </c>
      <c r="D11" t="str">
        <v>Spraberry</v>
      </c>
      <c r="E11" s="45">
        <v>43902</v>
      </c>
    </row>
    <row r="12" spans="2:5" x14ac:dyDescent="0.25">
      <c r="B12" t="str">
        <v>TN01256</v>
      </c>
      <c r="C12" t="str">
        <v>Shattesh</v>
      </c>
      <c r="D12" t="str">
        <v>Utpat</v>
      </c>
      <c r="E12" s="45">
        <v>43916</v>
      </c>
    </row>
    <row r="13" spans="2:5" x14ac:dyDescent="0.25">
      <c r="B13" t="str">
        <v>TN01256</v>
      </c>
      <c r="C13" t="str">
        <v>Sawini</v>
      </c>
      <c r="D13" t="str">
        <v>Chandan</v>
      </c>
      <c r="E13" s="45">
        <v>43916</v>
      </c>
    </row>
    <row r="14" spans="2:5" x14ac:dyDescent="0.25">
      <c r="B14" t="str">
        <v>TN01601</v>
      </c>
      <c r="C14" t="str">
        <v>Melva</v>
      </c>
      <c r="D14" t="str">
        <v>Jickells</v>
      </c>
      <c r="E14" s="45">
        <v>44277</v>
      </c>
    </row>
    <row r="15" spans="2:5" x14ac:dyDescent="0.25">
      <c r="B15" t="str">
        <v>TN01601</v>
      </c>
      <c r="C15" t="str">
        <v>Melva</v>
      </c>
      <c r="D15" t="str">
        <v>Jickells</v>
      </c>
      <c r="E15" s="45">
        <v>44277</v>
      </c>
    </row>
    <row r="16" spans="2:5" x14ac:dyDescent="0.25">
      <c r="B16" t="str">
        <v>TN04892</v>
      </c>
      <c r="C16" t="str">
        <v>Luca</v>
      </c>
      <c r="D16" t="str">
        <v>Wolstenholme</v>
      </c>
      <c r="E16" s="45">
        <v>43180</v>
      </c>
    </row>
    <row r="17" spans="2:5" x14ac:dyDescent="0.25">
      <c r="B17" t="str">
        <v>VT01762</v>
      </c>
      <c r="C17" t="str">
        <v>Geena</v>
      </c>
      <c r="D17" t="str">
        <v>Raghavanpillai</v>
      </c>
      <c r="E17" s="45">
        <v>43902</v>
      </c>
    </row>
    <row r="18" spans="2:5" x14ac:dyDescent="0.25">
      <c r="B18" t="str">
        <v>VT01803</v>
      </c>
      <c r="C18" t="str">
        <v>Freddy</v>
      </c>
      <c r="D18" t="str">
        <v>Linford</v>
      </c>
      <c r="E18" s="45">
        <v>43164</v>
      </c>
    </row>
    <row r="19" spans="2:5" x14ac:dyDescent="0.25">
      <c r="B19" t="str">
        <v>VT02417</v>
      </c>
      <c r="C19" t="str">
        <v>Evangelina</v>
      </c>
      <c r="D19" t="str">
        <v>Lergan</v>
      </c>
      <c r="E19" s="45">
        <v>43171</v>
      </c>
    </row>
    <row r="20" spans="2:5" x14ac:dyDescent="0.25">
      <c r="B20" t="str">
        <v>VT03421</v>
      </c>
      <c r="C20" t="str">
        <v>Alic</v>
      </c>
      <c r="D20" t="str">
        <v>Bagg</v>
      </c>
      <c r="E20" s="45">
        <v>44270</v>
      </c>
    </row>
    <row r="21" spans="2:5" x14ac:dyDescent="0.25">
      <c r="B21" t="str">
        <v>VT03421</v>
      </c>
      <c r="C21" t="str">
        <v>Alic</v>
      </c>
      <c r="D21" t="str">
        <v>Bagg</v>
      </c>
      <c r="E21" s="45">
        <v>44270</v>
      </c>
    </row>
    <row r="22" spans="2:5" x14ac:dyDescent="0.25">
      <c r="B22" t="str">
        <v>VT03993</v>
      </c>
      <c r="C22" t="str">
        <v>Dulce</v>
      </c>
      <c r="D22" t="str">
        <v>Colbeck</v>
      </c>
      <c r="E22" s="45">
        <v>44285</v>
      </c>
    </row>
    <row r="23" spans="2:5" x14ac:dyDescent="0.25">
      <c r="B23" t="str">
        <v>VT04028</v>
      </c>
      <c r="C23" t="str">
        <v>Michale</v>
      </c>
      <c r="D23" t="str">
        <v>Rolf</v>
      </c>
      <c r="E23" s="45">
        <v>43895</v>
      </c>
    </row>
    <row r="24" spans="2:5" x14ac:dyDescent="0.25">
      <c r="B24" t="str">
        <v>VT04028</v>
      </c>
      <c r="C24" t="str">
        <v>Michale</v>
      </c>
      <c r="D24" t="str">
        <v>Rolf</v>
      </c>
      <c r="E24" s="45">
        <v>43895</v>
      </c>
    </row>
    <row r="25" spans="2:5" x14ac:dyDescent="0.25">
      <c r="B25" t="str">
        <v>VT04415</v>
      </c>
      <c r="C25" t="str">
        <v>Malory</v>
      </c>
      <c r="D25" t="str">
        <v>Biles</v>
      </c>
      <c r="E25" s="45">
        <v>43171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B8"/>
  <sheetViews>
    <sheetView workbookViewId="0">
      <selection activeCell="B8" sqref="B8"/>
    </sheetView>
  </sheetViews>
  <sheetFormatPr defaultRowHeight="15" x14ac:dyDescent="0.25"/>
  <cols>
    <col min="2" max="2" width="34.42578125" bestFit="1" customWidth="1"/>
  </cols>
  <sheetData>
    <row r="1" spans="2:2" x14ac:dyDescent="0.25">
      <c r="B1" s="28" t="s">
        <v>16</v>
      </c>
    </row>
    <row r="3" spans="2:2" x14ac:dyDescent="0.25">
      <c r="B3" s="28" t="s">
        <v>800</v>
      </c>
    </row>
    <row r="4" spans="2:2" x14ac:dyDescent="0.25">
      <c r="B4" t="str" cm="1">
        <f t="array" ref="B4">_xlfn.XLOOKUP(MAX(staff[Salary]), staff[Salary], staff[First Name] &amp; " " &amp; staff[Last Name])</f>
        <v>Minerva Ricardot</v>
      </c>
    </row>
    <row r="6" spans="2:2" x14ac:dyDescent="0.25">
      <c r="B6" t="s">
        <v>801</v>
      </c>
    </row>
    <row r="7" spans="2:2" x14ac:dyDescent="0.25">
      <c r="B7" t="str" cm="1">
        <f t="array" ref="B7:B8">_xlfn._xlws.FILTER(staff[First Name]&amp;" "&amp;staff[Last Name],staff[Salary]=MAX(staff[Salary]))</f>
        <v>Minerva Ricardot</v>
      </c>
    </row>
    <row r="8" spans="2:2" x14ac:dyDescent="0.25">
      <c r="B8" t="str">
        <v>Mick Spraberry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tabSelected="1" workbookViewId="0">
      <selection activeCell="E5" sqref="E5"/>
    </sheetView>
  </sheetViews>
  <sheetFormatPr defaultRowHeight="15" x14ac:dyDescent="0.25"/>
  <cols>
    <col min="2" max="2" width="10.42578125" bestFit="1" customWidth="1"/>
    <col min="3" max="3" width="11.5703125" bestFit="1" customWidth="1"/>
    <col min="5" max="5" width="12.5703125" bestFit="1" customWidth="1"/>
  </cols>
  <sheetData>
    <row r="1" spans="1:9" x14ac:dyDescent="0.25">
      <c r="A1" t="s">
        <v>789</v>
      </c>
    </row>
    <row r="3" spans="1:9" x14ac:dyDescent="0.25">
      <c r="B3" s="28" t="s">
        <v>794</v>
      </c>
      <c r="C3" t="s">
        <v>195</v>
      </c>
      <c r="E3" s="28" t="s">
        <v>796</v>
      </c>
    </row>
    <row r="5" spans="1:9" x14ac:dyDescent="0.25">
      <c r="B5" s="28" t="s">
        <v>25</v>
      </c>
      <c r="E5" t="str">
        <f>_xlfn.XLOOKUP(C3,staff[Emp ID],staff[First Name])</f>
        <v>Edd</v>
      </c>
    </row>
    <row r="6" spans="1:9" x14ac:dyDescent="0.25">
      <c r="B6" s="28" t="s">
        <v>26</v>
      </c>
      <c r="E6" t="str">
        <f>_xlfn.XLOOKUP(C3,staff[Emp ID], staff[Last Name])</f>
        <v>MacKnockiter</v>
      </c>
    </row>
    <row r="7" spans="1:9" x14ac:dyDescent="0.25">
      <c r="B7" s="28" t="s">
        <v>28</v>
      </c>
      <c r="E7" t="str">
        <f>_xlfn.XLOOKUP(C3,staff[Emp ID],staff[Department])</f>
        <v>Accounting</v>
      </c>
    </row>
    <row r="8" spans="1:9" x14ac:dyDescent="0.25">
      <c r="B8" s="28" t="s">
        <v>29</v>
      </c>
      <c r="E8" s="26">
        <f>_xlfn.XLOOKUP(C3,staff[Emp ID],staff[Salary])</f>
        <v>119022.49</v>
      </c>
    </row>
    <row r="9" spans="1:9" x14ac:dyDescent="0.25">
      <c r="E9" s="26"/>
    </row>
    <row r="12" spans="1:9" x14ac:dyDescent="0.25">
      <c r="B12" s="28" t="s">
        <v>792</v>
      </c>
      <c r="C12" t="s">
        <v>54</v>
      </c>
      <c r="G12" s="28" t="s">
        <v>798</v>
      </c>
      <c r="I12" s="28" t="s">
        <v>799</v>
      </c>
    </row>
    <row r="14" spans="1:9" x14ac:dyDescent="0.25">
      <c r="B14" s="28" t="s">
        <v>797</v>
      </c>
      <c r="C14" t="str">
        <f>VLOOKUP(C12,staff[],1,TRUE)</f>
        <v>TN04892</v>
      </c>
      <c r="E14" t="str">
        <f>_xlfn.XLOOKUP(C12,staff[Last Name],staff[Emp ID],0)</f>
        <v>PR00113</v>
      </c>
    </row>
    <row r="15" spans="1:9" x14ac:dyDescent="0.25">
      <c r="B15" s="28" t="s">
        <v>28</v>
      </c>
      <c r="C15" t="str">
        <f>VLOOKUP(C12,staff[],5,TRUE)</f>
        <v>Engineering</v>
      </c>
    </row>
    <row r="16" spans="1:9" x14ac:dyDescent="0.25">
      <c r="B16" s="28" t="s">
        <v>29</v>
      </c>
      <c r="C16" s="26">
        <f>VLOOKUP(C12,staff[],6,TRUE)</f>
        <v>53184.02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B24"/>
  <sheetViews>
    <sheetView workbookViewId="0">
      <selection activeCell="A15" sqref="A15"/>
    </sheetView>
  </sheetViews>
  <sheetFormatPr defaultRowHeight="15" x14ac:dyDescent="0.25"/>
  <cols>
    <col min="1" max="1" width="10.28515625" bestFit="1" customWidth="1"/>
    <col min="2" max="2" width="21.85546875" bestFit="1" customWidth="1"/>
  </cols>
  <sheetData>
    <row r="1" spans="1:2" ht="20.25" thickBot="1" x14ac:dyDescent="0.35">
      <c r="B1" s="25" t="s">
        <v>789</v>
      </c>
    </row>
    <row r="2" spans="1:2" ht="15.75" thickTop="1" x14ac:dyDescent="0.25"/>
    <row r="3" spans="1:2" x14ac:dyDescent="0.25">
      <c r="A3" t="s">
        <v>790</v>
      </c>
      <c r="B3" s="24" t="s">
        <v>37</v>
      </c>
    </row>
    <row r="5" spans="1:2" x14ac:dyDescent="0.25">
      <c r="A5" t="s">
        <v>791</v>
      </c>
      <c r="B5" t="str">
        <f>VLOOKUP(B3,staff[],2,FALSE)</f>
        <v>Torrance</v>
      </c>
    </row>
    <row r="6" spans="1:2" x14ac:dyDescent="0.25">
      <c r="A6" t="s">
        <v>792</v>
      </c>
      <c r="B6" t="str">
        <f>VLOOKUP(B3,staff[],3,FALSE)</f>
        <v>Collier</v>
      </c>
    </row>
    <row r="7" spans="1:2" x14ac:dyDescent="0.25">
      <c r="A7" t="s">
        <v>28</v>
      </c>
      <c r="B7" t="str">
        <f>VLOOKUP(B3,staff[],5,FALSE)</f>
        <v>Training</v>
      </c>
    </row>
    <row r="8" spans="1:2" x14ac:dyDescent="0.25">
      <c r="A8" t="s">
        <v>29</v>
      </c>
      <c r="B8" s="26">
        <f>VLOOKUP(B3,staff[],6,FALSE)</f>
        <v>96135.75</v>
      </c>
    </row>
    <row r="14" spans="1:2" x14ac:dyDescent="0.25">
      <c r="A14" t="s">
        <v>793</v>
      </c>
      <c r="B14" s="24" t="s">
        <v>186</v>
      </c>
    </row>
    <row r="15" spans="1:2" x14ac:dyDescent="0.25">
      <c r="B15">
        <f>MATCH(B14,staff[Last Name],0)</f>
        <v>43</v>
      </c>
    </row>
    <row r="16" spans="1:2" x14ac:dyDescent="0.25">
      <c r="A16" t="s">
        <v>794</v>
      </c>
      <c r="B16" t="str" cm="1">
        <f t="array" ref="B16">INDEX(staff[Emp ID],B15)</f>
        <v>PR03532</v>
      </c>
    </row>
    <row r="17" spans="1:2" x14ac:dyDescent="0.25">
      <c r="A17" t="s">
        <v>28</v>
      </c>
      <c r="B17" t="str">
        <f>INDEX(staff[Department],43)</f>
        <v>Human Resources</v>
      </c>
    </row>
    <row r="18" spans="1:2" x14ac:dyDescent="0.25">
      <c r="A18" t="s">
        <v>795</v>
      </c>
      <c r="B18" s="26" cm="1">
        <f t="array" ref="B18">INDEX(staff[Salary],B15)</f>
        <v>72876.91</v>
      </c>
    </row>
    <row r="22" spans="1:2" x14ac:dyDescent="0.25">
      <c r="B22" s="28" t="s">
        <v>818</v>
      </c>
    </row>
    <row r="24" spans="1:2" x14ac:dyDescent="0.25">
      <c r="B24" t="str">
        <f>_xlfn.TEXTJOIN(",",TRUE,_xlfn.UNIQUE(staff[Department]))</f>
        <v>Training,Business Development,Engineering,Marketing,Legal,Accounting,Human Resources,Research and Development,Services,Product Management,Support,Sales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15"/>
  <sheetViews>
    <sheetView workbookViewId="0">
      <selection activeCell="C3" sqref="C3"/>
    </sheetView>
  </sheetViews>
  <sheetFormatPr defaultRowHeight="15" x14ac:dyDescent="0.25"/>
  <cols>
    <col min="1" max="1" width="24.28515625" bestFit="1" customWidth="1"/>
  </cols>
  <sheetData>
    <row r="1" spans="1:3" ht="20.25" thickBot="1" x14ac:dyDescent="0.35">
      <c r="A1" s="25" t="s">
        <v>785</v>
      </c>
    </row>
    <row r="2" spans="1:3" ht="15.75" thickTop="1" x14ac:dyDescent="0.25">
      <c r="C2" s="28" t="s">
        <v>786</v>
      </c>
    </row>
    <row r="3" spans="1:3" x14ac:dyDescent="0.25">
      <c r="A3" s="28" t="s">
        <v>28</v>
      </c>
      <c r="C3">
        <f>COUNTA(_xlfn.ANCHORARRAY(A4))</f>
        <v>12</v>
      </c>
    </row>
    <row r="4" spans="1:3" x14ac:dyDescent="0.25">
      <c r="A4" t="str" cm="1">
        <f t="array" ref="A4:A15">_xlfn.UNIQUE(staff[Department])</f>
        <v>Training</v>
      </c>
    </row>
    <row r="5" spans="1:3" x14ac:dyDescent="0.25">
      <c r="A5" t="str">
        <v>Business Development</v>
      </c>
    </row>
    <row r="6" spans="1:3" x14ac:dyDescent="0.25">
      <c r="A6" t="str">
        <v>Engineering</v>
      </c>
    </row>
    <row r="7" spans="1:3" x14ac:dyDescent="0.25">
      <c r="A7" t="str">
        <v>Marketing</v>
      </c>
    </row>
    <row r="8" spans="1:3" x14ac:dyDescent="0.25">
      <c r="A8" t="str">
        <v>Legal</v>
      </c>
    </row>
    <row r="9" spans="1:3" x14ac:dyDescent="0.25">
      <c r="A9" t="str">
        <v>Accounting</v>
      </c>
    </row>
    <row r="10" spans="1:3" x14ac:dyDescent="0.25">
      <c r="A10" t="str">
        <v>Human Resources</v>
      </c>
    </row>
    <row r="11" spans="1:3" x14ac:dyDescent="0.25">
      <c r="A11" t="str">
        <v>Research and Development</v>
      </c>
    </row>
    <row r="12" spans="1:3" x14ac:dyDescent="0.25">
      <c r="A12" t="str">
        <v>Services</v>
      </c>
    </row>
    <row r="13" spans="1:3" x14ac:dyDescent="0.25">
      <c r="A13" t="str">
        <v>Product Management</v>
      </c>
    </row>
    <row r="14" spans="1:3" x14ac:dyDescent="0.25">
      <c r="A14" t="str">
        <v>Support</v>
      </c>
    </row>
    <row r="15" spans="1:3" x14ac:dyDescent="0.25">
      <c r="A15" t="str">
        <v>Sales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054F-9B72-4BAB-8769-746AA6DB7680}">
  <dimension ref="A2:K11"/>
  <sheetViews>
    <sheetView workbookViewId="0">
      <selection activeCell="J7" sqref="J7"/>
    </sheetView>
  </sheetViews>
  <sheetFormatPr defaultRowHeight="15" x14ac:dyDescent="0.25"/>
  <cols>
    <col min="2" max="2" width="12.5703125" bestFit="1" customWidth="1"/>
    <col min="5" max="5" width="12.5703125" bestFit="1" customWidth="1"/>
    <col min="10" max="10" width="19.140625" customWidth="1"/>
    <col min="11" max="11" width="20.5703125" customWidth="1"/>
  </cols>
  <sheetData>
    <row r="2" spans="1:11" x14ac:dyDescent="0.25">
      <c r="A2" s="28"/>
    </row>
    <row r="3" spans="1:11" x14ac:dyDescent="0.25">
      <c r="A3" s="28"/>
    </row>
    <row r="5" spans="1:11" x14ac:dyDescent="0.25">
      <c r="A5" t="s">
        <v>783</v>
      </c>
    </row>
    <row r="6" spans="1:11" x14ac:dyDescent="0.25">
      <c r="A6" s="28" t="s">
        <v>814</v>
      </c>
      <c r="D6" s="28" t="s">
        <v>815</v>
      </c>
      <c r="J6" s="34" t="s">
        <v>59</v>
      </c>
      <c r="K6" s="34" t="s">
        <v>40</v>
      </c>
    </row>
    <row r="7" spans="1:11" x14ac:dyDescent="0.25">
      <c r="B7" s="26" cm="1">
        <f t="array" ref="B7">LARGE(IF(staff[Gender]="Male",staff[Salary]),1)</f>
        <v>120000</v>
      </c>
      <c r="E7" s="26" cm="1">
        <f t="array" ref="E7">LARGE(IF(staff[Gender]="Female",staff[Salary]),1)</f>
        <v>120000</v>
      </c>
      <c r="I7" s="28" t="s">
        <v>816</v>
      </c>
      <c r="J7" s="35">
        <f>_xlfn.MINIFS(staff[Salary], staff[Gender],J6)</f>
        <v>28160.79</v>
      </c>
      <c r="K7" s="35">
        <f>_xlfn.MINIFS(staff[Salary], staff[Gender],K6)</f>
        <v>28305.08</v>
      </c>
    </row>
    <row r="8" spans="1:11" x14ac:dyDescent="0.25">
      <c r="B8" s="26" cm="1">
        <f t="array" ref="B8">LARGE(IF(staff[Gender]="Male",staff[Salary]),2)</f>
        <v>119022.49</v>
      </c>
      <c r="E8" s="26" cm="1">
        <f t="array" ref="E8">LARGE(IF(staff[Gender]="Female",staff[Salary]),2)</f>
        <v>118442.54</v>
      </c>
      <c r="I8" s="28" t="s">
        <v>817</v>
      </c>
      <c r="J8" s="35">
        <f>_xlfn.MAXIFS(staff[Salary], staff[Gender],J6)</f>
        <v>120000</v>
      </c>
      <c r="K8" s="35">
        <f>_xlfn.MAXIFS(staff[Salary], staff[Gender],K6)</f>
        <v>120000</v>
      </c>
    </row>
    <row r="9" spans="1:11" x14ac:dyDescent="0.25">
      <c r="B9" s="26" cm="1">
        <f t="array" ref="B9">LARGE(IF(staff[Gender]="Male",staff[Salary]),3)</f>
        <v>118976.16</v>
      </c>
      <c r="E9" s="26" cm="1">
        <f t="array" ref="E9">LARGE(IF(staff[Gender]="Female",staff[Salary]),3)</f>
        <v>116767.63</v>
      </c>
    </row>
    <row r="10" spans="1:11" x14ac:dyDescent="0.25">
      <c r="B10" s="26" cm="1">
        <f t="array" ref="B10">LARGE(IF(staff[Gender]="Male",staff[Salary]),4)</f>
        <v>115191.38</v>
      </c>
      <c r="E10" s="26" cm="1">
        <f t="array" ref="E10">LARGE(IF(staff[Gender]="Female",staff[Salary]),4)</f>
        <v>116767.63</v>
      </c>
    </row>
    <row r="11" spans="1:11" x14ac:dyDescent="0.25">
      <c r="B11" s="26" cm="1">
        <f t="array" ref="B11">LARGE(IF(staff[Gender]="Male",staff[Salary]),5)</f>
        <v>114691.03</v>
      </c>
      <c r="E11" s="26" cm="1">
        <f t="array" ref="E11">LARGE(IF(staff[Gender]="Female",staff[Salary]),5)</f>
        <v>114772.32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D21"/>
  <sheetViews>
    <sheetView workbookViewId="0">
      <selection activeCell="B4" sqref="B4"/>
    </sheetView>
  </sheetViews>
  <sheetFormatPr defaultRowHeight="15" x14ac:dyDescent="0.25"/>
  <cols>
    <col min="1" max="1" width="12.5703125" bestFit="1" customWidth="1"/>
    <col min="2" max="2" width="15.28515625" customWidth="1"/>
    <col min="3" max="3" width="14.7109375" customWidth="1"/>
    <col min="4" max="4" width="21.7109375" customWidth="1"/>
  </cols>
  <sheetData>
    <row r="1" spans="1:4" ht="20.25" thickBot="1" x14ac:dyDescent="0.35">
      <c r="B1" s="25" t="s">
        <v>10</v>
      </c>
    </row>
    <row r="2" spans="1:4" ht="15.75" thickTop="1" x14ac:dyDescent="0.25"/>
    <row r="3" spans="1:4" x14ac:dyDescent="0.25">
      <c r="B3" s="34" t="s">
        <v>782</v>
      </c>
      <c r="C3" s="34" t="s">
        <v>59</v>
      </c>
      <c r="D3" s="34" t="s">
        <v>40</v>
      </c>
    </row>
    <row r="4" spans="1:4" x14ac:dyDescent="0.25">
      <c r="A4" s="34" t="s">
        <v>779</v>
      </c>
      <c r="B4" s="35">
        <f>MIN(staff[Salary])</f>
        <v>28160.79</v>
      </c>
      <c r="C4" s="35">
        <f>_xlfn.MINIFS(staff[Salary], staff[Gender],C3)</f>
        <v>28160.79</v>
      </c>
      <c r="D4" s="35">
        <f>_xlfn.MINIFS(staff[Salary], staff[Gender],D3)</f>
        <v>28305.08</v>
      </c>
    </row>
    <row r="5" spans="1:4" x14ac:dyDescent="0.25">
      <c r="A5" s="34" t="s">
        <v>780</v>
      </c>
      <c r="B5" s="35">
        <f>MAX(staff[Salary])</f>
        <v>120000</v>
      </c>
      <c r="C5" s="35">
        <f>_xlfn.MAXIFS(staff[Salary], staff[Gender],C3)</f>
        <v>120000</v>
      </c>
      <c r="D5" s="35">
        <f>_xlfn.MAXIFS(staff[Salary], staff[Gender],D3)</f>
        <v>120000</v>
      </c>
    </row>
    <row r="6" spans="1:4" x14ac:dyDescent="0.25">
      <c r="A6" s="34" t="s">
        <v>781</v>
      </c>
      <c r="B6" s="35">
        <f>LARGE(staff[Salary],1)</f>
        <v>120000</v>
      </c>
      <c r="C6" s="35"/>
      <c r="D6" s="35"/>
    </row>
    <row r="7" spans="1:4" x14ac:dyDescent="0.25">
      <c r="B7" s="35">
        <f>LARGE(staff[Salary],2)</f>
        <v>120000</v>
      </c>
      <c r="C7" s="35"/>
      <c r="D7" s="35"/>
    </row>
    <row r="8" spans="1:4" x14ac:dyDescent="0.25">
      <c r="B8" s="35">
        <f>LARGE(staff[Salary],3)</f>
        <v>119022.49</v>
      </c>
      <c r="C8" s="35"/>
      <c r="D8" s="35"/>
    </row>
    <row r="9" spans="1:4" x14ac:dyDescent="0.25">
      <c r="B9" s="35">
        <f>LARGE(staff[Salary],4)</f>
        <v>118976.16</v>
      </c>
      <c r="C9" s="35"/>
      <c r="D9" s="35"/>
    </row>
    <row r="10" spans="1:4" x14ac:dyDescent="0.25">
      <c r="B10" s="35">
        <f>LARGE(staff[Salary],5)</f>
        <v>118442.54</v>
      </c>
      <c r="C10" s="35"/>
      <c r="D10" s="35"/>
    </row>
    <row r="11" spans="1:4" x14ac:dyDescent="0.25">
      <c r="B11" s="35"/>
      <c r="C11" s="34"/>
      <c r="D11" s="34"/>
    </row>
    <row r="12" spans="1:4" x14ac:dyDescent="0.25">
      <c r="B12" s="35"/>
      <c r="C12" s="34"/>
      <c r="D12" s="34"/>
    </row>
    <row r="15" spans="1:4" x14ac:dyDescent="0.25">
      <c r="A15" t="s">
        <v>813</v>
      </c>
      <c r="B15" s="26"/>
    </row>
    <row r="16" spans="1:4" x14ac:dyDescent="0.25">
      <c r="B16" s="26"/>
    </row>
    <row r="17" spans="1:2" x14ac:dyDescent="0.25">
      <c r="A17" s="26" cm="1">
        <f t="array" ref="A17:A21">_xlfn.TAKE(_xlfn._xlws.SORT(staff[Salary],,-1),5)</f>
        <v>120000</v>
      </c>
      <c r="B17" s="26"/>
    </row>
    <row r="18" spans="1:2" x14ac:dyDescent="0.25">
      <c r="A18" s="26">
        <v>120000</v>
      </c>
      <c r="B18" s="26"/>
    </row>
    <row r="19" spans="1:2" x14ac:dyDescent="0.25">
      <c r="A19" s="26">
        <v>119022.49</v>
      </c>
      <c r="B19" s="26"/>
    </row>
    <row r="20" spans="1:2" x14ac:dyDescent="0.25">
      <c r="A20" s="26">
        <v>118976.16</v>
      </c>
    </row>
    <row r="21" spans="1:2" x14ac:dyDescent="0.25">
      <c r="A21" s="26">
        <v>118442.54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164E-587B-4A8F-9C02-3751598ACCAB}">
  <dimension ref="A3:M30"/>
  <sheetViews>
    <sheetView topLeftCell="A3" workbookViewId="0">
      <selection activeCell="H10" sqref="H10"/>
    </sheetView>
  </sheetViews>
  <sheetFormatPr defaultRowHeight="15" x14ac:dyDescent="0.25"/>
  <cols>
    <col min="8" max="8" width="16.140625" customWidth="1"/>
  </cols>
  <sheetData>
    <row r="3" spans="1:13" x14ac:dyDescent="0.25">
      <c r="A3" s="28" t="s">
        <v>811</v>
      </c>
    </row>
    <row r="4" spans="1:13" x14ac:dyDescent="0.25">
      <c r="A4" s="28" t="s">
        <v>812</v>
      </c>
    </row>
    <row r="12" spans="1:13" x14ac:dyDescent="0.25">
      <c r="A12" s="28" t="str" cm="1">
        <f t="array" ref="A12:M12">staff[#Headers]</f>
        <v>Emp ID</v>
      </c>
      <c r="B12" s="28" t="str">
        <v>First Name</v>
      </c>
      <c r="C12" s="28" t="str">
        <v>Last Name</v>
      </c>
      <c r="D12" s="28" t="str">
        <v>Gender</v>
      </c>
      <c r="E12" s="28" t="str">
        <v>Department</v>
      </c>
      <c r="F12" s="28" t="str">
        <v>Salary</v>
      </c>
      <c r="G12" s="28" t="str">
        <v>Salary Bucket</v>
      </c>
      <c r="H12" s="28" t="str">
        <v>Start Date</v>
      </c>
      <c r="I12" s="28" t="str">
        <v>FTE</v>
      </c>
      <c r="J12" s="28" t="str">
        <v>Employee type</v>
      </c>
      <c r="K12" s="28" t="str">
        <v>Work location</v>
      </c>
      <c r="L12" s="28" t="str">
        <v>Tenure</v>
      </c>
      <c r="M12" s="28" t="str">
        <v>Work Type</v>
      </c>
    </row>
    <row r="13" spans="1:13" x14ac:dyDescent="0.25">
      <c r="A13" t="str" cm="1">
        <f t="array" ref="A13:M30">_xlfn._xlws.FILTER(staff[], (staff[Gender]="Female")*(staff[Salary]&gt;100000)* (YEAR(staff[Start Date]&gt;=2020)))</f>
        <v>PR00746</v>
      </c>
      <c r="B13" t="str">
        <v>Hogan</v>
      </c>
      <c r="C13" t="str">
        <v>Iles</v>
      </c>
      <c r="D13" t="str">
        <v>Female</v>
      </c>
      <c r="E13" t="str">
        <v>Accounting</v>
      </c>
      <c r="F13">
        <v>114177.23</v>
      </c>
      <c r="G13" t="str">
        <v>Above 100k</v>
      </c>
      <c r="H13" s="43">
        <v>43908</v>
      </c>
      <c r="I13">
        <v>1</v>
      </c>
      <c r="J13" t="str">
        <v>Permanent</v>
      </c>
      <c r="K13" t="str">
        <v>Wellington, New Zealand</v>
      </c>
      <c r="L13">
        <v>4.2630136986301368</v>
      </c>
      <c r="M13" t="str">
        <v>Full time</v>
      </c>
    </row>
    <row r="14" spans="1:13" x14ac:dyDescent="0.25">
      <c r="A14" t="str">
        <v>PR02208</v>
      </c>
      <c r="B14" t="str">
        <v>Gowri</v>
      </c>
      <c r="C14" t="str">
        <v>Sankar</v>
      </c>
      <c r="D14" t="str">
        <v>Female</v>
      </c>
      <c r="E14" t="str">
        <v>Training</v>
      </c>
      <c r="F14">
        <v>102934.09</v>
      </c>
      <c r="G14" t="str">
        <v>Above 100k</v>
      </c>
      <c r="H14" s="43">
        <v>44315</v>
      </c>
      <c r="I14">
        <v>1</v>
      </c>
      <c r="J14" t="str">
        <v>Permanent</v>
      </c>
      <c r="K14" t="str">
        <v>Hyderabad, India</v>
      </c>
      <c r="L14">
        <v>3.1479452054794521</v>
      </c>
      <c r="M14" t="str">
        <v>Full time</v>
      </c>
    </row>
    <row r="15" spans="1:13" x14ac:dyDescent="0.25">
      <c r="A15" t="str">
        <v>SQ00498</v>
      </c>
      <c r="B15" t="str">
        <v>Amery</v>
      </c>
      <c r="C15" t="str">
        <v>Ofer</v>
      </c>
      <c r="D15" t="str">
        <v>Female</v>
      </c>
      <c r="E15" t="str">
        <v>Legal</v>
      </c>
      <c r="F15">
        <v>111049.84</v>
      </c>
      <c r="G15" t="str">
        <v>Above 100k</v>
      </c>
      <c r="H15" s="43">
        <v>44393</v>
      </c>
      <c r="I15">
        <v>1</v>
      </c>
      <c r="J15" t="str">
        <v>Permanent</v>
      </c>
      <c r="K15" t="str">
        <v>Wellington, New Zealand</v>
      </c>
      <c r="L15">
        <v>2.9342465753424656</v>
      </c>
      <c r="M15" t="str">
        <v>Full time</v>
      </c>
    </row>
    <row r="16" spans="1:13" x14ac:dyDescent="0.25">
      <c r="A16" t="str">
        <v>SQ02174</v>
      </c>
      <c r="B16" t="str">
        <v>Sidoney</v>
      </c>
      <c r="C16" t="str">
        <v>Yitzhok</v>
      </c>
      <c r="D16" t="str">
        <v>Female</v>
      </c>
      <c r="E16" t="str">
        <v>Engineering</v>
      </c>
      <c r="F16">
        <v>118442.54</v>
      </c>
      <c r="G16" t="str">
        <v>Above 100k</v>
      </c>
      <c r="H16" s="43">
        <v>44193</v>
      </c>
      <c r="I16">
        <v>1</v>
      </c>
      <c r="J16" t="str">
        <v>Permanent</v>
      </c>
      <c r="K16" t="str">
        <v>Auckland, New Zealand</v>
      </c>
      <c r="L16">
        <v>3.4821917808219176</v>
      </c>
      <c r="M16" t="str">
        <v>Full time</v>
      </c>
    </row>
    <row r="17" spans="1:13" x14ac:dyDescent="0.25">
      <c r="A17" t="str">
        <v>SQ02624</v>
      </c>
      <c r="B17" t="str">
        <v>Gwenneth</v>
      </c>
      <c r="C17" t="str">
        <v>Fealey</v>
      </c>
      <c r="D17" t="str">
        <v>Female</v>
      </c>
      <c r="E17" t="str">
        <v>Engineering</v>
      </c>
      <c r="F17">
        <v>114772.32</v>
      </c>
      <c r="G17" t="str">
        <v>Above 100k</v>
      </c>
      <c r="H17" s="43">
        <v>44251</v>
      </c>
      <c r="I17">
        <v>1</v>
      </c>
      <c r="J17" t="str">
        <v>Permanent</v>
      </c>
      <c r="K17" t="str">
        <v>Columbus, USA</v>
      </c>
      <c r="L17">
        <v>3.3232876712328765</v>
      </c>
      <c r="M17" t="str">
        <v>Full time</v>
      </c>
    </row>
    <row r="18" spans="1:13" x14ac:dyDescent="0.25">
      <c r="A18" t="str">
        <v>SQ02703</v>
      </c>
      <c r="B18" t="str">
        <v>Deepit</v>
      </c>
      <c r="C18" t="str">
        <v>Ranjana</v>
      </c>
      <c r="D18" t="str">
        <v>Female</v>
      </c>
      <c r="E18" t="str">
        <v>Marketing</v>
      </c>
      <c r="F18">
        <v>104903.79</v>
      </c>
      <c r="G18" t="str">
        <v>Above 100k</v>
      </c>
      <c r="H18" s="43">
        <v>43649</v>
      </c>
      <c r="I18">
        <v>1</v>
      </c>
      <c r="J18" t="str">
        <v>Permanent</v>
      </c>
      <c r="K18" t="str">
        <v>Chennai, India</v>
      </c>
      <c r="L18">
        <v>4.9726027397260273</v>
      </c>
      <c r="M18" t="str">
        <v>Full time</v>
      </c>
    </row>
    <row r="19" spans="1:13" x14ac:dyDescent="0.25">
      <c r="A19" t="str">
        <v>SQ03387</v>
      </c>
      <c r="B19" t="str">
        <v>Robinia</v>
      </c>
      <c r="C19" t="str">
        <v>Scholling</v>
      </c>
      <c r="D19" t="str">
        <v>Female</v>
      </c>
      <c r="E19" t="str">
        <v>Human Resources</v>
      </c>
      <c r="F19">
        <v>100731.95</v>
      </c>
      <c r="G19" t="str">
        <v>Above 100k</v>
      </c>
      <c r="H19" s="43">
        <v>43936</v>
      </c>
      <c r="I19">
        <v>1</v>
      </c>
      <c r="J19" t="str">
        <v>Permanent</v>
      </c>
      <c r="K19" t="str">
        <v>Auckland, New Zealand</v>
      </c>
      <c r="L19">
        <v>4.1863013698630134</v>
      </c>
      <c r="M19" t="str">
        <v>Full time</v>
      </c>
    </row>
    <row r="20" spans="1:13" x14ac:dyDescent="0.25">
      <c r="A20" t="str">
        <v>SQ03491</v>
      </c>
      <c r="B20" t="str">
        <v>Freda</v>
      </c>
      <c r="C20" t="str">
        <v>Legan</v>
      </c>
      <c r="D20" t="str">
        <v>Female</v>
      </c>
      <c r="E20" t="str">
        <v>Sales</v>
      </c>
      <c r="F20">
        <v>102129.37</v>
      </c>
      <c r="G20" t="str">
        <v>Above 100k</v>
      </c>
      <c r="H20" s="43">
        <v>44396</v>
      </c>
      <c r="I20">
        <v>1</v>
      </c>
      <c r="J20" t="str">
        <v>Permanent</v>
      </c>
      <c r="K20" t="str">
        <v>Columbus, USA</v>
      </c>
      <c r="L20">
        <v>2.9260273972602739</v>
      </c>
      <c r="M20" t="str">
        <v>Full time</v>
      </c>
    </row>
    <row r="21" spans="1:13" x14ac:dyDescent="0.25">
      <c r="A21" t="str">
        <v>SQ04612</v>
      </c>
      <c r="B21" t="str">
        <v>Mick</v>
      </c>
      <c r="C21" t="str">
        <v>Spraberry</v>
      </c>
      <c r="D21" t="str">
        <v>Female</v>
      </c>
      <c r="E21" t="str">
        <v>Services</v>
      </c>
      <c r="F21">
        <v>120000</v>
      </c>
      <c r="G21" t="str">
        <v>Above 100k</v>
      </c>
      <c r="H21" s="43">
        <v>43902</v>
      </c>
      <c r="I21">
        <v>0.9</v>
      </c>
      <c r="J21" t="str">
        <v>Permanent</v>
      </c>
      <c r="K21" t="str">
        <v>Remote</v>
      </c>
      <c r="L21">
        <v>4.279452054794521</v>
      </c>
      <c r="M21" t="str">
        <v>Part time</v>
      </c>
    </row>
    <row r="22" spans="1:13" x14ac:dyDescent="0.25">
      <c r="A22" t="str">
        <v>TN00579</v>
      </c>
      <c r="B22" t="str">
        <v>Rafaelita</v>
      </c>
      <c r="C22" t="str">
        <v>Blaksland</v>
      </c>
      <c r="D22" t="str">
        <v>Female</v>
      </c>
      <c r="E22" t="str">
        <v>Services</v>
      </c>
      <c r="F22">
        <v>109163.39</v>
      </c>
      <c r="G22" t="str">
        <v>Above 100k</v>
      </c>
      <c r="H22" s="43">
        <v>44019</v>
      </c>
      <c r="I22">
        <v>0.8</v>
      </c>
      <c r="J22" t="str">
        <v>Permanent</v>
      </c>
      <c r="K22" t="str">
        <v>Seattle, USA</v>
      </c>
      <c r="L22">
        <v>3.9589041095890409</v>
      </c>
      <c r="M22" t="str">
        <v>Part time</v>
      </c>
    </row>
    <row r="23" spans="1:13" x14ac:dyDescent="0.25">
      <c r="A23" t="str">
        <v>TN01281</v>
      </c>
      <c r="B23" t="str">
        <v>Cletus</v>
      </c>
      <c r="C23" t="str">
        <v>McGarahan</v>
      </c>
      <c r="D23" t="str">
        <v>Female</v>
      </c>
      <c r="E23" t="str">
        <v>Engineering</v>
      </c>
      <c r="F23">
        <v>114425.19</v>
      </c>
      <c r="G23" t="str">
        <v>Above 100k</v>
      </c>
      <c r="H23" s="43">
        <v>43857</v>
      </c>
      <c r="I23">
        <v>1</v>
      </c>
      <c r="J23" t="str">
        <v>Permanent</v>
      </c>
      <c r="K23" t="str">
        <v>Wellington, New Zealand</v>
      </c>
      <c r="L23">
        <v>4.4027397260273968</v>
      </c>
      <c r="M23" t="str">
        <v>Full time</v>
      </c>
    </row>
    <row r="24" spans="1:13" x14ac:dyDescent="0.25">
      <c r="A24" t="str">
        <v>TN04246</v>
      </c>
      <c r="B24" t="str">
        <v>Shaylyn</v>
      </c>
      <c r="C24" t="str">
        <v>Ransbury</v>
      </c>
      <c r="D24" t="str">
        <v>Female</v>
      </c>
      <c r="E24" t="str">
        <v>Support</v>
      </c>
      <c r="F24">
        <v>100371.31</v>
      </c>
      <c r="G24" t="str">
        <v>Above 100k</v>
      </c>
      <c r="H24" s="43">
        <v>44067</v>
      </c>
      <c r="I24">
        <v>0.8</v>
      </c>
      <c r="J24" t="str">
        <v>Fixed Term</v>
      </c>
      <c r="K24" t="str">
        <v>Auckland, New Zealand</v>
      </c>
      <c r="L24">
        <v>3.8273972602739725</v>
      </c>
      <c r="M24" t="str">
        <v>Part time</v>
      </c>
    </row>
    <row r="25" spans="1:13" x14ac:dyDescent="0.25">
      <c r="A25" t="str">
        <v>TN04740</v>
      </c>
      <c r="B25" t="str">
        <v>Tristam</v>
      </c>
      <c r="C25" t="str">
        <v>Cuming</v>
      </c>
      <c r="D25" t="str">
        <v>Female</v>
      </c>
      <c r="E25" t="str">
        <v>Support</v>
      </c>
      <c r="F25">
        <v>104038.9</v>
      </c>
      <c r="G25" t="str">
        <v>Above 100k</v>
      </c>
      <c r="H25" s="43">
        <v>43815</v>
      </c>
      <c r="I25">
        <v>1</v>
      </c>
      <c r="J25" t="str">
        <v>Fixed Term</v>
      </c>
      <c r="K25" t="str">
        <v>Remote</v>
      </c>
      <c r="L25">
        <v>4.5178082191780824</v>
      </c>
      <c r="M25" t="str">
        <v>Full time</v>
      </c>
    </row>
    <row r="26" spans="1:13" x14ac:dyDescent="0.25">
      <c r="A26" t="str">
        <v>VT01684</v>
      </c>
      <c r="B26" t="str">
        <v>Audry</v>
      </c>
      <c r="C26" t="str">
        <v>Yu</v>
      </c>
      <c r="D26" t="str">
        <v>Female</v>
      </c>
      <c r="E26" t="str">
        <v>Training</v>
      </c>
      <c r="F26">
        <v>101187.36</v>
      </c>
      <c r="G26" t="str">
        <v>Above 100k</v>
      </c>
      <c r="H26" s="43">
        <v>43258</v>
      </c>
      <c r="I26">
        <v>1</v>
      </c>
      <c r="J26" t="str">
        <v>Fixed Term</v>
      </c>
      <c r="K26" t="str">
        <v>Columbus, USA</v>
      </c>
      <c r="L26">
        <v>6.043835616438356</v>
      </c>
      <c r="M26" t="str">
        <v>Full time</v>
      </c>
    </row>
    <row r="27" spans="1:13" x14ac:dyDescent="0.25">
      <c r="A27" t="str">
        <v>VT04093</v>
      </c>
      <c r="B27" t="str">
        <v>Prasanna</v>
      </c>
      <c r="C27" t="str">
        <v>Lakshmi</v>
      </c>
      <c r="D27" t="str">
        <v>Female</v>
      </c>
      <c r="E27" t="str">
        <v>Training</v>
      </c>
      <c r="F27">
        <v>116767.63</v>
      </c>
      <c r="G27" t="str">
        <v>Above 100k</v>
      </c>
      <c r="H27" s="43">
        <v>43949</v>
      </c>
      <c r="I27">
        <v>0.4</v>
      </c>
      <c r="J27" t="str">
        <v>Temporary</v>
      </c>
      <c r="K27" t="str">
        <v>Chennai, India</v>
      </c>
      <c r="L27">
        <v>4.1506849315068495</v>
      </c>
      <c r="M27" t="str">
        <v>Part time</v>
      </c>
    </row>
    <row r="28" spans="1:13" x14ac:dyDescent="0.25">
      <c r="A28" t="str">
        <v>VT04093</v>
      </c>
      <c r="B28" t="str">
        <v>Baruna</v>
      </c>
      <c r="C28" t="str">
        <v>Ogale</v>
      </c>
      <c r="D28" t="str">
        <v>Female</v>
      </c>
      <c r="E28" t="str">
        <v>Training</v>
      </c>
      <c r="F28">
        <v>116767.63</v>
      </c>
      <c r="G28" t="str">
        <v>Above 100k</v>
      </c>
      <c r="H28" s="43">
        <v>43949</v>
      </c>
      <c r="I28">
        <v>0.4</v>
      </c>
      <c r="J28" t="str">
        <v>Temporary</v>
      </c>
      <c r="K28" t="str">
        <v>Chennai, India</v>
      </c>
      <c r="L28">
        <v>4.1506849315068495</v>
      </c>
      <c r="M28" t="str">
        <v>Part time</v>
      </c>
    </row>
    <row r="29" spans="1:13" x14ac:dyDescent="0.25">
      <c r="A29" t="str">
        <v>VT04552</v>
      </c>
      <c r="B29" t="str">
        <v>Theresita</v>
      </c>
      <c r="C29" t="str">
        <v>Chasmer</v>
      </c>
      <c r="D29" t="str">
        <v>Female</v>
      </c>
      <c r="E29" t="str">
        <v>Product Management</v>
      </c>
      <c r="F29">
        <v>106665.67</v>
      </c>
      <c r="G29" t="str">
        <v>Above 100k</v>
      </c>
      <c r="H29" s="43">
        <v>43311</v>
      </c>
      <c r="I29">
        <v>1</v>
      </c>
      <c r="J29" t="str">
        <v>Temporary</v>
      </c>
      <c r="K29" t="str">
        <v>Columbus, USA</v>
      </c>
      <c r="L29">
        <v>5.8986301369863012</v>
      </c>
      <c r="M29" t="str">
        <v>Full time</v>
      </c>
    </row>
    <row r="30" spans="1:13" x14ac:dyDescent="0.25">
      <c r="A30" t="str">
        <v>VT04681</v>
      </c>
      <c r="B30" t="str">
        <v>Nickolai</v>
      </c>
      <c r="C30" t="str">
        <v>Artin</v>
      </c>
      <c r="D30" t="str">
        <v>Female</v>
      </c>
      <c r="E30" t="str">
        <v>Product Management</v>
      </c>
      <c r="F30">
        <v>110906.35</v>
      </c>
      <c r="G30" t="str">
        <v>Above 100k</v>
      </c>
      <c r="H30" s="43">
        <v>43434</v>
      </c>
      <c r="I30">
        <v>1</v>
      </c>
      <c r="J30" t="str">
        <v>Temporary</v>
      </c>
      <c r="K30" t="str">
        <v>Wellington, New Zealand</v>
      </c>
      <c r="L30">
        <v>5.5616438356164384</v>
      </c>
      <c r="M30" t="str">
        <v>Full time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52"/>
  <sheetViews>
    <sheetView zoomScale="73" workbookViewId="0">
      <selection activeCell="P5" sqref="P5"/>
    </sheetView>
  </sheetViews>
  <sheetFormatPr defaultRowHeight="15" x14ac:dyDescent="0.25"/>
  <cols>
    <col min="2" max="2" width="39.7109375" bestFit="1" customWidth="1"/>
    <col min="3" max="3" width="17.85546875" bestFit="1" customWidth="1"/>
    <col min="8" max="8" width="12" customWidth="1"/>
    <col min="12" max="12" width="12.140625" customWidth="1"/>
    <col min="13" max="13" width="11.5703125" customWidth="1"/>
    <col min="21" max="21" width="14.85546875" customWidth="1"/>
  </cols>
  <sheetData>
    <row r="1" spans="2:21" ht="20.25" thickBot="1" x14ac:dyDescent="0.35">
      <c r="B1" s="25" t="s">
        <v>773</v>
      </c>
      <c r="C1" s="25" t="s">
        <v>772</v>
      </c>
      <c r="P1" s="25" t="s">
        <v>777</v>
      </c>
    </row>
    <row r="2" spans="2:21" ht="21" thickTop="1" thickBot="1" x14ac:dyDescent="0.35">
      <c r="B2" s="25" t="s">
        <v>774</v>
      </c>
      <c r="C2" s="25"/>
      <c r="D2">
        <v>100000</v>
      </c>
      <c r="P2" s="28" t="str" cm="1">
        <f t="array" ref="P2:U2">_xlfn.CHOOSECOLS(staff[#Headers],1,2,3,4,5,6)</f>
        <v>Emp ID</v>
      </c>
      <c r="Q2" s="28" t="str">
        <v>First Name</v>
      </c>
      <c r="R2" s="28" t="str">
        <v>Last Name</v>
      </c>
      <c r="S2" s="28" t="str">
        <v>Gender</v>
      </c>
      <c r="T2" s="28" t="str">
        <v>Department</v>
      </c>
      <c r="U2" s="28" t="str">
        <v>Salary</v>
      </c>
    </row>
    <row r="3" spans="2:21" ht="15.75" thickTop="1" x14ac:dyDescent="0.2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P3" t="str" cm="1">
        <f t="array" ref="P3:U20">_xlfn.CHOOSECOLS(_xlfn._xlws.FILTER(staff[], (staff[Gender]="Female")*(staff[Salary]&gt;100000)),1,2,3,4,5,6)</f>
        <v>PR00746</v>
      </c>
      <c r="Q3" t="str">
        <v>Hogan</v>
      </c>
      <c r="R3" t="str">
        <v>Iles</v>
      </c>
      <c r="S3" t="str">
        <v>Female</v>
      </c>
      <c r="T3" t="str">
        <v>Accounting</v>
      </c>
      <c r="U3" s="26">
        <v>114177.23</v>
      </c>
    </row>
    <row r="4" spans="2:21" x14ac:dyDescent="0.25">
      <c r="P4" t="str">
        <v>PR02208</v>
      </c>
      <c r="Q4" t="str">
        <v>Gowri</v>
      </c>
      <c r="R4" t="str">
        <v>Sankar</v>
      </c>
      <c r="S4" t="str">
        <v>Female</v>
      </c>
      <c r="T4" t="str">
        <v>Training</v>
      </c>
      <c r="U4" s="26">
        <v>102934.09</v>
      </c>
    </row>
    <row r="5" spans="2:21" x14ac:dyDescent="0.25">
      <c r="B5" s="28" t="str" cm="1">
        <f t="array" ref="B5:N5">staff[#Headers]</f>
        <v>Emp ID</v>
      </c>
      <c r="C5" s="28" t="str">
        <v>First Name</v>
      </c>
      <c r="D5" s="28" t="str">
        <v>Last Name</v>
      </c>
      <c r="E5" s="28" t="str">
        <v>Gender</v>
      </c>
      <c r="F5" s="28" t="str">
        <v>Department</v>
      </c>
      <c r="G5" s="28" t="str">
        <v>Salary</v>
      </c>
      <c r="H5" s="28" t="str">
        <v>Salary Bucket</v>
      </c>
      <c r="I5" s="28" t="str">
        <v>Start Date</v>
      </c>
      <c r="J5" s="28" t="str">
        <v>FTE</v>
      </c>
      <c r="K5" s="28" t="str">
        <v>Employee type</v>
      </c>
      <c r="L5" s="28" t="str">
        <v>Work location</v>
      </c>
      <c r="M5" s="28" t="str">
        <v>Tenure</v>
      </c>
      <c r="N5" s="28" t="str">
        <v>Work Type</v>
      </c>
      <c r="P5" t="str">
        <v>SQ00498</v>
      </c>
      <c r="Q5" t="str">
        <v>Amery</v>
      </c>
      <c r="R5" t="str">
        <v>Ofer</v>
      </c>
      <c r="S5" t="str">
        <v>Female</v>
      </c>
      <c r="T5" t="str">
        <v>Legal</v>
      </c>
      <c r="U5" s="26">
        <v>111049.84</v>
      </c>
    </row>
    <row r="6" spans="2:21" x14ac:dyDescent="0.25">
      <c r="B6" t="str" cm="1">
        <f t="array" ref="B6:N52">_xlfn._xlws.FILTER(staff[],staff[Salary]&gt; 100000)</f>
        <v>PR00147</v>
      </c>
      <c r="C6" t="str">
        <v>Minerva</v>
      </c>
      <c r="D6" t="str">
        <v>Ricardot</v>
      </c>
      <c r="E6" t="str">
        <v>Male</v>
      </c>
      <c r="F6" t="str">
        <v>Engineering</v>
      </c>
      <c r="G6">
        <v>120000</v>
      </c>
      <c r="H6" t="str">
        <v>Above 100k</v>
      </c>
      <c r="I6">
        <v>43416</v>
      </c>
      <c r="J6">
        <v>1</v>
      </c>
      <c r="K6" t="str">
        <v>Permanent</v>
      </c>
      <c r="L6" t="str">
        <v>Remote</v>
      </c>
      <c r="M6">
        <v>5.6109589041095891</v>
      </c>
      <c r="N6" t="str">
        <v>Full time</v>
      </c>
      <c r="P6" t="str">
        <v>SQ02174</v>
      </c>
      <c r="Q6" t="str">
        <v>Sidoney</v>
      </c>
      <c r="R6" t="str">
        <v>Yitzhok</v>
      </c>
      <c r="S6" t="str">
        <v>Female</v>
      </c>
      <c r="T6" t="str">
        <v>Engineering</v>
      </c>
      <c r="U6" s="26">
        <v>118442.54</v>
      </c>
    </row>
    <row r="7" spans="2:21" x14ac:dyDescent="0.25">
      <c r="B7" t="str">
        <v>PR00746</v>
      </c>
      <c r="C7" t="str">
        <v>Hogan</v>
      </c>
      <c r="D7" t="str">
        <v>Iles</v>
      </c>
      <c r="E7" t="str">
        <v>Female</v>
      </c>
      <c r="F7" t="str">
        <v>Accounting</v>
      </c>
      <c r="G7">
        <v>114177.23</v>
      </c>
      <c r="H7" t="str">
        <v>Above 100k</v>
      </c>
      <c r="I7">
        <v>43908</v>
      </c>
      <c r="J7">
        <v>1</v>
      </c>
      <c r="K7" t="str">
        <v>Permanent</v>
      </c>
      <c r="L7" t="str">
        <v>Wellington, New Zealand</v>
      </c>
      <c r="M7">
        <v>4.2630136986301368</v>
      </c>
      <c r="N7" t="str">
        <v>Full time</v>
      </c>
      <c r="P7" t="str">
        <v>SQ02624</v>
      </c>
      <c r="Q7" t="str">
        <v>Gwenneth</v>
      </c>
      <c r="R7" t="str">
        <v>Fealey</v>
      </c>
      <c r="S7" t="str">
        <v>Female</v>
      </c>
      <c r="T7" t="str">
        <v>Engineering</v>
      </c>
      <c r="U7" s="26">
        <v>114772.32</v>
      </c>
    </row>
    <row r="8" spans="2:21" x14ac:dyDescent="0.25">
      <c r="B8" t="str">
        <v>PR01159</v>
      </c>
      <c r="C8" t="str">
        <v>Mollie</v>
      </c>
      <c r="D8" t="str">
        <v>Hanway</v>
      </c>
      <c r="E8" t="str">
        <v>Male</v>
      </c>
      <c r="F8" t="str">
        <v>Engineering</v>
      </c>
      <c r="G8">
        <v>112645.99</v>
      </c>
      <c r="H8" t="str">
        <v>Above 100k</v>
      </c>
      <c r="I8">
        <v>43759</v>
      </c>
      <c r="J8">
        <v>0.6</v>
      </c>
      <c r="K8" t="str">
        <v>Permanent</v>
      </c>
      <c r="L8" t="str">
        <v>Seattle, USA</v>
      </c>
      <c r="M8">
        <v>4.6712328767123283</v>
      </c>
      <c r="N8" t="str">
        <v>Part time</v>
      </c>
      <c r="P8" t="str">
        <v>SQ02703</v>
      </c>
      <c r="Q8" t="str">
        <v>Deepit</v>
      </c>
      <c r="R8" t="str">
        <v>Ranjana</v>
      </c>
      <c r="S8" t="str">
        <v>Female</v>
      </c>
      <c r="T8" t="str">
        <v>Marketing</v>
      </c>
      <c r="U8" s="26">
        <v>104903.79</v>
      </c>
    </row>
    <row r="9" spans="2:21" x14ac:dyDescent="0.25">
      <c r="B9" t="str">
        <v>PR02010</v>
      </c>
      <c r="C9" t="str">
        <v>Prerana</v>
      </c>
      <c r="D9" t="str">
        <v>Nishita</v>
      </c>
      <c r="E9" t="str">
        <v>Male</v>
      </c>
      <c r="F9" t="str">
        <v>Product Management</v>
      </c>
      <c r="G9">
        <v>115191.38</v>
      </c>
      <c r="H9" t="str">
        <v>Above 100k</v>
      </c>
      <c r="I9">
        <v>44004</v>
      </c>
      <c r="J9">
        <v>1</v>
      </c>
      <c r="K9" t="str">
        <v>Permanent</v>
      </c>
      <c r="L9" t="str">
        <v>Hyderabad, India</v>
      </c>
      <c r="M9">
        <v>4</v>
      </c>
      <c r="N9" t="str">
        <v>Full time</v>
      </c>
      <c r="P9" t="str">
        <v>SQ03387</v>
      </c>
      <c r="Q9" t="str">
        <v>Robinia</v>
      </c>
      <c r="R9" t="str">
        <v>Scholling</v>
      </c>
      <c r="S9" t="str">
        <v>Female</v>
      </c>
      <c r="T9" t="str">
        <v>Human Resources</v>
      </c>
      <c r="U9" s="26">
        <v>100731.95</v>
      </c>
    </row>
    <row r="10" spans="2:21" x14ac:dyDescent="0.25">
      <c r="B10" t="str">
        <v>PR02208</v>
      </c>
      <c r="C10" t="str">
        <v>Gowri</v>
      </c>
      <c r="D10" t="str">
        <v>Sankar</v>
      </c>
      <c r="E10" t="str">
        <v>Female</v>
      </c>
      <c r="F10" t="str">
        <v>Training</v>
      </c>
      <c r="G10">
        <v>102934.09</v>
      </c>
      <c r="H10" t="str">
        <v>Above 100k</v>
      </c>
      <c r="I10">
        <v>44315</v>
      </c>
      <c r="J10">
        <v>1</v>
      </c>
      <c r="K10" t="str">
        <v>Permanent</v>
      </c>
      <c r="L10" t="str">
        <v>Hyderabad, India</v>
      </c>
      <c r="M10">
        <v>3.1479452054794521</v>
      </c>
      <c r="N10" t="str">
        <v>Full time</v>
      </c>
      <c r="P10" t="str">
        <v>SQ03491</v>
      </c>
      <c r="Q10" t="str">
        <v>Freda</v>
      </c>
      <c r="R10" t="str">
        <v>Legan</v>
      </c>
      <c r="S10" t="str">
        <v>Female</v>
      </c>
      <c r="T10" t="str">
        <v>Sales</v>
      </c>
      <c r="U10" s="26">
        <v>102129.37</v>
      </c>
    </row>
    <row r="11" spans="2:21" x14ac:dyDescent="0.25">
      <c r="B11" t="str">
        <v>PR02288</v>
      </c>
      <c r="C11" t="str">
        <v>Althea</v>
      </c>
      <c r="D11" t="str">
        <v>Bronger</v>
      </c>
      <c r="E11" t="str">
        <v>Male</v>
      </c>
      <c r="F11" t="str">
        <v>Product Management</v>
      </c>
      <c r="G11">
        <v>104335.03999999999</v>
      </c>
      <c r="H11" t="str">
        <v>Above 100k</v>
      </c>
      <c r="I11">
        <v>43874</v>
      </c>
      <c r="J11">
        <v>1</v>
      </c>
      <c r="K11" t="str">
        <v>Permanent</v>
      </c>
      <c r="L11" t="str">
        <v>Columbus, USA</v>
      </c>
      <c r="M11">
        <v>4.3561643835616435</v>
      </c>
      <c r="N11" t="str">
        <v>Full time</v>
      </c>
      <c r="P11" t="str">
        <v>SQ04612</v>
      </c>
      <c r="Q11" t="str">
        <v>Mick</v>
      </c>
      <c r="R11" t="str">
        <v>Spraberry</v>
      </c>
      <c r="S11" t="str">
        <v>Female</v>
      </c>
      <c r="T11" t="str">
        <v>Services</v>
      </c>
      <c r="U11" s="26">
        <v>120000</v>
      </c>
    </row>
    <row r="12" spans="2:21" x14ac:dyDescent="0.25">
      <c r="B12" t="str">
        <v>PR03886</v>
      </c>
      <c r="C12" t="str">
        <v>Edd</v>
      </c>
      <c r="D12" t="str">
        <v>MacKnockiter</v>
      </c>
      <c r="E12" t="str">
        <v>Male</v>
      </c>
      <c r="F12" t="str">
        <v>Accounting</v>
      </c>
      <c r="G12">
        <v>119022.49</v>
      </c>
      <c r="H12" t="str">
        <v>Above 100k</v>
      </c>
      <c r="I12">
        <v>44431</v>
      </c>
      <c r="J12">
        <v>1</v>
      </c>
      <c r="K12" t="str">
        <v>Permanent</v>
      </c>
      <c r="L12" t="str">
        <v>Auckland, New Zealand</v>
      </c>
      <c r="M12">
        <v>2.8301369863013699</v>
      </c>
      <c r="N12" t="str">
        <v>Full time</v>
      </c>
      <c r="P12" t="str">
        <v>TN00579</v>
      </c>
      <c r="Q12" t="str">
        <v>Rafaelita</v>
      </c>
      <c r="R12" t="str">
        <v>Blaksland</v>
      </c>
      <c r="S12" t="str">
        <v>Female</v>
      </c>
      <c r="T12" t="str">
        <v>Services</v>
      </c>
      <c r="U12" s="26">
        <v>109163.39</v>
      </c>
    </row>
    <row r="13" spans="2:21" x14ac:dyDescent="0.25">
      <c r="B13" t="str">
        <v>PR04601</v>
      </c>
      <c r="C13" t="str">
        <v>Yedukondalu</v>
      </c>
      <c r="D13" t="str">
        <v>Panditula</v>
      </c>
      <c r="E13" t="str">
        <v>Need to check</v>
      </c>
      <c r="F13" t="str">
        <v>Support</v>
      </c>
      <c r="G13">
        <v>104802.63</v>
      </c>
      <c r="H13" t="str">
        <v>Above 100k</v>
      </c>
      <c r="I13">
        <v>44502</v>
      </c>
      <c r="J13">
        <v>1</v>
      </c>
      <c r="K13" t="str">
        <v>Permanent</v>
      </c>
      <c r="L13" t="str">
        <v>Hyderabad, India</v>
      </c>
      <c r="M13">
        <v>2.6356164383561644</v>
      </c>
      <c r="N13" t="str">
        <v>Full time</v>
      </c>
      <c r="P13" t="str">
        <v>TN01281</v>
      </c>
      <c r="Q13" t="str">
        <v>Cletus</v>
      </c>
      <c r="R13" t="str">
        <v>McGarahan</v>
      </c>
      <c r="S13" t="str">
        <v>Female</v>
      </c>
      <c r="T13" t="str">
        <v>Engineering</v>
      </c>
      <c r="U13" s="26">
        <v>114425.19</v>
      </c>
    </row>
    <row r="14" spans="2:21" x14ac:dyDescent="0.25">
      <c r="B14" t="str">
        <v>SQ00022</v>
      </c>
      <c r="C14" t="str">
        <v>Carlin</v>
      </c>
      <c r="D14" t="str">
        <v>Demke</v>
      </c>
      <c r="E14" t="str">
        <v>Male</v>
      </c>
      <c r="F14" t="str">
        <v>Business Development</v>
      </c>
      <c r="G14">
        <v>110042.37</v>
      </c>
      <c r="H14" t="str">
        <v>Above 100k</v>
      </c>
      <c r="I14">
        <v>43914</v>
      </c>
      <c r="J14">
        <v>1</v>
      </c>
      <c r="K14" t="str">
        <v>Permanent</v>
      </c>
      <c r="L14" t="str">
        <v>Columbus, USA</v>
      </c>
      <c r="M14">
        <v>4.2465753424657535</v>
      </c>
      <c r="N14" t="str">
        <v>Full time</v>
      </c>
      <c r="P14" t="str">
        <v>TN04246</v>
      </c>
      <c r="Q14" t="str">
        <v>Shaylyn</v>
      </c>
      <c r="R14" t="str">
        <v>Ransbury</v>
      </c>
      <c r="S14" t="str">
        <v>Female</v>
      </c>
      <c r="T14" t="str">
        <v>Support</v>
      </c>
      <c r="U14" s="26">
        <v>100371.31</v>
      </c>
    </row>
    <row r="15" spans="2:21" x14ac:dyDescent="0.25">
      <c r="B15" t="str">
        <v>SQ00144</v>
      </c>
      <c r="C15" t="str">
        <v>Collen</v>
      </c>
      <c r="D15" t="str">
        <v>Dunbleton</v>
      </c>
      <c r="E15" t="str">
        <v>Male</v>
      </c>
      <c r="F15" t="str">
        <v>Engineering</v>
      </c>
      <c r="G15">
        <v>118976.16</v>
      </c>
      <c r="H15" t="str">
        <v>Above 100k</v>
      </c>
      <c r="I15">
        <v>44120</v>
      </c>
      <c r="J15">
        <v>1</v>
      </c>
      <c r="K15" t="str">
        <v>Permanent</v>
      </c>
      <c r="L15" t="str">
        <v>Wellington, New Zealand</v>
      </c>
      <c r="M15">
        <v>3.6821917808219178</v>
      </c>
      <c r="N15" t="str">
        <v>Full time</v>
      </c>
      <c r="P15" t="str">
        <v>TN04740</v>
      </c>
      <c r="Q15" t="str">
        <v>Tristam</v>
      </c>
      <c r="R15" t="str">
        <v>Cuming</v>
      </c>
      <c r="S15" t="str">
        <v>Female</v>
      </c>
      <c r="T15" t="str">
        <v>Support</v>
      </c>
      <c r="U15" s="26">
        <v>104038.9</v>
      </c>
    </row>
    <row r="16" spans="2:21" x14ac:dyDescent="0.25">
      <c r="B16" t="str">
        <v>SQ00498</v>
      </c>
      <c r="C16" t="str">
        <v>Amery</v>
      </c>
      <c r="D16" t="str">
        <v>Ofer</v>
      </c>
      <c r="E16" t="str">
        <v>Female</v>
      </c>
      <c r="F16" t="str">
        <v>Legal</v>
      </c>
      <c r="G16">
        <v>111049.84</v>
      </c>
      <c r="H16" t="str">
        <v>Above 100k</v>
      </c>
      <c r="I16">
        <v>44393</v>
      </c>
      <c r="J16">
        <v>1</v>
      </c>
      <c r="K16" t="str">
        <v>Permanent</v>
      </c>
      <c r="L16" t="str">
        <v>Wellington, New Zealand</v>
      </c>
      <c r="M16">
        <v>2.9342465753424656</v>
      </c>
      <c r="N16" t="str">
        <v>Full time</v>
      </c>
      <c r="P16" t="str">
        <v>VT01684</v>
      </c>
      <c r="Q16" t="str">
        <v>Audry</v>
      </c>
      <c r="R16" t="str">
        <v>Yu</v>
      </c>
      <c r="S16" t="str">
        <v>Female</v>
      </c>
      <c r="T16" t="str">
        <v>Training</v>
      </c>
      <c r="U16" s="26">
        <v>101187.36</v>
      </c>
    </row>
    <row r="17" spans="2:21" x14ac:dyDescent="0.25">
      <c r="B17" t="str">
        <v>SQ01620</v>
      </c>
      <c r="C17" t="str">
        <v>Westbrook</v>
      </c>
      <c r="D17" t="str">
        <v>Brandino</v>
      </c>
      <c r="E17" t="str">
        <v>Male</v>
      </c>
      <c r="F17" t="str">
        <v>Legal</v>
      </c>
      <c r="G17">
        <v>113616.23</v>
      </c>
      <c r="H17" t="str">
        <v>Above 100k</v>
      </c>
      <c r="I17">
        <v>43255</v>
      </c>
      <c r="J17">
        <v>1</v>
      </c>
      <c r="K17" t="str">
        <v>Permanent</v>
      </c>
      <c r="L17" t="str">
        <v>Remote</v>
      </c>
      <c r="M17">
        <v>6.0520547945205481</v>
      </c>
      <c r="N17" t="str">
        <v>Full time</v>
      </c>
      <c r="P17" t="str">
        <v>VT04093</v>
      </c>
      <c r="Q17" t="str">
        <v>Prasanna</v>
      </c>
      <c r="R17" t="str">
        <v>Lakshmi</v>
      </c>
      <c r="S17" t="str">
        <v>Female</v>
      </c>
      <c r="T17" t="str">
        <v>Training</v>
      </c>
      <c r="U17" s="26">
        <v>116767.63</v>
      </c>
    </row>
    <row r="18" spans="2:21" x14ac:dyDescent="0.25">
      <c r="B18" t="str">
        <v>SQ02035</v>
      </c>
      <c r="C18" t="str">
        <v>Anni</v>
      </c>
      <c r="D18" t="str">
        <v>Izzard</v>
      </c>
      <c r="E18" t="str">
        <v>Male</v>
      </c>
      <c r="F18" t="str">
        <v>Human Resources</v>
      </c>
      <c r="G18">
        <v>103494.94</v>
      </c>
      <c r="H18" t="str">
        <v>Above 100k</v>
      </c>
      <c r="I18">
        <v>43256</v>
      </c>
      <c r="J18">
        <v>1</v>
      </c>
      <c r="K18" t="str">
        <v>Permanent</v>
      </c>
      <c r="L18" t="str">
        <v>Remote</v>
      </c>
      <c r="M18">
        <v>6.0493150684931507</v>
      </c>
      <c r="N18" t="str">
        <v>Full time</v>
      </c>
      <c r="P18" t="str">
        <v>VT04093</v>
      </c>
      <c r="Q18" t="str">
        <v>Baruna</v>
      </c>
      <c r="R18" t="str">
        <v>Ogale</v>
      </c>
      <c r="S18" t="str">
        <v>Female</v>
      </c>
      <c r="T18" t="str">
        <v>Training</v>
      </c>
      <c r="U18" s="26">
        <v>116767.63</v>
      </c>
    </row>
    <row r="19" spans="2:21" x14ac:dyDescent="0.25">
      <c r="B19" t="str">
        <v>SQ02035</v>
      </c>
      <c r="C19" t="str">
        <v>Anni</v>
      </c>
      <c r="D19" t="str">
        <v>Izzard</v>
      </c>
      <c r="E19" t="str">
        <v>Male</v>
      </c>
      <c r="F19" t="str">
        <v>Human Resources</v>
      </c>
      <c r="G19">
        <v>103494.94</v>
      </c>
      <c r="H19" t="str">
        <v>Above 100k</v>
      </c>
      <c r="I19">
        <v>43256</v>
      </c>
      <c r="J19">
        <v>1</v>
      </c>
      <c r="K19" t="str">
        <v>Permanent</v>
      </c>
      <c r="L19" t="str">
        <v>Remote</v>
      </c>
      <c r="M19">
        <v>6.0493150684931507</v>
      </c>
      <c r="N19" t="str">
        <v>Full time</v>
      </c>
      <c r="P19" t="str">
        <v>VT04552</v>
      </c>
      <c r="Q19" t="str">
        <v>Theresita</v>
      </c>
      <c r="R19" t="str">
        <v>Chasmer</v>
      </c>
      <c r="S19" t="str">
        <v>Female</v>
      </c>
      <c r="T19" t="str">
        <v>Product Management</v>
      </c>
      <c r="U19" s="26">
        <v>106665.67</v>
      </c>
    </row>
    <row r="20" spans="2:21" x14ac:dyDescent="0.25">
      <c r="B20" t="str">
        <v>SQ02174</v>
      </c>
      <c r="C20" t="str">
        <v>Sidoney</v>
      </c>
      <c r="D20" t="str">
        <v>Yitzhok</v>
      </c>
      <c r="E20" t="str">
        <v>Female</v>
      </c>
      <c r="F20" t="str">
        <v>Engineering</v>
      </c>
      <c r="G20">
        <v>118442.54</v>
      </c>
      <c r="H20" t="str">
        <v>Above 100k</v>
      </c>
      <c r="I20">
        <v>44193</v>
      </c>
      <c r="J20">
        <v>1</v>
      </c>
      <c r="K20" t="str">
        <v>Permanent</v>
      </c>
      <c r="L20" t="str">
        <v>Auckland, New Zealand</v>
      </c>
      <c r="M20">
        <v>3.4821917808219176</v>
      </c>
      <c r="N20" t="str">
        <v>Full time</v>
      </c>
      <c r="P20" t="str">
        <v>VT04681</v>
      </c>
      <c r="Q20" t="str">
        <v>Nickolai</v>
      </c>
      <c r="R20" t="str">
        <v>Artin</v>
      </c>
      <c r="S20" t="str">
        <v>Female</v>
      </c>
      <c r="T20" t="str">
        <v>Product Management</v>
      </c>
      <c r="U20" s="26">
        <v>110906.35</v>
      </c>
    </row>
    <row r="21" spans="2:21" x14ac:dyDescent="0.25">
      <c r="B21" t="str">
        <v>SQ02624</v>
      </c>
      <c r="C21" t="str">
        <v>Gwenneth</v>
      </c>
      <c r="D21" t="str">
        <v>Fealey</v>
      </c>
      <c r="E21" t="str">
        <v>Female</v>
      </c>
      <c r="F21" t="str">
        <v>Engineering</v>
      </c>
      <c r="G21">
        <v>114772.32</v>
      </c>
      <c r="H21" t="str">
        <v>Above 100k</v>
      </c>
      <c r="I21">
        <v>44251</v>
      </c>
      <c r="J21">
        <v>1</v>
      </c>
      <c r="K21" t="str">
        <v>Permanent</v>
      </c>
      <c r="L21" t="str">
        <v>Columbus, USA</v>
      </c>
      <c r="M21">
        <v>3.3232876712328765</v>
      </c>
      <c r="N21" t="str">
        <v>Full time</v>
      </c>
    </row>
    <row r="22" spans="2:21" x14ac:dyDescent="0.25">
      <c r="B22" t="str">
        <v>SQ02703</v>
      </c>
      <c r="C22" t="str">
        <v>Deepit</v>
      </c>
      <c r="D22" t="str">
        <v>Ranjana</v>
      </c>
      <c r="E22" t="str">
        <v>Female</v>
      </c>
      <c r="F22" t="str">
        <v>Marketing</v>
      </c>
      <c r="G22">
        <v>104903.79</v>
      </c>
      <c r="H22" t="str">
        <v>Above 100k</v>
      </c>
      <c r="I22">
        <v>43649</v>
      </c>
      <c r="J22">
        <v>1</v>
      </c>
      <c r="K22" t="str">
        <v>Permanent</v>
      </c>
      <c r="L22" t="str">
        <v>Chennai, India</v>
      </c>
      <c r="M22">
        <v>4.9726027397260273</v>
      </c>
      <c r="N22" t="str">
        <v>Full time</v>
      </c>
    </row>
    <row r="23" spans="2:21" x14ac:dyDescent="0.25">
      <c r="B23" t="str">
        <v>SQ03116</v>
      </c>
      <c r="C23" t="str">
        <v>Syd</v>
      </c>
      <c r="D23" t="str">
        <v>Fearn</v>
      </c>
      <c r="E23" t="str">
        <v>Male</v>
      </c>
      <c r="F23" t="str">
        <v>Engineering</v>
      </c>
      <c r="G23">
        <v>108872.77</v>
      </c>
      <c r="H23" t="str">
        <v>Above 100k</v>
      </c>
      <c r="I23">
        <v>43521</v>
      </c>
      <c r="J23">
        <v>1</v>
      </c>
      <c r="K23" t="str">
        <v>Permanent</v>
      </c>
      <c r="L23" t="str">
        <v>Remote</v>
      </c>
      <c r="M23">
        <v>5.3232876712328769</v>
      </c>
      <c r="N23" t="str">
        <v>Full time</v>
      </c>
    </row>
    <row r="24" spans="2:21" x14ac:dyDescent="0.25">
      <c r="B24" t="str">
        <v>SQ03387</v>
      </c>
      <c r="C24" t="str">
        <v>Robinia</v>
      </c>
      <c r="D24" t="str">
        <v>Scholling</v>
      </c>
      <c r="E24" t="str">
        <v>Female</v>
      </c>
      <c r="F24" t="str">
        <v>Human Resources</v>
      </c>
      <c r="G24">
        <v>100731.95</v>
      </c>
      <c r="H24" t="str">
        <v>Above 100k</v>
      </c>
      <c r="I24">
        <v>43936</v>
      </c>
      <c r="J24">
        <v>1</v>
      </c>
      <c r="K24" t="str">
        <v>Permanent</v>
      </c>
      <c r="L24" t="str">
        <v>Auckland, New Zealand</v>
      </c>
      <c r="M24">
        <v>4.1863013698630134</v>
      </c>
      <c r="N24" t="str">
        <v>Full time</v>
      </c>
    </row>
    <row r="25" spans="2:21" x14ac:dyDescent="0.25">
      <c r="B25" t="str">
        <v>SQ03476</v>
      </c>
      <c r="C25" t="str">
        <v>Ramalingam</v>
      </c>
      <c r="D25" t="str">
        <v>Kothapeta</v>
      </c>
      <c r="E25" t="str">
        <v>Need to check</v>
      </c>
      <c r="F25" t="str">
        <v>Accounting</v>
      </c>
      <c r="G25">
        <v>107107.6</v>
      </c>
      <c r="H25" t="str">
        <v>Above 100k</v>
      </c>
      <c r="I25">
        <v>43325</v>
      </c>
      <c r="J25">
        <v>0.9</v>
      </c>
      <c r="K25" t="str">
        <v>Permanent</v>
      </c>
      <c r="L25" t="str">
        <v>Chennai, India</v>
      </c>
      <c r="M25">
        <v>5.86027397260274</v>
      </c>
      <c r="N25" t="str">
        <v>Part time</v>
      </c>
    </row>
    <row r="26" spans="2:21" x14ac:dyDescent="0.25">
      <c r="B26" t="str">
        <v>SQ03491</v>
      </c>
      <c r="C26" t="str">
        <v>Freda</v>
      </c>
      <c r="D26" t="str">
        <v>Legan</v>
      </c>
      <c r="E26" t="str">
        <v>Female</v>
      </c>
      <c r="F26" t="str">
        <v>Sales</v>
      </c>
      <c r="G26">
        <v>102129.37</v>
      </c>
      <c r="H26" t="str">
        <v>Above 100k</v>
      </c>
      <c r="I26">
        <v>44396</v>
      </c>
      <c r="J26">
        <v>1</v>
      </c>
      <c r="K26" t="str">
        <v>Permanent</v>
      </c>
      <c r="L26" t="str">
        <v>Columbus, USA</v>
      </c>
      <c r="M26">
        <v>2.9260273972602739</v>
      </c>
      <c r="N26" t="str">
        <v>Full time</v>
      </c>
    </row>
    <row r="27" spans="2:21" x14ac:dyDescent="0.25">
      <c r="B27" t="str">
        <v>SQ03733</v>
      </c>
      <c r="C27" t="str">
        <v>Revkah</v>
      </c>
      <c r="D27" t="str">
        <v>Antonacci</v>
      </c>
      <c r="E27" t="str">
        <v>Male</v>
      </c>
      <c r="F27" t="str">
        <v>Engineering</v>
      </c>
      <c r="G27">
        <v>109143.17</v>
      </c>
      <c r="H27" t="str">
        <v>Above 100k</v>
      </c>
      <c r="I27">
        <v>43945</v>
      </c>
      <c r="J27">
        <v>1</v>
      </c>
      <c r="K27" t="str">
        <v>Permanent</v>
      </c>
      <c r="L27" t="str">
        <v>Wellington, New Zealand</v>
      </c>
      <c r="M27">
        <v>4.161643835616438</v>
      </c>
      <c r="N27" t="str">
        <v>Full time</v>
      </c>
    </row>
    <row r="28" spans="2:21" x14ac:dyDescent="0.25">
      <c r="B28" t="str">
        <v>SQ04603</v>
      </c>
      <c r="C28" t="str">
        <v>Natalee</v>
      </c>
      <c r="D28" t="str">
        <v>Craiker</v>
      </c>
      <c r="E28" t="str">
        <v>Male</v>
      </c>
      <c r="F28" t="str">
        <v>Product Management</v>
      </c>
      <c r="G28">
        <v>111229.47</v>
      </c>
      <c r="H28" t="str">
        <v>Above 100k</v>
      </c>
      <c r="I28">
        <v>43402</v>
      </c>
      <c r="J28">
        <v>1</v>
      </c>
      <c r="K28" t="str">
        <v>Permanent</v>
      </c>
      <c r="L28" t="str">
        <v>Remote</v>
      </c>
      <c r="M28">
        <v>5.6493150684931503</v>
      </c>
      <c r="N28" t="str">
        <v>Full time</v>
      </c>
    </row>
    <row r="29" spans="2:21" x14ac:dyDescent="0.25">
      <c r="B29" t="str">
        <v>SQ04612</v>
      </c>
      <c r="C29" t="str">
        <v>Mick</v>
      </c>
      <c r="D29" t="str">
        <v>Spraberry</v>
      </c>
      <c r="E29" t="str">
        <v>Female</v>
      </c>
      <c r="F29" t="str">
        <v>Services</v>
      </c>
      <c r="G29">
        <v>120000</v>
      </c>
      <c r="H29" t="str">
        <v>Above 100k</v>
      </c>
      <c r="I29">
        <v>43902</v>
      </c>
      <c r="J29">
        <v>0.9</v>
      </c>
      <c r="K29" t="str">
        <v>Permanent</v>
      </c>
      <c r="L29" t="str">
        <v>Remote</v>
      </c>
      <c r="M29">
        <v>4.279452054794521</v>
      </c>
      <c r="N29" t="str">
        <v>Part time</v>
      </c>
    </row>
    <row r="30" spans="2:21" x14ac:dyDescent="0.25">
      <c r="B30" t="str">
        <v>SQ04665</v>
      </c>
      <c r="C30" t="str">
        <v>Collin</v>
      </c>
      <c r="D30" t="str">
        <v>Jagson</v>
      </c>
      <c r="E30" t="str">
        <v>Male</v>
      </c>
      <c r="F30" t="str">
        <v>Services</v>
      </c>
      <c r="G30">
        <v>100424.23</v>
      </c>
      <c r="H30" t="str">
        <v>Above 100k</v>
      </c>
      <c r="I30">
        <v>43801</v>
      </c>
      <c r="J30">
        <v>1</v>
      </c>
      <c r="K30" t="str">
        <v>Permanent</v>
      </c>
      <c r="L30" t="str">
        <v>Auckland, New Zealand</v>
      </c>
      <c r="M30">
        <v>4.5561643835616437</v>
      </c>
      <c r="N30" t="str">
        <v>Full time</v>
      </c>
    </row>
    <row r="31" spans="2:21" x14ac:dyDescent="0.25">
      <c r="B31" t="str">
        <v>TN00579</v>
      </c>
      <c r="C31" t="str">
        <v>Rafaelita</v>
      </c>
      <c r="D31" t="str">
        <v>Blaksland</v>
      </c>
      <c r="E31" t="str">
        <v>Female</v>
      </c>
      <c r="F31" t="str">
        <v>Services</v>
      </c>
      <c r="G31">
        <v>109163.39</v>
      </c>
      <c r="H31" t="str">
        <v>Above 100k</v>
      </c>
      <c r="I31">
        <v>44019</v>
      </c>
      <c r="J31">
        <v>0.8</v>
      </c>
      <c r="K31" t="str">
        <v>Permanent</v>
      </c>
      <c r="L31" t="str">
        <v>Seattle, USA</v>
      </c>
      <c r="M31">
        <v>3.9589041095890409</v>
      </c>
      <c r="N31" t="str">
        <v>Part time</v>
      </c>
    </row>
    <row r="32" spans="2:21" x14ac:dyDescent="0.25">
      <c r="B32" t="str">
        <v>TN01281</v>
      </c>
      <c r="C32" t="str">
        <v>Cletus</v>
      </c>
      <c r="D32" t="str">
        <v>McGarahan</v>
      </c>
      <c r="E32" t="str">
        <v>Female</v>
      </c>
      <c r="F32" t="str">
        <v>Engineering</v>
      </c>
      <c r="G32">
        <v>114425.19</v>
      </c>
      <c r="H32" t="str">
        <v>Above 100k</v>
      </c>
      <c r="I32">
        <v>43857</v>
      </c>
      <c r="J32">
        <v>1</v>
      </c>
      <c r="K32" t="str">
        <v>Permanent</v>
      </c>
      <c r="L32" t="str">
        <v>Wellington, New Zealand</v>
      </c>
      <c r="M32">
        <v>4.4027397260273968</v>
      </c>
      <c r="N32" t="str">
        <v>Full time</v>
      </c>
    </row>
    <row r="33" spans="2:14" x14ac:dyDescent="0.25">
      <c r="B33" t="str">
        <v>TN04058</v>
      </c>
      <c r="C33" t="str">
        <v>Subbarao</v>
      </c>
      <c r="D33" t="str">
        <v>Malladi</v>
      </c>
      <c r="E33" t="str">
        <v>Male</v>
      </c>
      <c r="F33" t="str">
        <v>Product Management</v>
      </c>
      <c r="G33">
        <v>106775.14</v>
      </c>
      <c r="H33" t="str">
        <v>Above 100k</v>
      </c>
      <c r="I33">
        <v>43563</v>
      </c>
      <c r="J33">
        <v>1</v>
      </c>
      <c r="K33" t="str">
        <v>Fixed Term</v>
      </c>
      <c r="L33" t="str">
        <v>Hyderabad, India</v>
      </c>
      <c r="M33">
        <v>5.2082191780821914</v>
      </c>
      <c r="N33" t="str">
        <v>Full time</v>
      </c>
    </row>
    <row r="34" spans="2:14" x14ac:dyDescent="0.25">
      <c r="B34" t="str">
        <v>TN04058</v>
      </c>
      <c r="C34" t="str">
        <v>Vasu</v>
      </c>
      <c r="D34" t="str">
        <v>Nandin</v>
      </c>
      <c r="E34" t="str">
        <v>Male</v>
      </c>
      <c r="F34" t="str">
        <v>Product Management</v>
      </c>
      <c r="G34">
        <v>106775.14</v>
      </c>
      <c r="H34" t="str">
        <v>Above 100k</v>
      </c>
      <c r="I34">
        <v>43563</v>
      </c>
      <c r="J34">
        <v>1</v>
      </c>
      <c r="K34" t="str">
        <v>Fixed Term</v>
      </c>
      <c r="L34" t="str">
        <v>Hyderabad, India</v>
      </c>
      <c r="M34">
        <v>5.2082191780821914</v>
      </c>
      <c r="N34" t="str">
        <v>Full time</v>
      </c>
    </row>
    <row r="35" spans="2:14" x14ac:dyDescent="0.25">
      <c r="B35" t="str">
        <v>TN04246</v>
      </c>
      <c r="C35" t="str">
        <v>Shaylyn</v>
      </c>
      <c r="D35" t="str">
        <v>Ransbury</v>
      </c>
      <c r="E35" t="str">
        <v>Female</v>
      </c>
      <c r="F35" t="str">
        <v>Support</v>
      </c>
      <c r="G35">
        <v>100371.31</v>
      </c>
      <c r="H35" t="str">
        <v>Above 100k</v>
      </c>
      <c r="I35">
        <v>44067</v>
      </c>
      <c r="J35">
        <v>0.8</v>
      </c>
      <c r="K35" t="str">
        <v>Fixed Term</v>
      </c>
      <c r="L35" t="str">
        <v>Auckland, New Zealand</v>
      </c>
      <c r="M35">
        <v>3.8273972602739725</v>
      </c>
      <c r="N35" t="str">
        <v>Part time</v>
      </c>
    </row>
    <row r="36" spans="2:14" x14ac:dyDescent="0.25">
      <c r="B36" t="str">
        <v>TN04740</v>
      </c>
      <c r="C36" t="str">
        <v>Tristam</v>
      </c>
      <c r="D36" t="str">
        <v>Cuming</v>
      </c>
      <c r="E36" t="str">
        <v>Female</v>
      </c>
      <c r="F36" t="str">
        <v>Support</v>
      </c>
      <c r="G36">
        <v>104038.9</v>
      </c>
      <c r="H36" t="str">
        <v>Above 100k</v>
      </c>
      <c r="I36">
        <v>43815</v>
      </c>
      <c r="J36">
        <v>1</v>
      </c>
      <c r="K36" t="str">
        <v>Fixed Term</v>
      </c>
      <c r="L36" t="str">
        <v>Remote</v>
      </c>
      <c r="M36">
        <v>4.5178082191780824</v>
      </c>
      <c r="N36" t="str">
        <v>Full time</v>
      </c>
    </row>
    <row r="37" spans="2:14" x14ac:dyDescent="0.25">
      <c r="B37" t="str">
        <v>VT01684</v>
      </c>
      <c r="C37" t="str">
        <v>Audry</v>
      </c>
      <c r="D37" t="str">
        <v>Yu</v>
      </c>
      <c r="E37" t="str">
        <v>Female</v>
      </c>
      <c r="F37" t="str">
        <v>Training</v>
      </c>
      <c r="G37">
        <v>101187.36</v>
      </c>
      <c r="H37" t="str">
        <v>Above 100k</v>
      </c>
      <c r="I37">
        <v>43258</v>
      </c>
      <c r="J37">
        <v>1</v>
      </c>
      <c r="K37" t="str">
        <v>Fixed Term</v>
      </c>
      <c r="L37" t="str">
        <v>Columbus, USA</v>
      </c>
      <c r="M37">
        <v>6.043835616438356</v>
      </c>
      <c r="N37" t="str">
        <v>Full time</v>
      </c>
    </row>
    <row r="38" spans="2:14" x14ac:dyDescent="0.25">
      <c r="B38" t="str">
        <v>VT01762</v>
      </c>
      <c r="C38" t="str">
        <v>Geena</v>
      </c>
      <c r="D38" t="str">
        <v>Raghavanpillai</v>
      </c>
      <c r="E38" t="str">
        <v>Male</v>
      </c>
      <c r="F38" t="str">
        <v>Accounting</v>
      </c>
      <c r="G38">
        <v>102515.81</v>
      </c>
      <c r="H38" t="str">
        <v>Above 100k</v>
      </c>
      <c r="I38">
        <v>43902</v>
      </c>
      <c r="J38">
        <v>1</v>
      </c>
      <c r="K38" t="str">
        <v>Fixed Term</v>
      </c>
      <c r="L38" t="str">
        <v>Chennai, India</v>
      </c>
      <c r="M38">
        <v>4.279452054794521</v>
      </c>
      <c r="N38" t="str">
        <v>Full time</v>
      </c>
    </row>
    <row r="39" spans="2:14" x14ac:dyDescent="0.25">
      <c r="B39" t="str">
        <v>VT01893</v>
      </c>
      <c r="C39" t="str">
        <v>Lindy</v>
      </c>
      <c r="D39" t="str">
        <v>Guillet</v>
      </c>
      <c r="E39" t="str">
        <v>Male</v>
      </c>
      <c r="F39" t="str">
        <v>Training</v>
      </c>
      <c r="G39">
        <v>112778.28</v>
      </c>
      <c r="H39" t="str">
        <v>Above 100k</v>
      </c>
      <c r="I39">
        <v>43250</v>
      </c>
      <c r="J39">
        <v>1</v>
      </c>
      <c r="K39" t="str">
        <v>Fixed Term</v>
      </c>
      <c r="L39" t="str">
        <v>Remote</v>
      </c>
      <c r="M39">
        <v>6.065753424657534</v>
      </c>
      <c r="N39" t="str">
        <v>Full time</v>
      </c>
    </row>
    <row r="40" spans="2:14" x14ac:dyDescent="0.25">
      <c r="B40" t="str">
        <v>VT01893</v>
      </c>
      <c r="C40" t="str">
        <v>Lindy</v>
      </c>
      <c r="D40" t="str">
        <v>Guillet</v>
      </c>
      <c r="E40" t="str">
        <v>Male</v>
      </c>
      <c r="F40" t="str">
        <v>Training</v>
      </c>
      <c r="G40">
        <v>112778.28</v>
      </c>
      <c r="H40" t="str">
        <v>Above 100k</v>
      </c>
      <c r="I40">
        <v>43250</v>
      </c>
      <c r="J40">
        <v>1</v>
      </c>
      <c r="K40" t="str">
        <v>Fixed Term</v>
      </c>
      <c r="L40" t="str">
        <v>Remote</v>
      </c>
      <c r="M40">
        <v>6.065753424657534</v>
      </c>
      <c r="N40" t="str">
        <v>Full time</v>
      </c>
    </row>
    <row r="41" spans="2:14" x14ac:dyDescent="0.25">
      <c r="B41" t="str">
        <v>VT02491</v>
      </c>
      <c r="C41" t="str">
        <v>Alexis</v>
      </c>
      <c r="D41" t="str">
        <v>Gotfrey</v>
      </c>
      <c r="E41" t="str">
        <v>Male</v>
      </c>
      <c r="F41" t="str">
        <v>Engineering</v>
      </c>
      <c r="G41">
        <v>114465.93</v>
      </c>
      <c r="H41" t="str">
        <v>Above 100k</v>
      </c>
      <c r="I41">
        <v>43291</v>
      </c>
      <c r="J41">
        <v>1</v>
      </c>
      <c r="K41" t="str">
        <v>Temporary</v>
      </c>
      <c r="L41" t="str">
        <v>Wellington, New Zealand</v>
      </c>
      <c r="M41">
        <v>5.9534246575342467</v>
      </c>
      <c r="N41" t="str">
        <v>Full time</v>
      </c>
    </row>
    <row r="42" spans="2:14" x14ac:dyDescent="0.25">
      <c r="B42" t="str">
        <v>VT02801</v>
      </c>
      <c r="C42" t="str">
        <v>Shellysheldon</v>
      </c>
      <c r="D42" t="str">
        <v>Mahady</v>
      </c>
      <c r="E42" t="str">
        <v>Male</v>
      </c>
      <c r="F42" t="str">
        <v>Training</v>
      </c>
      <c r="G42">
        <v>114691.03</v>
      </c>
      <c r="H42" t="str">
        <v>Above 100k</v>
      </c>
      <c r="I42">
        <v>44039</v>
      </c>
      <c r="J42">
        <v>1</v>
      </c>
      <c r="K42" t="str">
        <v>Temporary</v>
      </c>
      <c r="L42" t="str">
        <v>Wellington, New Zealand</v>
      </c>
      <c r="M42">
        <v>3.904109589041096</v>
      </c>
      <c r="N42" t="str">
        <v>Full time</v>
      </c>
    </row>
    <row r="43" spans="2:14" x14ac:dyDescent="0.25">
      <c r="B43" t="str">
        <v>VT03421</v>
      </c>
      <c r="C43" t="str">
        <v>Alic</v>
      </c>
      <c r="D43" t="str">
        <v>Bagg</v>
      </c>
      <c r="E43" t="str">
        <v>Male</v>
      </c>
      <c r="F43" t="str">
        <v>Legal</v>
      </c>
      <c r="G43">
        <v>113747.56</v>
      </c>
      <c r="H43" t="str">
        <v>Above 100k</v>
      </c>
      <c r="I43">
        <v>44270</v>
      </c>
      <c r="J43">
        <v>0.7</v>
      </c>
      <c r="K43" t="str">
        <v>Temporary</v>
      </c>
      <c r="L43" t="str">
        <v>Columbus, USA</v>
      </c>
      <c r="M43">
        <v>3.2712328767123289</v>
      </c>
      <c r="N43" t="str">
        <v>Part time</v>
      </c>
    </row>
    <row r="44" spans="2:14" x14ac:dyDescent="0.25">
      <c r="B44" t="str">
        <v>VT03421</v>
      </c>
      <c r="C44" t="str">
        <v>Alic</v>
      </c>
      <c r="D44" t="str">
        <v>Bagg</v>
      </c>
      <c r="E44" t="str">
        <v>Male</v>
      </c>
      <c r="F44" t="str">
        <v>Legal</v>
      </c>
      <c r="G44">
        <v>113747.56</v>
      </c>
      <c r="H44" t="str">
        <v>Above 100k</v>
      </c>
      <c r="I44">
        <v>44270</v>
      </c>
      <c r="J44">
        <v>0.7</v>
      </c>
      <c r="K44" t="str">
        <v>Temporary</v>
      </c>
      <c r="L44" t="str">
        <v>Columbus, USA</v>
      </c>
      <c r="M44">
        <v>3.2712328767123289</v>
      </c>
      <c r="N44" t="str">
        <v>Part time</v>
      </c>
    </row>
    <row r="45" spans="2:14" x14ac:dyDescent="0.25">
      <c r="B45" t="str">
        <v>VT04028</v>
      </c>
      <c r="C45" t="str">
        <v>Michale</v>
      </c>
      <c r="D45" t="str">
        <v>Rolf</v>
      </c>
      <c r="E45" t="str">
        <v>Male</v>
      </c>
      <c r="F45" t="str">
        <v>Services</v>
      </c>
      <c r="G45">
        <v>111815.49</v>
      </c>
      <c r="H45" t="str">
        <v>Above 100k</v>
      </c>
      <c r="I45">
        <v>43895</v>
      </c>
      <c r="J45">
        <v>0.7</v>
      </c>
      <c r="K45" t="str">
        <v>Temporary</v>
      </c>
      <c r="L45" t="str">
        <v>Remote</v>
      </c>
      <c r="M45">
        <v>4.2986301369863016</v>
      </c>
      <c r="N45" t="str">
        <v>Part time</v>
      </c>
    </row>
    <row r="46" spans="2:14" x14ac:dyDescent="0.25">
      <c r="B46" t="str">
        <v>VT04028</v>
      </c>
      <c r="C46" t="str">
        <v>Michale</v>
      </c>
      <c r="D46" t="str">
        <v>Rolf</v>
      </c>
      <c r="E46" t="str">
        <v>Male</v>
      </c>
      <c r="F46" t="str">
        <v>Services</v>
      </c>
      <c r="G46">
        <v>111815.49</v>
      </c>
      <c r="H46" t="str">
        <v>Above 100k</v>
      </c>
      <c r="I46">
        <v>43895</v>
      </c>
      <c r="J46">
        <v>0.7</v>
      </c>
      <c r="K46" t="str">
        <v>Temporary</v>
      </c>
      <c r="L46" t="str">
        <v>Remote</v>
      </c>
      <c r="M46">
        <v>4.2986301369863016</v>
      </c>
      <c r="N46" t="str">
        <v>Part time</v>
      </c>
    </row>
    <row r="47" spans="2:14" x14ac:dyDescent="0.25">
      <c r="B47" t="str">
        <v>VT04093</v>
      </c>
      <c r="C47" t="str">
        <v>Prasanna</v>
      </c>
      <c r="D47" t="str">
        <v>Lakshmi</v>
      </c>
      <c r="E47" t="str">
        <v>Female</v>
      </c>
      <c r="F47" t="str">
        <v>Training</v>
      </c>
      <c r="G47">
        <v>116767.63</v>
      </c>
      <c r="H47" t="str">
        <v>Above 100k</v>
      </c>
      <c r="I47">
        <v>43949</v>
      </c>
      <c r="J47">
        <v>0.4</v>
      </c>
      <c r="K47" t="str">
        <v>Temporary</v>
      </c>
      <c r="L47" t="str">
        <v>Chennai, India</v>
      </c>
      <c r="M47">
        <v>4.1506849315068495</v>
      </c>
      <c r="N47" t="str">
        <v>Part time</v>
      </c>
    </row>
    <row r="48" spans="2:14" x14ac:dyDescent="0.25">
      <c r="B48" t="str">
        <v>VT04093</v>
      </c>
      <c r="C48" t="str">
        <v>Baruna</v>
      </c>
      <c r="D48" t="str">
        <v>Ogale</v>
      </c>
      <c r="E48" t="str">
        <v>Female</v>
      </c>
      <c r="F48" t="str">
        <v>Training</v>
      </c>
      <c r="G48">
        <v>116767.63</v>
      </c>
      <c r="H48" t="str">
        <v>Above 100k</v>
      </c>
      <c r="I48">
        <v>43949</v>
      </c>
      <c r="J48">
        <v>0.4</v>
      </c>
      <c r="K48" t="str">
        <v>Temporary</v>
      </c>
      <c r="L48" t="str">
        <v>Chennai, India</v>
      </c>
      <c r="M48">
        <v>4.1506849315068495</v>
      </c>
      <c r="N48" t="str">
        <v>Part time</v>
      </c>
    </row>
    <row r="49" spans="2:14" x14ac:dyDescent="0.25">
      <c r="B49" t="str">
        <v>VT04350</v>
      </c>
      <c r="C49" t="str">
        <v>Kulbhushan</v>
      </c>
      <c r="D49" t="str">
        <v>Moorthy</v>
      </c>
      <c r="E49" t="str">
        <v>Male</v>
      </c>
      <c r="F49" t="str">
        <v>Business Development</v>
      </c>
      <c r="G49">
        <v>106400.02</v>
      </c>
      <c r="H49" t="str">
        <v>Above 100k</v>
      </c>
      <c r="I49">
        <v>44021</v>
      </c>
      <c r="J49">
        <v>1</v>
      </c>
      <c r="K49" t="str">
        <v>Temporary</v>
      </c>
      <c r="L49" t="str">
        <v>Chennai, India</v>
      </c>
      <c r="M49">
        <v>3.9534246575342467</v>
      </c>
      <c r="N49" t="str">
        <v>Full time</v>
      </c>
    </row>
    <row r="50" spans="2:14" x14ac:dyDescent="0.25">
      <c r="B50" t="str">
        <v>VT04350</v>
      </c>
      <c r="C50" t="str">
        <v>Lalit</v>
      </c>
      <c r="D50" t="str">
        <v>Kothari</v>
      </c>
      <c r="E50" t="str">
        <v>Male</v>
      </c>
      <c r="F50" t="str">
        <v>Business Development</v>
      </c>
      <c r="G50">
        <v>106400.02</v>
      </c>
      <c r="H50" t="str">
        <v>Above 100k</v>
      </c>
      <c r="I50">
        <v>44021</v>
      </c>
      <c r="J50">
        <v>1</v>
      </c>
      <c r="K50" t="str">
        <v>Temporary</v>
      </c>
      <c r="L50" t="str">
        <v>Chennai, India</v>
      </c>
      <c r="M50">
        <v>3.9534246575342467</v>
      </c>
      <c r="N50" t="str">
        <v>Full time</v>
      </c>
    </row>
    <row r="51" spans="2:14" ht="15.75" thickBot="1" x14ac:dyDescent="0.3">
      <c r="B51" s="42" t="str">
        <v>VT04552</v>
      </c>
      <c r="C51" t="str">
        <v>Theresita</v>
      </c>
      <c r="D51" t="str">
        <v>Chasmer</v>
      </c>
      <c r="E51" t="str">
        <v>Female</v>
      </c>
      <c r="F51" t="str">
        <v>Product Management</v>
      </c>
      <c r="G51">
        <v>106665.67</v>
      </c>
      <c r="H51" t="str">
        <v>Above 100k</v>
      </c>
      <c r="I51">
        <v>43311</v>
      </c>
      <c r="J51">
        <v>1</v>
      </c>
      <c r="K51" t="str">
        <v>Temporary</v>
      </c>
      <c r="L51" t="str">
        <v>Columbus, USA</v>
      </c>
      <c r="M51">
        <v>5.8986301369863012</v>
      </c>
      <c r="N51" t="str">
        <v>Full time</v>
      </c>
    </row>
    <row r="52" spans="2:14" ht="15.75" thickTop="1" x14ac:dyDescent="0.25">
      <c r="B52" t="str">
        <v>VT04681</v>
      </c>
      <c r="C52" t="str">
        <v>Nickolai</v>
      </c>
      <c r="D52" t="str">
        <v>Artin</v>
      </c>
      <c r="E52" t="str">
        <v>Female</v>
      </c>
      <c r="F52" t="str">
        <v>Product Management</v>
      </c>
      <c r="G52">
        <v>110906.35</v>
      </c>
      <c r="H52" t="str">
        <v>Above 100k</v>
      </c>
      <c r="I52">
        <v>43434</v>
      </c>
      <c r="J52">
        <v>1</v>
      </c>
      <c r="K52" t="str">
        <v>Temporary</v>
      </c>
      <c r="L52" t="str">
        <v>Wellington, New Zealand</v>
      </c>
      <c r="M52">
        <v>5.5616438356164384</v>
      </c>
      <c r="N52" t="str">
        <v>Full time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6"/>
  <sheetViews>
    <sheetView workbookViewId="0">
      <selection activeCell="H12" sqref="H12"/>
    </sheetView>
  </sheetViews>
  <sheetFormatPr defaultRowHeight="15" x14ac:dyDescent="0.25"/>
  <cols>
    <col min="1" max="1" width="23.28515625" bestFit="1" customWidth="1"/>
    <col min="2" max="2" width="14.28515625" bestFit="1" customWidth="1"/>
    <col min="3" max="3" width="18.7109375" customWidth="1"/>
    <col min="4" max="4" width="27.85546875" bestFit="1" customWidth="1"/>
    <col min="5" max="5" width="28" bestFit="1" customWidth="1"/>
    <col min="6" max="6" width="18.28515625" bestFit="1" customWidth="1"/>
  </cols>
  <sheetData>
    <row r="3" spans="1:6" ht="20.25" thickBot="1" x14ac:dyDescent="0.35">
      <c r="A3" s="25" t="s">
        <v>28</v>
      </c>
      <c r="B3" s="25" t="s">
        <v>763</v>
      </c>
      <c r="C3" s="25" t="s">
        <v>764</v>
      </c>
      <c r="D3" s="25" t="s">
        <v>766</v>
      </c>
      <c r="E3" s="25" t="s">
        <v>767</v>
      </c>
      <c r="F3" s="27" t="s">
        <v>771</v>
      </c>
    </row>
    <row r="4" spans="1:6" ht="15.75" thickTop="1" x14ac:dyDescent="0.25">
      <c r="A4" s="40" t="s">
        <v>41</v>
      </c>
      <c r="B4">
        <f>COUNTIF(staff[Department],A4)</f>
        <v>24</v>
      </c>
      <c r="C4" s="26">
        <f>SUMIF(staff[Department],A4, staff[Salary])</f>
        <v>2013215.1600000001</v>
      </c>
      <c r="D4">
        <f>COUNTIFS(staff[Department], A4, staff[Employee type], "Permanent")</f>
        <v>11</v>
      </c>
      <c r="E4" s="26">
        <f>SUMIFS(staff[Salary],staff[Department], A4, staff[Employee type], "Permanent")</f>
        <v>826101.70000000007</v>
      </c>
      <c r="F4" s="26">
        <f>AVERAGEIF(staff[Department],A4, staff[Salary])</f>
        <v>83883.965000000011</v>
      </c>
    </row>
    <row r="5" spans="1:6" x14ac:dyDescent="0.25">
      <c r="A5" s="41" t="s">
        <v>49</v>
      </c>
      <c r="B5">
        <f>COUNTIF(staff[Department],A5)</f>
        <v>26</v>
      </c>
      <c r="C5" s="26">
        <f>SUMIF(staff[Department],A5, staff[Salary])</f>
        <v>2074326.9500000002</v>
      </c>
      <c r="D5">
        <f>COUNTIFS(staff[Department], A5, staff[Employee type], "Permanent")</f>
        <v>18</v>
      </c>
      <c r="E5" s="26">
        <f>SUMIFS(staff[Salary],staff[Department], A5, staff[Employee type], "Permanent")</f>
        <v>1432465.4</v>
      </c>
      <c r="F5" s="26">
        <f>AVERAGEIF(staff[Department],A5, staff[Salary])</f>
        <v>79781.805769230778</v>
      </c>
    </row>
    <row r="6" spans="1:6" x14ac:dyDescent="0.25">
      <c r="A6" s="40" t="s">
        <v>60</v>
      </c>
      <c r="B6">
        <f>COUNTIF(staff[Department],A6)</f>
        <v>26</v>
      </c>
      <c r="C6" s="26">
        <f>SUMIF(staff[Department],A6, staff[Salary])</f>
        <v>2131387.4899999998</v>
      </c>
      <c r="D6">
        <f>COUNTIFS(staff[Department], A6, staff[Employee type], "Permanent")</f>
        <v>16</v>
      </c>
      <c r="E6" s="26">
        <f>SUMIFS(staff[Salary],staff[Department], A6, staff[Employee type], "Permanent")</f>
        <v>1523066.2699999998</v>
      </c>
      <c r="F6" s="26">
        <f>AVERAGEIF(staff[Department],A6, staff[Salary])</f>
        <v>81976.441923076913</v>
      </c>
    </row>
    <row r="7" spans="1:6" x14ac:dyDescent="0.25">
      <c r="A7" s="41" t="s">
        <v>66</v>
      </c>
      <c r="B7">
        <f>COUNTIF(staff[Department],A7)</f>
        <v>12</v>
      </c>
      <c r="C7" s="26">
        <f>SUMIF(staff[Department],A7, staff[Salary])</f>
        <v>773295.6</v>
      </c>
      <c r="D7">
        <f>COUNTIFS(staff[Department], A7, staff[Employee type], "Permanent")</f>
        <v>9</v>
      </c>
      <c r="E7" s="26">
        <f>SUMIFS(staff[Salary],staff[Department], A7, staff[Employee type], "Permanent")</f>
        <v>617187.91</v>
      </c>
      <c r="F7" s="26">
        <f>AVERAGEIF(staff[Department],A7, staff[Salary])</f>
        <v>64441.299999999996</v>
      </c>
    </row>
    <row r="8" spans="1:6" x14ac:dyDescent="0.25">
      <c r="A8" s="41" t="s">
        <v>73</v>
      </c>
      <c r="B8">
        <f>COUNTIF(staff[Department],A8)</f>
        <v>21</v>
      </c>
      <c r="C8" s="26">
        <f>SUMIF(staff[Department],A8, staff[Salary])</f>
        <v>1412092.87</v>
      </c>
      <c r="D8">
        <f>COUNTIFS(staff[Department], A8, staff[Employee type], "Permanent")</f>
        <v>13</v>
      </c>
      <c r="E8" s="26">
        <f>SUMIFS(staff[Salary],staff[Department], A8, staff[Employee type], "Permanent")</f>
        <v>925197.68000000017</v>
      </c>
      <c r="F8" s="26">
        <f>AVERAGEIF(staff[Department],A8, staff[Salary])</f>
        <v>67242.51761904762</v>
      </c>
    </row>
    <row r="9" spans="1:6" x14ac:dyDescent="0.25">
      <c r="A9" s="40" t="s">
        <v>77</v>
      </c>
      <c r="B9">
        <f>COUNTIF(staff[Department],A9)</f>
        <v>26</v>
      </c>
      <c r="C9" s="26">
        <f>SUMIF(staff[Department],A9, staff[Salary])</f>
        <v>1814980.59</v>
      </c>
      <c r="D9">
        <f>COUNTIFS(staff[Department], A9, staff[Employee type], "Permanent")</f>
        <v>18</v>
      </c>
      <c r="E9" s="26">
        <f>SUMIFS(staff[Salary],staff[Department], A9, staff[Employee type], "Permanent")</f>
        <v>1267719.1999999997</v>
      </c>
      <c r="F9" s="26">
        <f>AVERAGEIF(staff[Department],A9, staff[Salary])</f>
        <v>69806.945769230777</v>
      </c>
    </row>
    <row r="10" spans="1:6" x14ac:dyDescent="0.25">
      <c r="A10" s="41" t="s">
        <v>88</v>
      </c>
      <c r="B10">
        <f>COUNTIF(staff[Department],A10)</f>
        <v>22</v>
      </c>
      <c r="C10" s="26">
        <f>SUMIF(staff[Department],A10, staff[Salary])</f>
        <v>1608406.3100000003</v>
      </c>
      <c r="D10">
        <f>COUNTIFS(staff[Department], A10, staff[Employee type], "Permanent")</f>
        <v>13</v>
      </c>
      <c r="E10" s="26">
        <f>SUMIFS(staff[Salary],staff[Department], A10, staff[Employee type], "Permanent")</f>
        <v>915344.31</v>
      </c>
      <c r="F10" s="26">
        <f>AVERAGEIF(staff[Department],A10, staff[Salary])</f>
        <v>73109.377727272746</v>
      </c>
    </row>
    <row r="11" spans="1:6" x14ac:dyDescent="0.25">
      <c r="A11" s="40" t="s">
        <v>92</v>
      </c>
      <c r="B11">
        <f>COUNTIF(staff[Department],A11)</f>
        <v>18</v>
      </c>
      <c r="C11" s="26">
        <f>SUMIF(staff[Department],A11, staff[Salary])</f>
        <v>1204393.78</v>
      </c>
      <c r="D11">
        <f>COUNTIFS(staff[Department], A11, staff[Employee type], "Permanent")</f>
        <v>11</v>
      </c>
      <c r="E11" s="26">
        <f>SUMIFS(staff[Salary],staff[Department], A11, staff[Employee type], "Permanent")</f>
        <v>695418.30999999994</v>
      </c>
      <c r="F11" s="26">
        <f>AVERAGEIF(staff[Department],A11, staff[Salary])</f>
        <v>66910.765555555554</v>
      </c>
    </row>
    <row r="12" spans="1:6" x14ac:dyDescent="0.25">
      <c r="A12" s="41" t="s">
        <v>111</v>
      </c>
      <c r="B12">
        <f>COUNTIF(staff[Department],A12)</f>
        <v>21</v>
      </c>
      <c r="C12" s="26">
        <f>SUMIF(staff[Department],A12, staff[Salary])</f>
        <v>1568153.47</v>
      </c>
      <c r="D12">
        <f>COUNTIFS(staff[Department], A12, staff[Employee type], "Permanent")</f>
        <v>16</v>
      </c>
      <c r="E12" s="26">
        <f>SUMIFS(staff[Salary],staff[Department], A12, staff[Employee type], "Permanent")</f>
        <v>1223388.3800000001</v>
      </c>
      <c r="F12" s="26">
        <f>AVERAGEIF(staff[Department],A12, staff[Salary])</f>
        <v>74673.974761904756</v>
      </c>
    </row>
    <row r="13" spans="1:6" x14ac:dyDescent="0.25">
      <c r="A13" s="41" t="s">
        <v>118</v>
      </c>
      <c r="B13">
        <f>COUNTIF(staff[Department],A13)</f>
        <v>29</v>
      </c>
      <c r="C13" s="26">
        <f>SUMIF(staff[Department],A13, staff[Salary])</f>
        <v>2180192.8699999992</v>
      </c>
      <c r="D13">
        <f>COUNTIFS(staff[Department], A13, staff[Employee type], "Permanent")</f>
        <v>19</v>
      </c>
      <c r="E13" s="26">
        <f>SUMIFS(staff[Salary],staff[Department], A13, staff[Employee type], "Permanent")</f>
        <v>1292089.0299999996</v>
      </c>
      <c r="F13" s="26">
        <f>AVERAGEIF(staff[Department],A13, staff[Salary])</f>
        <v>75179.064482758593</v>
      </c>
    </row>
    <row r="14" spans="1:6" x14ac:dyDescent="0.25">
      <c r="A14" s="41" t="s">
        <v>140</v>
      </c>
      <c r="B14">
        <f>COUNTIF(staff[Department],A14)</f>
        <v>17</v>
      </c>
      <c r="C14" s="26">
        <f>SUMIF(staff[Department],A14, staff[Salary])</f>
        <v>1129351.75</v>
      </c>
      <c r="D14">
        <f>COUNTIFS(staff[Department], A14, staff[Employee type], "Permanent")</f>
        <v>11</v>
      </c>
      <c r="E14" s="26">
        <f>SUMIFS(staff[Salary],staff[Department], A14, staff[Employee type], "Permanent")</f>
        <v>672712.15999999992</v>
      </c>
      <c r="F14" s="26">
        <f>AVERAGEIF(staff[Department],A14, staff[Salary])</f>
        <v>66432.455882352937</v>
      </c>
    </row>
    <row r="15" spans="1:6" x14ac:dyDescent="0.25">
      <c r="A15" s="40" t="s">
        <v>150</v>
      </c>
      <c r="B15">
        <f>COUNTIF(staff[Department],A15)</f>
        <v>18</v>
      </c>
      <c r="C15" s="26">
        <f>SUMIF(staff[Department],A15, staff[Salary])</f>
        <v>1294147.72</v>
      </c>
      <c r="D15">
        <f>COUNTIFS(staff[Department], A15, staff[Employee type], "Permanent")</f>
        <v>13</v>
      </c>
      <c r="E15" s="26">
        <f>SUMIFS(staff[Salary],staff[Department], A15, staff[Employee type], "Permanent")</f>
        <v>869670.34000000008</v>
      </c>
      <c r="F15" s="26">
        <f>AVERAGEIF(staff[Department],A15, staff[Salary])</f>
        <v>71897.095555555556</v>
      </c>
    </row>
    <row r="16" spans="1:6" x14ac:dyDescent="0.25">
      <c r="C16" s="26">
        <f>SUM(C4:C15)</f>
        <v>19203944.559999999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Concept</vt:lpstr>
      <vt:lpstr>Data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Dikshya Thapa</cp:lastModifiedBy>
  <dcterms:created xsi:type="dcterms:W3CDTF">2025-02-21T23:23:06Z</dcterms:created>
  <dcterms:modified xsi:type="dcterms:W3CDTF">2025-02-25T09:47:53Z</dcterms:modified>
</cp:coreProperties>
</file>