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ub\Google Drive\EngD\Research Data\Spectrometer\Working Code\"/>
    </mc:Choice>
  </mc:AlternateContent>
  <xr:revisionPtr revIDLastSave="0" documentId="13_ncr:1_{557CEE5C-5F0A-4584-A67D-BCE8CEB4E31F}" xr6:coauthVersionLast="45" xr6:coauthVersionMax="45" xr10:uidLastSave="{00000000-0000-0000-0000-000000000000}"/>
  <bookViews>
    <workbookView xWindow="-110" yWindow="-110" windowWidth="19420" windowHeight="10560" activeTab="1" xr2:uid="{4E73A7AD-656E-436C-A00C-2AAA67D5520F}"/>
  </bookViews>
  <sheets>
    <sheet name="Sheet2" sheetId="2" r:id="rId1"/>
    <sheet name="Sheet1" sheetId="1" r:id="rId2"/>
  </sheets>
  <definedNames>
    <definedName name="ExternalData_1" localSheetId="0" hidden="1">Sheet2!$A$1:$F$19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2" i="1" l="1"/>
  <c r="Q14" i="1"/>
  <c r="Q13" i="1"/>
  <c r="Q11" i="1"/>
  <c r="Q10" i="1"/>
  <c r="Q9" i="1"/>
  <c r="P9" i="1"/>
  <c r="P10" i="1"/>
  <c r="P11" i="1"/>
  <c r="P12" i="1"/>
  <c r="P13" i="1"/>
  <c r="P14" i="1"/>
  <c r="O11" i="1"/>
  <c r="O14" i="1"/>
  <c r="O12" i="1"/>
  <c r="O10" i="1"/>
  <c r="O9" i="1"/>
  <c r="O13" i="1"/>
  <c r="N14" i="1"/>
  <c r="N11" i="1"/>
  <c r="N8" i="1"/>
  <c r="O8" i="1" s="1"/>
  <c r="P8" i="1" s="1"/>
  <c r="N5" i="1"/>
  <c r="O5" i="1" s="1"/>
  <c r="P5" i="1" s="1"/>
  <c r="N12" i="1"/>
  <c r="N10" i="1"/>
  <c r="N9" i="1"/>
  <c r="N13" i="1"/>
  <c r="N6" i="1"/>
  <c r="M9" i="1"/>
  <c r="M10" i="1"/>
  <c r="M11" i="1"/>
  <c r="M12" i="1"/>
  <c r="M13" i="1"/>
  <c r="M14" i="1"/>
  <c r="K9" i="1"/>
  <c r="K10" i="1"/>
  <c r="K11" i="1"/>
  <c r="K12" i="1"/>
  <c r="K13" i="1"/>
  <c r="K14" i="1"/>
  <c r="K8" i="1"/>
  <c r="K6" i="1"/>
  <c r="K4" i="1"/>
  <c r="K3" i="1"/>
  <c r="J14" i="1"/>
  <c r="J13" i="1"/>
  <c r="J12" i="1"/>
  <c r="J11" i="1"/>
  <c r="B12" i="1"/>
  <c r="B11" i="1"/>
  <c r="J10" i="1"/>
  <c r="J9" i="1"/>
  <c r="P7" i="1"/>
  <c r="O7" i="1"/>
  <c r="N7" i="1"/>
  <c r="M5" i="1"/>
  <c r="M6" i="1"/>
  <c r="M7" i="1"/>
  <c r="M8" i="1"/>
  <c r="K5" i="1"/>
  <c r="K7" i="1"/>
  <c r="J5" i="1"/>
  <c r="J6" i="1"/>
  <c r="J7" i="1"/>
  <c r="J8" i="1"/>
  <c r="O6" i="1" l="1"/>
  <c r="P6" i="1" s="1"/>
  <c r="P2" i="1"/>
  <c r="O2" i="1"/>
  <c r="N2" i="1"/>
  <c r="L4" i="1"/>
  <c r="L3" i="1"/>
  <c r="J3" i="1"/>
  <c r="J4" i="1"/>
  <c r="M2" i="1"/>
  <c r="L2" i="1"/>
  <c r="K2" i="1"/>
  <c r="J2" i="1"/>
  <c r="Q7" i="1" l="1"/>
  <c r="Q5" i="1"/>
  <c r="Q8" i="1"/>
  <c r="Q6" i="1"/>
  <c r="M4" i="1"/>
  <c r="N4" i="1" s="1"/>
  <c r="O4" i="1" s="1"/>
  <c r="P4" i="1" s="1"/>
  <c r="M3" i="1"/>
  <c r="N3" i="1" s="1"/>
  <c r="O3" i="1" s="1"/>
  <c r="P3" i="1" s="1"/>
  <c r="Q2" i="1" l="1"/>
  <c r="Q3" i="1"/>
  <c r="Q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96A04B-DBBF-4F2A-BBA6-26ABB947E795}" keepAlive="1" name="Query - line_data_full" description="Connection to the 'line_data_full' query in the workbook." type="5" refreshedVersion="6" background="1" saveData="1">
    <dbPr connection="Provider=Microsoft.Mashup.OleDb.1;Data Source=$Workbook$;Location=line_data_full;Extended Properties=&quot;&quot;" command="SELECT * FROM [line_data_full]"/>
  </connection>
</connections>
</file>

<file path=xl/sharedStrings.xml><?xml version="1.0" encoding="utf-8"?>
<sst xmlns="http://schemas.openxmlformats.org/spreadsheetml/2006/main" count="52" uniqueCount="33">
  <si>
    <t>n_g</t>
  </si>
  <si>
    <t>M</t>
  </si>
  <si>
    <t>T-g</t>
  </si>
  <si>
    <t>Kb</t>
  </si>
  <si>
    <t>R</t>
  </si>
  <si>
    <t>2p3</t>
  </si>
  <si>
    <t>Aij</t>
  </si>
  <si>
    <t>g_i</t>
  </si>
  <si>
    <t>g_j</t>
  </si>
  <si>
    <t>k_o</t>
  </si>
  <si>
    <t>1ST TERM</t>
  </si>
  <si>
    <t>2ND TERM</t>
  </si>
  <si>
    <t>3RD TERM</t>
  </si>
  <si>
    <t>k_ij</t>
  </si>
  <si>
    <t>n_m</t>
  </si>
  <si>
    <t>n_r</t>
  </si>
  <si>
    <t>n1s4</t>
  </si>
  <si>
    <t>n1s5</t>
  </si>
  <si>
    <t>n1s2</t>
  </si>
  <si>
    <t xml:space="preserve">n1s2 </t>
  </si>
  <si>
    <t>n1s3</t>
  </si>
  <si>
    <t>n1s5/6.5</t>
  </si>
  <si>
    <t>g_ij</t>
  </si>
  <si>
    <t xml:space="preserve">p </t>
  </si>
  <si>
    <t>R_ij</t>
  </si>
  <si>
    <t>g*A</t>
  </si>
  <si>
    <t>Wavelength (nm)</t>
  </si>
  <si>
    <t>A</t>
  </si>
  <si>
    <t>n_j</t>
  </si>
  <si>
    <t>Wavelength</t>
  </si>
  <si>
    <t>2p2</t>
  </si>
  <si>
    <t>2p1</t>
  </si>
  <si>
    <t>2p4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</si>
</sst>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9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167" fontId="0" fillId="0" borderId="0" xfId="0" applyNumberFormat="1"/>
    <xf numFmtId="0" fontId="1" fillId="3" borderId="0" xfId="1"/>
    <xf numFmtId="0" fontId="1" fillId="3" borderId="1" xfId="1" applyBorder="1"/>
    <xf numFmtId="11" fontId="1" fillId="3" borderId="0" xfId="1" applyNumberFormat="1"/>
    <xf numFmtId="167" fontId="1" fillId="3" borderId="0" xfId="1" applyNumberFormat="1"/>
    <xf numFmtId="0" fontId="1" fillId="3" borderId="0" xfId="1" applyBorder="1"/>
    <xf numFmtId="0" fontId="1" fillId="4" borderId="0" xfId="2"/>
    <xf numFmtId="0" fontId="1" fillId="4" borderId="1" xfId="2" applyBorder="1"/>
    <xf numFmtId="11" fontId="1" fillId="4" borderId="0" xfId="2" applyNumberFormat="1"/>
    <xf numFmtId="167" fontId="1" fillId="4" borderId="0" xfId="2" applyNumberFormat="1"/>
    <xf numFmtId="0" fontId="1" fillId="4" borderId="0" xfId="2" applyBorder="1"/>
    <xf numFmtId="0" fontId="1" fillId="5" borderId="0" xfId="3"/>
    <xf numFmtId="0" fontId="1" fillId="5" borderId="1" xfId="3" applyBorder="1"/>
    <xf numFmtId="11" fontId="1" fillId="5" borderId="0" xfId="3" applyNumberFormat="1"/>
  </cellXfs>
  <cellStyles count="4">
    <cellStyle name="20% - Accent1" xfId="1" builtinId="30"/>
    <cellStyle name="20% - Accent2" xfId="2" builtinId="34"/>
    <cellStyle name="20% - Accent3" xfId="3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633C36-DC01-43DC-81FE-18D4CE84A3B9}" autoFormatId="16" applyNumberFormats="0" applyBorderFormats="0" applyFontFormats="0" applyPatternFormats="0" applyAlignmentFormats="0" applyWidthHeightFormats="0">
  <queryTableRefresh nextId="7">
    <queryTableFields count="6">
      <queryTableField id="1" name="Wavelength (nm)" tableColumnId="1"/>
      <queryTableField id="2" name="A" tableColumnId="2"/>
      <queryTableField id="3" name="g_i" tableColumnId="3"/>
      <queryTableField id="4" name="g_j" tableColumnId="4"/>
      <queryTableField id="5" name="n_j" tableColumnId="5"/>
      <queryTableField id="6" name="k_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82C88E-BB60-4E1B-9777-55C0481AD857}" name="line_data_full" displayName="line_data_full" ref="A1:F19" tableType="queryTable" totalsRowShown="0">
  <autoFilter ref="A1:F19" xr:uid="{8BC0B9D5-4AE6-413A-91D2-1FB5DBC1BE6F}"/>
  <tableColumns count="6">
    <tableColumn id="1" xr3:uid="{D9B4019B-E5BA-45C7-9292-FFB845359AE0}" uniqueName="1" name="Wavelength (nm)" queryTableFieldId="1"/>
    <tableColumn id="2" xr3:uid="{4D59E42D-CCE1-42AF-AC24-63E363CC2E2D}" uniqueName="2" name="A" queryTableFieldId="2"/>
    <tableColumn id="3" xr3:uid="{7C6D31D9-877E-45C2-8EED-C7A84F4FAAD1}" uniqueName="3" name="g_i" queryTableFieldId="3"/>
    <tableColumn id="4" xr3:uid="{5583EDB8-9C48-47CC-BF57-107A87B1AA91}" uniqueName="4" name="g_j" queryTableFieldId="4"/>
    <tableColumn id="5" xr3:uid="{4D41249C-1A39-4AA9-98F9-1829918CCBBB}" uniqueName="5" name="n_j" queryTableFieldId="5"/>
    <tableColumn id="6" xr3:uid="{601C7FF7-F697-4481-8783-F60DFCE2EC46}" uniqueName="6" name="k_o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F747-A1D4-4B14-B09B-EA6260CEBC94}">
  <dimension ref="A1:F19"/>
  <sheetViews>
    <sheetView workbookViewId="0">
      <selection activeCell="B13" sqref="B13:D13"/>
    </sheetView>
  </sheetViews>
  <sheetFormatPr defaultRowHeight="14.5" x14ac:dyDescent="0.35"/>
  <cols>
    <col min="1" max="1" width="17.6328125" bestFit="1" customWidth="1"/>
    <col min="2" max="2" width="8.81640625" bestFit="1" customWidth="1"/>
    <col min="3" max="3" width="5.453125" bestFit="1" customWidth="1"/>
    <col min="4" max="4" width="5.54296875" bestFit="1" customWidth="1"/>
    <col min="5" max="5" width="11.81640625" bestFit="1" customWidth="1"/>
    <col min="6" max="6" width="8.81640625" bestFit="1" customWidth="1"/>
  </cols>
  <sheetData>
    <row r="1" spans="1:6" x14ac:dyDescent="0.35">
      <c r="A1" t="s">
        <v>26</v>
      </c>
      <c r="B1" t="s">
        <v>27</v>
      </c>
      <c r="C1" t="s">
        <v>7</v>
      </c>
      <c r="D1" t="s">
        <v>8</v>
      </c>
      <c r="E1" t="s">
        <v>28</v>
      </c>
      <c r="F1" t="s">
        <v>9</v>
      </c>
    </row>
    <row r="2" spans="1:6" x14ac:dyDescent="0.35">
      <c r="A2">
        <v>750</v>
      </c>
      <c r="B2">
        <v>47200000</v>
      </c>
      <c r="C2">
        <v>1</v>
      </c>
      <c r="D2">
        <v>3</v>
      </c>
      <c r="E2">
        <v>14000000000</v>
      </c>
      <c r="F2">
        <v>2.0800000000000001E-8</v>
      </c>
    </row>
    <row r="3" spans="1:6" x14ac:dyDescent="0.35">
      <c r="A3">
        <v>668</v>
      </c>
      <c r="B3">
        <v>236000</v>
      </c>
      <c r="C3">
        <v>1</v>
      </c>
      <c r="D3">
        <v>3</v>
      </c>
      <c r="E3">
        <v>14000000000</v>
      </c>
      <c r="F3">
        <v>7.3299999999999995E-11</v>
      </c>
    </row>
    <row r="4" spans="1:6" x14ac:dyDescent="0.35">
      <c r="A4">
        <v>826</v>
      </c>
      <c r="B4">
        <v>15200000</v>
      </c>
      <c r="C4">
        <v>3</v>
      </c>
      <c r="D4">
        <v>3</v>
      </c>
      <c r="E4">
        <v>14000000000</v>
      </c>
      <c r="F4">
        <v>2.9899999999999998E-9</v>
      </c>
    </row>
    <row r="5" spans="1:6" x14ac:dyDescent="0.35">
      <c r="A5">
        <v>772</v>
      </c>
      <c r="B5">
        <v>11700000</v>
      </c>
      <c r="C5">
        <v>3</v>
      </c>
      <c r="D5">
        <v>1</v>
      </c>
      <c r="E5">
        <v>7380000000</v>
      </c>
      <c r="F5">
        <v>6.2500000000000001E-10</v>
      </c>
    </row>
    <row r="6" spans="1:6" x14ac:dyDescent="0.35">
      <c r="A6">
        <v>727</v>
      </c>
      <c r="B6">
        <v>1830000</v>
      </c>
      <c r="C6">
        <v>3</v>
      </c>
      <c r="D6">
        <v>3</v>
      </c>
      <c r="E6">
        <v>14000000000</v>
      </c>
      <c r="F6">
        <v>2.4500000000000003E-10</v>
      </c>
    </row>
    <row r="7" spans="1:6" x14ac:dyDescent="0.35">
      <c r="A7">
        <v>697</v>
      </c>
      <c r="B7">
        <v>6390000</v>
      </c>
      <c r="C7">
        <v>3</v>
      </c>
      <c r="D7">
        <v>5</v>
      </c>
      <c r="E7">
        <v>48000000000</v>
      </c>
      <c r="F7">
        <v>1.25E-9</v>
      </c>
    </row>
    <row r="8" spans="1:6" x14ac:dyDescent="0.35">
      <c r="A8">
        <v>841</v>
      </c>
      <c r="B8">
        <v>22300000</v>
      </c>
      <c r="C8">
        <v>5</v>
      </c>
      <c r="D8">
        <v>3</v>
      </c>
      <c r="E8">
        <v>14000000000</v>
      </c>
      <c r="F8">
        <v>2.7699999999999997E-9</v>
      </c>
    </row>
    <row r="9" spans="1:6" x14ac:dyDescent="0.35">
      <c r="A9">
        <v>738</v>
      </c>
      <c r="B9">
        <v>8470000</v>
      </c>
      <c r="C9">
        <v>5</v>
      </c>
      <c r="D9">
        <v>3</v>
      </c>
      <c r="E9">
        <v>14000000000</v>
      </c>
      <c r="F9">
        <v>7.1200000000000002E-10</v>
      </c>
    </row>
    <row r="10" spans="1:6" x14ac:dyDescent="0.35">
      <c r="A10">
        <v>707</v>
      </c>
      <c r="B10">
        <v>3800000</v>
      </c>
      <c r="C10">
        <v>5</v>
      </c>
      <c r="D10">
        <v>5</v>
      </c>
      <c r="E10">
        <v>48000000000</v>
      </c>
      <c r="F10">
        <v>4.6699999999999994E-10</v>
      </c>
    </row>
    <row r="11" spans="1:6" x14ac:dyDescent="0.35">
      <c r="A11">
        <v>852</v>
      </c>
      <c r="B11">
        <v>13900000</v>
      </c>
      <c r="C11">
        <v>3</v>
      </c>
      <c r="D11">
        <v>3</v>
      </c>
      <c r="E11">
        <v>14000000000</v>
      </c>
      <c r="F11">
        <v>2.9899999999999998E-9</v>
      </c>
    </row>
    <row r="12" spans="1:6" x14ac:dyDescent="0.35">
      <c r="A12">
        <v>795</v>
      </c>
      <c r="B12">
        <v>18600000</v>
      </c>
      <c r="C12">
        <v>3</v>
      </c>
      <c r="D12">
        <v>1</v>
      </c>
      <c r="E12">
        <v>7380000000</v>
      </c>
      <c r="F12">
        <v>1.0800000000000002E-9</v>
      </c>
    </row>
    <row r="13" spans="1:6" x14ac:dyDescent="0.35">
      <c r="A13">
        <v>715</v>
      </c>
      <c r="B13">
        <v>630000</v>
      </c>
      <c r="C13">
        <v>3</v>
      </c>
      <c r="D13">
        <v>5</v>
      </c>
      <c r="E13">
        <v>48000000000</v>
      </c>
      <c r="F13">
        <v>1.3300000000000001E-10</v>
      </c>
    </row>
    <row r="14" spans="1:6" x14ac:dyDescent="0.35">
      <c r="A14">
        <v>751</v>
      </c>
      <c r="B14">
        <v>40200000</v>
      </c>
      <c r="C14">
        <v>1</v>
      </c>
      <c r="D14">
        <v>3</v>
      </c>
      <c r="E14">
        <v>14000000000</v>
      </c>
      <c r="F14">
        <v>1.7800000000000001E-8</v>
      </c>
    </row>
    <row r="15" spans="1:6" x14ac:dyDescent="0.35">
      <c r="A15">
        <v>801</v>
      </c>
      <c r="B15">
        <v>4900000</v>
      </c>
      <c r="C15">
        <v>5</v>
      </c>
      <c r="D15">
        <v>3</v>
      </c>
      <c r="E15">
        <v>14000000000</v>
      </c>
      <c r="F15">
        <v>5.2499999999999994E-10</v>
      </c>
    </row>
    <row r="16" spans="1:6" x14ac:dyDescent="0.35">
      <c r="A16">
        <v>764</v>
      </c>
      <c r="B16">
        <v>24500000</v>
      </c>
      <c r="C16">
        <v>5</v>
      </c>
      <c r="D16">
        <v>5</v>
      </c>
      <c r="E16">
        <v>48000000000</v>
      </c>
      <c r="F16">
        <v>3.7900000000000004E-9</v>
      </c>
    </row>
    <row r="17" spans="1:6" x14ac:dyDescent="0.35">
      <c r="A17">
        <v>935</v>
      </c>
      <c r="B17">
        <v>1060000</v>
      </c>
      <c r="C17">
        <v>3</v>
      </c>
      <c r="D17">
        <v>3</v>
      </c>
      <c r="E17">
        <v>14000000000</v>
      </c>
      <c r="F17">
        <v>3.0199999999999999E-10</v>
      </c>
    </row>
    <row r="18" spans="1:6" x14ac:dyDescent="0.35">
      <c r="A18">
        <v>867</v>
      </c>
      <c r="B18">
        <v>2430000</v>
      </c>
      <c r="C18">
        <v>3</v>
      </c>
      <c r="D18">
        <v>1</v>
      </c>
      <c r="E18">
        <v>7380000000</v>
      </c>
      <c r="F18">
        <v>1.8399999999999998E-10</v>
      </c>
    </row>
    <row r="19" spans="1:6" x14ac:dyDescent="0.35">
      <c r="A19">
        <v>772</v>
      </c>
      <c r="B19">
        <v>5180000</v>
      </c>
      <c r="C19">
        <v>3</v>
      </c>
      <c r="D19">
        <v>5</v>
      </c>
      <c r="E19">
        <v>48000000000</v>
      </c>
      <c r="F19">
        <v>1.3800000000000002E-9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BE34F-3350-42EA-AEA0-C73F27ECC99A}">
  <dimension ref="A1:Q14"/>
  <sheetViews>
    <sheetView tabSelected="1" workbookViewId="0">
      <selection activeCell="Q13" sqref="Q13"/>
    </sheetView>
  </sheetViews>
  <sheetFormatPr defaultRowHeight="14.5" x14ac:dyDescent="0.35"/>
  <cols>
    <col min="6" max="6" width="15.36328125" customWidth="1"/>
    <col min="10" max="10" width="14.453125" customWidth="1"/>
    <col min="11" max="11" width="12" bestFit="1" customWidth="1"/>
    <col min="14" max="14" width="10.453125" style="5" customWidth="1"/>
  </cols>
  <sheetData>
    <row r="1" spans="1:17" x14ac:dyDescent="0.35">
      <c r="A1" t="s">
        <v>0</v>
      </c>
      <c r="B1" s="1">
        <v>60000000000000</v>
      </c>
      <c r="F1" t="s">
        <v>29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9</v>
      </c>
      <c r="N1" s="5" t="s">
        <v>13</v>
      </c>
      <c r="O1" s="2" t="s">
        <v>22</v>
      </c>
      <c r="P1" s="2" t="s">
        <v>25</v>
      </c>
      <c r="Q1" s="2" t="s">
        <v>24</v>
      </c>
    </row>
    <row r="2" spans="1:17" x14ac:dyDescent="0.35">
      <c r="A2" t="s">
        <v>1</v>
      </c>
      <c r="B2">
        <v>39.948</v>
      </c>
      <c r="C2" t="s">
        <v>18</v>
      </c>
      <c r="D2" t="s">
        <v>5</v>
      </c>
      <c r="E2" t="s">
        <v>18</v>
      </c>
      <c r="F2" s="6">
        <v>840.82</v>
      </c>
      <c r="G2" s="7">
        <v>22300000</v>
      </c>
      <c r="H2" s="6">
        <v>5</v>
      </c>
      <c r="I2" s="6">
        <v>3</v>
      </c>
      <c r="J2" s="8">
        <f>((F2*0.0000001)^3)/(8*((PI())^1.5))</f>
        <v>1.3344254131078391E-14</v>
      </c>
      <c r="K2" s="8">
        <f>(H2/I2)*G2</f>
        <v>37166666.666666672</v>
      </c>
      <c r="L2" s="6">
        <f>SQRT(B2/(2*B6))</f>
        <v>1.5499850620463267E-2</v>
      </c>
      <c r="M2" s="8">
        <f>J2*K2*L2</f>
        <v>7.6873283141878218E-9</v>
      </c>
      <c r="N2" s="9">
        <f>M2*B8*((B4)^(-0.5))</f>
        <v>3.7660063710019545</v>
      </c>
      <c r="O2" s="6">
        <f>(2-EXP(-N2*B3/1000))/(1+N2*B3)</f>
        <v>2.6822504747821944E-2</v>
      </c>
      <c r="P2" s="6">
        <f>O2*G2</f>
        <v>598141.85587642936</v>
      </c>
      <c r="Q2" s="6">
        <f>(O2*SUM(G2:G4))/(SUM(P2:P4))</f>
        <v>0.36259406964713009</v>
      </c>
    </row>
    <row r="3" spans="1:17" x14ac:dyDescent="0.35">
      <c r="A3" t="s">
        <v>23</v>
      </c>
      <c r="B3">
        <v>10</v>
      </c>
      <c r="C3" t="s">
        <v>16</v>
      </c>
      <c r="E3" t="s">
        <v>16</v>
      </c>
      <c r="F3" s="6">
        <v>738.4</v>
      </c>
      <c r="G3" s="7">
        <v>8470000</v>
      </c>
      <c r="H3" s="10">
        <v>5</v>
      </c>
      <c r="I3" s="10">
        <v>3</v>
      </c>
      <c r="J3" s="8">
        <f t="shared" ref="J3:J14" si="0">((F3*0.0000001)^3)/(8*((PI())^1.5))</f>
        <v>9.037748838903567E-15</v>
      </c>
      <c r="K3" s="8">
        <f>(H3/I3)*G3</f>
        <v>14116666.666666668</v>
      </c>
      <c r="L3" s="6">
        <f>SQRT(B2/(2*B6))</f>
        <v>1.5499850620463267E-2</v>
      </c>
      <c r="M3" s="8">
        <f t="shared" ref="M3:M14" si="1">J3*K3*L3</f>
        <v>1.9775157022530873E-9</v>
      </c>
      <c r="N3" s="9">
        <f>M3*B8*((B4)^(-0.5))</f>
        <v>0.96878088577232213</v>
      </c>
      <c r="O3" s="6">
        <f>(2-EXP(-N3*B3/1000))/(1+N3*B3)</f>
        <v>9.4466606453290802E-2</v>
      </c>
      <c r="P3" s="6">
        <f t="shared" ref="P3:P14" si="2">O3*G3</f>
        <v>800132.15665937308</v>
      </c>
      <c r="Q3" s="6">
        <f>(O3*SUM(G2:G4))/(SUM(P2:P4))</f>
        <v>1.2770258259506502</v>
      </c>
    </row>
    <row r="4" spans="1:17" x14ac:dyDescent="0.35">
      <c r="A4" t="s">
        <v>2</v>
      </c>
      <c r="B4">
        <v>600</v>
      </c>
      <c r="C4" t="s">
        <v>17</v>
      </c>
      <c r="E4" t="s">
        <v>17</v>
      </c>
      <c r="F4" s="6">
        <v>706.7</v>
      </c>
      <c r="G4" s="7">
        <v>3800000</v>
      </c>
      <c r="H4" s="6">
        <v>5</v>
      </c>
      <c r="I4" s="6">
        <v>5</v>
      </c>
      <c r="J4" s="8">
        <f t="shared" si="0"/>
        <v>7.9230149957900142E-15</v>
      </c>
      <c r="K4" s="8">
        <f>(H4/I4)*G4</f>
        <v>3800000</v>
      </c>
      <c r="L4" s="6">
        <f>SQRT(B2/(2*B6))</f>
        <v>1.5499850620463267E-2</v>
      </c>
      <c r="M4" s="8">
        <f t="shared" si="1"/>
        <v>4.6666108581405532E-10</v>
      </c>
      <c r="N4" s="9">
        <f>M4*B8*((B4)^(-0.5))</f>
        <v>0.22861630861151783</v>
      </c>
      <c r="O4" s="6">
        <f>(2-EXP(-N4*B3/1000))/(1+N4*B3)</f>
        <v>0.30500115957132207</v>
      </c>
      <c r="P4" s="6">
        <f t="shared" si="2"/>
        <v>1159004.4063710237</v>
      </c>
      <c r="Q4" s="6">
        <f>(O4*SUM(G2:G4))/(SUM(P2:P4))</f>
        <v>4.1230903950176288</v>
      </c>
    </row>
    <row r="5" spans="1:17" x14ac:dyDescent="0.35">
      <c r="A5" t="s">
        <v>3</v>
      </c>
      <c r="B5" s="1">
        <v>1.3800000000000001E-23</v>
      </c>
      <c r="D5" t="s">
        <v>30</v>
      </c>
      <c r="E5" t="s">
        <v>18</v>
      </c>
      <c r="F5" s="11">
        <v>826.45</v>
      </c>
      <c r="G5" s="12">
        <v>15200000</v>
      </c>
      <c r="H5" s="11">
        <v>3</v>
      </c>
      <c r="I5" s="11">
        <v>3</v>
      </c>
      <c r="J5" s="13">
        <f t="shared" si="0"/>
        <v>1.2671702143069389E-14</v>
      </c>
      <c r="K5" s="13">
        <f t="shared" ref="K5:K8" si="3">(H5/I5)*G3</f>
        <v>8470000</v>
      </c>
      <c r="L5" s="11">
        <v>1.5499850620463267E-2</v>
      </c>
      <c r="M5" s="13">
        <f t="shared" si="1"/>
        <v>1.6635883830491907E-9</v>
      </c>
      <c r="N5" s="14">
        <f>M5*B11*((B4)^(-0.5))</f>
        <v>0.81498853609844912</v>
      </c>
      <c r="O5" s="11">
        <f>(2-EXP(-N5*B3/1000))/(1+N5*B3)</f>
        <v>0.11017807604240666</v>
      </c>
      <c r="P5" s="11">
        <f t="shared" si="2"/>
        <v>1674706.7558445812</v>
      </c>
      <c r="Q5" s="11">
        <f>(O5*SUM(G5:G8))/(SUM(P5:P8))</f>
        <v>1.1273703667059289</v>
      </c>
    </row>
    <row r="6" spans="1:17" x14ac:dyDescent="0.35">
      <c r="A6" t="s">
        <v>4</v>
      </c>
      <c r="B6" s="1">
        <v>83140</v>
      </c>
      <c r="E6" t="s">
        <v>20</v>
      </c>
      <c r="F6" s="11">
        <v>772.42</v>
      </c>
      <c r="G6" s="12">
        <v>11700000</v>
      </c>
      <c r="H6" s="15">
        <v>3</v>
      </c>
      <c r="I6" s="15">
        <v>1</v>
      </c>
      <c r="J6" s="13">
        <f t="shared" si="0"/>
        <v>1.0345363022766994E-14</v>
      </c>
      <c r="K6" s="13">
        <f>(H6/I6)*G6</f>
        <v>35100000</v>
      </c>
      <c r="L6" s="11">
        <v>1.5499850620463267E-2</v>
      </c>
      <c r="M6" s="13">
        <f t="shared" si="1"/>
        <v>5.6283405095040813E-9</v>
      </c>
      <c r="N6" s="14">
        <f>M6*B12*((B4)^(-0.5))</f>
        <v>1.3786562346921294</v>
      </c>
      <c r="O6" s="11">
        <f>(2-EXP(-N6*B3/1000))/(1+N6*B3)</f>
        <v>6.85549446278092E-2</v>
      </c>
      <c r="P6" s="11">
        <f t="shared" si="2"/>
        <v>802092.85214536765</v>
      </c>
      <c r="Q6" s="11">
        <f>(O6*SUM(G5:G8))/(SUM(P5:P8))</f>
        <v>0.70147179766336476</v>
      </c>
    </row>
    <row r="7" spans="1:17" x14ac:dyDescent="0.35">
      <c r="A7" t="s">
        <v>14</v>
      </c>
      <c r="B7" s="1">
        <v>39000000000</v>
      </c>
      <c r="C7" t="s">
        <v>17</v>
      </c>
      <c r="E7" t="s">
        <v>16</v>
      </c>
      <c r="F7" s="11">
        <v>727.29</v>
      </c>
      <c r="G7" s="12">
        <v>1830000</v>
      </c>
      <c r="H7" s="15">
        <v>3</v>
      </c>
      <c r="I7" s="15">
        <v>3</v>
      </c>
      <c r="J7" s="13">
        <f t="shared" si="0"/>
        <v>8.6359089051367275E-15</v>
      </c>
      <c r="K7" s="13">
        <f t="shared" si="3"/>
        <v>15200000</v>
      </c>
      <c r="L7" s="11">
        <v>1.5499850620463267E-2</v>
      </c>
      <c r="M7" s="13">
        <f t="shared" si="1"/>
        <v>2.0346005296235258E-9</v>
      </c>
      <c r="N7" s="14">
        <f>M7*B8*((B4)^(-0.5))</f>
        <v>0.99674662559480964</v>
      </c>
      <c r="O7" s="11">
        <f>(2-EXP(-N7*B3/1000))/(1+N7*B3)</f>
        <v>9.2083069337118878E-2</v>
      </c>
      <c r="P7" s="11">
        <f t="shared" si="2"/>
        <v>168512.01688692754</v>
      </c>
      <c r="Q7" s="11">
        <f>(O7*SUM(G5:G8))/(SUM(P5:P8))</f>
        <v>0.94221761147870187</v>
      </c>
    </row>
    <row r="8" spans="1:17" x14ac:dyDescent="0.35">
      <c r="A8" t="s">
        <v>15</v>
      </c>
      <c r="B8" s="1">
        <v>12000000000</v>
      </c>
      <c r="C8" t="s">
        <v>16</v>
      </c>
      <c r="E8" t="s">
        <v>17</v>
      </c>
      <c r="F8" s="11">
        <v>696.54</v>
      </c>
      <c r="G8" s="12">
        <v>6390000</v>
      </c>
      <c r="H8" s="15">
        <v>3</v>
      </c>
      <c r="I8" s="15">
        <v>5</v>
      </c>
      <c r="J8" s="13">
        <f t="shared" si="0"/>
        <v>7.5861842893087888E-15</v>
      </c>
      <c r="K8" s="13">
        <f>(H8/I8)*G8</f>
        <v>3834000</v>
      </c>
      <c r="L8" s="11">
        <v>1.5499850620463267E-2</v>
      </c>
      <c r="M8" s="13">
        <f t="shared" si="1"/>
        <v>4.5081982899260984E-10</v>
      </c>
      <c r="N8" s="14">
        <f>M8*B7*((B4)^(-0.5))</f>
        <v>0.71778105552443172</v>
      </c>
      <c r="O8" s="11">
        <f>(2-EXP(-N8*B3/1000))/(1+N8*B3)</f>
        <v>0.12315669393336172</v>
      </c>
      <c r="P8" s="11">
        <f t="shared" si="2"/>
        <v>786971.27423418139</v>
      </c>
      <c r="Q8" s="11">
        <f>(O8*SUM(G5:G8))/(SUM(P5:P8))</f>
        <v>1.2601709177468683</v>
      </c>
    </row>
    <row r="9" spans="1:17" x14ac:dyDescent="0.35">
      <c r="D9" t="s">
        <v>31</v>
      </c>
      <c r="E9" t="s">
        <v>18</v>
      </c>
      <c r="F9" s="16">
        <v>750.39</v>
      </c>
      <c r="G9" s="17">
        <v>47200000</v>
      </c>
      <c r="H9" s="17">
        <v>1</v>
      </c>
      <c r="I9" s="17">
        <v>3</v>
      </c>
      <c r="J9" s="18">
        <f t="shared" si="0"/>
        <v>9.4851961738948803E-15</v>
      </c>
      <c r="K9" s="13">
        <f t="shared" ref="K9:K14" si="4">(H9/I9)*G9</f>
        <v>15733333.333333332</v>
      </c>
      <c r="L9" s="11">
        <v>1.5499850620463267E-2</v>
      </c>
      <c r="M9" s="13">
        <f t="shared" si="1"/>
        <v>2.3131008811382564E-9</v>
      </c>
      <c r="N9" s="14">
        <f>M9*B11*((B4)^(-0.5))</f>
        <v>1.1331833764741781</v>
      </c>
      <c r="O9" s="11">
        <f>(2-EXP(-N9*B3/1000))/(1+N9*B3)</f>
        <v>8.2004662863956024E-2</v>
      </c>
      <c r="P9" s="11">
        <f t="shared" si="2"/>
        <v>3870620.0871787244</v>
      </c>
      <c r="Q9" s="11">
        <f>(O9*SUM(G9:G10))/(SUM(P9:P10))</f>
        <v>0.94933677637255764</v>
      </c>
    </row>
    <row r="10" spans="1:17" x14ac:dyDescent="0.35">
      <c r="E10" t="s">
        <v>16</v>
      </c>
      <c r="F10" s="16">
        <v>667.73</v>
      </c>
      <c r="G10" s="17">
        <v>236000</v>
      </c>
      <c r="H10" s="17">
        <v>1</v>
      </c>
      <c r="I10" s="17">
        <v>3</v>
      </c>
      <c r="J10" s="18">
        <f t="shared" si="0"/>
        <v>6.6832525131716557E-15</v>
      </c>
      <c r="K10" s="13">
        <f t="shared" si="4"/>
        <v>78666.666666666657</v>
      </c>
      <c r="L10" s="11">
        <v>1.5499850620463267E-2</v>
      </c>
      <c r="M10" s="13">
        <f t="shared" si="1"/>
        <v>8.1490340282223802E-12</v>
      </c>
      <c r="N10" s="14">
        <f>M10*B8*((B4)^(-0.5))</f>
        <v>3.9921950531443609E-3</v>
      </c>
      <c r="O10" s="11">
        <f>(2-EXP(-N10*B3/1000))/(1+N10*B3)</f>
        <v>0.96164901668110647</v>
      </c>
      <c r="P10" s="11">
        <f t="shared" si="2"/>
        <v>226949.16793674114</v>
      </c>
      <c r="Q10" s="11">
        <f>(O10*SUM(G9:G10))/(SUM(P9:P10))</f>
        <v>11.132644725488484</v>
      </c>
    </row>
    <row r="11" spans="1:17" x14ac:dyDescent="0.35">
      <c r="A11" t="s">
        <v>19</v>
      </c>
      <c r="B11" s="1">
        <f>B8</f>
        <v>12000000000</v>
      </c>
      <c r="C11" t="s">
        <v>16</v>
      </c>
      <c r="D11" t="s">
        <v>32</v>
      </c>
      <c r="E11" t="s">
        <v>18</v>
      </c>
      <c r="F11" s="11">
        <v>852.14</v>
      </c>
      <c r="G11" s="4">
        <v>13900000</v>
      </c>
      <c r="H11" s="4">
        <v>3</v>
      </c>
      <c r="I11" s="4">
        <v>3</v>
      </c>
      <c r="J11" s="13">
        <f t="shared" si="0"/>
        <v>1.3890505779571923E-14</v>
      </c>
      <c r="K11" s="13">
        <f t="shared" si="4"/>
        <v>13900000</v>
      </c>
      <c r="L11" s="11">
        <v>1.5499850620463267E-2</v>
      </c>
      <c r="M11" s="13">
        <f t="shared" si="1"/>
        <v>2.9926806283020461E-9</v>
      </c>
      <c r="N11" s="14">
        <f>M11*B11*((B4)^(-0.5))</f>
        <v>1.466108100490356</v>
      </c>
      <c r="O11" s="11">
        <f>(2-EXP(-N11*B3/1000))/(1+N11*B3)</f>
        <v>6.4781871081969339E-2</v>
      </c>
      <c r="P11" s="11">
        <f t="shared" si="2"/>
        <v>900468.00803937379</v>
      </c>
      <c r="Q11" s="11" t="e">
        <f>(O11*SUM(G11:G14))/(SUM(P11:P14))</f>
        <v>#DIV/0!</v>
      </c>
    </row>
    <row r="12" spans="1:17" x14ac:dyDescent="0.35">
      <c r="A12" t="s">
        <v>20</v>
      </c>
      <c r="B12" s="1">
        <f>B7/6.5</f>
        <v>6000000000</v>
      </c>
      <c r="C12" t="s">
        <v>21</v>
      </c>
      <c r="E12" t="s">
        <v>20</v>
      </c>
      <c r="F12" s="11">
        <v>794.82</v>
      </c>
      <c r="G12" s="3">
        <v>18600000</v>
      </c>
      <c r="H12" s="3">
        <v>3</v>
      </c>
      <c r="I12" s="3">
        <v>1</v>
      </c>
      <c r="J12" s="13">
        <f t="shared" si="0"/>
        <v>1.1271755611690474E-14</v>
      </c>
      <c r="K12" s="13">
        <f t="shared" si="4"/>
        <v>55800000</v>
      </c>
      <c r="L12" s="11">
        <v>1.5499850620463267E-2</v>
      </c>
      <c r="M12" s="13">
        <f t="shared" si="1"/>
        <v>9.7488474742056559E-9</v>
      </c>
      <c r="N12" s="14">
        <f>M12*B12*((B4)^(-0.5))</f>
        <v>2.387970189202445</v>
      </c>
      <c r="O12" s="11">
        <f>(2-EXP(-N12*B3/1000))/(1+N12*B3)</f>
        <v>4.1141844958439137E-2</v>
      </c>
      <c r="P12" s="11">
        <f t="shared" si="2"/>
        <v>765238.31622696796</v>
      </c>
      <c r="Q12" s="11" t="e">
        <f>(O12*SUM(G11:G14))/(SUM(P11:P14))</f>
        <v>#DIV/0!</v>
      </c>
    </row>
    <row r="13" spans="1:17" x14ac:dyDescent="0.35">
      <c r="E13" t="s">
        <v>16</v>
      </c>
      <c r="F13" s="11">
        <v>747.14</v>
      </c>
      <c r="J13" s="13">
        <f t="shared" si="0"/>
        <v>9.362485717069121E-15</v>
      </c>
      <c r="K13" s="13" t="e">
        <f t="shared" si="4"/>
        <v>#DIV/0!</v>
      </c>
      <c r="L13" s="11">
        <v>1.5499850620463267E-2</v>
      </c>
      <c r="M13" s="13" t="e">
        <f t="shared" si="1"/>
        <v>#DIV/0!</v>
      </c>
      <c r="N13" s="14" t="e">
        <f t="shared" ref="N9:N14" si="5">M13*B13*((B9)^(-0.5))</f>
        <v>#DIV/0!</v>
      </c>
      <c r="O13" s="11" t="e">
        <f t="shared" ref="O9:O14" si="6">(2-EXP(-N13*B8/1000))/(1+N13*B8)</f>
        <v>#DIV/0!</v>
      </c>
      <c r="P13" s="11" t="e">
        <f t="shared" si="2"/>
        <v>#DIV/0!</v>
      </c>
      <c r="Q13" s="11" t="e">
        <f>(O13*SUM(G11:G14))/(SUM(P11:P14))</f>
        <v>#DIV/0!</v>
      </c>
    </row>
    <row r="14" spans="1:17" x14ac:dyDescent="0.35">
      <c r="E14" t="s">
        <v>17</v>
      </c>
      <c r="F14" s="11">
        <v>714.7</v>
      </c>
      <c r="G14" s="4">
        <v>630000</v>
      </c>
      <c r="H14" s="4">
        <v>3</v>
      </c>
      <c r="I14" s="4">
        <v>5</v>
      </c>
      <c r="J14" s="13">
        <f t="shared" si="0"/>
        <v>8.1951432667651065E-15</v>
      </c>
      <c r="K14" s="13">
        <f t="shared" si="4"/>
        <v>378000</v>
      </c>
      <c r="L14" s="11">
        <v>1.5499850620463267E-2</v>
      </c>
      <c r="M14" s="13">
        <f t="shared" si="1"/>
        <v>4.8014881657402403E-11</v>
      </c>
      <c r="N14" s="14">
        <f>M14*B7*((B4)^(-0.5))</f>
        <v>7.6447774078490988E-2</v>
      </c>
      <c r="O14" s="11">
        <f>(2-EXP(-N14*B3/1000))/(1+N14*B3)</f>
        <v>0.56717302942962966</v>
      </c>
      <c r="P14" s="11">
        <f t="shared" si="2"/>
        <v>357319.00854066666</v>
      </c>
      <c r="Q14" s="11" t="e">
        <f>(O14*SUM(G11:G14))/(SUM(P11:P14))</f>
        <v>#DIV/0!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E484F5-5233-484F-8515-AC2183F08A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 Bussell</dc:creator>
  <cp:lastModifiedBy>Beaujolais Bussell</cp:lastModifiedBy>
  <dcterms:created xsi:type="dcterms:W3CDTF">2020-07-06T14:23:20Z</dcterms:created>
  <dcterms:modified xsi:type="dcterms:W3CDTF">2020-07-06T21:04:33Z</dcterms:modified>
</cp:coreProperties>
</file>