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1075" windowHeight="9015" activeTab="1"/>
  </bookViews>
  <sheets>
    <sheet name="Response" sheetId="2" r:id="rId1"/>
    <sheet name="EXPANDED_HARVEST" sheetId="4" r:id="rId2"/>
    <sheet name="Sheet1" sheetId="5" r:id="rId3"/>
  </sheets>
  <definedNames>
    <definedName name="EXPANDED_HARVEST">EXPANDED_HARVEST!$B$2:$O$9</definedName>
    <definedName name="MERGED_PERMIT_AND_HARVEST_DATA">#REF!</definedName>
  </definedNames>
  <calcPr calcId="145621" concurrentCalc="0"/>
</workbook>
</file>

<file path=xl/calcChain.xml><?xml version="1.0" encoding="utf-8"?>
<calcChain xmlns="http://schemas.openxmlformats.org/spreadsheetml/2006/main">
  <c r="H21" i="4" l="1"/>
  <c r="E12" i="5"/>
  <c r="H32" i="4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D33" i="2"/>
  <c r="E33" i="2"/>
  <c r="F44" i="2"/>
  <c r="F33" i="2"/>
  <c r="C33" i="2"/>
  <c r="D32" i="2"/>
  <c r="E32" i="2"/>
  <c r="F40" i="2"/>
  <c r="F32" i="2"/>
  <c r="C32" i="2"/>
  <c r="G32" i="2"/>
  <c r="G33" i="2"/>
  <c r="G34" i="2"/>
  <c r="P34" i="2"/>
  <c r="F34" i="2"/>
  <c r="O34" i="2"/>
  <c r="E34" i="2"/>
  <c r="N34" i="2"/>
  <c r="D34" i="2"/>
  <c r="M34" i="2"/>
  <c r="C34" i="2"/>
  <c r="L34" i="2"/>
  <c r="L33" i="2"/>
  <c r="M33" i="2"/>
  <c r="N33" i="2"/>
  <c r="O33" i="2"/>
  <c r="P33" i="2"/>
  <c r="L32" i="2"/>
  <c r="M32" i="2"/>
  <c r="N32" i="2"/>
  <c r="O32" i="2"/>
  <c r="P32" i="2"/>
  <c r="C37" i="4"/>
  <c r="C49" i="4"/>
  <c r="J49" i="4"/>
  <c r="D37" i="4"/>
  <c r="D49" i="4"/>
  <c r="K49" i="4"/>
  <c r="E37" i="4"/>
  <c r="E49" i="4"/>
  <c r="L49" i="4"/>
  <c r="G37" i="4"/>
  <c r="G49" i="4"/>
  <c r="N49" i="4"/>
  <c r="F37" i="4"/>
  <c r="H37" i="4"/>
  <c r="H49" i="4"/>
  <c r="O49" i="4"/>
  <c r="C38" i="4"/>
  <c r="C50" i="4"/>
  <c r="J50" i="4"/>
  <c r="D38" i="4"/>
  <c r="D50" i="4"/>
  <c r="K50" i="4"/>
  <c r="E38" i="4"/>
  <c r="E50" i="4"/>
  <c r="L50" i="4"/>
  <c r="G38" i="4"/>
  <c r="G50" i="4"/>
  <c r="N50" i="4"/>
  <c r="F38" i="4"/>
  <c r="H38" i="4"/>
  <c r="H50" i="4"/>
  <c r="O50" i="4"/>
  <c r="C39" i="4"/>
  <c r="C51" i="4"/>
  <c r="J51" i="4"/>
  <c r="D39" i="4"/>
  <c r="D51" i="4"/>
  <c r="K51" i="4"/>
  <c r="E39" i="4"/>
  <c r="E51" i="4"/>
  <c r="L51" i="4"/>
  <c r="G39" i="4"/>
  <c r="G51" i="4"/>
  <c r="N51" i="4"/>
  <c r="F39" i="4"/>
  <c r="H39" i="4"/>
  <c r="H51" i="4"/>
  <c r="O51" i="4"/>
  <c r="C40" i="4"/>
  <c r="C52" i="4"/>
  <c r="J52" i="4"/>
  <c r="D40" i="4"/>
  <c r="D52" i="4"/>
  <c r="K52" i="4"/>
  <c r="E40" i="4"/>
  <c r="E52" i="4"/>
  <c r="L52" i="4"/>
  <c r="G40" i="4"/>
  <c r="G52" i="4"/>
  <c r="N52" i="4"/>
  <c r="F40" i="4"/>
  <c r="H40" i="4"/>
  <c r="H52" i="4"/>
  <c r="O52" i="4"/>
  <c r="C41" i="4"/>
  <c r="C53" i="4"/>
  <c r="J53" i="4"/>
  <c r="D41" i="4"/>
  <c r="D53" i="4"/>
  <c r="K53" i="4"/>
  <c r="E41" i="4"/>
  <c r="E53" i="4"/>
  <c r="L53" i="4"/>
  <c r="G41" i="4"/>
  <c r="G53" i="4"/>
  <c r="N53" i="4"/>
  <c r="F41" i="4"/>
  <c r="H41" i="4"/>
  <c r="H53" i="4"/>
  <c r="O53" i="4"/>
  <c r="C42" i="4"/>
  <c r="C54" i="4"/>
  <c r="J54" i="4"/>
  <c r="D42" i="4"/>
  <c r="D54" i="4"/>
  <c r="K54" i="4"/>
  <c r="E42" i="4"/>
  <c r="E54" i="4"/>
  <c r="L54" i="4"/>
  <c r="G42" i="4"/>
  <c r="G54" i="4"/>
  <c r="N54" i="4"/>
  <c r="F42" i="4"/>
  <c r="H42" i="4"/>
  <c r="H54" i="4"/>
  <c r="O54" i="4"/>
  <c r="C43" i="4"/>
  <c r="C10" i="4"/>
  <c r="C55" i="4"/>
  <c r="J55" i="4"/>
  <c r="D43" i="4"/>
  <c r="D10" i="4"/>
  <c r="D55" i="4"/>
  <c r="K55" i="4"/>
  <c r="E43" i="4"/>
  <c r="E10" i="4"/>
  <c r="E55" i="4"/>
  <c r="L55" i="4"/>
  <c r="G43" i="4"/>
  <c r="G10" i="4"/>
  <c r="G55" i="4"/>
  <c r="N55" i="4"/>
  <c r="H43" i="4"/>
  <c r="H10" i="4"/>
  <c r="H55" i="4"/>
  <c r="O55" i="4"/>
  <c r="D36" i="4"/>
  <c r="D48" i="4"/>
  <c r="K48" i="4"/>
  <c r="E36" i="4"/>
  <c r="E48" i="4"/>
  <c r="L48" i="4"/>
  <c r="G36" i="4"/>
  <c r="G48" i="4"/>
  <c r="N48" i="4"/>
  <c r="C36" i="4"/>
  <c r="F36" i="4"/>
  <c r="H36" i="4"/>
  <c r="H48" i="4"/>
  <c r="O48" i="4"/>
  <c r="C48" i="4"/>
  <c r="J48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21" i="4"/>
  <c r="J32" i="4"/>
  <c r="J43" i="4"/>
  <c r="K21" i="4"/>
  <c r="K32" i="4"/>
  <c r="K43" i="4"/>
  <c r="L21" i="4"/>
  <c r="L32" i="4"/>
  <c r="L43" i="4"/>
  <c r="M21" i="4"/>
  <c r="M32" i="4"/>
  <c r="M43" i="4"/>
  <c r="N21" i="4"/>
  <c r="N32" i="4"/>
  <c r="N43" i="4"/>
  <c r="O21" i="4"/>
  <c r="O32" i="4"/>
  <c r="O43" i="4"/>
  <c r="K36" i="4"/>
  <c r="L36" i="4"/>
  <c r="M36" i="4"/>
  <c r="N36" i="4"/>
  <c r="O36" i="4"/>
  <c r="J36" i="4"/>
  <c r="F43" i="4"/>
  <c r="F10" i="4"/>
  <c r="F55" i="4"/>
  <c r="F49" i="4"/>
  <c r="F50" i="4"/>
  <c r="F51" i="4"/>
  <c r="F52" i="4"/>
  <c r="F53" i="4"/>
  <c r="F54" i="4"/>
  <c r="F48" i="4"/>
  <c r="J10" i="4"/>
  <c r="K10" i="4"/>
  <c r="L10" i="4"/>
  <c r="M10" i="4"/>
  <c r="N10" i="4"/>
  <c r="O10" i="4"/>
  <c r="C21" i="4"/>
  <c r="D21" i="4"/>
  <c r="E21" i="4"/>
  <c r="F21" i="4"/>
  <c r="G21" i="4"/>
  <c r="C32" i="4"/>
  <c r="D32" i="4"/>
  <c r="E32" i="4"/>
  <c r="F32" i="4"/>
  <c r="G32" i="4"/>
  <c r="F4" i="2"/>
  <c r="V5" i="2"/>
  <c r="F3" i="2"/>
  <c r="V4" i="2"/>
  <c r="G38" i="2"/>
  <c r="G39" i="2"/>
  <c r="G40" i="2"/>
  <c r="H39" i="2"/>
  <c r="G18" i="2"/>
  <c r="G19" i="2"/>
  <c r="F20" i="2"/>
  <c r="G20" i="2"/>
  <c r="G22" i="2"/>
  <c r="G23" i="2"/>
  <c r="F24" i="2"/>
  <c r="G24" i="2"/>
  <c r="G25" i="2"/>
  <c r="P25" i="2"/>
  <c r="G42" i="2"/>
  <c r="G43" i="2"/>
  <c r="G44" i="2"/>
  <c r="G45" i="2"/>
  <c r="P45" i="2"/>
  <c r="F25" i="2"/>
  <c r="O25" i="2"/>
  <c r="F45" i="2"/>
  <c r="O45" i="2"/>
  <c r="E45" i="2"/>
  <c r="N45" i="2"/>
  <c r="D45" i="2"/>
  <c r="M45" i="2"/>
  <c r="C45" i="2"/>
  <c r="L45" i="2"/>
  <c r="N43" i="2"/>
  <c r="M43" i="2"/>
  <c r="L43" i="2"/>
  <c r="N42" i="2"/>
  <c r="M42" i="2"/>
  <c r="L42" i="2"/>
  <c r="N39" i="2"/>
  <c r="M39" i="2"/>
  <c r="L39" i="2"/>
  <c r="N38" i="2"/>
  <c r="M38" i="2"/>
  <c r="L38" i="2"/>
  <c r="P38" i="2"/>
  <c r="P39" i="2"/>
  <c r="P42" i="2"/>
  <c r="P43" i="2"/>
  <c r="H43" i="2"/>
  <c r="D5" i="2"/>
  <c r="F5" i="2"/>
  <c r="E5" i="2"/>
  <c r="C5" i="2"/>
  <c r="L4" i="2"/>
  <c r="M4" i="2"/>
  <c r="N4" i="2"/>
  <c r="O4" i="2"/>
  <c r="L3" i="2"/>
  <c r="M3" i="2"/>
  <c r="N3" i="2"/>
  <c r="O3" i="2"/>
  <c r="D25" i="2"/>
  <c r="M25" i="2"/>
  <c r="E25" i="2"/>
  <c r="N25" i="2"/>
  <c r="C25" i="2"/>
  <c r="L25" i="2"/>
  <c r="L19" i="2"/>
  <c r="M19" i="2"/>
  <c r="N19" i="2"/>
  <c r="L22" i="2"/>
  <c r="M22" i="2"/>
  <c r="N22" i="2"/>
  <c r="L23" i="2"/>
  <c r="M23" i="2"/>
  <c r="N23" i="2"/>
  <c r="M18" i="2"/>
  <c r="N18" i="2"/>
  <c r="L18" i="2"/>
  <c r="P18" i="2"/>
  <c r="P19" i="2"/>
  <c r="P22" i="2"/>
  <c r="P23" i="2"/>
  <c r="H23" i="2"/>
  <c r="H19" i="2"/>
  <c r="C13" i="2"/>
  <c r="D13" i="2"/>
  <c r="E13" i="2"/>
  <c r="F13" i="2"/>
  <c r="G13" i="2"/>
  <c r="L13" i="2"/>
  <c r="M13" i="2"/>
  <c r="N13" i="2"/>
  <c r="O13" i="2"/>
  <c r="P13" i="2"/>
  <c r="D12" i="2"/>
  <c r="D14" i="2"/>
  <c r="C12" i="2"/>
  <c r="E12" i="2"/>
  <c r="F12" i="2"/>
  <c r="G12" i="2"/>
  <c r="G14" i="2"/>
  <c r="M14" i="2"/>
  <c r="E14" i="2"/>
  <c r="N14" i="2"/>
  <c r="F14" i="2"/>
  <c r="O14" i="2"/>
  <c r="P14" i="2"/>
  <c r="C14" i="2"/>
  <c r="L14" i="2"/>
  <c r="L12" i="2"/>
  <c r="M12" i="2"/>
  <c r="N12" i="2"/>
  <c r="O12" i="2"/>
  <c r="P12" i="2"/>
</calcChain>
</file>

<file path=xl/sharedStrings.xml><?xml version="1.0" encoding="utf-8"?>
<sst xmlns="http://schemas.openxmlformats.org/spreadsheetml/2006/main" count="158" uniqueCount="41">
  <si>
    <t>Mailing 0</t>
  </si>
  <si>
    <t>Mailing 1</t>
  </si>
  <si>
    <t>Mailing 2</t>
  </si>
  <si>
    <t>Online, Online</t>
  </si>
  <si>
    <t>Online, Mail</t>
  </si>
  <si>
    <t>Vendor, Online</t>
  </si>
  <si>
    <t>Vendor, Mail</t>
  </si>
  <si>
    <t>Online, Neither</t>
  </si>
  <si>
    <t>Vendor, Neither</t>
  </si>
  <si>
    <t>Online</t>
  </si>
  <si>
    <t>Mail</t>
  </si>
  <si>
    <t>No Response</t>
  </si>
  <si>
    <t>Vendor</t>
  </si>
  <si>
    <t>Purchase
Method</t>
  </si>
  <si>
    <t>Purchase,
Response
Method</t>
  </si>
  <si>
    <t>Overall</t>
  </si>
  <si>
    <t>Response Method</t>
  </si>
  <si>
    <t>Did Not
Fish</t>
  </si>
  <si>
    <t>Harvest
Reported</t>
  </si>
  <si>
    <t>Blank
Report</t>
  </si>
  <si>
    <t>ONLINE</t>
  </si>
  <si>
    <t>VENDOR</t>
  </si>
  <si>
    <t>DAYS</t>
  </si>
  <si>
    <t>TOTAL SALMON</t>
  </si>
  <si>
    <t>RED</t>
  </si>
  <si>
    <t>PINK</t>
  </si>
  <si>
    <t>KING</t>
  </si>
  <si>
    <t>FLOUNDER</t>
  </si>
  <si>
    <t>COHO</t>
  </si>
  <si>
    <t>CHUM</t>
  </si>
  <si>
    <t>TOTAL</t>
  </si>
  <si>
    <t>UNKNOWN</t>
  </si>
  <si>
    <t>FISH
CREEK</t>
  </si>
  <si>
    <t>KASILOF
GILNET</t>
  </si>
  <si>
    <t>KASILOF
DIPNET</t>
  </si>
  <si>
    <t>KENAI</t>
  </si>
  <si>
    <t>SE ESTIMATED HARVEST</t>
  </si>
  <si>
    <t>ESTIMATED HARVEST</t>
  </si>
  <si>
    <t>DIFFERENCE IN ESTIMATED HARVEST (NUMBER OF FISH)</t>
  </si>
  <si>
    <t>DIFFERENCE IN ESTIMATED HARVEST (PERCENT)</t>
  </si>
  <si>
    <t>ESTIMATED HARVEST
 PER PERMIT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</si>
</sst>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9" fontId="0" fillId="0" borderId="0" xfId="1" applyFont="1"/>
    <xf numFmtId="3" fontId="0" fillId="0" borderId="0" xfId="0" applyNumberFormat="1" applyBorder="1"/>
    <xf numFmtId="0" fontId="0" fillId="0" borderId="4" xfId="0" applyBorder="1" applyAlignment="1">
      <alignment horizontal="right" wrapText="1"/>
    </xf>
    <xf numFmtId="3" fontId="0" fillId="0" borderId="5" xfId="0" applyNumberFormat="1" applyBorder="1"/>
    <xf numFmtId="3" fontId="0" fillId="0" borderId="4" xfId="0" applyNumberFormat="1" applyBorder="1"/>
    <xf numFmtId="3" fontId="0" fillId="0" borderId="8" xfId="0" applyNumberFormat="1" applyBorder="1"/>
    <xf numFmtId="3" fontId="0" fillId="0" borderId="9" xfId="0" applyNumberFormat="1" applyBorder="1"/>
    <xf numFmtId="9" fontId="0" fillId="0" borderId="2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3" xfId="1" applyFont="1" applyBorder="1"/>
    <xf numFmtId="9" fontId="0" fillId="0" borderId="1" xfId="1" applyFont="1" applyBorder="1"/>
    <xf numFmtId="9" fontId="0" fillId="0" borderId="4" xfId="1" applyFont="1" applyBorder="1"/>
    <xf numFmtId="9" fontId="0" fillId="0" borderId="8" xfId="1" applyFont="1" applyBorder="1"/>
    <xf numFmtId="9" fontId="0" fillId="0" borderId="9" xfId="1" applyFont="1" applyBorder="1"/>
    <xf numFmtId="3" fontId="0" fillId="0" borderId="2" xfId="1" applyNumberFormat="1" applyFont="1" applyBorder="1"/>
    <xf numFmtId="3" fontId="0" fillId="0" borderId="0" xfId="1" applyNumberFormat="1" applyFont="1"/>
    <xf numFmtId="3" fontId="0" fillId="0" borderId="0" xfId="1" applyNumberFormat="1" applyFont="1" applyBorder="1"/>
    <xf numFmtId="3" fontId="0" fillId="0" borderId="5" xfId="1" applyNumberFormat="1" applyFont="1" applyBorder="1"/>
    <xf numFmtId="3" fontId="0" fillId="0" borderId="9" xfId="1" applyNumberFormat="1" applyFont="1" applyBorder="1"/>
    <xf numFmtId="3" fontId="0" fillId="0" borderId="3" xfId="1" applyNumberFormat="1" applyFont="1" applyBorder="1"/>
    <xf numFmtId="3" fontId="0" fillId="0" borderId="1" xfId="1" applyNumberFormat="1" applyFont="1" applyBorder="1"/>
    <xf numFmtId="3" fontId="0" fillId="0" borderId="4" xfId="1" applyNumberFormat="1" applyFont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 wrapText="1"/>
    </xf>
    <xf numFmtId="0" fontId="0" fillId="0" borderId="9" xfId="0" applyBorder="1" applyAlignment="1">
      <alignment horizontal="right"/>
    </xf>
    <xf numFmtId="0" fontId="2" fillId="0" borderId="0" xfId="2"/>
    <xf numFmtId="0" fontId="3" fillId="0" borderId="0" xfId="2" applyFont="1"/>
    <xf numFmtId="3" fontId="4" fillId="0" borderId="11" xfId="2" quotePrefix="1" applyNumberFormat="1" applyFont="1" applyBorder="1"/>
    <xf numFmtId="3" fontId="3" fillId="0" borderId="12" xfId="2" quotePrefix="1" applyNumberFormat="1" applyFont="1" applyBorder="1"/>
    <xf numFmtId="3" fontId="3" fillId="0" borderId="11" xfId="2" quotePrefix="1" applyNumberFormat="1" applyFont="1" applyBorder="1"/>
    <xf numFmtId="0" fontId="3" fillId="0" borderId="11" xfId="2" quotePrefix="1" applyFont="1" applyFill="1" applyBorder="1" applyAlignment="1">
      <alignment horizontal="left"/>
    </xf>
    <xf numFmtId="3" fontId="3" fillId="0" borderId="3" xfId="2" quotePrefix="1" applyNumberFormat="1" applyFont="1" applyBorder="1"/>
    <xf numFmtId="3" fontId="3" fillId="0" borderId="4" xfId="2" quotePrefix="1" applyNumberFormat="1" applyFont="1" applyBorder="1"/>
    <xf numFmtId="3" fontId="3" fillId="0" borderId="1" xfId="2" quotePrefix="1" applyNumberFormat="1" applyFont="1" applyBorder="1"/>
    <xf numFmtId="0" fontId="3" fillId="0" borderId="1" xfId="2" applyFont="1" applyBorder="1"/>
    <xf numFmtId="3" fontId="3" fillId="0" borderId="2" xfId="2" quotePrefix="1" applyNumberFormat="1" applyFont="1" applyBorder="1"/>
    <xf numFmtId="3" fontId="3" fillId="0" borderId="0" xfId="2" quotePrefix="1" applyNumberFormat="1" applyFont="1"/>
    <xf numFmtId="3" fontId="3" fillId="0" borderId="8" xfId="2" quotePrefix="1" applyNumberFormat="1" applyFont="1" applyBorder="1"/>
    <xf numFmtId="3" fontId="3" fillId="0" borderId="13" xfId="2" quotePrefix="1" applyNumberFormat="1" applyFont="1" applyBorder="1"/>
    <xf numFmtId="0" fontId="3" fillId="0" borderId="13" xfId="2" applyFont="1" applyBorder="1"/>
    <xf numFmtId="3" fontId="3" fillId="0" borderId="0" xfId="2" quotePrefix="1" applyNumberFormat="1" applyFont="1" applyBorder="1"/>
    <xf numFmtId="3" fontId="3" fillId="0" borderId="0" xfId="2" applyNumberFormat="1" applyFont="1"/>
    <xf numFmtId="0" fontId="3" fillId="0" borderId="0" xfId="2" applyFont="1" applyBorder="1"/>
    <xf numFmtId="0" fontId="3" fillId="0" borderId="3" xfId="2" quotePrefix="1" applyNumberFormat="1" applyFont="1" applyBorder="1" applyAlignment="1">
      <alignment horizontal="right" wrapText="1"/>
    </xf>
    <xf numFmtId="0" fontId="3" fillId="0" borderId="1" xfId="2" quotePrefix="1" applyNumberFormat="1" applyFont="1" applyBorder="1" applyAlignment="1">
      <alignment horizontal="right" wrapText="1"/>
    </xf>
    <xf numFmtId="0" fontId="0" fillId="0" borderId="0" xfId="0" applyFill="1" applyAlignment="1">
      <alignment horizontal="right"/>
    </xf>
    <xf numFmtId="9" fontId="0" fillId="0" borderId="8" xfId="1" applyFont="1" applyFill="1" applyBorder="1"/>
    <xf numFmtId="9" fontId="0" fillId="0" borderId="0" xfId="1" applyFont="1" applyFill="1" applyBorder="1"/>
    <xf numFmtId="9" fontId="0" fillId="0" borderId="9" xfId="1" applyFont="1" applyFill="1" applyBorder="1"/>
    <xf numFmtId="4" fontId="3" fillId="0" borderId="13" xfId="2" quotePrefix="1" applyNumberFormat="1" applyFont="1" applyBorder="1"/>
    <xf numFmtId="4" fontId="3" fillId="0" borderId="8" xfId="2" quotePrefix="1" applyNumberFormat="1" applyFont="1" applyBorder="1"/>
    <xf numFmtId="4" fontId="3" fillId="0" borderId="0" xfId="2" quotePrefix="1" applyNumberFormat="1" applyFont="1"/>
    <xf numFmtId="4" fontId="3" fillId="0" borderId="2" xfId="2" quotePrefix="1" applyNumberFormat="1" applyFont="1" applyBorder="1"/>
    <xf numFmtId="4" fontId="3" fillId="0" borderId="1" xfId="2" quotePrefix="1" applyNumberFormat="1" applyFont="1" applyBorder="1"/>
    <xf numFmtId="4" fontId="3" fillId="0" borderId="0" xfId="2" quotePrefix="1" applyNumberFormat="1" applyFont="1" applyBorder="1"/>
    <xf numFmtId="4" fontId="3" fillId="0" borderId="4" xfId="2" quotePrefix="1" applyNumberFormat="1" applyFont="1" applyBorder="1"/>
    <xf numFmtId="4" fontId="3" fillId="0" borderId="3" xfId="2" quotePrefix="1" applyNumberFormat="1" applyFont="1" applyBorder="1"/>
    <xf numFmtId="4" fontId="3" fillId="0" borderId="11" xfId="2" quotePrefix="1" applyNumberFormat="1" applyFont="1" applyBorder="1"/>
    <xf numFmtId="4" fontId="3" fillId="0" borderId="12" xfId="2" quotePrefix="1" applyNumberFormat="1" applyFont="1" applyBorder="1"/>
    <xf numFmtId="4" fontId="5" fillId="0" borderId="11" xfId="2" quotePrefix="1" applyNumberFormat="1" applyFont="1" applyBorder="1"/>
    <xf numFmtId="0" fontId="0" fillId="0" borderId="6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3" fillId="0" borderId="1" xfId="2" applyFont="1" applyBorder="1" applyAlignment="1">
      <alignment horizontal="center"/>
    </xf>
    <xf numFmtId="0" fontId="0" fillId="0" borderId="10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0000FF"/>
      <color rgb="FF00CC00"/>
      <color rgb="FFFFEBEB"/>
      <color rgb="FFEBFFEB"/>
      <color rgb="FFE7F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56</xdr:row>
      <xdr:rowOff>0</xdr:rowOff>
    </xdr:from>
    <xdr:to>
      <xdr:col>8</xdr:col>
      <xdr:colOff>57150</xdr:colOff>
      <xdr:row>57</xdr:row>
      <xdr:rowOff>104775</xdr:rowOff>
    </xdr:to>
    <xdr:sp macro="" textlink="">
      <xdr:nvSpPr>
        <xdr:cNvPr id="2" name="TextBox 1"/>
        <xdr:cNvSpPr txBox="1"/>
      </xdr:nvSpPr>
      <xdr:spPr>
        <a:xfrm>
          <a:off x="2209800" y="9391650"/>
          <a:ext cx="50006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Combining</a:t>
          </a:r>
          <a:r>
            <a:rPr lang="en-US" sz="1100" baseline="0">
              <a:solidFill>
                <a:srgbClr val="FF0000"/>
              </a:solidFill>
            </a:rPr>
            <a:t> the purchase methods over estimated the total salmon harvest by 1,362.</a:t>
          </a:r>
        </a:p>
        <a:p>
          <a:endParaRPr lang="en-US" sz="1100"/>
        </a:p>
      </xdr:txBody>
    </xdr:sp>
    <xdr:clientData/>
  </xdr:twoCellAnchor>
  <xdr:twoCellAnchor>
    <xdr:from>
      <xdr:col>0</xdr:col>
      <xdr:colOff>223838</xdr:colOff>
      <xdr:row>2</xdr:row>
      <xdr:rowOff>28575</xdr:rowOff>
    </xdr:from>
    <xdr:to>
      <xdr:col>0</xdr:col>
      <xdr:colOff>1052513</xdr:colOff>
      <xdr:row>9</xdr:row>
      <xdr:rowOff>47625</xdr:rowOff>
    </xdr:to>
    <xdr:sp macro="" textlink="">
      <xdr:nvSpPr>
        <xdr:cNvPr id="3" name="TextBox 2"/>
        <xdr:cNvSpPr txBox="1"/>
      </xdr:nvSpPr>
      <xdr:spPr>
        <a:xfrm>
          <a:off x="223838" y="514350"/>
          <a:ext cx="828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Bef>
              <a:spcPts val="0"/>
            </a:spcBef>
          </a:pPr>
          <a:endParaRPr lang="en-US" sz="800"/>
        </a:p>
        <a:p>
          <a:pPr algn="ctr">
            <a:spcBef>
              <a:spcPts val="0"/>
            </a:spcBef>
          </a:pPr>
          <a:r>
            <a:rPr lang="en-US" sz="1100"/>
            <a:t>Estimates</a:t>
          </a:r>
          <a:r>
            <a:rPr lang="en-US" sz="1100" baseline="0"/>
            <a:t> calculate ignoring Purchase Method</a:t>
          </a:r>
          <a:endParaRPr lang="en-US" sz="1100"/>
        </a:p>
      </xdr:txBody>
    </xdr:sp>
    <xdr:clientData/>
  </xdr:twoCellAnchor>
  <xdr:twoCellAnchor>
    <xdr:from>
      <xdr:col>0</xdr:col>
      <xdr:colOff>223838</xdr:colOff>
      <xdr:row>13</xdr:row>
      <xdr:rowOff>85725</xdr:rowOff>
    </xdr:from>
    <xdr:to>
      <xdr:col>0</xdr:col>
      <xdr:colOff>1052513</xdr:colOff>
      <xdr:row>20</xdr:row>
      <xdr:rowOff>104775</xdr:rowOff>
    </xdr:to>
    <xdr:sp macro="" textlink="">
      <xdr:nvSpPr>
        <xdr:cNvPr id="4" name="TextBox 3"/>
        <xdr:cNvSpPr txBox="1"/>
      </xdr:nvSpPr>
      <xdr:spPr>
        <a:xfrm>
          <a:off x="223838" y="2352675"/>
          <a:ext cx="828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Bef>
              <a:spcPts val="0"/>
            </a:spcBef>
          </a:pPr>
          <a:endParaRPr lang="en-US" sz="800"/>
        </a:p>
        <a:p>
          <a:pPr algn="ctr">
            <a:spcBef>
              <a:spcPts val="0"/>
            </a:spcBef>
          </a:pPr>
          <a:r>
            <a:rPr lang="en-US" sz="1100" baseline="0"/>
            <a:t>Purchase Method</a:t>
          </a:r>
        </a:p>
        <a:p>
          <a:pPr algn="ctr">
            <a:spcBef>
              <a:spcPts val="0"/>
            </a:spcBef>
          </a:pPr>
          <a:r>
            <a:rPr lang="en-US" sz="1100" baseline="0"/>
            <a:t>Vendor</a:t>
          </a:r>
          <a:br>
            <a:rPr lang="en-US" sz="1100" baseline="0"/>
          </a:br>
          <a:r>
            <a:rPr lang="en-US" sz="1100" baseline="0"/>
            <a:t>Only</a:t>
          </a:r>
          <a:endParaRPr lang="en-US" sz="1100"/>
        </a:p>
      </xdr:txBody>
    </xdr:sp>
    <xdr:clientData/>
  </xdr:twoCellAnchor>
  <xdr:twoCellAnchor>
    <xdr:from>
      <xdr:col>0</xdr:col>
      <xdr:colOff>223838</xdr:colOff>
      <xdr:row>24</xdr:row>
      <xdr:rowOff>57150</xdr:rowOff>
    </xdr:from>
    <xdr:to>
      <xdr:col>0</xdr:col>
      <xdr:colOff>1052513</xdr:colOff>
      <xdr:row>31</xdr:row>
      <xdr:rowOff>76200</xdr:rowOff>
    </xdr:to>
    <xdr:sp macro="" textlink="">
      <xdr:nvSpPr>
        <xdr:cNvPr id="5" name="TextBox 4"/>
        <xdr:cNvSpPr txBox="1"/>
      </xdr:nvSpPr>
      <xdr:spPr>
        <a:xfrm>
          <a:off x="223838" y="4105275"/>
          <a:ext cx="828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Bef>
              <a:spcPts val="0"/>
            </a:spcBef>
          </a:pPr>
          <a:endParaRPr lang="en-US" sz="800"/>
        </a:p>
        <a:p>
          <a:pPr algn="ctr">
            <a:spcBef>
              <a:spcPts val="0"/>
            </a:spcBef>
          </a:pPr>
          <a:r>
            <a:rPr lang="en-US" sz="1100" baseline="0"/>
            <a:t>Purchase Method</a:t>
          </a:r>
        </a:p>
        <a:p>
          <a:pPr algn="ctr">
            <a:spcBef>
              <a:spcPts val="0"/>
            </a:spcBef>
          </a:pPr>
          <a:r>
            <a:rPr lang="en-US" sz="1100" baseline="0"/>
            <a:t>Online </a:t>
          </a:r>
          <a:br>
            <a:rPr lang="en-US" sz="1100" baseline="0"/>
          </a:br>
          <a:r>
            <a:rPr lang="en-US" sz="1100" baseline="0"/>
            <a:t>Only</a:t>
          </a:r>
          <a:endParaRPr lang="en-US" sz="1100"/>
        </a:p>
      </xdr:txBody>
    </xdr:sp>
    <xdr:clientData/>
  </xdr:twoCellAnchor>
  <xdr:twoCellAnchor>
    <xdr:from>
      <xdr:col>0</xdr:col>
      <xdr:colOff>223838</xdr:colOff>
      <xdr:row>34</xdr:row>
      <xdr:rowOff>142875</xdr:rowOff>
    </xdr:from>
    <xdr:to>
      <xdr:col>0</xdr:col>
      <xdr:colOff>1052513</xdr:colOff>
      <xdr:row>43</xdr:row>
      <xdr:rowOff>0</xdr:rowOff>
    </xdr:to>
    <xdr:sp macro="" textlink="">
      <xdr:nvSpPr>
        <xdr:cNvPr id="6" name="TextBox 5"/>
        <xdr:cNvSpPr txBox="1"/>
      </xdr:nvSpPr>
      <xdr:spPr>
        <a:xfrm>
          <a:off x="223838" y="5810250"/>
          <a:ext cx="8286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Bef>
              <a:spcPts val="0"/>
            </a:spcBef>
          </a:pPr>
          <a:endParaRPr lang="en-US" sz="800"/>
        </a:p>
        <a:p>
          <a:pPr algn="ctr">
            <a:spcBef>
              <a:spcPts val="0"/>
            </a:spcBef>
          </a:pPr>
          <a:r>
            <a:rPr lang="en-US" sz="1100" baseline="0"/>
            <a:t>Estimates are the sum of Vendor and </a:t>
          </a:r>
          <a:br>
            <a:rPr lang="en-US" sz="1100" baseline="0"/>
          </a:br>
          <a:r>
            <a:rPr lang="en-US" sz="1100" baseline="0"/>
            <a:t>Online</a:t>
          </a:r>
          <a:endParaRPr lang="en-US" sz="1100"/>
        </a:p>
      </xdr:txBody>
    </xdr:sp>
    <xdr:clientData/>
  </xdr:twoCellAnchor>
  <xdr:twoCellAnchor>
    <xdr:from>
      <xdr:col>0</xdr:col>
      <xdr:colOff>142875</xdr:colOff>
      <xdr:row>46</xdr:row>
      <xdr:rowOff>66674</xdr:rowOff>
    </xdr:from>
    <xdr:to>
      <xdr:col>0</xdr:col>
      <xdr:colOff>971550</xdr:colOff>
      <xdr:row>55</xdr:row>
      <xdr:rowOff>85724</xdr:rowOff>
    </xdr:to>
    <xdr:sp macro="" textlink="">
      <xdr:nvSpPr>
        <xdr:cNvPr id="7" name="TextBox 6"/>
        <xdr:cNvSpPr txBox="1"/>
      </xdr:nvSpPr>
      <xdr:spPr>
        <a:xfrm>
          <a:off x="142875" y="7839074"/>
          <a:ext cx="828675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Bef>
              <a:spcPts val="0"/>
            </a:spcBef>
          </a:pPr>
          <a:r>
            <a:rPr lang="en-US" sz="1100" baseline="0"/>
            <a:t>Difference between Ignoring and accounting for Purchase Method</a:t>
          </a:r>
        </a:p>
        <a:p>
          <a:pPr algn="ctr">
            <a:spcBef>
              <a:spcPts val="0"/>
            </a:spcBef>
          </a:pPr>
          <a:endParaRPr lang="en-US" sz="1100"/>
        </a:p>
      </xdr:txBody>
    </xdr:sp>
    <xdr:clientData/>
  </xdr:twoCellAnchor>
  <xdr:twoCellAnchor>
    <xdr:from>
      <xdr:col>9</xdr:col>
      <xdr:colOff>19050</xdr:colOff>
      <xdr:row>56</xdr:row>
      <xdr:rowOff>0</xdr:rowOff>
    </xdr:from>
    <xdr:to>
      <xdr:col>15</xdr:col>
      <xdr:colOff>161925</xdr:colOff>
      <xdr:row>57</xdr:row>
      <xdr:rowOff>104775</xdr:rowOff>
    </xdr:to>
    <xdr:sp macro="" textlink="">
      <xdr:nvSpPr>
        <xdr:cNvPr id="8" name="TextBox 7"/>
        <xdr:cNvSpPr txBox="1"/>
      </xdr:nvSpPr>
      <xdr:spPr>
        <a:xfrm>
          <a:off x="7781925" y="9391650"/>
          <a:ext cx="5057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Combining</a:t>
          </a:r>
          <a:r>
            <a:rPr lang="en-US" sz="1100" baseline="0">
              <a:solidFill>
                <a:srgbClr val="0000FF"/>
              </a:solidFill>
            </a:rPr>
            <a:t> the purchase methods over estimated the total salmon harvest by 0.37%.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G50" sqref="G50"/>
    </sheetView>
  </sheetViews>
  <sheetFormatPr defaultRowHeight="15" x14ac:dyDescent="0.25"/>
  <cols>
    <col min="1" max="1" width="11.85546875" customWidth="1"/>
    <col min="2" max="2" width="15.5703125" customWidth="1"/>
    <col min="3" max="6" width="10.7109375" customWidth="1"/>
    <col min="7" max="7" width="11" customWidth="1"/>
    <col min="8" max="8" width="9.140625" customWidth="1"/>
    <col min="10" max="10" width="11.85546875" customWidth="1"/>
    <col min="11" max="11" width="15.5703125" bestFit="1" customWidth="1"/>
    <col min="12" max="15" width="10.7109375" customWidth="1"/>
    <col min="16" max="16" width="11" customWidth="1"/>
    <col min="17" max="17" width="15.5703125" bestFit="1" customWidth="1"/>
  </cols>
  <sheetData>
    <row r="1" spans="1:24" x14ac:dyDescent="0.25">
      <c r="C1" s="8"/>
      <c r="D1" s="37" t="s">
        <v>16</v>
      </c>
      <c r="E1" s="10"/>
      <c r="L1" s="8"/>
      <c r="M1" s="37" t="s">
        <v>16</v>
      </c>
      <c r="N1" s="10"/>
    </row>
    <row r="2" spans="1:24" ht="30" x14ac:dyDescent="0.25">
      <c r="B2" s="3"/>
      <c r="C2" s="9" t="s">
        <v>9</v>
      </c>
      <c r="D2" s="7" t="s">
        <v>10</v>
      </c>
      <c r="E2" s="12" t="s">
        <v>11</v>
      </c>
      <c r="F2" s="8"/>
      <c r="K2" s="3"/>
      <c r="L2" s="9" t="s">
        <v>9</v>
      </c>
      <c r="M2" s="7" t="s">
        <v>10</v>
      </c>
      <c r="N2" s="12" t="s">
        <v>11</v>
      </c>
      <c r="O2" s="8"/>
    </row>
    <row r="3" spans="1:24" ht="15" customHeight="1" x14ac:dyDescent="0.25">
      <c r="A3" s="78" t="s">
        <v>13</v>
      </c>
      <c r="B3" s="1" t="s">
        <v>9</v>
      </c>
      <c r="C3" s="5">
        <v>5327</v>
      </c>
      <c r="D3" s="2">
        <v>1162</v>
      </c>
      <c r="E3" s="2">
        <v>802</v>
      </c>
      <c r="F3" s="5">
        <f>SUM(C3:E3)</f>
        <v>7291</v>
      </c>
      <c r="J3" s="78" t="s">
        <v>13</v>
      </c>
      <c r="K3" s="1" t="s">
        <v>9</v>
      </c>
      <c r="L3" s="20">
        <f t="shared" ref="L3:N4" si="0">C3/$F3</f>
        <v>0.73062680016458648</v>
      </c>
      <c r="M3" s="13">
        <f t="shared" si="0"/>
        <v>0.15937457138938418</v>
      </c>
      <c r="N3" s="21">
        <f t="shared" si="0"/>
        <v>0.10999862844602935</v>
      </c>
      <c r="O3" s="20">
        <f>SUM(L3:N3)</f>
        <v>1</v>
      </c>
    </row>
    <row r="4" spans="1:24" x14ac:dyDescent="0.25">
      <c r="A4" s="79"/>
      <c r="B4" s="11" t="s">
        <v>12</v>
      </c>
      <c r="C4" s="6">
        <v>4800</v>
      </c>
      <c r="D4" s="4">
        <v>12565</v>
      </c>
      <c r="E4" s="4">
        <v>5834</v>
      </c>
      <c r="F4" s="6">
        <f>SUM(C4:E4)</f>
        <v>23199</v>
      </c>
      <c r="J4" s="79"/>
      <c r="K4" s="11" t="s">
        <v>12</v>
      </c>
      <c r="L4" s="23">
        <f t="shared" si="0"/>
        <v>0.20690547006336479</v>
      </c>
      <c r="M4" s="24">
        <f t="shared" si="0"/>
        <v>0.54161817319712058</v>
      </c>
      <c r="N4" s="24">
        <f t="shared" si="0"/>
        <v>0.25147635673951463</v>
      </c>
      <c r="O4" s="23">
        <f>SUM(L4:N4)</f>
        <v>1</v>
      </c>
      <c r="V4" s="2">
        <f>F3</f>
        <v>7291</v>
      </c>
      <c r="W4">
        <v>0</v>
      </c>
      <c r="X4" t="s">
        <v>20</v>
      </c>
    </row>
    <row r="5" spans="1:24" x14ac:dyDescent="0.25">
      <c r="C5" s="5">
        <f>SUM(C3:C4)</f>
        <v>10127</v>
      </c>
      <c r="D5" s="2">
        <f>SUM(D3:D4)</f>
        <v>13727</v>
      </c>
      <c r="E5" s="2">
        <f>SUM(E3:E4)</f>
        <v>6636</v>
      </c>
      <c r="F5" s="5">
        <f>SUM(F3:F4)</f>
        <v>30490</v>
      </c>
      <c r="K5" s="60"/>
      <c r="L5" s="61"/>
      <c r="M5" s="62"/>
      <c r="N5" s="63"/>
      <c r="O5" s="5"/>
      <c r="V5" s="2">
        <f>F4</f>
        <v>23199</v>
      </c>
      <c r="W5">
        <v>0</v>
      </c>
      <c r="X5" t="s">
        <v>21</v>
      </c>
    </row>
    <row r="11" spans="1:24" ht="30" customHeight="1" x14ac:dyDescent="0.25">
      <c r="B11" s="12"/>
      <c r="C11" s="9" t="s">
        <v>0</v>
      </c>
      <c r="D11" s="7" t="s">
        <v>1</v>
      </c>
      <c r="E11" s="12" t="s">
        <v>2</v>
      </c>
      <c r="F11" s="15" t="s">
        <v>11</v>
      </c>
      <c r="G11" s="3"/>
      <c r="K11" s="12"/>
      <c r="L11" s="9" t="s">
        <v>0</v>
      </c>
      <c r="M11" s="7" t="s">
        <v>1</v>
      </c>
      <c r="N11" s="12" t="s">
        <v>2</v>
      </c>
      <c r="O11" s="15" t="s">
        <v>11</v>
      </c>
      <c r="P11" s="3"/>
    </row>
    <row r="12" spans="1:24" ht="15" customHeight="1" x14ac:dyDescent="0.25">
      <c r="A12" s="78" t="s">
        <v>13</v>
      </c>
      <c r="B12" s="1" t="s">
        <v>9</v>
      </c>
      <c r="C12" s="5">
        <f>556+4664</f>
        <v>5220</v>
      </c>
      <c r="D12" s="2">
        <f>412+500</f>
        <v>912</v>
      </c>
      <c r="E12" s="14">
        <f>194+163</f>
        <v>357</v>
      </c>
      <c r="F12" s="16">
        <f>E3</f>
        <v>802</v>
      </c>
      <c r="G12" s="2">
        <f>SUM(C12:F12)</f>
        <v>7291</v>
      </c>
      <c r="J12" s="78" t="s">
        <v>13</v>
      </c>
      <c r="K12" s="1" t="s">
        <v>9</v>
      </c>
      <c r="L12" s="20">
        <f t="shared" ref="L12:O14" si="1">C12/$G12</f>
        <v>0.71595117267864494</v>
      </c>
      <c r="M12" s="13">
        <f t="shared" si="1"/>
        <v>0.12508572212316554</v>
      </c>
      <c r="N12" s="21">
        <f t="shared" si="1"/>
        <v>4.8964476752160195E-2</v>
      </c>
      <c r="O12" s="22">
        <f t="shared" si="1"/>
        <v>0.10999862844602935</v>
      </c>
      <c r="P12" s="13">
        <f>SUM(L12:O12)</f>
        <v>1</v>
      </c>
    </row>
    <row r="13" spans="1:24" x14ac:dyDescent="0.25">
      <c r="A13" s="79"/>
      <c r="B13" s="11" t="s">
        <v>12</v>
      </c>
      <c r="C13" s="6">
        <f>8780+3645</f>
        <v>12425</v>
      </c>
      <c r="D13" s="4">
        <f>2485+826</f>
        <v>3311</v>
      </c>
      <c r="E13" s="4">
        <f>1300+329</f>
        <v>1629</v>
      </c>
      <c r="F13" s="17">
        <f>E4</f>
        <v>5834</v>
      </c>
      <c r="G13" s="6">
        <f>SUM(C13:F13)</f>
        <v>23199</v>
      </c>
      <c r="J13" s="79"/>
      <c r="K13" s="11" t="s">
        <v>12</v>
      </c>
      <c r="L13" s="23">
        <f t="shared" si="1"/>
        <v>0.53558343032027245</v>
      </c>
      <c r="M13" s="24">
        <f t="shared" si="1"/>
        <v>0.1427216690374585</v>
      </c>
      <c r="N13" s="24">
        <f t="shared" si="1"/>
        <v>7.0218543902754435E-2</v>
      </c>
      <c r="O13" s="25">
        <f t="shared" si="1"/>
        <v>0.25147635673951463</v>
      </c>
      <c r="P13" s="23">
        <f>SUM(L13:O13)</f>
        <v>1</v>
      </c>
    </row>
    <row r="14" spans="1:24" x14ac:dyDescent="0.25">
      <c r="C14" s="18">
        <f>SUM(C12:C13)</f>
        <v>17645</v>
      </c>
      <c r="D14" s="14">
        <f>SUM(D12:D13)</f>
        <v>4223</v>
      </c>
      <c r="E14" s="14">
        <f>SUM(E12:E13)</f>
        <v>1986</v>
      </c>
      <c r="F14" s="19">
        <f>SUM(F12:F13)</f>
        <v>6636</v>
      </c>
      <c r="G14" s="14">
        <f>SUM(G12:G13)</f>
        <v>30490</v>
      </c>
      <c r="K14" s="1" t="s">
        <v>15</v>
      </c>
      <c r="L14" s="26">
        <f t="shared" si="1"/>
        <v>0.57871433256805505</v>
      </c>
      <c r="M14" s="21">
        <f t="shared" si="1"/>
        <v>0.13850442768120697</v>
      </c>
      <c r="N14" s="21">
        <f t="shared" si="1"/>
        <v>6.51361102000656E-2</v>
      </c>
      <c r="O14" s="27">
        <f t="shared" si="1"/>
        <v>0.21764512955067236</v>
      </c>
      <c r="P14" s="21">
        <f>G14/$G14</f>
        <v>1</v>
      </c>
    </row>
    <row r="17" spans="1:16" ht="30" x14ac:dyDescent="0.25">
      <c r="B17" s="12"/>
      <c r="C17" s="9" t="s">
        <v>0</v>
      </c>
      <c r="D17" s="7" t="s">
        <v>1</v>
      </c>
      <c r="E17" s="12" t="s">
        <v>2</v>
      </c>
      <c r="F17" s="15" t="s">
        <v>11</v>
      </c>
      <c r="G17" s="3"/>
      <c r="K17" s="12"/>
      <c r="L17" s="9" t="s">
        <v>0</v>
      </c>
      <c r="M17" s="7" t="s">
        <v>1</v>
      </c>
      <c r="N17" s="12" t="s">
        <v>2</v>
      </c>
      <c r="O17" s="15" t="s">
        <v>11</v>
      </c>
      <c r="P17" s="3"/>
    </row>
    <row r="18" spans="1:16" ht="15" customHeight="1" x14ac:dyDescent="0.25">
      <c r="A18" s="75" t="s">
        <v>14</v>
      </c>
      <c r="B18" s="1" t="s">
        <v>3</v>
      </c>
      <c r="C18" s="28">
        <v>4664</v>
      </c>
      <c r="D18" s="29">
        <v>500</v>
      </c>
      <c r="E18" s="30">
        <v>163</v>
      </c>
      <c r="F18" s="31"/>
      <c r="G18" s="29">
        <f>SUM(C18:F18)</f>
        <v>5327</v>
      </c>
      <c r="J18" s="75" t="s">
        <v>14</v>
      </c>
      <c r="K18" s="1" t="s">
        <v>3</v>
      </c>
      <c r="L18" s="20">
        <f t="shared" ref="L18:N19" si="2">C18/$G18</f>
        <v>0.87553970339778486</v>
      </c>
      <c r="M18" s="13">
        <f t="shared" si="2"/>
        <v>9.3861460484325129E-2</v>
      </c>
      <c r="N18" s="21">
        <f t="shared" si="2"/>
        <v>3.0598836117889994E-2</v>
      </c>
      <c r="O18" s="22"/>
      <c r="P18" s="13">
        <f>SUM(L18:O18)</f>
        <v>1</v>
      </c>
    </row>
    <row r="19" spans="1:16" x14ac:dyDescent="0.25">
      <c r="A19" s="76"/>
      <c r="B19" s="1" t="s">
        <v>4</v>
      </c>
      <c r="C19" s="28">
        <v>556</v>
      </c>
      <c r="D19" s="29">
        <v>412</v>
      </c>
      <c r="E19" s="30">
        <v>194</v>
      </c>
      <c r="F19" s="31"/>
      <c r="G19" s="29">
        <f>SUM(C19:F19)</f>
        <v>1162</v>
      </c>
      <c r="H19" s="29">
        <f>SUM(G18:G20)</f>
        <v>7291</v>
      </c>
      <c r="J19" s="81"/>
      <c r="K19" s="1" t="s">
        <v>4</v>
      </c>
      <c r="L19" s="20">
        <f t="shared" si="2"/>
        <v>0.47848537005163511</v>
      </c>
      <c r="M19" s="21">
        <f t="shared" si="2"/>
        <v>0.35456110154905335</v>
      </c>
      <c r="N19" s="21">
        <f t="shared" si="2"/>
        <v>0.16695352839931152</v>
      </c>
      <c r="O19" s="22"/>
      <c r="P19" s="13">
        <f>SUM(L19:O19)</f>
        <v>1</v>
      </c>
    </row>
    <row r="20" spans="1:16" x14ac:dyDescent="0.25">
      <c r="A20" s="76"/>
      <c r="B20" s="1" t="s">
        <v>7</v>
      </c>
      <c r="C20" s="28"/>
      <c r="D20" s="29"/>
      <c r="E20" s="30"/>
      <c r="F20" s="16">
        <f>E3</f>
        <v>802</v>
      </c>
      <c r="G20" s="29">
        <f>SUM(C20:F20)</f>
        <v>802</v>
      </c>
      <c r="J20" s="81"/>
      <c r="K20" s="1" t="s">
        <v>7</v>
      </c>
      <c r="L20" s="20"/>
      <c r="M20" s="21"/>
      <c r="N20" s="21"/>
      <c r="O20" s="22"/>
      <c r="P20" s="13"/>
    </row>
    <row r="21" spans="1:16" x14ac:dyDescent="0.25">
      <c r="A21" s="76"/>
      <c r="C21" s="28"/>
      <c r="D21" s="29"/>
      <c r="E21" s="30"/>
      <c r="F21" s="31"/>
      <c r="J21" s="81"/>
      <c r="L21" s="20"/>
      <c r="M21" s="21"/>
      <c r="N21" s="21"/>
      <c r="O21" s="22"/>
      <c r="P21" s="13"/>
    </row>
    <row r="22" spans="1:16" x14ac:dyDescent="0.25">
      <c r="A22" s="76"/>
      <c r="B22" s="1" t="s">
        <v>6</v>
      </c>
      <c r="C22" s="28">
        <v>8780</v>
      </c>
      <c r="D22" s="29">
        <v>2485</v>
      </c>
      <c r="E22" s="30">
        <v>1300</v>
      </c>
      <c r="F22" s="31"/>
      <c r="G22" s="29">
        <f>SUM(C22:F22)</f>
        <v>12565</v>
      </c>
      <c r="J22" s="81"/>
      <c r="K22" s="1" t="s">
        <v>6</v>
      </c>
      <c r="L22" s="20">
        <f t="shared" ref="L22:N23" si="3">C22/$G22</f>
        <v>0.69876641464385192</v>
      </c>
      <c r="M22" s="21">
        <f t="shared" si="3"/>
        <v>0.1977715877437326</v>
      </c>
      <c r="N22" s="21">
        <f t="shared" si="3"/>
        <v>0.10346199761241544</v>
      </c>
      <c r="O22" s="22"/>
      <c r="P22" s="13">
        <f>SUM(L22:O22)</f>
        <v>1</v>
      </c>
    </row>
    <row r="23" spans="1:16" x14ac:dyDescent="0.25">
      <c r="A23" s="76"/>
      <c r="B23" s="1" t="s">
        <v>5</v>
      </c>
      <c r="C23" s="28">
        <v>3645</v>
      </c>
      <c r="D23" s="29">
        <v>826</v>
      </c>
      <c r="E23" s="30">
        <v>329</v>
      </c>
      <c r="F23" s="31"/>
      <c r="G23" s="29">
        <f>SUM(C23:F23)</f>
        <v>4800</v>
      </c>
      <c r="H23" s="29">
        <f>SUM(G22:G24)</f>
        <v>23199</v>
      </c>
      <c r="J23" s="81"/>
      <c r="K23" s="1" t="s">
        <v>5</v>
      </c>
      <c r="L23" s="20">
        <f t="shared" si="3"/>
        <v>0.75937500000000002</v>
      </c>
      <c r="M23" s="21">
        <f t="shared" si="3"/>
        <v>0.17208333333333334</v>
      </c>
      <c r="N23" s="21">
        <f t="shared" si="3"/>
        <v>6.8541666666666667E-2</v>
      </c>
      <c r="O23" s="22"/>
      <c r="P23" s="13">
        <f>SUM(L23:O23)</f>
        <v>1</v>
      </c>
    </row>
    <row r="24" spans="1:16" x14ac:dyDescent="0.25">
      <c r="A24" s="77"/>
      <c r="B24" s="11" t="s">
        <v>8</v>
      </c>
      <c r="C24" s="33"/>
      <c r="D24" s="34"/>
      <c r="E24" s="34"/>
      <c r="F24" s="35">
        <f>E4</f>
        <v>5834</v>
      </c>
      <c r="G24" s="34">
        <f>SUM(C24:F24)</f>
        <v>5834</v>
      </c>
      <c r="J24" s="82"/>
      <c r="K24" s="11" t="s">
        <v>8</v>
      </c>
      <c r="L24" s="23"/>
      <c r="M24" s="24"/>
      <c r="N24" s="24"/>
      <c r="O24" s="25"/>
      <c r="P24" s="24"/>
    </row>
    <row r="25" spans="1:16" x14ac:dyDescent="0.25">
      <c r="B25" s="36"/>
      <c r="C25" s="30">
        <f>SUM(C18:C24)</f>
        <v>17645</v>
      </c>
      <c r="D25" s="30">
        <f>SUM(D18:D24)</f>
        <v>4223</v>
      </c>
      <c r="E25" s="30">
        <f>SUM(E18:E24)</f>
        <v>1986</v>
      </c>
      <c r="F25" s="32">
        <f>SUM(F18:F24)</f>
        <v>6636</v>
      </c>
      <c r="G25" s="30">
        <f>SUM(G18:G24)</f>
        <v>30490</v>
      </c>
      <c r="H25" s="30"/>
      <c r="K25" s="39" t="s">
        <v>15</v>
      </c>
      <c r="L25" s="21">
        <f>C25/$G25</f>
        <v>0.57871433256805505</v>
      </c>
      <c r="M25" s="21">
        <f>D25/$G25</f>
        <v>0.13850442768120697</v>
      </c>
      <c r="N25" s="21">
        <f>E25/$G25</f>
        <v>6.51361102000656E-2</v>
      </c>
      <c r="O25" s="21">
        <f>F25/$G25</f>
        <v>0.21764512955067236</v>
      </c>
      <c r="P25" s="21">
        <f>G25/$G25</f>
        <v>1</v>
      </c>
    </row>
    <row r="31" spans="1:16" ht="30" x14ac:dyDescent="0.25">
      <c r="B31" s="12"/>
      <c r="C31" s="38" t="s">
        <v>17</v>
      </c>
      <c r="D31" s="12" t="s">
        <v>18</v>
      </c>
      <c r="E31" s="12" t="s">
        <v>19</v>
      </c>
      <c r="F31" s="15" t="s">
        <v>11</v>
      </c>
      <c r="G31" s="3"/>
      <c r="K31" s="12"/>
      <c r="L31" s="38" t="s">
        <v>17</v>
      </c>
      <c r="M31" s="12" t="s">
        <v>18</v>
      </c>
      <c r="N31" s="12" t="s">
        <v>19</v>
      </c>
      <c r="O31" s="15" t="s">
        <v>11</v>
      </c>
      <c r="P31" s="3"/>
    </row>
    <row r="32" spans="1:16" ht="15" customHeight="1" x14ac:dyDescent="0.25">
      <c r="A32" s="78" t="s">
        <v>13</v>
      </c>
      <c r="B32" s="1" t="s">
        <v>9</v>
      </c>
      <c r="C32" s="5">
        <f>SUM(C38:C40)</f>
        <v>1657</v>
      </c>
      <c r="D32" s="2">
        <f t="shared" ref="D32:F32" si="4">SUM(D38:D40)</f>
        <v>4812</v>
      </c>
      <c r="E32" s="14">
        <f t="shared" si="4"/>
        <v>20</v>
      </c>
      <c r="F32" s="16">
        <f t="shared" si="4"/>
        <v>802</v>
      </c>
      <c r="G32" s="2">
        <f>SUM(C32:F32)</f>
        <v>7291</v>
      </c>
      <c r="J32" s="78" t="s">
        <v>13</v>
      </c>
      <c r="K32" s="1" t="s">
        <v>9</v>
      </c>
      <c r="L32" s="20">
        <f t="shared" ref="L32:L34" si="5">C32/$G32</f>
        <v>0.22726649293649706</v>
      </c>
      <c r="M32" s="13">
        <f t="shared" ref="M32:M34" si="6">D32/$G32</f>
        <v>0.65999177067617609</v>
      </c>
      <c r="N32" s="21">
        <f t="shared" ref="N32:N34" si="7">E32/$G32</f>
        <v>2.7431079412974899E-3</v>
      </c>
      <c r="O32" s="22">
        <f t="shared" ref="O32:O34" si="8">F32/$G32</f>
        <v>0.10999862844602935</v>
      </c>
      <c r="P32" s="13">
        <f>SUM(L32:O32)</f>
        <v>1</v>
      </c>
    </row>
    <row r="33" spans="1:16" x14ac:dyDescent="0.25">
      <c r="A33" s="79"/>
      <c r="B33" s="11" t="s">
        <v>12</v>
      </c>
      <c r="C33" s="6">
        <f>SUM(C42:C44)</f>
        <v>3401</v>
      </c>
      <c r="D33" s="4">
        <f t="shared" ref="D33:F33" si="9">SUM(D42:D44)</f>
        <v>13638</v>
      </c>
      <c r="E33" s="4">
        <f t="shared" si="9"/>
        <v>326</v>
      </c>
      <c r="F33" s="17">
        <f t="shared" si="9"/>
        <v>5834</v>
      </c>
      <c r="G33" s="6">
        <f>SUM(C33:F33)</f>
        <v>23199</v>
      </c>
      <c r="J33" s="79"/>
      <c r="K33" s="11" t="s">
        <v>12</v>
      </c>
      <c r="L33" s="23">
        <f t="shared" si="5"/>
        <v>0.14660114660114659</v>
      </c>
      <c r="M33" s="24">
        <f t="shared" si="6"/>
        <v>0.58787016681753523</v>
      </c>
      <c r="N33" s="24">
        <f t="shared" si="7"/>
        <v>1.4052329841803527E-2</v>
      </c>
      <c r="O33" s="25">
        <f t="shared" si="8"/>
        <v>0.25147635673951463</v>
      </c>
      <c r="P33" s="23">
        <f>SUM(L33:O33)</f>
        <v>0.99999999999999989</v>
      </c>
    </row>
    <row r="34" spans="1:16" x14ac:dyDescent="0.25">
      <c r="C34" s="18">
        <f>SUM(C32:C33)</f>
        <v>5058</v>
      </c>
      <c r="D34" s="14">
        <f>SUM(D32:D33)</f>
        <v>18450</v>
      </c>
      <c r="E34" s="14">
        <f>SUM(E32:E33)</f>
        <v>346</v>
      </c>
      <c r="F34" s="19">
        <f>SUM(F32:F33)</f>
        <v>6636</v>
      </c>
      <c r="G34" s="14">
        <f>SUM(G32:G33)</f>
        <v>30490</v>
      </c>
      <c r="K34" s="1" t="s">
        <v>15</v>
      </c>
      <c r="L34" s="26">
        <f t="shared" si="5"/>
        <v>0.16589045588717613</v>
      </c>
      <c r="M34" s="21">
        <f t="shared" si="6"/>
        <v>0.60511643161692363</v>
      </c>
      <c r="N34" s="21">
        <f t="shared" si="7"/>
        <v>1.1347982945227944E-2</v>
      </c>
      <c r="O34" s="27">
        <f t="shared" si="8"/>
        <v>0.21764512955067236</v>
      </c>
      <c r="P34" s="21">
        <f>G34/$G34</f>
        <v>1</v>
      </c>
    </row>
    <row r="37" spans="1:16" ht="30" x14ac:dyDescent="0.25">
      <c r="B37" s="12"/>
      <c r="C37" s="38" t="s">
        <v>17</v>
      </c>
      <c r="D37" s="12" t="s">
        <v>18</v>
      </c>
      <c r="E37" s="12" t="s">
        <v>19</v>
      </c>
      <c r="F37" s="15" t="s">
        <v>11</v>
      </c>
      <c r="G37" s="3"/>
      <c r="K37" s="12"/>
      <c r="L37" s="38" t="s">
        <v>17</v>
      </c>
      <c r="M37" s="12" t="s">
        <v>18</v>
      </c>
      <c r="N37" s="12" t="s">
        <v>19</v>
      </c>
      <c r="O37" s="15" t="s">
        <v>11</v>
      </c>
      <c r="P37" s="3"/>
    </row>
    <row r="38" spans="1:16" ht="15" customHeight="1" x14ac:dyDescent="0.25">
      <c r="A38" s="75" t="s">
        <v>14</v>
      </c>
      <c r="B38" s="1" t="s">
        <v>3</v>
      </c>
      <c r="C38" s="28">
        <v>1427</v>
      </c>
      <c r="D38" s="29">
        <v>3886</v>
      </c>
      <c r="E38" s="30">
        <v>14</v>
      </c>
      <c r="F38" s="31"/>
      <c r="G38" s="29">
        <f>SUM(C38:F38)</f>
        <v>5327</v>
      </c>
      <c r="J38" s="75" t="s">
        <v>14</v>
      </c>
      <c r="K38" s="1" t="s">
        <v>3</v>
      </c>
      <c r="L38" s="20">
        <f t="shared" ref="L38:N39" si="10">C38/$G38</f>
        <v>0.26788060822226395</v>
      </c>
      <c r="M38" s="13">
        <f t="shared" si="10"/>
        <v>0.72949127088417498</v>
      </c>
      <c r="N38" s="21">
        <f t="shared" si="10"/>
        <v>2.6281208935611039E-3</v>
      </c>
      <c r="O38" s="31"/>
      <c r="P38" s="13">
        <f>SUM(L38:O38)</f>
        <v>1</v>
      </c>
    </row>
    <row r="39" spans="1:16" x14ac:dyDescent="0.25">
      <c r="A39" s="76"/>
      <c r="B39" s="1" t="s">
        <v>4</v>
      </c>
      <c r="C39" s="28">
        <v>230</v>
      </c>
      <c r="D39" s="29">
        <v>926</v>
      </c>
      <c r="E39" s="30">
        <v>6</v>
      </c>
      <c r="F39" s="31"/>
      <c r="G39" s="29">
        <f>SUM(C39:F39)</f>
        <v>1162</v>
      </c>
      <c r="H39" s="29">
        <f>SUM(G38:G40)</f>
        <v>7291</v>
      </c>
      <c r="J39" s="81"/>
      <c r="K39" s="1" t="s">
        <v>4</v>
      </c>
      <c r="L39" s="20">
        <f t="shared" si="10"/>
        <v>0.19793459552495696</v>
      </c>
      <c r="M39" s="21">
        <f t="shared" si="10"/>
        <v>0.79690189328743544</v>
      </c>
      <c r="N39" s="21">
        <f t="shared" si="10"/>
        <v>5.1635111876075735E-3</v>
      </c>
      <c r="O39" s="31"/>
      <c r="P39" s="13">
        <f>SUM(L39:O39)</f>
        <v>1</v>
      </c>
    </row>
    <row r="40" spans="1:16" x14ac:dyDescent="0.25">
      <c r="A40" s="76"/>
      <c r="B40" s="1" t="s">
        <v>7</v>
      </c>
      <c r="C40" s="28"/>
      <c r="D40" s="29"/>
      <c r="E40" s="30"/>
      <c r="F40" s="16">
        <f>E3</f>
        <v>802</v>
      </c>
      <c r="G40" s="29">
        <f>SUM(C40:F40)</f>
        <v>802</v>
      </c>
      <c r="J40" s="81"/>
      <c r="K40" s="1" t="s">
        <v>7</v>
      </c>
      <c r="L40" s="20"/>
      <c r="M40" s="21"/>
      <c r="N40" s="21"/>
      <c r="O40" s="16"/>
      <c r="P40" s="13"/>
    </row>
    <row r="41" spans="1:16" x14ac:dyDescent="0.25">
      <c r="A41" s="76"/>
      <c r="C41" s="28"/>
      <c r="D41" s="29"/>
      <c r="E41" s="30"/>
      <c r="F41" s="31"/>
      <c r="J41" s="81"/>
      <c r="L41" s="20"/>
      <c r="M41" s="21"/>
      <c r="N41" s="21"/>
      <c r="O41" s="31"/>
      <c r="P41" s="13"/>
    </row>
    <row r="42" spans="1:16" x14ac:dyDescent="0.25">
      <c r="A42" s="76"/>
      <c r="B42" s="1" t="s">
        <v>6</v>
      </c>
      <c r="C42" s="28">
        <v>2267</v>
      </c>
      <c r="D42" s="29">
        <v>9972</v>
      </c>
      <c r="E42" s="30">
        <v>326</v>
      </c>
      <c r="F42" s="31"/>
      <c r="G42" s="29">
        <f>SUM(C42:F42)</f>
        <v>12565</v>
      </c>
      <c r="J42" s="81"/>
      <c r="K42" s="1" t="s">
        <v>6</v>
      </c>
      <c r="L42" s="20">
        <f t="shared" ref="L42:N43" si="11">C42/$G42</f>
        <v>0.1804218066056506</v>
      </c>
      <c r="M42" s="21">
        <f t="shared" si="11"/>
        <v>0.79363310783923602</v>
      </c>
      <c r="N42" s="21">
        <f t="shared" si="11"/>
        <v>2.594508555511341E-2</v>
      </c>
      <c r="O42" s="31"/>
      <c r="P42" s="13">
        <f>SUM(L42:O42)</f>
        <v>1</v>
      </c>
    </row>
    <row r="43" spans="1:16" x14ac:dyDescent="0.25">
      <c r="A43" s="76"/>
      <c r="B43" s="1" t="s">
        <v>5</v>
      </c>
      <c r="C43" s="28">
        <v>1134</v>
      </c>
      <c r="D43" s="29">
        <v>3666</v>
      </c>
      <c r="E43" s="30">
        <v>0</v>
      </c>
      <c r="F43" s="31"/>
      <c r="G43" s="29">
        <f>SUM(C43:F43)</f>
        <v>4800</v>
      </c>
      <c r="H43" s="29">
        <f>SUM(G42:G44)</f>
        <v>23199</v>
      </c>
      <c r="J43" s="81"/>
      <c r="K43" s="1" t="s">
        <v>5</v>
      </c>
      <c r="L43" s="20">
        <f t="shared" si="11"/>
        <v>0.23624999999999999</v>
      </c>
      <c r="M43" s="21">
        <f t="shared" si="11"/>
        <v>0.76375000000000004</v>
      </c>
      <c r="N43" s="21">
        <f t="shared" si="11"/>
        <v>0</v>
      </c>
      <c r="O43" s="31"/>
      <c r="P43" s="13">
        <f>SUM(L43:O43)</f>
        <v>1</v>
      </c>
    </row>
    <row r="44" spans="1:16" x14ac:dyDescent="0.25">
      <c r="A44" s="77"/>
      <c r="B44" s="11" t="s">
        <v>8</v>
      </c>
      <c r="C44" s="33"/>
      <c r="D44" s="34"/>
      <c r="E44" s="34"/>
      <c r="F44" s="35">
        <f>E4</f>
        <v>5834</v>
      </c>
      <c r="G44" s="34">
        <f>SUM(C44:F44)</f>
        <v>5834</v>
      </c>
      <c r="J44" s="82"/>
      <c r="K44" s="11" t="s">
        <v>8</v>
      </c>
      <c r="L44" s="33"/>
      <c r="M44" s="34"/>
      <c r="N44" s="34"/>
      <c r="O44" s="35"/>
      <c r="P44" s="24"/>
    </row>
    <row r="45" spans="1:16" x14ac:dyDescent="0.25">
      <c r="B45" s="36"/>
      <c r="C45" s="30">
        <f>SUM(C38:C44)</f>
        <v>5058</v>
      </c>
      <c r="D45" s="30">
        <f>SUM(D38:D44)</f>
        <v>18450</v>
      </c>
      <c r="E45" s="30">
        <f>SUM(E38:E44)</f>
        <v>346</v>
      </c>
      <c r="F45" s="32">
        <f>SUM(F38:F44)</f>
        <v>6636</v>
      </c>
      <c r="G45" s="30">
        <f>SUM(G38:G44)</f>
        <v>30490</v>
      </c>
      <c r="H45" s="30"/>
      <c r="K45" s="36"/>
      <c r="L45" s="21">
        <f>C45/$G45</f>
        <v>0.16589045588717613</v>
      </c>
      <c r="M45" s="21">
        <f>D45/$G45</f>
        <v>0.60511643161692363</v>
      </c>
      <c r="N45" s="21">
        <f>E45/$G45</f>
        <v>1.1347982945227944E-2</v>
      </c>
      <c r="O45" s="27">
        <f>F45/$G45</f>
        <v>0.21764512955067236</v>
      </c>
      <c r="P45" s="21">
        <f>G45/$G45</f>
        <v>1</v>
      </c>
    </row>
  </sheetData>
  <mergeCells count="10">
    <mergeCell ref="A38:A44"/>
    <mergeCell ref="J38:J44"/>
    <mergeCell ref="A3:A4"/>
    <mergeCell ref="A18:A24"/>
    <mergeCell ref="J3:J4"/>
    <mergeCell ref="A12:A13"/>
    <mergeCell ref="J12:J13"/>
    <mergeCell ref="J18:J24"/>
    <mergeCell ref="A32:A33"/>
    <mergeCell ref="J32:J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tabSelected="1" workbookViewId="0">
      <selection activeCell="Y37" sqref="Y37"/>
    </sheetView>
  </sheetViews>
  <sheetFormatPr defaultRowHeight="12.75" x14ac:dyDescent="0.2"/>
  <cols>
    <col min="1" max="1" width="17.7109375" style="40" customWidth="1"/>
    <col min="2" max="2" width="15.85546875" style="41" bestFit="1" customWidth="1"/>
    <col min="3" max="3" width="12.140625" style="41" customWidth="1"/>
    <col min="4" max="4" width="12.5703125" style="41" customWidth="1"/>
    <col min="5" max="5" width="12" style="41" customWidth="1"/>
    <col min="6" max="6" width="12.42578125" style="41" customWidth="1"/>
    <col min="7" max="7" width="12.140625" style="41" customWidth="1"/>
    <col min="8" max="8" width="12.42578125" style="41" customWidth="1"/>
    <col min="9" max="9" width="9.140625" style="40"/>
    <col min="10" max="10" width="12.140625" style="41" customWidth="1"/>
    <col min="11" max="11" width="12.5703125" style="41" customWidth="1"/>
    <col min="12" max="12" width="12" style="41" customWidth="1"/>
    <col min="13" max="13" width="12.42578125" style="41" customWidth="1"/>
    <col min="14" max="14" width="12.140625" style="41" customWidth="1"/>
    <col min="15" max="15" width="12.42578125" style="41" customWidth="1"/>
    <col min="16" max="16384" width="9.140625" style="40"/>
  </cols>
  <sheetData>
    <row r="1" spans="2:15" x14ac:dyDescent="0.2">
      <c r="C1" s="80" t="s">
        <v>37</v>
      </c>
      <c r="D1" s="80"/>
      <c r="E1" s="80"/>
      <c r="F1" s="80"/>
      <c r="G1" s="80"/>
      <c r="H1" s="80"/>
      <c r="J1" s="80" t="s">
        <v>36</v>
      </c>
      <c r="K1" s="80"/>
      <c r="L1" s="80"/>
      <c r="M1" s="80"/>
      <c r="N1" s="80"/>
      <c r="O1" s="80"/>
    </row>
    <row r="2" spans="2:15" ht="25.5" x14ac:dyDescent="0.2">
      <c r="B2" s="49"/>
      <c r="C2" s="59" t="s">
        <v>35</v>
      </c>
      <c r="D2" s="59" t="s">
        <v>34</v>
      </c>
      <c r="E2" s="59" t="s">
        <v>33</v>
      </c>
      <c r="F2" s="59" t="s">
        <v>32</v>
      </c>
      <c r="G2" s="59" t="s">
        <v>31</v>
      </c>
      <c r="H2" s="58" t="s">
        <v>30</v>
      </c>
      <c r="J2" s="59" t="s">
        <v>35</v>
      </c>
      <c r="K2" s="59" t="s">
        <v>34</v>
      </c>
      <c r="L2" s="59" t="s">
        <v>33</v>
      </c>
      <c r="M2" s="59" t="s">
        <v>32</v>
      </c>
      <c r="N2" s="59" t="s">
        <v>31</v>
      </c>
      <c r="O2" s="58" t="s">
        <v>30</v>
      </c>
    </row>
    <row r="3" spans="2:15" x14ac:dyDescent="0.2">
      <c r="B3" s="41" t="s">
        <v>22</v>
      </c>
      <c r="C3" s="51">
        <v>30745.161056530844</v>
      </c>
      <c r="D3" s="51">
        <v>9333.9291351264292</v>
      </c>
      <c r="E3" s="51">
        <v>1962.8524722177485</v>
      </c>
      <c r="F3" s="51">
        <v>0</v>
      </c>
      <c r="G3" s="51">
        <v>645.48333064905785</v>
      </c>
      <c r="H3" s="50">
        <v>42687.425994524077</v>
      </c>
      <c r="J3" s="51">
        <v>75.087464035555897</v>
      </c>
      <c r="K3" s="51">
        <v>50.229178203369401</v>
      </c>
      <c r="L3" s="51">
        <v>23.218477723624769</v>
      </c>
      <c r="M3" s="51">
        <v>0</v>
      </c>
      <c r="N3" s="51">
        <v>13.859508777000407</v>
      </c>
      <c r="O3" s="50">
        <v>89.730772338853981</v>
      </c>
    </row>
    <row r="4" spans="2:15" x14ac:dyDescent="0.2">
      <c r="B4" s="41" t="s">
        <v>29</v>
      </c>
      <c r="C4" s="51">
        <v>716.99774520856829</v>
      </c>
      <c r="D4" s="51">
        <v>328.99887260428414</v>
      </c>
      <c r="E4" s="51">
        <v>23.185698180061202</v>
      </c>
      <c r="F4" s="51">
        <v>0</v>
      </c>
      <c r="G4" s="51">
        <v>81.085359961346441</v>
      </c>
      <c r="H4" s="50">
        <v>1150.2676759542601</v>
      </c>
      <c r="J4" s="51">
        <v>34.464586679615081</v>
      </c>
      <c r="K4" s="51">
        <v>22.699929269713181</v>
      </c>
      <c r="L4" s="51">
        <v>0.86318853576790633</v>
      </c>
      <c r="M4" s="51">
        <v>0</v>
      </c>
      <c r="N4" s="51">
        <v>11.77136385885801</v>
      </c>
      <c r="O4" s="50">
        <v>44.800717199690865</v>
      </c>
    </row>
    <row r="5" spans="2:15" x14ac:dyDescent="0.2">
      <c r="B5" s="41" t="s">
        <v>28</v>
      </c>
      <c r="C5" s="51">
        <v>3277.4016749879211</v>
      </c>
      <c r="D5" s="51">
        <v>1255.2388468352392</v>
      </c>
      <c r="E5" s="51">
        <v>23</v>
      </c>
      <c r="F5" s="51">
        <v>0</v>
      </c>
      <c r="G5" s="51">
        <v>34.485585440489615</v>
      </c>
      <c r="H5" s="50">
        <v>4590.1261072636498</v>
      </c>
      <c r="J5" s="51">
        <v>105.94472275217272</v>
      </c>
      <c r="K5" s="51">
        <v>56.990998377850694</v>
      </c>
      <c r="L5" s="51">
        <v>0</v>
      </c>
      <c r="M5" s="51">
        <v>0</v>
      </c>
      <c r="N5" s="51">
        <v>6.9055082861432506</v>
      </c>
      <c r="O5" s="50">
        <v>122.20186321968697</v>
      </c>
    </row>
    <row r="6" spans="2:15" x14ac:dyDescent="0.2">
      <c r="B6" s="41" t="s">
        <v>27</v>
      </c>
      <c r="C6" s="51">
        <v>3190.4765662747627</v>
      </c>
      <c r="D6" s="51">
        <v>1010.0969560315671</v>
      </c>
      <c r="E6" s="51">
        <v>104.82815268159125</v>
      </c>
      <c r="F6" s="51">
        <v>0</v>
      </c>
      <c r="G6" s="51">
        <v>95.128039942019655</v>
      </c>
      <c r="H6" s="50">
        <v>4400.5297149299404</v>
      </c>
      <c r="J6" s="51">
        <v>73.942407155454632</v>
      </c>
      <c r="K6" s="51">
        <v>19.328907013435082</v>
      </c>
      <c r="L6" s="51">
        <v>9.7637391754230869</v>
      </c>
      <c r="M6" s="51">
        <v>0</v>
      </c>
      <c r="N6" s="51">
        <v>19.396610123534661</v>
      </c>
      <c r="O6" s="50">
        <v>79.45655451610638</v>
      </c>
    </row>
    <row r="7" spans="2:15" x14ac:dyDescent="0.2">
      <c r="B7" s="41" t="s">
        <v>26</v>
      </c>
      <c r="C7" s="51">
        <v>637.82702528587538</v>
      </c>
      <c r="D7" s="51">
        <v>26.485585440489615</v>
      </c>
      <c r="E7" s="51">
        <v>140.78547270091804</v>
      </c>
      <c r="F7" s="51">
        <v>0</v>
      </c>
      <c r="G7" s="51">
        <v>14.557094540183606</v>
      </c>
      <c r="H7" s="50">
        <v>819.65517796746667</v>
      </c>
      <c r="J7" s="51">
        <v>8.4165688697175831</v>
      </c>
      <c r="K7" s="51">
        <v>2.4405974821841974</v>
      </c>
      <c r="L7" s="51">
        <v>3.3407362270085441</v>
      </c>
      <c r="M7" s="51">
        <v>0</v>
      </c>
      <c r="N7" s="51">
        <v>1.4949344838367624</v>
      </c>
      <c r="O7" s="50">
        <v>9.6314400040718855</v>
      </c>
    </row>
    <row r="8" spans="2:15" x14ac:dyDescent="0.2">
      <c r="B8" s="41" t="s">
        <v>25</v>
      </c>
      <c r="C8" s="51">
        <v>7834.4364631985827</v>
      </c>
      <c r="D8" s="51">
        <v>1733.3230794008698</v>
      </c>
      <c r="E8" s="51">
        <v>5</v>
      </c>
      <c r="F8" s="51">
        <v>0</v>
      </c>
      <c r="G8" s="51">
        <v>232.5847962634885</v>
      </c>
      <c r="H8" s="50">
        <v>9805.3443388629421</v>
      </c>
      <c r="J8" s="51">
        <v>90.068298047327687</v>
      </c>
      <c r="K8" s="51">
        <v>45.703947915065569</v>
      </c>
      <c r="L8" s="51">
        <v>0</v>
      </c>
      <c r="M8" s="51">
        <v>0</v>
      </c>
      <c r="N8" s="51">
        <v>22.554495061673219</v>
      </c>
      <c r="O8" s="50">
        <v>104.59931425579796</v>
      </c>
    </row>
    <row r="9" spans="2:15" x14ac:dyDescent="0.2">
      <c r="B9" s="57" t="s">
        <v>24</v>
      </c>
      <c r="C9" s="48">
        <v>259057.13416009021</v>
      </c>
      <c r="D9" s="48">
        <v>58273.47334514415</v>
      </c>
      <c r="E9" s="48">
        <v>26539.033821871479</v>
      </c>
      <c r="F9" s="48">
        <v>0</v>
      </c>
      <c r="G9" s="47">
        <v>4837.326783701079</v>
      </c>
      <c r="H9" s="46">
        <v>348706.96811080689</v>
      </c>
      <c r="J9" s="48">
        <v>816.9989937556154</v>
      </c>
      <c r="K9" s="48">
        <v>413.88796242260992</v>
      </c>
      <c r="L9" s="48">
        <v>341.73066518822998</v>
      </c>
      <c r="M9" s="55">
        <v>0</v>
      </c>
      <c r="N9" s="47">
        <v>155.47486511345377</v>
      </c>
      <c r="O9" s="46">
        <v>957.76033431820201</v>
      </c>
    </row>
    <row r="10" spans="2:15" x14ac:dyDescent="0.2">
      <c r="B10" s="45" t="s">
        <v>23</v>
      </c>
      <c r="C10" s="44">
        <f t="shared" ref="C10:H10" si="0">SUM(C4:C9)-C6</f>
        <v>271523.79706877115</v>
      </c>
      <c r="D10" s="44">
        <f t="shared" si="0"/>
        <v>61617.519729425032</v>
      </c>
      <c r="E10" s="44">
        <f t="shared" si="0"/>
        <v>26731.004992752456</v>
      </c>
      <c r="F10" s="44">
        <f t="shared" si="0"/>
        <v>0</v>
      </c>
      <c r="G10" s="43">
        <f t="shared" si="0"/>
        <v>5200.0396199065872</v>
      </c>
      <c r="H10" s="44">
        <f t="shared" si="0"/>
        <v>365072.3614108552</v>
      </c>
      <c r="J10" s="44">
        <f t="shared" ref="J10:O10" si="1">SQRT(J4^2+J5^2+J7^2+J8^2+J9^2)</f>
        <v>829.50743502177272</v>
      </c>
      <c r="K10" s="44">
        <f t="shared" si="1"/>
        <v>420.90534980490207</v>
      </c>
      <c r="L10" s="44">
        <f t="shared" si="1"/>
        <v>341.74808432963727</v>
      </c>
      <c r="M10" s="44">
        <f t="shared" si="1"/>
        <v>0</v>
      </c>
      <c r="N10" s="43">
        <f t="shared" si="1"/>
        <v>157.70106153869818</v>
      </c>
      <c r="O10" s="44">
        <f t="shared" si="1"/>
        <v>972.25461624443778</v>
      </c>
    </row>
    <row r="11" spans="2:15" x14ac:dyDescent="0.2">
      <c r="C11" s="56"/>
      <c r="H11" s="56"/>
      <c r="J11" s="56"/>
      <c r="O11" s="56"/>
    </row>
    <row r="13" spans="2:15" x14ac:dyDescent="0.2">
      <c r="B13" s="49"/>
      <c r="C13" s="40"/>
      <c r="D13" s="40"/>
      <c r="E13" s="40"/>
      <c r="F13" s="40"/>
      <c r="G13" s="40"/>
      <c r="H13" s="40"/>
      <c r="J13" s="40"/>
      <c r="K13" s="40"/>
      <c r="L13" s="40"/>
      <c r="M13" s="40"/>
      <c r="N13" s="40"/>
      <c r="O13" s="40"/>
    </row>
    <row r="14" spans="2:15" x14ac:dyDescent="0.2">
      <c r="B14" s="41" t="s">
        <v>22</v>
      </c>
      <c r="C14" s="53">
        <v>23228</v>
      </c>
      <c r="D14" s="53">
        <v>7741</v>
      </c>
      <c r="E14" s="53">
        <v>1663</v>
      </c>
      <c r="F14" s="53">
        <v>0</v>
      </c>
      <c r="G14" s="53">
        <v>609</v>
      </c>
      <c r="H14" s="52">
        <v>33242</v>
      </c>
      <c r="J14" s="53">
        <v>77</v>
      </c>
      <c r="K14" s="53">
        <v>54</v>
      </c>
      <c r="L14" s="53">
        <v>25</v>
      </c>
      <c r="M14" s="53">
        <v>0</v>
      </c>
      <c r="N14" s="53">
        <v>15</v>
      </c>
      <c r="O14" s="52">
        <v>92</v>
      </c>
    </row>
    <row r="15" spans="2:15" x14ac:dyDescent="0.2">
      <c r="B15" s="41" t="s">
        <v>29</v>
      </c>
      <c r="C15" s="51">
        <v>686</v>
      </c>
      <c r="D15" s="51">
        <v>285</v>
      </c>
      <c r="E15" s="51">
        <v>23</v>
      </c>
      <c r="F15" s="51">
        <v>0</v>
      </c>
      <c r="G15" s="51">
        <v>84</v>
      </c>
      <c r="H15" s="50">
        <v>1079</v>
      </c>
      <c r="J15" s="51">
        <v>40</v>
      </c>
      <c r="K15" s="51">
        <v>25</v>
      </c>
      <c r="L15" s="51">
        <v>1</v>
      </c>
      <c r="M15" s="51">
        <v>0</v>
      </c>
      <c r="N15" s="51">
        <v>14</v>
      </c>
      <c r="O15" s="50">
        <v>51</v>
      </c>
    </row>
    <row r="16" spans="2:15" x14ac:dyDescent="0.2">
      <c r="B16" s="41" t="s">
        <v>28</v>
      </c>
      <c r="C16" s="51">
        <v>2787</v>
      </c>
      <c r="D16" s="51">
        <v>1046</v>
      </c>
      <c r="E16" s="51">
        <v>23</v>
      </c>
      <c r="F16" s="51">
        <v>0</v>
      </c>
      <c r="G16" s="51">
        <v>36</v>
      </c>
      <c r="H16" s="50">
        <v>3892</v>
      </c>
      <c r="J16" s="51">
        <v>118</v>
      </c>
      <c r="K16" s="51">
        <v>62</v>
      </c>
      <c r="L16" s="51">
        <v>0</v>
      </c>
      <c r="M16" s="51">
        <v>0</v>
      </c>
      <c r="N16" s="51">
        <v>8</v>
      </c>
      <c r="O16" s="50">
        <v>135</v>
      </c>
    </row>
    <row r="17" spans="2:15" x14ac:dyDescent="0.2">
      <c r="B17" s="41" t="s">
        <v>27</v>
      </c>
      <c r="C17" s="51">
        <v>2430</v>
      </c>
      <c r="D17" s="51">
        <v>831</v>
      </c>
      <c r="E17" s="51">
        <v>90</v>
      </c>
      <c r="F17" s="51">
        <v>0</v>
      </c>
      <c r="G17" s="51">
        <v>100</v>
      </c>
      <c r="H17" s="50">
        <v>3451</v>
      </c>
      <c r="J17" s="51">
        <v>83</v>
      </c>
      <c r="K17" s="51">
        <v>20</v>
      </c>
      <c r="L17" s="51">
        <v>11</v>
      </c>
      <c r="M17" s="51">
        <v>0</v>
      </c>
      <c r="N17" s="51">
        <v>22</v>
      </c>
      <c r="O17" s="50">
        <v>89</v>
      </c>
    </row>
    <row r="18" spans="2:15" x14ac:dyDescent="0.2">
      <c r="B18" s="41" t="s">
        <v>26</v>
      </c>
      <c r="C18" s="51">
        <v>471</v>
      </c>
      <c r="D18" s="51">
        <v>23</v>
      </c>
      <c r="E18" s="51">
        <v>128</v>
      </c>
      <c r="F18" s="51">
        <v>0</v>
      </c>
      <c r="G18" s="51">
        <v>14</v>
      </c>
      <c r="H18" s="50">
        <v>636</v>
      </c>
      <c r="J18" s="51">
        <v>9</v>
      </c>
      <c r="K18" s="51">
        <v>3</v>
      </c>
      <c r="L18" s="51">
        <v>4</v>
      </c>
      <c r="M18" s="51">
        <v>0</v>
      </c>
      <c r="N18" s="51">
        <v>2</v>
      </c>
      <c r="O18" s="50">
        <v>10</v>
      </c>
    </row>
    <row r="19" spans="2:15" x14ac:dyDescent="0.2">
      <c r="B19" s="41" t="s">
        <v>25</v>
      </c>
      <c r="C19" s="51">
        <v>5749</v>
      </c>
      <c r="D19" s="51">
        <v>1493</v>
      </c>
      <c r="E19" s="51">
        <v>4</v>
      </c>
      <c r="F19" s="51">
        <v>0</v>
      </c>
      <c r="G19" s="51">
        <v>237</v>
      </c>
      <c r="H19" s="50">
        <v>7482</v>
      </c>
      <c r="J19" s="51">
        <v>87</v>
      </c>
      <c r="K19" s="51">
        <v>51</v>
      </c>
      <c r="L19" s="51">
        <v>0</v>
      </c>
      <c r="M19" s="51">
        <v>0</v>
      </c>
      <c r="N19" s="51">
        <v>26</v>
      </c>
      <c r="O19" s="50">
        <v>106</v>
      </c>
    </row>
    <row r="20" spans="2:15" x14ac:dyDescent="0.2">
      <c r="B20" s="49" t="s">
        <v>24</v>
      </c>
      <c r="C20" s="48">
        <v>193308</v>
      </c>
      <c r="D20" s="48">
        <v>47809</v>
      </c>
      <c r="E20" s="48">
        <v>22664</v>
      </c>
      <c r="F20" s="48">
        <v>0</v>
      </c>
      <c r="G20" s="47">
        <v>4622</v>
      </c>
      <c r="H20" s="46">
        <v>268403</v>
      </c>
      <c r="J20" s="48">
        <v>844</v>
      </c>
      <c r="K20" s="48">
        <v>450</v>
      </c>
      <c r="L20" s="48">
        <v>371</v>
      </c>
      <c r="M20" s="55">
        <v>0</v>
      </c>
      <c r="N20" s="47">
        <v>173</v>
      </c>
      <c r="O20" s="46">
        <v>997</v>
      </c>
    </row>
    <row r="21" spans="2:15" x14ac:dyDescent="0.2">
      <c r="B21" s="45" t="s">
        <v>23</v>
      </c>
      <c r="C21" s="44">
        <f t="shared" ref="C21:H21" si="2">SUM(C15:C20)-C17</f>
        <v>203001</v>
      </c>
      <c r="D21" s="44">
        <f t="shared" si="2"/>
        <v>50656</v>
      </c>
      <c r="E21" s="44">
        <f t="shared" si="2"/>
        <v>22842</v>
      </c>
      <c r="F21" s="44">
        <f t="shared" si="2"/>
        <v>0</v>
      </c>
      <c r="G21" s="43">
        <f t="shared" si="2"/>
        <v>4993</v>
      </c>
      <c r="H21" s="44">
        <f t="shared" si="2"/>
        <v>281492</v>
      </c>
      <c r="J21" s="44">
        <f t="shared" ref="J21:O21" si="3">SQRT(J15^2+J16^2+J18^2+J19^2+J20^2)</f>
        <v>857.61879643580573</v>
      </c>
      <c r="K21" s="44">
        <f t="shared" si="3"/>
        <v>457.79799038440524</v>
      </c>
      <c r="L21" s="44">
        <f t="shared" si="3"/>
        <v>371.02291034382228</v>
      </c>
      <c r="M21" s="44">
        <f t="shared" si="3"/>
        <v>0</v>
      </c>
      <c r="N21" s="43">
        <f t="shared" si="3"/>
        <v>175.69575976670581</v>
      </c>
      <c r="O21" s="44">
        <f t="shared" si="3"/>
        <v>1013.0009871663502</v>
      </c>
    </row>
    <row r="22" spans="2:15" x14ac:dyDescent="0.2">
      <c r="B22" s="40"/>
      <c r="C22" s="40"/>
      <c r="D22" s="40"/>
      <c r="E22" s="40"/>
      <c r="F22" s="40"/>
      <c r="G22" s="40"/>
      <c r="H22" s="40"/>
      <c r="J22" s="40"/>
      <c r="K22" s="40"/>
      <c r="L22" s="40"/>
      <c r="M22" s="40"/>
      <c r="N22" s="40"/>
      <c r="O22" s="40"/>
    </row>
    <row r="23" spans="2:15" x14ac:dyDescent="0.2">
      <c r="B23" s="40"/>
      <c r="C23" s="40"/>
      <c r="D23" s="40"/>
      <c r="E23" s="40"/>
      <c r="F23" s="40"/>
      <c r="G23" s="40"/>
      <c r="H23" s="40"/>
      <c r="J23" s="40"/>
      <c r="K23" s="40"/>
      <c r="L23" s="40"/>
      <c r="M23" s="40"/>
      <c r="N23" s="40"/>
      <c r="O23" s="40"/>
    </row>
    <row r="24" spans="2:15" x14ac:dyDescent="0.2">
      <c r="B24" s="40"/>
      <c r="C24" s="40"/>
      <c r="D24" s="40"/>
      <c r="E24" s="40"/>
      <c r="F24" s="40"/>
      <c r="G24" s="40"/>
      <c r="H24" s="40"/>
      <c r="J24" s="40"/>
      <c r="K24" s="40"/>
      <c r="L24" s="40"/>
      <c r="M24" s="40"/>
      <c r="N24" s="40"/>
      <c r="O24" s="40"/>
    </row>
    <row r="25" spans="2:15" x14ac:dyDescent="0.2">
      <c r="B25" s="54" t="s">
        <v>22</v>
      </c>
      <c r="C25" s="53">
        <v>7566</v>
      </c>
      <c r="D25" s="53">
        <v>1682</v>
      </c>
      <c r="E25" s="53">
        <v>314</v>
      </c>
      <c r="F25" s="53">
        <v>0</v>
      </c>
      <c r="G25" s="53">
        <v>50</v>
      </c>
      <c r="H25" s="52">
        <v>9613</v>
      </c>
      <c r="J25" s="53">
        <v>16</v>
      </c>
      <c r="K25" s="53">
        <v>7</v>
      </c>
      <c r="L25" s="53">
        <v>3</v>
      </c>
      <c r="M25" s="53">
        <v>0</v>
      </c>
      <c r="N25" s="53">
        <v>1</v>
      </c>
      <c r="O25" s="52">
        <v>19</v>
      </c>
    </row>
    <row r="26" spans="2:15" x14ac:dyDescent="0.2">
      <c r="B26" s="41" t="s">
        <v>29</v>
      </c>
      <c r="C26" s="51">
        <v>47</v>
      </c>
      <c r="D26" s="51">
        <v>46</v>
      </c>
      <c r="E26" s="51">
        <v>0</v>
      </c>
      <c r="F26" s="51">
        <v>0</v>
      </c>
      <c r="G26" s="51">
        <v>0</v>
      </c>
      <c r="H26" s="50">
        <v>92</v>
      </c>
      <c r="J26" s="51">
        <v>1</v>
      </c>
      <c r="K26" s="51">
        <v>3</v>
      </c>
      <c r="L26" s="51">
        <v>0</v>
      </c>
      <c r="M26" s="51">
        <v>0</v>
      </c>
      <c r="N26" s="51">
        <v>0</v>
      </c>
      <c r="O26" s="50">
        <v>3</v>
      </c>
    </row>
    <row r="27" spans="2:15" x14ac:dyDescent="0.2">
      <c r="B27" s="41" t="s">
        <v>28</v>
      </c>
      <c r="C27" s="51">
        <v>522</v>
      </c>
      <c r="D27" s="51">
        <v>227</v>
      </c>
      <c r="E27" s="51">
        <v>0</v>
      </c>
      <c r="F27" s="51">
        <v>0</v>
      </c>
      <c r="G27" s="51">
        <v>0</v>
      </c>
      <c r="H27" s="50">
        <v>749</v>
      </c>
      <c r="J27" s="51">
        <v>11</v>
      </c>
      <c r="K27" s="51">
        <v>7</v>
      </c>
      <c r="L27" s="51">
        <v>0</v>
      </c>
      <c r="M27" s="51">
        <v>0</v>
      </c>
      <c r="N27" s="51">
        <v>0</v>
      </c>
      <c r="O27" s="50">
        <v>14</v>
      </c>
    </row>
    <row r="28" spans="2:15" x14ac:dyDescent="0.2">
      <c r="B28" s="41" t="s">
        <v>27</v>
      </c>
      <c r="C28" s="51">
        <v>771</v>
      </c>
      <c r="D28" s="51">
        <v>185</v>
      </c>
      <c r="E28" s="51">
        <v>17</v>
      </c>
      <c r="F28" s="51">
        <v>0</v>
      </c>
      <c r="G28" s="51">
        <v>0</v>
      </c>
      <c r="H28" s="50">
        <v>973</v>
      </c>
      <c r="J28" s="51">
        <v>7</v>
      </c>
      <c r="K28" s="51">
        <v>3</v>
      </c>
      <c r="L28" s="51">
        <v>1</v>
      </c>
      <c r="M28" s="51">
        <v>0</v>
      </c>
      <c r="N28" s="51">
        <v>0</v>
      </c>
      <c r="O28" s="50">
        <v>7</v>
      </c>
    </row>
    <row r="29" spans="2:15" x14ac:dyDescent="0.2">
      <c r="B29" s="41" t="s">
        <v>26</v>
      </c>
      <c r="C29" s="51">
        <v>170</v>
      </c>
      <c r="D29" s="51">
        <v>4</v>
      </c>
      <c r="E29" s="51">
        <v>15</v>
      </c>
      <c r="F29" s="51">
        <v>0</v>
      </c>
      <c r="G29" s="51">
        <v>1</v>
      </c>
      <c r="H29" s="50">
        <v>190</v>
      </c>
      <c r="J29" s="51">
        <v>1</v>
      </c>
      <c r="K29" s="51">
        <v>0</v>
      </c>
      <c r="L29" s="51">
        <v>0</v>
      </c>
      <c r="M29" s="51">
        <v>0</v>
      </c>
      <c r="N29" s="51">
        <v>0</v>
      </c>
      <c r="O29" s="50">
        <v>1</v>
      </c>
    </row>
    <row r="30" spans="2:15" x14ac:dyDescent="0.2">
      <c r="B30" s="41" t="s">
        <v>25</v>
      </c>
      <c r="C30" s="51">
        <v>2066</v>
      </c>
      <c r="D30" s="51">
        <v>263</v>
      </c>
      <c r="E30" s="51">
        <v>1</v>
      </c>
      <c r="F30" s="51">
        <v>0</v>
      </c>
      <c r="G30" s="51">
        <v>4</v>
      </c>
      <c r="H30" s="50">
        <v>2334</v>
      </c>
      <c r="J30" s="51">
        <v>20</v>
      </c>
      <c r="K30" s="51">
        <v>4</v>
      </c>
      <c r="L30" s="51">
        <v>0</v>
      </c>
      <c r="M30" s="51">
        <v>0</v>
      </c>
      <c r="N30" s="51">
        <v>0</v>
      </c>
      <c r="O30" s="50">
        <v>21</v>
      </c>
    </row>
    <row r="31" spans="2:15" x14ac:dyDescent="0.2">
      <c r="B31" s="49" t="s">
        <v>24</v>
      </c>
      <c r="C31" s="48">
        <v>66151</v>
      </c>
      <c r="D31" s="48">
        <v>11014</v>
      </c>
      <c r="E31" s="48">
        <v>4106</v>
      </c>
      <c r="F31" s="48">
        <v>0</v>
      </c>
      <c r="G31" s="47">
        <v>305</v>
      </c>
      <c r="H31" s="46">
        <v>81577</v>
      </c>
      <c r="J31" s="48">
        <v>159</v>
      </c>
      <c r="K31" s="48">
        <v>55</v>
      </c>
      <c r="L31" s="48">
        <v>46</v>
      </c>
      <c r="M31" s="55">
        <v>0</v>
      </c>
      <c r="N31" s="47">
        <v>16</v>
      </c>
      <c r="O31" s="46">
        <v>179</v>
      </c>
    </row>
    <row r="32" spans="2:15" x14ac:dyDescent="0.2">
      <c r="B32" s="45" t="s">
        <v>23</v>
      </c>
      <c r="C32" s="44">
        <f t="shared" ref="C32:H32" si="4">SUM(C26:C31)-C28</f>
        <v>68956</v>
      </c>
      <c r="D32" s="44">
        <f t="shared" si="4"/>
        <v>11554</v>
      </c>
      <c r="E32" s="44">
        <f t="shared" si="4"/>
        <v>4122</v>
      </c>
      <c r="F32" s="44">
        <f t="shared" si="4"/>
        <v>0</v>
      </c>
      <c r="G32" s="43">
        <f t="shared" si="4"/>
        <v>310</v>
      </c>
      <c r="H32" s="44">
        <f t="shared" si="4"/>
        <v>84942</v>
      </c>
      <c r="J32" s="44">
        <f t="shared" ref="J32:O32" si="5">SQRT(J26^2+J27^2+J29^2+J30^2+J31^2)</f>
        <v>160.63623501564024</v>
      </c>
      <c r="K32" s="44">
        <f t="shared" si="5"/>
        <v>55.668662638867119</v>
      </c>
      <c r="L32" s="44">
        <f t="shared" si="5"/>
        <v>46</v>
      </c>
      <c r="M32" s="44">
        <f t="shared" si="5"/>
        <v>0</v>
      </c>
      <c r="N32" s="43">
        <f t="shared" si="5"/>
        <v>16</v>
      </c>
      <c r="O32" s="44">
        <f t="shared" si="5"/>
        <v>180.79823007983236</v>
      </c>
    </row>
    <row r="33" spans="2:15" x14ac:dyDescent="0.2">
      <c r="B33" s="40"/>
      <c r="C33" s="40"/>
      <c r="D33" s="40"/>
      <c r="E33" s="40"/>
      <c r="F33" s="40"/>
      <c r="G33" s="40"/>
      <c r="H33" s="40"/>
      <c r="J33" s="40"/>
      <c r="K33" s="40"/>
      <c r="L33" s="40"/>
      <c r="M33" s="40"/>
      <c r="N33" s="40"/>
      <c r="O33" s="40"/>
    </row>
    <row r="34" spans="2:15" x14ac:dyDescent="0.2">
      <c r="B34" s="40"/>
      <c r="C34" s="40"/>
      <c r="D34" s="40"/>
      <c r="E34" s="40"/>
      <c r="F34" s="40"/>
      <c r="G34" s="40"/>
      <c r="H34" s="40"/>
      <c r="J34" s="40"/>
      <c r="K34" s="40"/>
      <c r="L34" s="40"/>
      <c r="M34" s="40"/>
      <c r="N34" s="40"/>
      <c r="O34" s="40"/>
    </row>
    <row r="35" spans="2:15" x14ac:dyDescent="0.2">
      <c r="B35" s="40"/>
      <c r="C35" s="40"/>
      <c r="D35" s="40"/>
      <c r="E35" s="40"/>
      <c r="F35" s="40"/>
      <c r="G35" s="40"/>
      <c r="H35" s="40"/>
      <c r="J35" s="40"/>
      <c r="K35" s="40"/>
      <c r="L35" s="40"/>
      <c r="M35" s="40"/>
      <c r="N35" s="40"/>
      <c r="O35" s="40"/>
    </row>
    <row r="36" spans="2:15" x14ac:dyDescent="0.2">
      <c r="B36" s="54" t="s">
        <v>22</v>
      </c>
      <c r="C36" s="53">
        <f>C14+C25</f>
        <v>30794</v>
      </c>
      <c r="D36" s="53">
        <f t="shared" ref="D36:G36" si="6">D14+D25</f>
        <v>9423</v>
      </c>
      <c r="E36" s="53">
        <f t="shared" si="6"/>
        <v>1977</v>
      </c>
      <c r="F36" s="53">
        <f t="shared" si="6"/>
        <v>0</v>
      </c>
      <c r="G36" s="53">
        <f t="shared" si="6"/>
        <v>659</v>
      </c>
      <c r="H36" s="52">
        <f>SUM(C36:G36)</f>
        <v>42853</v>
      </c>
      <c r="J36" s="53">
        <f>SQRT(J14^2+J25^2)</f>
        <v>78.644770964127048</v>
      </c>
      <c r="K36" s="53">
        <f t="shared" ref="K36:O36" si="7">SQRT(K14^2+K25^2)</f>
        <v>54.451813560247928</v>
      </c>
      <c r="L36" s="53">
        <f t="shared" si="7"/>
        <v>25.179356624028344</v>
      </c>
      <c r="M36" s="53">
        <f t="shared" si="7"/>
        <v>0</v>
      </c>
      <c r="N36" s="53">
        <f t="shared" si="7"/>
        <v>15.033296378372908</v>
      </c>
      <c r="O36" s="52">
        <f t="shared" si="7"/>
        <v>93.941471140279674</v>
      </c>
    </row>
    <row r="37" spans="2:15" x14ac:dyDescent="0.2">
      <c r="B37" s="41" t="s">
        <v>29</v>
      </c>
      <c r="C37" s="51">
        <f t="shared" ref="C37:G37" si="8">C15+C26</f>
        <v>733</v>
      </c>
      <c r="D37" s="51">
        <f t="shared" si="8"/>
        <v>331</v>
      </c>
      <c r="E37" s="51">
        <f t="shared" si="8"/>
        <v>23</v>
      </c>
      <c r="F37" s="51">
        <f t="shared" si="8"/>
        <v>0</v>
      </c>
      <c r="G37" s="51">
        <f t="shared" si="8"/>
        <v>84</v>
      </c>
      <c r="H37" s="50">
        <f t="shared" ref="H37:H42" si="9">SUM(C37:G37)</f>
        <v>1171</v>
      </c>
      <c r="J37" s="51">
        <f t="shared" ref="J37:O37" si="10">SQRT(J15^2+J26^2)</f>
        <v>40.01249804748511</v>
      </c>
      <c r="K37" s="51">
        <f t="shared" si="10"/>
        <v>25.179356624028344</v>
      </c>
      <c r="L37" s="51">
        <f t="shared" si="10"/>
        <v>1</v>
      </c>
      <c r="M37" s="51">
        <f t="shared" si="10"/>
        <v>0</v>
      </c>
      <c r="N37" s="51">
        <f t="shared" si="10"/>
        <v>14</v>
      </c>
      <c r="O37" s="50">
        <f t="shared" si="10"/>
        <v>51.088159097779204</v>
      </c>
    </row>
    <row r="38" spans="2:15" x14ac:dyDescent="0.2">
      <c r="B38" s="41" t="s">
        <v>28</v>
      </c>
      <c r="C38" s="51">
        <f t="shared" ref="C38:G38" si="11">C16+C27</f>
        <v>3309</v>
      </c>
      <c r="D38" s="51">
        <f t="shared" si="11"/>
        <v>1273</v>
      </c>
      <c r="E38" s="51">
        <f t="shared" si="11"/>
        <v>23</v>
      </c>
      <c r="F38" s="51">
        <f t="shared" si="11"/>
        <v>0</v>
      </c>
      <c r="G38" s="51">
        <f t="shared" si="11"/>
        <v>36</v>
      </c>
      <c r="H38" s="50">
        <f t="shared" si="9"/>
        <v>4641</v>
      </c>
      <c r="J38" s="51">
        <f t="shared" ref="J38:O38" si="12">SQRT(J16^2+J27^2)</f>
        <v>118.51160280748886</v>
      </c>
      <c r="K38" s="51">
        <f t="shared" si="12"/>
        <v>62.393909959225986</v>
      </c>
      <c r="L38" s="51">
        <f t="shared" si="12"/>
        <v>0</v>
      </c>
      <c r="M38" s="51">
        <f t="shared" si="12"/>
        <v>0</v>
      </c>
      <c r="N38" s="51">
        <f t="shared" si="12"/>
        <v>8</v>
      </c>
      <c r="O38" s="50">
        <f t="shared" si="12"/>
        <v>135.72398461583714</v>
      </c>
    </row>
    <row r="39" spans="2:15" x14ac:dyDescent="0.2">
      <c r="B39" s="41" t="s">
        <v>27</v>
      </c>
      <c r="C39" s="51">
        <f t="shared" ref="C39:G39" si="13">C17+C28</f>
        <v>3201</v>
      </c>
      <c r="D39" s="51">
        <f t="shared" si="13"/>
        <v>1016</v>
      </c>
      <c r="E39" s="51">
        <f t="shared" si="13"/>
        <v>107</v>
      </c>
      <c r="F39" s="51">
        <f t="shared" si="13"/>
        <v>0</v>
      </c>
      <c r="G39" s="51">
        <f t="shared" si="13"/>
        <v>100</v>
      </c>
      <c r="H39" s="50">
        <f t="shared" si="9"/>
        <v>4424</v>
      </c>
      <c r="J39" s="51">
        <f t="shared" ref="J39:O39" si="14">SQRT(J17^2+J28^2)</f>
        <v>83.294657691835198</v>
      </c>
      <c r="K39" s="51">
        <f t="shared" si="14"/>
        <v>20.223748416156685</v>
      </c>
      <c r="L39" s="51">
        <f t="shared" si="14"/>
        <v>11.045361017187261</v>
      </c>
      <c r="M39" s="51">
        <f t="shared" si="14"/>
        <v>0</v>
      </c>
      <c r="N39" s="51">
        <f t="shared" si="14"/>
        <v>22</v>
      </c>
      <c r="O39" s="50">
        <f t="shared" si="14"/>
        <v>89.274856482662571</v>
      </c>
    </row>
    <row r="40" spans="2:15" x14ac:dyDescent="0.2">
      <c r="B40" s="41" t="s">
        <v>26</v>
      </c>
      <c r="C40" s="51">
        <f t="shared" ref="C40:G40" si="15">C18+C29</f>
        <v>641</v>
      </c>
      <c r="D40" s="51">
        <f t="shared" si="15"/>
        <v>27</v>
      </c>
      <c r="E40" s="51">
        <f t="shared" si="15"/>
        <v>143</v>
      </c>
      <c r="F40" s="51">
        <f t="shared" si="15"/>
        <v>0</v>
      </c>
      <c r="G40" s="51">
        <f t="shared" si="15"/>
        <v>15</v>
      </c>
      <c r="H40" s="50">
        <f t="shared" si="9"/>
        <v>826</v>
      </c>
      <c r="J40" s="51">
        <f t="shared" ref="J40:O40" si="16">SQRT(J18^2+J29^2)</f>
        <v>9.0553851381374173</v>
      </c>
      <c r="K40" s="51">
        <f t="shared" si="16"/>
        <v>3</v>
      </c>
      <c r="L40" s="51">
        <f t="shared" si="16"/>
        <v>4</v>
      </c>
      <c r="M40" s="51">
        <f t="shared" si="16"/>
        <v>0</v>
      </c>
      <c r="N40" s="51">
        <f t="shared" si="16"/>
        <v>2</v>
      </c>
      <c r="O40" s="50">
        <f t="shared" si="16"/>
        <v>10.04987562112089</v>
      </c>
    </row>
    <row r="41" spans="2:15" x14ac:dyDescent="0.2">
      <c r="B41" s="41" t="s">
        <v>25</v>
      </c>
      <c r="C41" s="51">
        <f t="shared" ref="C41:G41" si="17">C19+C30</f>
        <v>7815</v>
      </c>
      <c r="D41" s="51">
        <f t="shared" si="17"/>
        <v>1756</v>
      </c>
      <c r="E41" s="51">
        <f t="shared" si="17"/>
        <v>5</v>
      </c>
      <c r="F41" s="51">
        <f t="shared" si="17"/>
        <v>0</v>
      </c>
      <c r="G41" s="51">
        <f t="shared" si="17"/>
        <v>241</v>
      </c>
      <c r="H41" s="50">
        <f t="shared" si="9"/>
        <v>9817</v>
      </c>
      <c r="J41" s="51">
        <f t="shared" ref="J41:O41" si="18">SQRT(J19^2+J30^2)</f>
        <v>89.26925562588724</v>
      </c>
      <c r="K41" s="51">
        <f t="shared" si="18"/>
        <v>51.156622249714651</v>
      </c>
      <c r="L41" s="51">
        <f t="shared" si="18"/>
        <v>0</v>
      </c>
      <c r="M41" s="51">
        <f t="shared" si="18"/>
        <v>0</v>
      </c>
      <c r="N41" s="51">
        <f t="shared" si="18"/>
        <v>26</v>
      </c>
      <c r="O41" s="50">
        <f t="shared" si="18"/>
        <v>108.06016842481785</v>
      </c>
    </row>
    <row r="42" spans="2:15" x14ac:dyDescent="0.2">
      <c r="B42" s="49" t="s">
        <v>24</v>
      </c>
      <c r="C42" s="48">
        <f t="shared" ref="C42:G42" si="19">C20+C31</f>
        <v>259459</v>
      </c>
      <c r="D42" s="48">
        <f t="shared" si="19"/>
        <v>58823</v>
      </c>
      <c r="E42" s="48">
        <f t="shared" si="19"/>
        <v>26770</v>
      </c>
      <c r="F42" s="48">
        <f t="shared" si="19"/>
        <v>0</v>
      </c>
      <c r="G42" s="47">
        <f t="shared" si="19"/>
        <v>4927</v>
      </c>
      <c r="H42" s="46">
        <f t="shared" si="9"/>
        <v>349979</v>
      </c>
      <c r="J42" s="48">
        <f t="shared" ref="J42:O42" si="20">SQRT(J20^2+J31^2)</f>
        <v>858.84631919802746</v>
      </c>
      <c r="K42" s="48">
        <f t="shared" si="20"/>
        <v>453.34865170197651</v>
      </c>
      <c r="L42" s="48">
        <f t="shared" si="20"/>
        <v>373.84087523972016</v>
      </c>
      <c r="M42" s="55">
        <f t="shared" si="20"/>
        <v>0</v>
      </c>
      <c r="N42" s="47">
        <f t="shared" si="20"/>
        <v>173.73830895919301</v>
      </c>
      <c r="O42" s="46">
        <f t="shared" si="20"/>
        <v>1012.9412618705983</v>
      </c>
    </row>
    <row r="43" spans="2:15" x14ac:dyDescent="0.2">
      <c r="B43" s="45" t="s">
        <v>23</v>
      </c>
      <c r="C43" s="44">
        <f t="shared" ref="C43" si="21">SUM(C37:C42)-C39</f>
        <v>271957</v>
      </c>
      <c r="D43" s="44">
        <f t="shared" ref="D43" si="22">SUM(D37:D42)-D39</f>
        <v>62210</v>
      </c>
      <c r="E43" s="44">
        <f t="shared" ref="E43" si="23">SUM(E37:E42)-E39</f>
        <v>26964</v>
      </c>
      <c r="F43" s="44">
        <f t="shared" ref="F43" si="24">SUM(F37:F42)-F39</f>
        <v>0</v>
      </c>
      <c r="G43" s="43">
        <f t="shared" ref="G43" si="25">SUM(G37:G42)-G39</f>
        <v>5303</v>
      </c>
      <c r="H43" s="44">
        <f t="shared" ref="H43" si="26">SUM(H37:H42)-H39</f>
        <v>366434</v>
      </c>
      <c r="J43" s="44">
        <f t="shared" ref="J43:O43" si="27">SQRT(J21^2+J32^2)</f>
        <v>872.53309392824747</v>
      </c>
      <c r="K43" s="44">
        <f t="shared" si="27"/>
        <v>461.17025055829436</v>
      </c>
      <c r="L43" s="44">
        <f t="shared" si="27"/>
        <v>373.86361149488721</v>
      </c>
      <c r="M43" s="44">
        <f t="shared" si="27"/>
        <v>0</v>
      </c>
      <c r="N43" s="43">
        <f t="shared" si="27"/>
        <v>176.42278764377349</v>
      </c>
      <c r="O43" s="44">
        <f t="shared" si="27"/>
        <v>1029.0087463185141</v>
      </c>
    </row>
    <row r="44" spans="2:15" x14ac:dyDescent="0.2">
      <c r="B44" s="40"/>
      <c r="C44" s="40"/>
      <c r="D44" s="40"/>
      <c r="E44" s="40"/>
      <c r="F44" s="40"/>
      <c r="G44" s="40"/>
      <c r="H44" s="40"/>
      <c r="J44" s="40"/>
      <c r="K44" s="40"/>
      <c r="L44" s="40"/>
      <c r="M44" s="40"/>
      <c r="N44" s="40"/>
      <c r="O44" s="40"/>
    </row>
    <row r="45" spans="2:15" x14ac:dyDescent="0.2">
      <c r="B45" s="40"/>
      <c r="C45" s="40"/>
      <c r="D45" s="40"/>
      <c r="E45" s="40"/>
      <c r="F45" s="40"/>
      <c r="G45" s="40"/>
      <c r="H45" s="40"/>
      <c r="J45" s="40"/>
      <c r="K45" s="40"/>
      <c r="L45" s="40"/>
      <c r="M45" s="40"/>
      <c r="N45" s="40"/>
      <c r="O45" s="40"/>
    </row>
    <row r="46" spans="2:15" x14ac:dyDescent="0.2">
      <c r="B46" s="40"/>
      <c r="C46" s="40"/>
      <c r="D46" s="40"/>
      <c r="E46" s="40"/>
      <c r="F46" s="40"/>
      <c r="G46" s="40"/>
      <c r="H46" s="40"/>
      <c r="J46" s="40"/>
      <c r="K46" s="40"/>
      <c r="L46" s="40"/>
      <c r="M46" s="40"/>
      <c r="N46" s="40"/>
      <c r="O46" s="40"/>
    </row>
    <row r="47" spans="2:15" x14ac:dyDescent="0.2">
      <c r="B47" s="40"/>
      <c r="C47" s="80" t="s">
        <v>38</v>
      </c>
      <c r="D47" s="80"/>
      <c r="E47" s="80"/>
      <c r="F47" s="80"/>
      <c r="G47" s="80"/>
      <c r="H47" s="80"/>
      <c r="J47" s="80" t="s">
        <v>39</v>
      </c>
      <c r="K47" s="80"/>
      <c r="L47" s="80"/>
      <c r="M47" s="80"/>
      <c r="N47" s="80"/>
      <c r="O47" s="80"/>
    </row>
    <row r="48" spans="2:15" x14ac:dyDescent="0.2">
      <c r="B48" s="54" t="s">
        <v>22</v>
      </c>
      <c r="C48" s="53">
        <f>C36-C3</f>
        <v>48.83894346915622</v>
      </c>
      <c r="D48" s="53">
        <f>D36-D3</f>
        <v>89.070864873570827</v>
      </c>
      <c r="E48" s="53">
        <f>E36-E3</f>
        <v>14.147527782251473</v>
      </c>
      <c r="F48" s="53">
        <f>F36-F3</f>
        <v>0</v>
      </c>
      <c r="G48" s="53">
        <f>G36-G3</f>
        <v>13.516669350942152</v>
      </c>
      <c r="H48" s="52">
        <f>H36-H3</f>
        <v>165.5740054759226</v>
      </c>
      <c r="J48" s="64">
        <f>(C48/C3)*100</f>
        <v>0.15885082982442833</v>
      </c>
      <c r="K48" s="64">
        <f>(D48/D3)*100</f>
        <v>0.95426977839771598</v>
      </c>
      <c r="L48" s="64">
        <f>(E48/E3)*100</f>
        <v>0.72076368359292664</v>
      </c>
      <c r="M48" s="64">
        <v>0</v>
      </c>
      <c r="N48" s="64">
        <f>(G48/G3)*100</f>
        <v>2.0940384838986672</v>
      </c>
      <c r="O48" s="65">
        <f>(H48/H3)*100</f>
        <v>0.38787535584169996</v>
      </c>
    </row>
    <row r="49" spans="2:15" x14ac:dyDescent="0.2">
      <c r="B49" s="41" t="s">
        <v>29</v>
      </c>
      <c r="C49" s="51">
        <f>C37-C4</f>
        <v>16.00225479143171</v>
      </c>
      <c r="D49" s="51">
        <f>D37-D4</f>
        <v>2.0011273957158551</v>
      </c>
      <c r="E49" s="51">
        <f>E37-E4</f>
        <v>-0.18569818006120187</v>
      </c>
      <c r="F49" s="51">
        <f>F37-F4</f>
        <v>0</v>
      </c>
      <c r="G49" s="51">
        <f>G37-G4</f>
        <v>2.9146400386535589</v>
      </c>
      <c r="H49" s="50">
        <f>H37-H4</f>
        <v>20.732324045739915</v>
      </c>
      <c r="J49" s="66">
        <f>(C49/C4)*100</f>
        <v>2.2318417175463776</v>
      </c>
      <c r="K49" s="66">
        <f>(D49/D4)*100</f>
        <v>0.60824749333496553</v>
      </c>
      <c r="L49" s="66">
        <f>(E49/E4)*100</f>
        <v>-0.80091692136704806</v>
      </c>
      <c r="M49" s="66">
        <v>0</v>
      </c>
      <c r="N49" s="66">
        <f>(G49/G4)*100</f>
        <v>3.5945330205637291</v>
      </c>
      <c r="O49" s="67">
        <f>(H49/H4)*100</f>
        <v>1.8023912589337447</v>
      </c>
    </row>
    <row r="50" spans="2:15" x14ac:dyDescent="0.2">
      <c r="B50" s="41" t="s">
        <v>28</v>
      </c>
      <c r="C50" s="51">
        <f t="shared" ref="C50:H50" si="28">C38-C5</f>
        <v>31.598325012078931</v>
      </c>
      <c r="D50" s="51">
        <f t="shared" si="28"/>
        <v>17.761153164760799</v>
      </c>
      <c r="E50" s="51">
        <f t="shared" si="28"/>
        <v>0</v>
      </c>
      <c r="F50" s="51">
        <f t="shared" si="28"/>
        <v>0</v>
      </c>
      <c r="G50" s="51">
        <f t="shared" si="28"/>
        <v>1.5144145595103851</v>
      </c>
      <c r="H50" s="50">
        <f t="shared" si="28"/>
        <v>50.873892736350172</v>
      </c>
      <c r="J50" s="66">
        <f>(C50/C5)*100</f>
        <v>0.96412732236110144</v>
      </c>
      <c r="K50" s="66">
        <f>(D50/D5)*100</f>
        <v>1.414962037666454</v>
      </c>
      <c r="L50" s="66">
        <f>(E50/E5)*100</f>
        <v>0</v>
      </c>
      <c r="M50" s="66">
        <v>0</v>
      </c>
      <c r="N50" s="66">
        <f>(G50/G5)*100</f>
        <v>4.391442221921241</v>
      </c>
      <c r="O50" s="67">
        <f>(H50/H5)*100</f>
        <v>1.1083332254389422</v>
      </c>
    </row>
    <row r="51" spans="2:15" x14ac:dyDescent="0.2">
      <c r="B51" s="41" t="s">
        <v>27</v>
      </c>
      <c r="C51" s="51">
        <f t="shared" ref="C51:H51" si="29">C39-C6</f>
        <v>10.523433725237282</v>
      </c>
      <c r="D51" s="51">
        <f t="shared" si="29"/>
        <v>5.9030439684329394</v>
      </c>
      <c r="E51" s="51">
        <f t="shared" si="29"/>
        <v>2.1718473184087514</v>
      </c>
      <c r="F51" s="51">
        <f t="shared" si="29"/>
        <v>0</v>
      </c>
      <c r="G51" s="51">
        <f t="shared" si="29"/>
        <v>4.8719600579803455</v>
      </c>
      <c r="H51" s="50">
        <f t="shared" si="29"/>
        <v>23.470285070059617</v>
      </c>
      <c r="J51" s="66">
        <f>(C51/C6)*100</f>
        <v>0.32983892865649739</v>
      </c>
      <c r="K51" s="66">
        <f>(D51/D6)*100</f>
        <v>0.58440369839590534</v>
      </c>
      <c r="L51" s="66">
        <f>(E51/E6)*100</f>
        <v>2.0718168381785738</v>
      </c>
      <c r="M51" s="66">
        <v>0</v>
      </c>
      <c r="N51" s="66">
        <f>(G51/G6)*100</f>
        <v>5.12147633962583</v>
      </c>
      <c r="O51" s="67">
        <f>(H51/H6)*100</f>
        <v>0.53335135973359249</v>
      </c>
    </row>
    <row r="52" spans="2:15" x14ac:dyDescent="0.2">
      <c r="B52" s="41" t="s">
        <v>26</v>
      </c>
      <c r="C52" s="51">
        <f t="shared" ref="C52:H52" si="30">C40-C7</f>
        <v>3.1729747141246207</v>
      </c>
      <c r="D52" s="51">
        <f t="shared" si="30"/>
        <v>0.51441455951038506</v>
      </c>
      <c r="E52" s="51">
        <f t="shared" si="30"/>
        <v>2.2145272990819649</v>
      </c>
      <c r="F52" s="51">
        <f t="shared" si="30"/>
        <v>0</v>
      </c>
      <c r="G52" s="51">
        <f t="shared" si="30"/>
        <v>0.4429054598163944</v>
      </c>
      <c r="H52" s="50">
        <f t="shared" si="30"/>
        <v>6.3448220325333295</v>
      </c>
      <c r="J52" s="66">
        <f>(C52/C7)*100</f>
        <v>0.49746633308654287</v>
      </c>
      <c r="K52" s="66">
        <f>(D52/D7)*100</f>
        <v>1.942243491903253</v>
      </c>
      <c r="L52" s="66">
        <f>(E52/E7)*100</f>
        <v>1.5729799791108163</v>
      </c>
      <c r="M52" s="66">
        <v>0</v>
      </c>
      <c r="N52" s="66">
        <f>(G52/G7)*100</f>
        <v>3.0425402445095893</v>
      </c>
      <c r="O52" s="67">
        <f>(H52/H7)*100</f>
        <v>0.77408429826147751</v>
      </c>
    </row>
    <row r="53" spans="2:15" x14ac:dyDescent="0.2">
      <c r="B53" s="41" t="s">
        <v>25</v>
      </c>
      <c r="C53" s="51">
        <f t="shared" ref="C53:H53" si="31">C41-C8</f>
        <v>-19.436463198582715</v>
      </c>
      <c r="D53" s="51">
        <f t="shared" si="31"/>
        <v>22.676920599130199</v>
      </c>
      <c r="E53" s="51">
        <f t="shared" si="31"/>
        <v>0</v>
      </c>
      <c r="F53" s="51">
        <f t="shared" si="31"/>
        <v>0</v>
      </c>
      <c r="G53" s="51">
        <f t="shared" si="31"/>
        <v>8.4152037365115007</v>
      </c>
      <c r="H53" s="50">
        <f t="shared" si="31"/>
        <v>11.655661137057905</v>
      </c>
      <c r="J53" s="66">
        <f>(C53/C8)*100</f>
        <v>-0.24809012479561737</v>
      </c>
      <c r="K53" s="66">
        <f>(D53/D8)*100</f>
        <v>1.3082916202193862</v>
      </c>
      <c r="L53" s="66">
        <f>(E53/E8)*100</f>
        <v>0</v>
      </c>
      <c r="M53" s="66">
        <v>0</v>
      </c>
      <c r="N53" s="66">
        <f>(G53/G8)*100</f>
        <v>3.618122883224991</v>
      </c>
      <c r="O53" s="67">
        <f>(H53/H8)*100</f>
        <v>0.11887049280728809</v>
      </c>
    </row>
    <row r="54" spans="2:15" x14ac:dyDescent="0.2">
      <c r="B54" s="49" t="s">
        <v>24</v>
      </c>
      <c r="C54" s="48">
        <f t="shared" ref="C54:H55" si="32">C42-C9</f>
        <v>401.86583990979125</v>
      </c>
      <c r="D54" s="48">
        <f t="shared" si="32"/>
        <v>549.52665485585021</v>
      </c>
      <c r="E54" s="48">
        <f t="shared" si="32"/>
        <v>230.96617812852128</v>
      </c>
      <c r="F54" s="48">
        <f t="shared" si="32"/>
        <v>0</v>
      </c>
      <c r="G54" s="47">
        <f t="shared" si="32"/>
        <v>89.673216298921034</v>
      </c>
      <c r="H54" s="46">
        <f t="shared" si="32"/>
        <v>1272.0318891931092</v>
      </c>
      <c r="J54" s="68">
        <f>(C54/C9)*100</f>
        <v>0.15512633582267962</v>
      </c>
      <c r="K54" s="68">
        <f>(D54/D9)*100</f>
        <v>0.9430133872424159</v>
      </c>
      <c r="L54" s="68">
        <f>(E54/E9)*100</f>
        <v>0.87028857070967025</v>
      </c>
      <c r="M54" s="69">
        <v>0</v>
      </c>
      <c r="N54" s="70">
        <f>(G54/G9)*100</f>
        <v>1.8537762757948579</v>
      </c>
      <c r="O54" s="71">
        <f>(H54/H9)*100</f>
        <v>0.36478533712263012</v>
      </c>
    </row>
    <row r="55" spans="2:15" x14ac:dyDescent="0.2">
      <c r="B55" s="45" t="s">
        <v>23</v>
      </c>
      <c r="C55" s="44">
        <f t="shared" si="32"/>
        <v>433.2029312288505</v>
      </c>
      <c r="D55" s="44">
        <f t="shared" si="32"/>
        <v>592.48027057496802</v>
      </c>
      <c r="E55" s="44">
        <f t="shared" si="32"/>
        <v>232.99500724754398</v>
      </c>
      <c r="F55" s="44">
        <f t="shared" si="32"/>
        <v>0</v>
      </c>
      <c r="G55" s="43">
        <f t="shared" si="32"/>
        <v>102.96038009341282</v>
      </c>
      <c r="H55" s="42">
        <f t="shared" si="32"/>
        <v>1361.6385891448008</v>
      </c>
      <c r="J55" s="72">
        <f>(C55/C10)*100</f>
        <v>0.15954510650833656</v>
      </c>
      <c r="K55" s="72">
        <f>(D55/D10)*100</f>
        <v>0.96154514686191284</v>
      </c>
      <c r="L55" s="72">
        <f>(E55/E10)*100</f>
        <v>0.87162831068534685</v>
      </c>
      <c r="M55" s="72">
        <v>0</v>
      </c>
      <c r="N55" s="73">
        <f>(G55/G10)*100</f>
        <v>1.9799922235066043</v>
      </c>
      <c r="O55" s="74">
        <f>(H55/H10)*100</f>
        <v>0.37297772526044565</v>
      </c>
    </row>
    <row r="56" spans="2:15" x14ac:dyDescent="0.2">
      <c r="B56" s="40"/>
      <c r="C56" s="40"/>
      <c r="D56" s="40"/>
      <c r="E56" s="40"/>
      <c r="F56" s="40"/>
      <c r="G56" s="40"/>
      <c r="H56" s="40"/>
      <c r="J56" s="40"/>
      <c r="K56" s="40"/>
      <c r="L56" s="40"/>
      <c r="M56" s="40"/>
      <c r="N56" s="40"/>
      <c r="O56" s="40"/>
    </row>
    <row r="57" spans="2:15" x14ac:dyDescent="0.2">
      <c r="F57" s="40"/>
    </row>
  </sheetData>
  <mergeCells count="4">
    <mergeCell ref="C1:H1"/>
    <mergeCell ref="J1:O1"/>
    <mergeCell ref="C47:H47"/>
    <mergeCell ref="J47:O47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H25" sqref="H25"/>
    </sheetView>
  </sheetViews>
  <sheetFormatPr defaultRowHeight="15" x14ac:dyDescent="0.25"/>
  <cols>
    <col min="2" max="2" width="15.28515625" bestFit="1" customWidth="1"/>
    <col min="4" max="4" width="4.5703125" customWidth="1"/>
  </cols>
  <sheetData>
    <row r="3" spans="2:5" ht="44.25" customHeight="1" x14ac:dyDescent="0.25">
      <c r="B3" s="41"/>
      <c r="C3" s="85" t="s">
        <v>40</v>
      </c>
      <c r="D3" s="84"/>
      <c r="E3" s="84"/>
    </row>
    <row r="4" spans="2:5" x14ac:dyDescent="0.25">
      <c r="B4" s="40"/>
      <c r="C4" s="83" t="s">
        <v>9</v>
      </c>
      <c r="D4" s="83"/>
      <c r="E4" s="83" t="s">
        <v>12</v>
      </c>
    </row>
    <row r="5" spans="2:5" x14ac:dyDescent="0.25">
      <c r="B5" s="54" t="s">
        <v>22</v>
      </c>
      <c r="C5" s="64">
        <f>EXPANDED_HARVEST!H25/Response!$F$3</f>
        <v>1.3184748319846387</v>
      </c>
      <c r="D5" s="64"/>
      <c r="E5" s="64">
        <f>EXPANDED_HARVEST!H14/Response!$F$4</f>
        <v>1.4329065908013277</v>
      </c>
    </row>
    <row r="6" spans="2:5" x14ac:dyDescent="0.25">
      <c r="B6" s="41" t="s">
        <v>29</v>
      </c>
      <c r="C6" s="66">
        <f>EXPANDED_HARVEST!H26/Response!$F$3</f>
        <v>1.2618296529968454E-2</v>
      </c>
      <c r="D6" s="66"/>
      <c r="E6" s="66">
        <f>EXPANDED_HARVEST!H15/Response!$F$4</f>
        <v>4.6510625457993879E-2</v>
      </c>
    </row>
    <row r="7" spans="2:5" x14ac:dyDescent="0.25">
      <c r="B7" s="41" t="s">
        <v>28</v>
      </c>
      <c r="C7" s="66">
        <f>EXPANDED_HARVEST!H27/Response!$F$3</f>
        <v>0.102729392401591</v>
      </c>
      <c r="D7" s="66"/>
      <c r="E7" s="66">
        <f>EXPANDED_HARVEST!H16/Response!$F$4</f>
        <v>0.16776585197637831</v>
      </c>
    </row>
    <row r="8" spans="2:5" x14ac:dyDescent="0.25">
      <c r="B8" s="41" t="s">
        <v>27</v>
      </c>
      <c r="C8" s="66">
        <f>EXPANDED_HARVEST!H28/Response!$F$3</f>
        <v>0.13345220134412289</v>
      </c>
      <c r="D8" s="66"/>
      <c r="E8" s="66">
        <f>EXPANDED_HARVEST!H17/Response!$F$4</f>
        <v>0.14875641191430666</v>
      </c>
    </row>
    <row r="9" spans="2:5" x14ac:dyDescent="0.25">
      <c r="B9" s="41" t="s">
        <v>26</v>
      </c>
      <c r="C9" s="66">
        <f>EXPANDED_HARVEST!H29/Response!$F$3</f>
        <v>2.6059525442326155E-2</v>
      </c>
      <c r="D9" s="66"/>
      <c r="E9" s="66">
        <f>EXPANDED_HARVEST!H18/Response!$F$4</f>
        <v>2.7414974783395836E-2</v>
      </c>
    </row>
    <row r="10" spans="2:5" x14ac:dyDescent="0.25">
      <c r="B10" s="41" t="s">
        <v>25</v>
      </c>
      <c r="C10" s="66">
        <f>EXPANDED_HARVEST!H30/Response!$F$3</f>
        <v>0.32012069674941707</v>
      </c>
      <c r="D10" s="66"/>
      <c r="E10" s="66">
        <f>EXPANDED_HARVEST!H19/Response!$F$4</f>
        <v>0.3225139014612699</v>
      </c>
    </row>
    <row r="11" spans="2:5" x14ac:dyDescent="0.25">
      <c r="B11" s="49" t="s">
        <v>24</v>
      </c>
      <c r="C11" s="68">
        <f>EXPANDED_HARVEST!H31/Response!$F$3</f>
        <v>11.188725826361267</v>
      </c>
      <c r="D11" s="68"/>
      <c r="E11" s="68">
        <f>EXPANDED_HARVEST!H20/Response!$F$4</f>
        <v>11.569593516961937</v>
      </c>
    </row>
    <row r="12" spans="2:5" x14ac:dyDescent="0.25">
      <c r="B12" s="45" t="s">
        <v>23</v>
      </c>
      <c r="C12" s="72">
        <f>EXPANDED_HARVEST!H32/Response!$F$3</f>
        <v>11.65025373748457</v>
      </c>
      <c r="D12" s="72"/>
      <c r="E12" s="72">
        <f>EXPANDED_HARVEST!H21/Response!$F$4</f>
        <v>12.133798870640977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Response</vt:lpstr>
      <vt:lpstr>EXPANDED_HARVEST</vt:lpstr>
      <vt:lpstr>Sheet1</vt:lpstr>
      <vt:lpstr>EXPANDED_HARVEST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2017-09-21T16:38:05Z</dcterms:created>
  <dcterms:modified xsi:type="dcterms:W3CDTF">2017-10-05T22:58:27Z</dcterms:modified>
</cp:coreProperties>
</file>