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men.DESKTOP-BL4E2C3\Desktop\JupyterModels\My_GitHub_MBS\"/>
    </mc:Choice>
  </mc:AlternateContent>
  <xr:revisionPtr revIDLastSave="0" documentId="13_ncr:1_{75EFAC0E-6AD5-42B3-8C13-C57D9D868C48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Amortization Model 101" sheetId="4" r:id="rId1"/>
    <sheet name="Amortization Model S Shape" sheetId="9" r:id="rId2"/>
    <sheet name="4-Factor Model" sheetId="8" r:id="rId3"/>
  </sheets>
  <definedNames>
    <definedName name="_xlnm._FilterDatabase" localSheetId="2" hidden="1">'4-Factor Model'!$G$5:$H$5</definedName>
    <definedName name="Burnout">'4-Factor Model'!$G$6:$H$16</definedName>
    <definedName name="CPR">'4-Factor Model'!$D$6:$E$16</definedName>
    <definedName name="Prepay" localSheetId="1">OFFSET('Amortization Model S Shape'!$J$13,'Amortization Model S Shape'!$F$3,0,-'Amortization Model S Shape'!$F$3,1)</definedName>
    <definedName name="Prepay">OFFSET('Amortization Model 101'!$J$13,'Amortization Model 101'!$F$3,0,-'Amortization Model 101'!$F$3,1)</definedName>
    <definedName name="Seasonality">'4-Factor Model'!$N$6:$O$17</definedName>
    <definedName name="Seasoning">'4-Factor Model'!$J$6:$K$16</definedName>
    <definedName name="solver_adj" localSheetId="0" hidden="1">'Amortization Model 101'!#REF!</definedName>
    <definedName name="solver_adj" localSheetId="1" hidden="1">'Amortization Model S Shape'!#REF!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0" localSheetId="0" hidden="1">'Amortization Model 101'!#REF!</definedName>
    <definedName name="solver_lhs0" localSheetId="1" hidden="1">'Amortization Model S Shape'!#REF!</definedName>
    <definedName name="solver_lhs1" localSheetId="0" hidden="1">'Amortization Model 101'!#REF!</definedName>
    <definedName name="solver_lhs1" localSheetId="1" hidden="1">'Amortization Model S Shape'!#REF!</definedName>
    <definedName name="solver_lhs2" localSheetId="0" hidden="1">'Amortization Model 101'!#REF!</definedName>
    <definedName name="solver_lhs2" localSheetId="1" hidden="1">'Amortization Model S Shape'!#REF!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'Amortization Model 101'!#REF!</definedName>
    <definedName name="solver_opt" localSheetId="1" hidden="1">'Amortization Model S Shape'!#REF!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2</definedName>
    <definedName name="solver_rel0" localSheetId="0" hidden="1">2</definedName>
    <definedName name="solver_rel0" localSheetId="1" hidden="1">2</definedName>
    <definedName name="solver_rel1" localSheetId="0" hidden="1">2</definedName>
    <definedName name="solver_rel1" localSheetId="1" hidden="1">2</definedName>
    <definedName name="solver_rel2" localSheetId="0" hidden="1">2</definedName>
    <definedName name="solver_rel2" localSheetId="1" hidden="1">2</definedName>
    <definedName name="solver_rhs0" localSheetId="0" hidden="1">TRUE</definedName>
    <definedName name="solver_rhs0" localSheetId="1" hidden="1">TRUE</definedName>
    <definedName name="solver_rhs1" localSheetId="0" hidden="1">0</definedName>
    <definedName name="solver_rhs1" localSheetId="1" hidden="1">0</definedName>
    <definedName name="solver_rhs2" localSheetId="0" hidden="1">0</definedName>
    <definedName name="solver_rhs2" localSheetId="1" hidden="1">0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9" l="1"/>
  <c r="K373" i="9" s="1"/>
  <c r="K370" i="9"/>
  <c r="K368" i="9"/>
  <c r="K367" i="9"/>
  <c r="K366" i="9"/>
  <c r="K364" i="9"/>
  <c r="K363" i="9"/>
  <c r="K362" i="9"/>
  <c r="K360" i="9"/>
  <c r="K359" i="9"/>
  <c r="K358" i="9"/>
  <c r="K356" i="9"/>
  <c r="K355" i="9"/>
  <c r="K354" i="9"/>
  <c r="K352" i="9"/>
  <c r="K351" i="9"/>
  <c r="K350" i="9"/>
  <c r="K348" i="9"/>
  <c r="K347" i="9"/>
  <c r="K346" i="9"/>
  <c r="K344" i="9"/>
  <c r="K343" i="9"/>
  <c r="K342" i="9"/>
  <c r="K340" i="9"/>
  <c r="K339" i="9"/>
  <c r="K338" i="9"/>
  <c r="K336" i="9"/>
  <c r="K335" i="9"/>
  <c r="K334" i="9"/>
  <c r="K333" i="9"/>
  <c r="K332" i="9"/>
  <c r="K331" i="9"/>
  <c r="K330" i="9"/>
  <c r="K329" i="9"/>
  <c r="K328" i="9"/>
  <c r="K327" i="9"/>
  <c r="K326" i="9"/>
  <c r="K325" i="9"/>
  <c r="K324" i="9"/>
  <c r="K323" i="9"/>
  <c r="K322" i="9"/>
  <c r="K321" i="9"/>
  <c r="K320" i="9"/>
  <c r="K319" i="9"/>
  <c r="K318" i="9"/>
  <c r="K317" i="9"/>
  <c r="K316" i="9"/>
  <c r="K315" i="9"/>
  <c r="K314" i="9"/>
  <c r="K313" i="9"/>
  <c r="K312" i="9"/>
  <c r="K311" i="9"/>
  <c r="K310" i="9"/>
  <c r="K309" i="9"/>
  <c r="K308" i="9"/>
  <c r="K307" i="9"/>
  <c r="K306" i="9"/>
  <c r="K305" i="9"/>
  <c r="K304" i="9"/>
  <c r="K303" i="9"/>
  <c r="K302" i="9"/>
  <c r="K301" i="9"/>
  <c r="K300" i="9"/>
  <c r="K299" i="9"/>
  <c r="K298" i="9"/>
  <c r="K297" i="9"/>
  <c r="K296" i="9"/>
  <c r="K295" i="9"/>
  <c r="K294" i="9"/>
  <c r="K293" i="9"/>
  <c r="K292" i="9"/>
  <c r="K291" i="9"/>
  <c r="K290" i="9"/>
  <c r="K289" i="9"/>
  <c r="K288" i="9"/>
  <c r="K287" i="9"/>
  <c r="K286" i="9"/>
  <c r="K285" i="9"/>
  <c r="K284" i="9"/>
  <c r="K283" i="9"/>
  <c r="K282" i="9"/>
  <c r="K281" i="9"/>
  <c r="K280" i="9"/>
  <c r="K279" i="9"/>
  <c r="K278" i="9"/>
  <c r="K277" i="9"/>
  <c r="K276" i="9"/>
  <c r="K275" i="9"/>
  <c r="K274" i="9"/>
  <c r="K273" i="9"/>
  <c r="K272" i="9"/>
  <c r="K271" i="9"/>
  <c r="K270" i="9"/>
  <c r="K269" i="9"/>
  <c r="K268" i="9"/>
  <c r="K267" i="9"/>
  <c r="K266" i="9"/>
  <c r="K265" i="9"/>
  <c r="K264" i="9"/>
  <c r="K263" i="9"/>
  <c r="K262" i="9"/>
  <c r="K261" i="9"/>
  <c r="K260" i="9"/>
  <c r="K259" i="9"/>
  <c r="K258" i="9"/>
  <c r="K257" i="9"/>
  <c r="K256" i="9"/>
  <c r="K255" i="9"/>
  <c r="K254" i="9"/>
  <c r="K253" i="9"/>
  <c r="K252" i="9"/>
  <c r="K251" i="9"/>
  <c r="K250" i="9"/>
  <c r="K249" i="9"/>
  <c r="K248" i="9"/>
  <c r="K247" i="9"/>
  <c r="K246" i="9"/>
  <c r="K245" i="9"/>
  <c r="K244" i="9"/>
  <c r="K243" i="9"/>
  <c r="K242" i="9"/>
  <c r="K241" i="9"/>
  <c r="K240" i="9"/>
  <c r="K239" i="9"/>
  <c r="K238" i="9"/>
  <c r="K237" i="9"/>
  <c r="K236" i="9"/>
  <c r="K235" i="9"/>
  <c r="K234" i="9"/>
  <c r="K233" i="9"/>
  <c r="K232" i="9"/>
  <c r="K231" i="9"/>
  <c r="K230" i="9"/>
  <c r="K229" i="9"/>
  <c r="K228" i="9"/>
  <c r="K227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211" i="9"/>
  <c r="K210" i="9"/>
  <c r="K209" i="9"/>
  <c r="K208" i="9"/>
  <c r="K207" i="9"/>
  <c r="K206" i="9"/>
  <c r="K205" i="9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60" i="9"/>
  <c r="K159" i="9"/>
  <c r="K158" i="9"/>
  <c r="K157" i="9"/>
  <c r="K156" i="9"/>
  <c r="K155" i="9"/>
  <c r="K154" i="9"/>
  <c r="K153" i="9"/>
  <c r="K152" i="9"/>
  <c r="K151" i="9"/>
  <c r="K150" i="9"/>
  <c r="K149" i="9"/>
  <c r="K148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3" i="9"/>
  <c r="K112" i="9"/>
  <c r="K111" i="9"/>
  <c r="K110" i="9"/>
  <c r="K109" i="9"/>
  <c r="K108" i="9"/>
  <c r="K107" i="9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A12" i="8"/>
  <c r="J15" i="9"/>
  <c r="N14" i="9"/>
  <c r="M14" i="9"/>
  <c r="D14" i="9"/>
  <c r="C14" i="9"/>
  <c r="L14" i="9" s="1"/>
  <c r="B14" i="9"/>
  <c r="F7" i="9"/>
  <c r="A10" i="8"/>
  <c r="B6" i="8"/>
  <c r="B15" i="8"/>
  <c r="B14" i="8"/>
  <c r="B13" i="8"/>
  <c r="B12" i="8"/>
  <c r="B11" i="8"/>
  <c r="B10" i="8"/>
  <c r="B9" i="8"/>
  <c r="B8" i="8"/>
  <c r="B7" i="8"/>
  <c r="K12" i="4"/>
  <c r="D14" i="4"/>
  <c r="K371" i="9" l="1"/>
  <c r="K372" i="9"/>
  <c r="K337" i="9"/>
  <c r="K341" i="9"/>
  <c r="K345" i="9"/>
  <c r="K349" i="9"/>
  <c r="K353" i="9"/>
  <c r="K357" i="9"/>
  <c r="K361" i="9"/>
  <c r="K365" i="9"/>
  <c r="K369" i="9"/>
  <c r="E14" i="9"/>
  <c r="F14" i="9" s="1"/>
  <c r="J16" i="9"/>
  <c r="O14" i="9"/>
  <c r="M15" i="9"/>
  <c r="G14" i="9"/>
  <c r="J19" i="8"/>
  <c r="R6" i="8"/>
  <c r="R7" i="8" s="1"/>
  <c r="N19" i="8"/>
  <c r="H14" i="9" l="1"/>
  <c r="I14" i="9" s="1"/>
  <c r="C15" i="9" s="1"/>
  <c r="J17" i="9"/>
  <c r="M16" i="9"/>
  <c r="R8" i="8"/>
  <c r="G16" i="8"/>
  <c r="G15" i="8"/>
  <c r="G14" i="8"/>
  <c r="G13" i="8"/>
  <c r="G12" i="8"/>
  <c r="G11" i="8"/>
  <c r="G10" i="8"/>
  <c r="G9" i="8"/>
  <c r="G8" i="8"/>
  <c r="G7" i="8"/>
  <c r="G6" i="8"/>
  <c r="J16" i="8"/>
  <c r="J15" i="8"/>
  <c r="J14" i="8"/>
  <c r="J13" i="8"/>
  <c r="J12" i="8"/>
  <c r="J11" i="8"/>
  <c r="J10" i="8"/>
  <c r="J9" i="8"/>
  <c r="J8" i="8"/>
  <c r="J7" i="8"/>
  <c r="J6" i="8"/>
  <c r="D16" i="8"/>
  <c r="A16" i="8" s="1"/>
  <c r="D15" i="8"/>
  <c r="A15" i="8" s="1"/>
  <c r="D14" i="8"/>
  <c r="A14" i="8" s="1"/>
  <c r="D13" i="8"/>
  <c r="A13" i="8" s="1"/>
  <c r="D12" i="8"/>
  <c r="D11" i="8"/>
  <c r="A11" i="8" s="1"/>
  <c r="D10" i="8"/>
  <c r="D9" i="8"/>
  <c r="A9" i="8" s="1"/>
  <c r="D8" i="8"/>
  <c r="A8" i="8" s="1"/>
  <c r="D7" i="8"/>
  <c r="A7" i="8" s="1"/>
  <c r="D6" i="8"/>
  <c r="B15" i="9" l="1"/>
  <c r="N15" i="9" s="1"/>
  <c r="L15" i="9"/>
  <c r="D15" i="9"/>
  <c r="G15" i="9"/>
  <c r="E15" i="9"/>
  <c r="M17" i="9"/>
  <c r="J18" i="9"/>
  <c r="U6" i="8"/>
  <c r="S5" i="8"/>
  <c r="K14" i="4"/>
  <c r="A6" i="8"/>
  <c r="K19" i="8"/>
  <c r="AB6" i="8"/>
  <c r="AB7" i="8"/>
  <c r="W7" i="8"/>
  <c r="S6" i="8"/>
  <c r="AA6" i="8"/>
  <c r="S7" i="8"/>
  <c r="U7" i="8"/>
  <c r="AA7" i="8"/>
  <c r="V6" i="8"/>
  <c r="AA5" i="8"/>
  <c r="AC5" i="8"/>
  <c r="Y5" i="8"/>
  <c r="AB5" i="8"/>
  <c r="Z5" i="8"/>
  <c r="U5" i="8"/>
  <c r="X5" i="8"/>
  <c r="T5" i="8"/>
  <c r="W5" i="8"/>
  <c r="Z7" i="8"/>
  <c r="T6" i="8"/>
  <c r="V5" i="8"/>
  <c r="T7" i="8"/>
  <c r="Y7" i="8"/>
  <c r="R9" i="8"/>
  <c r="AC8" i="8"/>
  <c r="Y8" i="8"/>
  <c r="U8" i="8"/>
  <c r="AA8" i="8"/>
  <c r="W8" i="8"/>
  <c r="Z8" i="8"/>
  <c r="V8" i="8"/>
  <c r="AB8" i="8"/>
  <c r="S8" i="8"/>
  <c r="X8" i="8"/>
  <c r="T8" i="8"/>
  <c r="Z6" i="8"/>
  <c r="Y6" i="8"/>
  <c r="V7" i="8"/>
  <c r="X7" i="8"/>
  <c r="AC7" i="8"/>
  <c r="X6" i="8"/>
  <c r="W6" i="8"/>
  <c r="AC6" i="8"/>
  <c r="E21" i="8"/>
  <c r="E19" i="8"/>
  <c r="B16" i="8"/>
  <c r="K147" i="4"/>
  <c r="F15" i="9" l="1"/>
  <c r="J19" i="9"/>
  <c r="M18" i="9"/>
  <c r="O15" i="9"/>
  <c r="R10" i="8"/>
  <c r="AA9" i="8"/>
  <c r="W9" i="8"/>
  <c r="AC9" i="8"/>
  <c r="Y9" i="8"/>
  <c r="U9" i="8"/>
  <c r="AB9" i="8"/>
  <c r="X9" i="8"/>
  <c r="T9" i="8"/>
  <c r="Z9" i="8"/>
  <c r="V9" i="8"/>
  <c r="S9" i="8"/>
  <c r="K364" i="4"/>
  <c r="K348" i="4"/>
  <c r="K332" i="4"/>
  <c r="K316" i="4"/>
  <c r="K300" i="4"/>
  <c r="K284" i="4"/>
  <c r="K268" i="4"/>
  <c r="K252" i="4"/>
  <c r="K236" i="4"/>
  <c r="K220" i="4"/>
  <c r="K204" i="4"/>
  <c r="K188" i="4"/>
  <c r="K163" i="4"/>
  <c r="K372" i="4"/>
  <c r="K356" i="4"/>
  <c r="K340" i="4"/>
  <c r="K324" i="4"/>
  <c r="K308" i="4"/>
  <c r="K292" i="4"/>
  <c r="K276" i="4"/>
  <c r="K260" i="4"/>
  <c r="K244" i="4"/>
  <c r="K228" i="4"/>
  <c r="K212" i="4"/>
  <c r="K196" i="4"/>
  <c r="K179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2" i="4"/>
  <c r="K186" i="4"/>
  <c r="K190" i="4"/>
  <c r="K194" i="4"/>
  <c r="K198" i="4"/>
  <c r="K202" i="4"/>
  <c r="K206" i="4"/>
  <c r="K210" i="4"/>
  <c r="K214" i="4"/>
  <c r="K218" i="4"/>
  <c r="K222" i="4"/>
  <c r="K226" i="4"/>
  <c r="K230" i="4"/>
  <c r="K234" i="4"/>
  <c r="K238" i="4"/>
  <c r="K242" i="4"/>
  <c r="K246" i="4"/>
  <c r="K250" i="4"/>
  <c r="K254" i="4"/>
  <c r="K258" i="4"/>
  <c r="K262" i="4"/>
  <c r="K266" i="4"/>
  <c r="K270" i="4"/>
  <c r="K274" i="4"/>
  <c r="K278" i="4"/>
  <c r="K282" i="4"/>
  <c r="K286" i="4"/>
  <c r="K290" i="4"/>
  <c r="K294" i="4"/>
  <c r="K298" i="4"/>
  <c r="K302" i="4"/>
  <c r="K306" i="4"/>
  <c r="K310" i="4"/>
  <c r="K314" i="4"/>
  <c r="K318" i="4"/>
  <c r="K322" i="4"/>
  <c r="K326" i="4"/>
  <c r="K330" i="4"/>
  <c r="K334" i="4"/>
  <c r="K338" i="4"/>
  <c r="K342" i="4"/>
  <c r="K346" i="4"/>
  <c r="K350" i="4"/>
  <c r="K354" i="4"/>
  <c r="K358" i="4"/>
  <c r="K362" i="4"/>
  <c r="K366" i="4"/>
  <c r="K370" i="4"/>
  <c r="K19" i="4"/>
  <c r="K27" i="4"/>
  <c r="K35" i="4"/>
  <c r="K43" i="4"/>
  <c r="K51" i="4"/>
  <c r="K59" i="4"/>
  <c r="K67" i="4"/>
  <c r="K75" i="4"/>
  <c r="K83" i="4"/>
  <c r="K91" i="4"/>
  <c r="K99" i="4"/>
  <c r="K107" i="4"/>
  <c r="K115" i="4"/>
  <c r="K123" i="4"/>
  <c r="K131" i="4"/>
  <c r="K368" i="4"/>
  <c r="K360" i="4"/>
  <c r="K352" i="4"/>
  <c r="K344" i="4"/>
  <c r="K336" i="4"/>
  <c r="K328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171" i="4"/>
  <c r="K155" i="4"/>
  <c r="K139" i="4"/>
  <c r="K16" i="4"/>
  <c r="K18" i="4"/>
  <c r="K20" i="4"/>
  <c r="K22" i="4"/>
  <c r="K24" i="4"/>
  <c r="K26" i="4"/>
  <c r="K28" i="4"/>
  <c r="K30" i="4"/>
  <c r="K32" i="4"/>
  <c r="K34" i="4"/>
  <c r="K36" i="4"/>
  <c r="K38" i="4"/>
  <c r="K40" i="4"/>
  <c r="K42" i="4"/>
  <c r="K44" i="4"/>
  <c r="K46" i="4"/>
  <c r="K48" i="4"/>
  <c r="K50" i="4"/>
  <c r="K52" i="4"/>
  <c r="K54" i="4"/>
  <c r="K56" i="4"/>
  <c r="K58" i="4"/>
  <c r="K60" i="4"/>
  <c r="K62" i="4"/>
  <c r="K64" i="4"/>
  <c r="K66" i="4"/>
  <c r="K68" i="4"/>
  <c r="K70" i="4"/>
  <c r="K72" i="4"/>
  <c r="K74" i="4"/>
  <c r="K76" i="4"/>
  <c r="K78" i="4"/>
  <c r="K80" i="4"/>
  <c r="K82" i="4"/>
  <c r="K84" i="4"/>
  <c r="K86" i="4"/>
  <c r="K88" i="4"/>
  <c r="K90" i="4"/>
  <c r="K92" i="4"/>
  <c r="K94" i="4"/>
  <c r="K96" i="4"/>
  <c r="K98" i="4"/>
  <c r="K100" i="4"/>
  <c r="K102" i="4"/>
  <c r="K104" i="4"/>
  <c r="K106" i="4"/>
  <c r="K108" i="4"/>
  <c r="K110" i="4"/>
  <c r="K112" i="4"/>
  <c r="K114" i="4"/>
  <c r="K116" i="4"/>
  <c r="K118" i="4"/>
  <c r="K120" i="4"/>
  <c r="K122" i="4"/>
  <c r="K124" i="4"/>
  <c r="K126" i="4"/>
  <c r="K128" i="4"/>
  <c r="K130" i="4"/>
  <c r="K132" i="4"/>
  <c r="K134" i="4"/>
  <c r="K136" i="4"/>
  <c r="K138" i="4"/>
  <c r="K140" i="4"/>
  <c r="K142" i="4"/>
  <c r="K144" i="4"/>
  <c r="K146" i="4"/>
  <c r="K148" i="4"/>
  <c r="K150" i="4"/>
  <c r="K152" i="4"/>
  <c r="K154" i="4"/>
  <c r="K156" i="4"/>
  <c r="K158" i="4"/>
  <c r="K160" i="4"/>
  <c r="K162" i="4"/>
  <c r="K164" i="4"/>
  <c r="K166" i="4"/>
  <c r="K168" i="4"/>
  <c r="K170" i="4"/>
  <c r="K172" i="4"/>
  <c r="K174" i="4"/>
  <c r="K176" i="4"/>
  <c r="K178" i="4"/>
  <c r="K180" i="4"/>
  <c r="K373" i="4"/>
  <c r="K371" i="4"/>
  <c r="K369" i="4"/>
  <c r="K367" i="4"/>
  <c r="K365" i="4"/>
  <c r="K363" i="4"/>
  <c r="K361" i="4"/>
  <c r="K359" i="4"/>
  <c r="K357" i="4"/>
  <c r="K355" i="4"/>
  <c r="K353" i="4"/>
  <c r="K351" i="4"/>
  <c r="K349" i="4"/>
  <c r="K347" i="4"/>
  <c r="K345" i="4"/>
  <c r="K343" i="4"/>
  <c r="K341" i="4"/>
  <c r="K339" i="4"/>
  <c r="K337" i="4"/>
  <c r="K335" i="4"/>
  <c r="K333" i="4"/>
  <c r="K331" i="4"/>
  <c r="K329" i="4"/>
  <c r="K327" i="4"/>
  <c r="K325" i="4"/>
  <c r="K323" i="4"/>
  <c r="K321" i="4"/>
  <c r="K319" i="4"/>
  <c r="K317" i="4"/>
  <c r="K315" i="4"/>
  <c r="K313" i="4"/>
  <c r="K311" i="4"/>
  <c r="K309" i="4"/>
  <c r="K307" i="4"/>
  <c r="K305" i="4"/>
  <c r="K303" i="4"/>
  <c r="K301" i="4"/>
  <c r="K299" i="4"/>
  <c r="K297" i="4"/>
  <c r="K295" i="4"/>
  <c r="K293" i="4"/>
  <c r="K291" i="4"/>
  <c r="K289" i="4"/>
  <c r="K287" i="4"/>
  <c r="K285" i="4"/>
  <c r="K283" i="4"/>
  <c r="K281" i="4"/>
  <c r="K279" i="4"/>
  <c r="K277" i="4"/>
  <c r="K275" i="4"/>
  <c r="K273" i="4"/>
  <c r="K271" i="4"/>
  <c r="K269" i="4"/>
  <c r="K267" i="4"/>
  <c r="K265" i="4"/>
  <c r="K263" i="4"/>
  <c r="K261" i="4"/>
  <c r="K259" i="4"/>
  <c r="K257" i="4"/>
  <c r="K255" i="4"/>
  <c r="K253" i="4"/>
  <c r="K251" i="4"/>
  <c r="K249" i="4"/>
  <c r="K247" i="4"/>
  <c r="K245" i="4"/>
  <c r="K243" i="4"/>
  <c r="K241" i="4"/>
  <c r="K239" i="4"/>
  <c r="K237" i="4"/>
  <c r="K235" i="4"/>
  <c r="K233" i="4"/>
  <c r="K231" i="4"/>
  <c r="K229" i="4"/>
  <c r="K227" i="4"/>
  <c r="K225" i="4"/>
  <c r="K223" i="4"/>
  <c r="K221" i="4"/>
  <c r="K219" i="4"/>
  <c r="K217" i="4"/>
  <c r="K215" i="4"/>
  <c r="K213" i="4"/>
  <c r="K211" i="4"/>
  <c r="K209" i="4"/>
  <c r="K207" i="4"/>
  <c r="K205" i="4"/>
  <c r="K203" i="4"/>
  <c r="K201" i="4"/>
  <c r="K199" i="4"/>
  <c r="K197" i="4"/>
  <c r="K195" i="4"/>
  <c r="K193" i="4"/>
  <c r="K191" i="4"/>
  <c r="K189" i="4"/>
  <c r="K187" i="4"/>
  <c r="K185" i="4"/>
  <c r="K183" i="4"/>
  <c r="K181" i="4"/>
  <c r="K177" i="4"/>
  <c r="K173" i="4"/>
  <c r="K169" i="4"/>
  <c r="K165" i="4"/>
  <c r="K161" i="4"/>
  <c r="K157" i="4"/>
  <c r="K153" i="4"/>
  <c r="K149" i="4"/>
  <c r="K145" i="4"/>
  <c r="K141" i="4"/>
  <c r="K137" i="4"/>
  <c r="K133" i="4"/>
  <c r="K129" i="4"/>
  <c r="K125" i="4"/>
  <c r="K121" i="4"/>
  <c r="K117" i="4"/>
  <c r="K113" i="4"/>
  <c r="K109" i="4"/>
  <c r="K105" i="4"/>
  <c r="K101" i="4"/>
  <c r="K97" i="4"/>
  <c r="K93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H15" i="9" l="1"/>
  <c r="I15" i="9" s="1"/>
  <c r="C16" i="9" s="1"/>
  <c r="M19" i="9"/>
  <c r="J20" i="9"/>
  <c r="R11" i="8"/>
  <c r="AC10" i="8"/>
  <c r="Y10" i="8"/>
  <c r="U10" i="8"/>
  <c r="AA10" i="8"/>
  <c r="W10" i="8"/>
  <c r="Z10" i="8"/>
  <c r="V10" i="8"/>
  <c r="X10" i="8"/>
  <c r="T10" i="8"/>
  <c r="S10" i="8"/>
  <c r="AB10" i="8"/>
  <c r="M14" i="4"/>
  <c r="L16" i="9" l="1"/>
  <c r="G16" i="9"/>
  <c r="B16" i="9"/>
  <c r="N16" i="9" s="1"/>
  <c r="E16" i="9"/>
  <c r="D16" i="9"/>
  <c r="J21" i="9"/>
  <c r="M20" i="9"/>
  <c r="R12" i="8"/>
  <c r="AA11" i="8"/>
  <c r="W11" i="8"/>
  <c r="AC11" i="8"/>
  <c r="Y11" i="8"/>
  <c r="U11" i="8"/>
  <c r="AB11" i="8"/>
  <c r="X11" i="8"/>
  <c r="T11" i="8"/>
  <c r="Z11" i="8"/>
  <c r="S11" i="8"/>
  <c r="V11" i="8"/>
  <c r="J21" i="8"/>
  <c r="O19" i="8"/>
  <c r="F16" i="9" l="1"/>
  <c r="O16" i="9"/>
  <c r="H16" i="9" s="1"/>
  <c r="I16" i="9" s="1"/>
  <c r="C17" i="9" s="1"/>
  <c r="M21" i="9"/>
  <c r="J22" i="9"/>
  <c r="R13" i="8"/>
  <c r="AC12" i="8"/>
  <c r="Y12" i="8"/>
  <c r="U12" i="8"/>
  <c r="AA12" i="8"/>
  <c r="W12" i="8"/>
  <c r="Z12" i="8"/>
  <c r="V12" i="8"/>
  <c r="T12" i="8"/>
  <c r="S12" i="8"/>
  <c r="AB12" i="8"/>
  <c r="X12" i="8"/>
  <c r="C14" i="4"/>
  <c r="G14" i="4" s="1"/>
  <c r="J23" i="9" l="1"/>
  <c r="M22" i="9"/>
  <c r="B17" i="9"/>
  <c r="N17" i="9" s="1"/>
  <c r="L17" i="9"/>
  <c r="G17" i="9"/>
  <c r="E17" i="9"/>
  <c r="D17" i="9"/>
  <c r="R14" i="8"/>
  <c r="AA13" i="8"/>
  <c r="W13" i="8"/>
  <c r="AC13" i="8"/>
  <c r="Y13" i="8"/>
  <c r="U13" i="8"/>
  <c r="AB13" i="8"/>
  <c r="X13" i="8"/>
  <c r="T13" i="8"/>
  <c r="Z13" i="8"/>
  <c r="V13" i="8"/>
  <c r="S13" i="8"/>
  <c r="L14" i="4"/>
  <c r="H19" i="8"/>
  <c r="H23" i="8" s="1"/>
  <c r="B14" i="4"/>
  <c r="N14" i="4" s="1"/>
  <c r="O17" i="9" l="1"/>
  <c r="F17" i="9"/>
  <c r="M23" i="9"/>
  <c r="J24" i="9"/>
  <c r="O14" i="4"/>
  <c r="R15" i="8"/>
  <c r="AC14" i="8"/>
  <c r="Y14" i="8"/>
  <c r="U14" i="8"/>
  <c r="AA14" i="8"/>
  <c r="W14" i="8"/>
  <c r="Z14" i="8"/>
  <c r="V14" i="8"/>
  <c r="AB14" i="8"/>
  <c r="X14" i="8"/>
  <c r="S14" i="8"/>
  <c r="T14" i="8"/>
  <c r="J23" i="8"/>
  <c r="H17" i="9" l="1"/>
  <c r="I17" i="9" s="1"/>
  <c r="C18" i="9" s="1"/>
  <c r="J25" i="9"/>
  <c r="M24" i="9"/>
  <c r="R16" i="8"/>
  <c r="AA15" i="8"/>
  <c r="W15" i="8"/>
  <c r="AC15" i="8"/>
  <c r="Y15" i="8"/>
  <c r="U15" i="8"/>
  <c r="AB15" i="8"/>
  <c r="X15" i="8"/>
  <c r="T15" i="8"/>
  <c r="V15" i="8"/>
  <c r="S15" i="8"/>
  <c r="Z15" i="8"/>
  <c r="J15" i="4"/>
  <c r="F7" i="4"/>
  <c r="L18" i="9" l="1"/>
  <c r="G18" i="9"/>
  <c r="B18" i="9"/>
  <c r="N18" i="9" s="1"/>
  <c r="E18" i="9"/>
  <c r="D18" i="9"/>
  <c r="M25" i="9"/>
  <c r="J26" i="9"/>
  <c r="R17" i="8"/>
  <c r="AC16" i="8"/>
  <c r="Y16" i="8"/>
  <c r="U16" i="8"/>
  <c r="AA16" i="8"/>
  <c r="W16" i="8"/>
  <c r="Z16" i="8"/>
  <c r="V16" i="8"/>
  <c r="AB16" i="8"/>
  <c r="S16" i="8"/>
  <c r="X16" i="8"/>
  <c r="T16" i="8"/>
  <c r="J16" i="4"/>
  <c r="M15" i="4"/>
  <c r="E14" i="4"/>
  <c r="F18" i="9" l="1"/>
  <c r="O18" i="9"/>
  <c r="H18" i="9" s="1"/>
  <c r="I18" i="9" s="1"/>
  <c r="C19" i="9" s="1"/>
  <c r="J27" i="9"/>
  <c r="M26" i="9"/>
  <c r="R18" i="8"/>
  <c r="AA17" i="8"/>
  <c r="W17" i="8"/>
  <c r="AC17" i="8"/>
  <c r="Y17" i="8"/>
  <c r="U17" i="8"/>
  <c r="AB17" i="8"/>
  <c r="X17" i="8"/>
  <c r="T17" i="8"/>
  <c r="Z17" i="8"/>
  <c r="V17" i="8"/>
  <c r="S17" i="8"/>
  <c r="J17" i="4"/>
  <c r="M16" i="4"/>
  <c r="F14" i="4"/>
  <c r="H14" i="4" s="1"/>
  <c r="G19" i="9" l="1"/>
  <c r="E19" i="9"/>
  <c r="B19" i="9"/>
  <c r="N19" i="9" s="1"/>
  <c r="D19" i="9"/>
  <c r="L19" i="9"/>
  <c r="M27" i="9"/>
  <c r="J28" i="9"/>
  <c r="R19" i="8"/>
  <c r="AC18" i="8"/>
  <c r="Y18" i="8"/>
  <c r="U18" i="8"/>
  <c r="AA18" i="8"/>
  <c r="W18" i="8"/>
  <c r="Z18" i="8"/>
  <c r="V18" i="8"/>
  <c r="X18" i="8"/>
  <c r="T18" i="8"/>
  <c r="S18" i="8"/>
  <c r="AB18" i="8"/>
  <c r="M17" i="4"/>
  <c r="J18" i="4"/>
  <c r="I14" i="4"/>
  <c r="F19" i="9" l="1"/>
  <c r="O19" i="9"/>
  <c r="H19" i="9" s="1"/>
  <c r="I19" i="9" s="1"/>
  <c r="C20" i="9" s="1"/>
  <c r="B20" i="9" s="1"/>
  <c r="N20" i="9" s="1"/>
  <c r="J29" i="9"/>
  <c r="M28" i="9"/>
  <c r="R20" i="8"/>
  <c r="AA19" i="8"/>
  <c r="W19" i="8"/>
  <c r="AC19" i="8"/>
  <c r="Y19" i="8"/>
  <c r="U19" i="8"/>
  <c r="AB19" i="8"/>
  <c r="X19" i="8"/>
  <c r="T19" i="8"/>
  <c r="Z19" i="8"/>
  <c r="S19" i="8"/>
  <c r="V19" i="8"/>
  <c r="M18" i="4"/>
  <c r="J19" i="4"/>
  <c r="G20" i="9" l="1"/>
  <c r="D20" i="9"/>
  <c r="L20" i="9"/>
  <c r="O20" i="9" s="1"/>
  <c r="E20" i="9"/>
  <c r="M29" i="9"/>
  <c r="J30" i="9"/>
  <c r="R21" i="8"/>
  <c r="AC20" i="8"/>
  <c r="Y20" i="8"/>
  <c r="U20" i="8"/>
  <c r="AA20" i="8"/>
  <c r="W20" i="8"/>
  <c r="Z20" i="8"/>
  <c r="V20" i="8"/>
  <c r="T20" i="8"/>
  <c r="S20" i="8"/>
  <c r="AB20" i="8"/>
  <c r="X20" i="8"/>
  <c r="M19" i="4"/>
  <c r="J20" i="4"/>
  <c r="F20" i="9" l="1"/>
  <c r="H20" i="9"/>
  <c r="I20" i="9" s="1"/>
  <c r="C21" i="9" s="1"/>
  <c r="J31" i="9"/>
  <c r="M30" i="9"/>
  <c r="R22" i="8"/>
  <c r="AA21" i="8"/>
  <c r="W21" i="8"/>
  <c r="AC21" i="8"/>
  <c r="Y21" i="8"/>
  <c r="U21" i="8"/>
  <c r="AB21" i="8"/>
  <c r="X21" i="8"/>
  <c r="T21" i="8"/>
  <c r="Z21" i="8"/>
  <c r="V21" i="8"/>
  <c r="S21" i="8"/>
  <c r="M20" i="4"/>
  <c r="J21" i="4"/>
  <c r="B21" i="9" l="1"/>
  <c r="N21" i="9" s="1"/>
  <c r="L21" i="9"/>
  <c r="G21" i="9"/>
  <c r="E21" i="9"/>
  <c r="D21" i="9"/>
  <c r="M31" i="9"/>
  <c r="J32" i="9"/>
  <c r="R23" i="8"/>
  <c r="AC22" i="8"/>
  <c r="Y22" i="8"/>
  <c r="U22" i="8"/>
  <c r="AA22" i="8"/>
  <c r="W22" i="8"/>
  <c r="Z22" i="8"/>
  <c r="V22" i="8"/>
  <c r="AB22" i="8"/>
  <c r="X22" i="8"/>
  <c r="S22" i="8"/>
  <c r="T22" i="8"/>
  <c r="M21" i="4"/>
  <c r="J22" i="4"/>
  <c r="F21" i="9" l="1"/>
  <c r="J33" i="9"/>
  <c r="M32" i="9"/>
  <c r="O21" i="9"/>
  <c r="H21" i="9" s="1"/>
  <c r="I21" i="9" s="1"/>
  <c r="C22" i="9" s="1"/>
  <c r="R24" i="8"/>
  <c r="AA23" i="8"/>
  <c r="W23" i="8"/>
  <c r="AC23" i="8"/>
  <c r="Y23" i="8"/>
  <c r="U23" i="8"/>
  <c r="AB23" i="8"/>
  <c r="X23" i="8"/>
  <c r="T23" i="8"/>
  <c r="V23" i="8"/>
  <c r="S23" i="8"/>
  <c r="Z23" i="8"/>
  <c r="M22" i="4"/>
  <c r="J23" i="4"/>
  <c r="L22" i="9" l="1"/>
  <c r="G22" i="9"/>
  <c r="B22" i="9"/>
  <c r="N22" i="9" s="1"/>
  <c r="E22" i="9"/>
  <c r="D22" i="9"/>
  <c r="M33" i="9"/>
  <c r="J34" i="9"/>
  <c r="R25" i="8"/>
  <c r="AC24" i="8"/>
  <c r="Y24" i="8"/>
  <c r="U24" i="8"/>
  <c r="AA24" i="8"/>
  <c r="W24" i="8"/>
  <c r="Z24" i="8"/>
  <c r="V24" i="8"/>
  <c r="AB24" i="8"/>
  <c r="S24" i="8"/>
  <c r="X24" i="8"/>
  <c r="T24" i="8"/>
  <c r="M23" i="4"/>
  <c r="J24" i="4"/>
  <c r="F22" i="9" l="1"/>
  <c r="O22" i="9"/>
  <c r="H22" i="9" s="1"/>
  <c r="I22" i="9" s="1"/>
  <c r="C23" i="9" s="1"/>
  <c r="J35" i="9"/>
  <c r="M34" i="9"/>
  <c r="R26" i="8"/>
  <c r="AA25" i="8"/>
  <c r="W25" i="8"/>
  <c r="AC25" i="8"/>
  <c r="Y25" i="8"/>
  <c r="U25" i="8"/>
  <c r="AB25" i="8"/>
  <c r="X25" i="8"/>
  <c r="T25" i="8"/>
  <c r="Z25" i="8"/>
  <c r="V25" i="8"/>
  <c r="S25" i="8"/>
  <c r="M24" i="4"/>
  <c r="J25" i="4"/>
  <c r="B23" i="9" l="1"/>
  <c r="N23" i="9" s="1"/>
  <c r="L23" i="9"/>
  <c r="G23" i="9"/>
  <c r="E23" i="9"/>
  <c r="D23" i="9"/>
  <c r="M35" i="9"/>
  <c r="J36" i="9"/>
  <c r="R27" i="8"/>
  <c r="AC26" i="8"/>
  <c r="Y26" i="8"/>
  <c r="U26" i="8"/>
  <c r="AA26" i="8"/>
  <c r="W26" i="8"/>
  <c r="Z26" i="8"/>
  <c r="V26" i="8"/>
  <c r="X26" i="8"/>
  <c r="T26" i="8"/>
  <c r="S26" i="8"/>
  <c r="AB26" i="8"/>
  <c r="M25" i="4"/>
  <c r="J26" i="4"/>
  <c r="F23" i="9" l="1"/>
  <c r="J37" i="9"/>
  <c r="M36" i="9"/>
  <c r="O23" i="9"/>
  <c r="H23" i="9" s="1"/>
  <c r="I23" i="9" s="1"/>
  <c r="C24" i="9" s="1"/>
  <c r="R28" i="8"/>
  <c r="AA27" i="8"/>
  <c r="W27" i="8"/>
  <c r="AC27" i="8"/>
  <c r="Y27" i="8"/>
  <c r="U27" i="8"/>
  <c r="AB27" i="8"/>
  <c r="X27" i="8"/>
  <c r="T27" i="8"/>
  <c r="Z27" i="8"/>
  <c r="S27" i="8"/>
  <c r="V27" i="8"/>
  <c r="M26" i="4"/>
  <c r="J27" i="4"/>
  <c r="L24" i="9" l="1"/>
  <c r="G24" i="9"/>
  <c r="B24" i="9"/>
  <c r="N24" i="9" s="1"/>
  <c r="E24" i="9"/>
  <c r="D24" i="9"/>
  <c r="M37" i="9"/>
  <c r="J38" i="9"/>
  <c r="R29" i="8"/>
  <c r="AC28" i="8"/>
  <c r="Y28" i="8"/>
  <c r="U28" i="8"/>
  <c r="AA28" i="8"/>
  <c r="W28" i="8"/>
  <c r="Z28" i="8"/>
  <c r="V28" i="8"/>
  <c r="T28" i="8"/>
  <c r="S28" i="8"/>
  <c r="AB28" i="8"/>
  <c r="X28" i="8"/>
  <c r="M27" i="4"/>
  <c r="J28" i="4"/>
  <c r="J39" i="9" l="1"/>
  <c r="M38" i="9"/>
  <c r="F24" i="9"/>
  <c r="O24" i="9"/>
  <c r="H24" i="9" s="1"/>
  <c r="R30" i="8"/>
  <c r="AA29" i="8"/>
  <c r="W29" i="8"/>
  <c r="AC29" i="8"/>
  <c r="Y29" i="8"/>
  <c r="U29" i="8"/>
  <c r="AB29" i="8"/>
  <c r="X29" i="8"/>
  <c r="T29" i="8"/>
  <c r="Z29" i="8"/>
  <c r="V29" i="8"/>
  <c r="S29" i="8"/>
  <c r="M28" i="4"/>
  <c r="J29" i="4"/>
  <c r="I24" i="9" l="1"/>
  <c r="C25" i="9" s="1"/>
  <c r="M39" i="9"/>
  <c r="J40" i="9"/>
  <c r="R31" i="8"/>
  <c r="AC30" i="8"/>
  <c r="Y30" i="8"/>
  <c r="U30" i="8"/>
  <c r="AA30" i="8"/>
  <c r="W30" i="8"/>
  <c r="Z30" i="8"/>
  <c r="V30" i="8"/>
  <c r="AB30" i="8"/>
  <c r="X30" i="8"/>
  <c r="S30" i="8"/>
  <c r="T30" i="8"/>
  <c r="M29" i="4"/>
  <c r="J30" i="4"/>
  <c r="J41" i="9" l="1"/>
  <c r="M40" i="9"/>
  <c r="B25" i="9"/>
  <c r="N25" i="9" s="1"/>
  <c r="L25" i="9"/>
  <c r="O25" i="9" s="1"/>
  <c r="G25" i="9"/>
  <c r="E25" i="9"/>
  <c r="D25" i="9"/>
  <c r="R32" i="8"/>
  <c r="AA31" i="8"/>
  <c r="W31" i="8"/>
  <c r="AC31" i="8"/>
  <c r="Y31" i="8"/>
  <c r="U31" i="8"/>
  <c r="AB31" i="8"/>
  <c r="X31" i="8"/>
  <c r="T31" i="8"/>
  <c r="V31" i="8"/>
  <c r="S31" i="8"/>
  <c r="Z31" i="8"/>
  <c r="M30" i="4"/>
  <c r="J31" i="4"/>
  <c r="F25" i="9" l="1"/>
  <c r="M41" i="9"/>
  <c r="J42" i="9"/>
  <c r="R33" i="8"/>
  <c r="AC32" i="8"/>
  <c r="Y32" i="8"/>
  <c r="U32" i="8"/>
  <c r="AA32" i="8"/>
  <c r="W32" i="8"/>
  <c r="Z32" i="8"/>
  <c r="V32" i="8"/>
  <c r="AB32" i="8"/>
  <c r="S32" i="8"/>
  <c r="X32" i="8"/>
  <c r="T32" i="8"/>
  <c r="M31" i="4"/>
  <c r="J32" i="4"/>
  <c r="J43" i="9" l="1"/>
  <c r="M42" i="9"/>
  <c r="H25" i="9"/>
  <c r="I25" i="9" s="1"/>
  <c r="C26" i="9" s="1"/>
  <c r="R34" i="8"/>
  <c r="AA33" i="8"/>
  <c r="W33" i="8"/>
  <c r="AC33" i="8"/>
  <c r="Y33" i="8"/>
  <c r="U33" i="8"/>
  <c r="AB33" i="8"/>
  <c r="X33" i="8"/>
  <c r="T33" i="8"/>
  <c r="Z33" i="8"/>
  <c r="V33" i="8"/>
  <c r="S33" i="8"/>
  <c r="M32" i="4"/>
  <c r="J33" i="4"/>
  <c r="L26" i="9" l="1"/>
  <c r="G26" i="9"/>
  <c r="B26" i="9"/>
  <c r="N26" i="9" s="1"/>
  <c r="E26" i="9"/>
  <c r="D26" i="9"/>
  <c r="M43" i="9"/>
  <c r="J44" i="9"/>
  <c r="R35" i="8"/>
  <c r="AC34" i="8"/>
  <c r="Y34" i="8"/>
  <c r="U34" i="8"/>
  <c r="AA34" i="8"/>
  <c r="W34" i="8"/>
  <c r="Z34" i="8"/>
  <c r="V34" i="8"/>
  <c r="X34" i="8"/>
  <c r="T34" i="8"/>
  <c r="S34" i="8"/>
  <c r="AB34" i="8"/>
  <c r="M33" i="4"/>
  <c r="J34" i="4"/>
  <c r="J45" i="9" l="1"/>
  <c r="M44" i="9"/>
  <c r="F26" i="9"/>
  <c r="O26" i="9"/>
  <c r="H26" i="9" s="1"/>
  <c r="R36" i="8"/>
  <c r="AA35" i="8"/>
  <c r="W35" i="8"/>
  <c r="AC35" i="8"/>
  <c r="Y35" i="8"/>
  <c r="U35" i="8"/>
  <c r="AB35" i="8"/>
  <c r="X35" i="8"/>
  <c r="T35" i="8"/>
  <c r="Z35" i="8"/>
  <c r="S35" i="8"/>
  <c r="V35" i="8"/>
  <c r="M34" i="4"/>
  <c r="J35" i="4"/>
  <c r="I26" i="9" l="1"/>
  <c r="C27" i="9" s="1"/>
  <c r="M45" i="9"/>
  <c r="J46" i="9"/>
  <c r="R37" i="8"/>
  <c r="AC36" i="8"/>
  <c r="Y36" i="8"/>
  <c r="U36" i="8"/>
  <c r="AA36" i="8"/>
  <c r="W36" i="8"/>
  <c r="Z36" i="8"/>
  <c r="V36" i="8"/>
  <c r="T36" i="8"/>
  <c r="S36" i="8"/>
  <c r="X36" i="8"/>
  <c r="AB36" i="8"/>
  <c r="M35" i="4"/>
  <c r="J36" i="4"/>
  <c r="J47" i="9" l="1"/>
  <c r="M46" i="9"/>
  <c r="B27" i="9"/>
  <c r="N27" i="9" s="1"/>
  <c r="L27" i="9"/>
  <c r="O27" i="9" s="1"/>
  <c r="G27" i="9"/>
  <c r="E27" i="9"/>
  <c r="D27" i="9"/>
  <c r="R38" i="8"/>
  <c r="AA37" i="8"/>
  <c r="W37" i="8"/>
  <c r="AC37" i="8"/>
  <c r="Y37" i="8"/>
  <c r="U37" i="8"/>
  <c r="AB37" i="8"/>
  <c r="X37" i="8"/>
  <c r="T37" i="8"/>
  <c r="Z37" i="8"/>
  <c r="V37" i="8"/>
  <c r="S37" i="8"/>
  <c r="M36" i="4"/>
  <c r="J37" i="4"/>
  <c r="F27" i="9" l="1"/>
  <c r="M47" i="9"/>
  <c r="J48" i="9"/>
  <c r="AC38" i="8"/>
  <c r="Y38" i="8"/>
  <c r="U38" i="8"/>
  <c r="AA38" i="8"/>
  <c r="W38" i="8"/>
  <c r="R39" i="8"/>
  <c r="Z38" i="8"/>
  <c r="V38" i="8"/>
  <c r="AB38" i="8"/>
  <c r="X38" i="8"/>
  <c r="S38" i="8"/>
  <c r="T38" i="8"/>
  <c r="M37" i="4"/>
  <c r="J38" i="4"/>
  <c r="J49" i="9" l="1"/>
  <c r="M48" i="9"/>
  <c r="H27" i="9"/>
  <c r="I27" i="9" s="1"/>
  <c r="C28" i="9" s="1"/>
  <c r="AC39" i="8"/>
  <c r="S39" i="8"/>
  <c r="T39" i="8"/>
  <c r="U39" i="8"/>
  <c r="Z39" i="8"/>
  <c r="W39" i="8"/>
  <c r="X39" i="8"/>
  <c r="Y39" i="8"/>
  <c r="V39" i="8"/>
  <c r="AA39" i="8"/>
  <c r="AB39" i="8"/>
  <c r="R40" i="8"/>
  <c r="M38" i="4"/>
  <c r="J39" i="4"/>
  <c r="L28" i="9" l="1"/>
  <c r="G28" i="9"/>
  <c r="B28" i="9"/>
  <c r="N28" i="9" s="1"/>
  <c r="E28" i="9"/>
  <c r="D28" i="9"/>
  <c r="M49" i="9"/>
  <c r="J50" i="9"/>
  <c r="V40" i="8"/>
  <c r="Z40" i="8"/>
  <c r="R41" i="8"/>
  <c r="U40" i="8"/>
  <c r="T40" i="8"/>
  <c r="AC40" i="8"/>
  <c r="AB40" i="8"/>
  <c r="AA40" i="8"/>
  <c r="Y40" i="8"/>
  <c r="X40" i="8"/>
  <c r="W40" i="8"/>
  <c r="S40" i="8"/>
  <c r="M39" i="4"/>
  <c r="J40" i="4"/>
  <c r="J51" i="9" l="1"/>
  <c r="M50" i="9"/>
  <c r="F28" i="9"/>
  <c r="O28" i="9"/>
  <c r="H28" i="9" s="1"/>
  <c r="AC41" i="8"/>
  <c r="AB41" i="8"/>
  <c r="AA41" i="8"/>
  <c r="Y41" i="8"/>
  <c r="X41" i="8"/>
  <c r="W41" i="8"/>
  <c r="U41" i="8"/>
  <c r="T41" i="8"/>
  <c r="S41" i="8"/>
  <c r="V41" i="8"/>
  <c r="Z41" i="8"/>
  <c r="R42" i="8"/>
  <c r="M40" i="4"/>
  <c r="J41" i="4"/>
  <c r="I28" i="9" l="1"/>
  <c r="C29" i="9" s="1"/>
  <c r="M51" i="9"/>
  <c r="J52" i="9"/>
  <c r="AC42" i="8"/>
  <c r="AB42" i="8"/>
  <c r="AA42" i="8"/>
  <c r="U42" i="8"/>
  <c r="R43" i="8"/>
  <c r="Y42" i="8"/>
  <c r="X42" i="8"/>
  <c r="W42" i="8"/>
  <c r="T42" i="8"/>
  <c r="S42" i="8"/>
  <c r="V42" i="8"/>
  <c r="Z42" i="8"/>
  <c r="M41" i="4"/>
  <c r="J42" i="4"/>
  <c r="J53" i="9" l="1"/>
  <c r="M52" i="9"/>
  <c r="B29" i="9"/>
  <c r="N29" i="9" s="1"/>
  <c r="L29" i="9"/>
  <c r="O29" i="9" s="1"/>
  <c r="G29" i="9"/>
  <c r="E29" i="9"/>
  <c r="D29" i="9"/>
  <c r="AC43" i="8"/>
  <c r="AB43" i="8"/>
  <c r="W43" i="8"/>
  <c r="Y43" i="8"/>
  <c r="X43" i="8"/>
  <c r="S43" i="8"/>
  <c r="T43" i="8"/>
  <c r="AA43" i="8"/>
  <c r="U43" i="8"/>
  <c r="R44" i="8"/>
  <c r="Z43" i="8"/>
  <c r="V43" i="8"/>
  <c r="M42" i="4"/>
  <c r="J43" i="4"/>
  <c r="F29" i="9" l="1"/>
  <c r="M53" i="9"/>
  <c r="J54" i="9"/>
  <c r="AC44" i="8"/>
  <c r="X44" i="8"/>
  <c r="S44" i="8"/>
  <c r="Y44" i="8"/>
  <c r="T44" i="8"/>
  <c r="R45" i="8"/>
  <c r="AA44" i="8"/>
  <c r="AB44" i="8"/>
  <c r="W44" i="8"/>
  <c r="V44" i="8"/>
  <c r="U44" i="8"/>
  <c r="Z44" i="8"/>
  <c r="M43" i="4"/>
  <c r="J44" i="4"/>
  <c r="J55" i="9" l="1"/>
  <c r="M54" i="9"/>
  <c r="H29" i="9"/>
  <c r="I29" i="9" s="1"/>
  <c r="C30" i="9" s="1"/>
  <c r="AC45" i="8"/>
  <c r="X45" i="8"/>
  <c r="S45" i="8"/>
  <c r="Y45" i="8"/>
  <c r="T45" i="8"/>
  <c r="R46" i="8"/>
  <c r="U45" i="8"/>
  <c r="AA45" i="8"/>
  <c r="Z45" i="8"/>
  <c r="AB45" i="8"/>
  <c r="W45" i="8"/>
  <c r="V45" i="8"/>
  <c r="M44" i="4"/>
  <c r="J45" i="4"/>
  <c r="L30" i="9" l="1"/>
  <c r="G30" i="9"/>
  <c r="B30" i="9"/>
  <c r="N30" i="9" s="1"/>
  <c r="E30" i="9"/>
  <c r="D30" i="9"/>
  <c r="M55" i="9"/>
  <c r="J56" i="9"/>
  <c r="AC46" i="8"/>
  <c r="X46" i="8"/>
  <c r="S46" i="8"/>
  <c r="Y46" i="8"/>
  <c r="T46" i="8"/>
  <c r="R47" i="8"/>
  <c r="AA46" i="8"/>
  <c r="Z46" i="8"/>
  <c r="W46" i="8"/>
  <c r="U46" i="8"/>
  <c r="AB46" i="8"/>
  <c r="V46" i="8"/>
  <c r="M45" i="4"/>
  <c r="J46" i="4"/>
  <c r="J57" i="9" l="1"/>
  <c r="M56" i="9"/>
  <c r="F30" i="9"/>
  <c r="O30" i="9"/>
  <c r="AC47" i="8"/>
  <c r="X47" i="8"/>
  <c r="W47" i="8"/>
  <c r="Y47" i="8"/>
  <c r="T47" i="8"/>
  <c r="S47" i="8"/>
  <c r="U47" i="8"/>
  <c r="V47" i="8"/>
  <c r="R48" i="8"/>
  <c r="Z47" i="8"/>
  <c r="AB47" i="8"/>
  <c r="AA47" i="8"/>
  <c r="M46" i="4"/>
  <c r="J47" i="4"/>
  <c r="H30" i="9" l="1"/>
  <c r="I30" i="9" s="1"/>
  <c r="C31" i="9" s="1"/>
  <c r="M57" i="9"/>
  <c r="J58" i="9"/>
  <c r="AC48" i="8"/>
  <c r="AB48" i="8"/>
  <c r="W48" i="8"/>
  <c r="AA48" i="8"/>
  <c r="Z48" i="8"/>
  <c r="Y48" i="8"/>
  <c r="X48" i="8"/>
  <c r="S48" i="8"/>
  <c r="U48" i="8"/>
  <c r="T48" i="8"/>
  <c r="R49" i="8"/>
  <c r="V48" i="8"/>
  <c r="M47" i="4"/>
  <c r="J48" i="4"/>
  <c r="B31" i="9" l="1"/>
  <c r="N31" i="9" s="1"/>
  <c r="L31" i="9"/>
  <c r="O31" i="9" s="1"/>
  <c r="G31" i="9"/>
  <c r="E31" i="9"/>
  <c r="D31" i="9"/>
  <c r="J59" i="9"/>
  <c r="M58" i="9"/>
  <c r="AC49" i="8"/>
  <c r="X49" i="8"/>
  <c r="S49" i="8"/>
  <c r="Y49" i="8"/>
  <c r="T49" i="8"/>
  <c r="R50" i="8"/>
  <c r="U49" i="8"/>
  <c r="Z49" i="8"/>
  <c r="AB49" i="8"/>
  <c r="V49" i="8"/>
  <c r="AA49" i="8"/>
  <c r="W49" i="8"/>
  <c r="M48" i="4"/>
  <c r="J49" i="4"/>
  <c r="M59" i="9" l="1"/>
  <c r="J60" i="9"/>
  <c r="F31" i="9"/>
  <c r="AC50" i="8"/>
  <c r="X50" i="8"/>
  <c r="S50" i="8"/>
  <c r="V50" i="8"/>
  <c r="Y50" i="8"/>
  <c r="T50" i="8"/>
  <c r="R51" i="8"/>
  <c r="U50" i="8"/>
  <c r="AA50" i="8"/>
  <c r="Z50" i="8"/>
  <c r="W50" i="8"/>
  <c r="AB50" i="8"/>
  <c r="M49" i="4"/>
  <c r="J50" i="4"/>
  <c r="J61" i="9" l="1"/>
  <c r="M60" i="9"/>
  <c r="H31" i="9"/>
  <c r="I31" i="9" s="1"/>
  <c r="C32" i="9" s="1"/>
  <c r="R52" i="8"/>
  <c r="R53" i="8" s="1"/>
  <c r="AC51" i="8"/>
  <c r="X51" i="8"/>
  <c r="S51" i="8"/>
  <c r="Y51" i="8"/>
  <c r="T51" i="8"/>
  <c r="Z51" i="8"/>
  <c r="U51" i="8"/>
  <c r="AA51" i="8"/>
  <c r="V51" i="8"/>
  <c r="AB51" i="8"/>
  <c r="W51" i="8"/>
  <c r="M50" i="4"/>
  <c r="J51" i="4"/>
  <c r="L32" i="9" l="1"/>
  <c r="G32" i="9"/>
  <c r="B32" i="9"/>
  <c r="N32" i="9" s="1"/>
  <c r="E32" i="9"/>
  <c r="D32" i="9"/>
  <c r="M61" i="9"/>
  <c r="J62" i="9"/>
  <c r="R54" i="8"/>
  <c r="Y53" i="8"/>
  <c r="T53" i="8"/>
  <c r="AC53" i="8"/>
  <c r="X53" i="8"/>
  <c r="S53" i="8"/>
  <c r="AB53" i="8"/>
  <c r="W53" i="8"/>
  <c r="AA53" i="8"/>
  <c r="U53" i="8"/>
  <c r="Z53" i="8"/>
  <c r="V53" i="8"/>
  <c r="AC52" i="8"/>
  <c r="W52" i="8"/>
  <c r="AB52" i="8"/>
  <c r="V52" i="8"/>
  <c r="AA52" i="8"/>
  <c r="U52" i="8"/>
  <c r="Z52" i="8"/>
  <c r="T52" i="8"/>
  <c r="Y52" i="8"/>
  <c r="S52" i="8"/>
  <c r="X52" i="8"/>
  <c r="M51" i="4"/>
  <c r="J52" i="4"/>
  <c r="F32" i="9" l="1"/>
  <c r="J63" i="9"/>
  <c r="M62" i="9"/>
  <c r="O32" i="9"/>
  <c r="H32" i="9" s="1"/>
  <c r="I32" i="9" s="1"/>
  <c r="C33" i="9" s="1"/>
  <c r="Y54" i="8"/>
  <c r="AC54" i="8"/>
  <c r="S54" i="8"/>
  <c r="AB54" i="8"/>
  <c r="X54" i="8"/>
  <c r="W54" i="8"/>
  <c r="T54" i="8"/>
  <c r="U54" i="8"/>
  <c r="R55" i="8"/>
  <c r="AA54" i="8"/>
  <c r="Z54" i="8"/>
  <c r="V54" i="8"/>
  <c r="M52" i="4"/>
  <c r="J53" i="4"/>
  <c r="B33" i="9" l="1"/>
  <c r="N33" i="9" s="1"/>
  <c r="L33" i="9"/>
  <c r="O33" i="9" s="1"/>
  <c r="G33" i="9"/>
  <c r="E33" i="9"/>
  <c r="D33" i="9"/>
  <c r="M63" i="9"/>
  <c r="J64" i="9"/>
  <c r="Z55" i="8"/>
  <c r="Y55" i="8"/>
  <c r="X55" i="8"/>
  <c r="R56" i="8"/>
  <c r="V55" i="8"/>
  <c r="T55" i="8"/>
  <c r="S55" i="8"/>
  <c r="AA55" i="8"/>
  <c r="AB55" i="8"/>
  <c r="W55" i="8"/>
  <c r="U55" i="8"/>
  <c r="AC55" i="8"/>
  <c r="M53" i="4"/>
  <c r="J54" i="4"/>
  <c r="M64" i="9" l="1"/>
  <c r="J65" i="9"/>
  <c r="F33" i="9"/>
  <c r="Z56" i="8"/>
  <c r="AC56" i="8"/>
  <c r="AB56" i="8"/>
  <c r="T56" i="8"/>
  <c r="AA56" i="8"/>
  <c r="V56" i="8"/>
  <c r="X56" i="8"/>
  <c r="W56" i="8"/>
  <c r="Y56" i="8"/>
  <c r="S56" i="8"/>
  <c r="U56" i="8"/>
  <c r="R57" i="8"/>
  <c r="M54" i="4"/>
  <c r="J55" i="4"/>
  <c r="M65" i="9" l="1"/>
  <c r="J66" i="9"/>
  <c r="H33" i="9"/>
  <c r="I33" i="9" s="1"/>
  <c r="C34" i="9" s="1"/>
  <c r="Z57" i="8"/>
  <c r="S57" i="8"/>
  <c r="AA57" i="8"/>
  <c r="V57" i="8"/>
  <c r="AB57" i="8"/>
  <c r="U57" i="8"/>
  <c r="AC57" i="8"/>
  <c r="W57" i="8"/>
  <c r="T57" i="8"/>
  <c r="R58" i="8"/>
  <c r="X57" i="8"/>
  <c r="Y57" i="8"/>
  <c r="M55" i="4"/>
  <c r="J56" i="4"/>
  <c r="L34" i="9" l="1"/>
  <c r="G34" i="9"/>
  <c r="B34" i="9"/>
  <c r="N34" i="9" s="1"/>
  <c r="E34" i="9"/>
  <c r="D34" i="9"/>
  <c r="J67" i="9"/>
  <c r="M66" i="9"/>
  <c r="Z58" i="8"/>
  <c r="AA58" i="8"/>
  <c r="T58" i="8"/>
  <c r="W58" i="8"/>
  <c r="Y58" i="8"/>
  <c r="V58" i="8"/>
  <c r="U58" i="8"/>
  <c r="AC58" i="8"/>
  <c r="AB58" i="8"/>
  <c r="X58" i="8"/>
  <c r="S58" i="8"/>
  <c r="R59" i="8"/>
  <c r="M56" i="4"/>
  <c r="J57" i="4"/>
  <c r="M67" i="9" l="1"/>
  <c r="J68" i="9"/>
  <c r="F34" i="9"/>
  <c r="O34" i="9"/>
  <c r="Z59" i="8"/>
  <c r="Y59" i="8"/>
  <c r="X59" i="8"/>
  <c r="V59" i="8"/>
  <c r="T59" i="8"/>
  <c r="S59" i="8"/>
  <c r="AA59" i="8"/>
  <c r="W59" i="8"/>
  <c r="AB59" i="8"/>
  <c r="R60" i="8"/>
  <c r="U59" i="8"/>
  <c r="AC59" i="8"/>
  <c r="M57" i="4"/>
  <c r="J58" i="4"/>
  <c r="M68" i="9" l="1"/>
  <c r="J69" i="9"/>
  <c r="H34" i="9"/>
  <c r="I34" i="9"/>
  <c r="C35" i="9" s="1"/>
  <c r="R61" i="8"/>
  <c r="T60" i="8"/>
  <c r="AA60" i="8"/>
  <c r="Z60" i="8"/>
  <c r="AC60" i="8"/>
  <c r="AB60" i="8"/>
  <c r="V60" i="8"/>
  <c r="X60" i="8"/>
  <c r="W60" i="8"/>
  <c r="Y60" i="8"/>
  <c r="S60" i="8"/>
  <c r="U60" i="8"/>
  <c r="M58" i="4"/>
  <c r="J59" i="4"/>
  <c r="M69" i="9" l="1"/>
  <c r="J70" i="9"/>
  <c r="B35" i="9"/>
  <c r="N35" i="9" s="1"/>
  <c r="L35" i="9"/>
  <c r="G35" i="9"/>
  <c r="E35" i="9"/>
  <c r="D35" i="9"/>
  <c r="R62" i="8"/>
  <c r="X61" i="8"/>
  <c r="Y61" i="8"/>
  <c r="T61" i="8"/>
  <c r="Z61" i="8"/>
  <c r="S61" i="8"/>
  <c r="AA61" i="8"/>
  <c r="W61" i="8"/>
  <c r="V61" i="8"/>
  <c r="AB61" i="8"/>
  <c r="U61" i="8"/>
  <c r="AC61" i="8"/>
  <c r="M59" i="4"/>
  <c r="J60" i="4"/>
  <c r="F35" i="9" l="1"/>
  <c r="J71" i="9"/>
  <c r="M70" i="9"/>
  <c r="O35" i="9"/>
  <c r="H35" i="9" s="1"/>
  <c r="I35" i="9" s="1"/>
  <c r="C36" i="9" s="1"/>
  <c r="R63" i="8"/>
  <c r="W62" i="8"/>
  <c r="AA62" i="8"/>
  <c r="T62" i="8"/>
  <c r="Z62" i="8"/>
  <c r="Y62" i="8"/>
  <c r="AC62" i="8"/>
  <c r="AB62" i="8"/>
  <c r="V62" i="8"/>
  <c r="S62" i="8"/>
  <c r="U62" i="8"/>
  <c r="X62" i="8"/>
  <c r="M60" i="4"/>
  <c r="J61" i="4"/>
  <c r="L36" i="9" l="1"/>
  <c r="G36" i="9"/>
  <c r="B36" i="9"/>
  <c r="N36" i="9" s="1"/>
  <c r="E36" i="9"/>
  <c r="D36" i="9"/>
  <c r="M71" i="9"/>
  <c r="J72" i="9"/>
  <c r="R64" i="8"/>
  <c r="U63" i="8"/>
  <c r="S63" i="8"/>
  <c r="V63" i="8"/>
  <c r="X63" i="8"/>
  <c r="Z63" i="8"/>
  <c r="AB63" i="8"/>
  <c r="W63" i="8"/>
  <c r="AA63" i="8"/>
  <c r="AC63" i="8"/>
  <c r="T63" i="8"/>
  <c r="Y63" i="8"/>
  <c r="M61" i="4"/>
  <c r="J62" i="4"/>
  <c r="F36" i="9" l="1"/>
  <c r="O36" i="9"/>
  <c r="H36" i="9" s="1"/>
  <c r="I36" i="9" s="1"/>
  <c r="C37" i="9" s="1"/>
  <c r="M72" i="9"/>
  <c r="J73" i="9"/>
  <c r="R65" i="8"/>
  <c r="T64" i="8"/>
  <c r="U64" i="8"/>
  <c r="X64" i="8"/>
  <c r="W64" i="8"/>
  <c r="AB64" i="8"/>
  <c r="Z64" i="8"/>
  <c r="AC64" i="8"/>
  <c r="V64" i="8"/>
  <c r="AA64" i="8"/>
  <c r="Y64" i="8"/>
  <c r="S64" i="8"/>
  <c r="M62" i="4"/>
  <c r="J63" i="4"/>
  <c r="B37" i="9" l="1"/>
  <c r="N37" i="9" s="1"/>
  <c r="L37" i="9"/>
  <c r="G37" i="9"/>
  <c r="E37" i="9"/>
  <c r="D37" i="9"/>
  <c r="M73" i="9"/>
  <c r="J74" i="9"/>
  <c r="R66" i="8"/>
  <c r="X65" i="8"/>
  <c r="AA65" i="8"/>
  <c r="Z65" i="8"/>
  <c r="S65" i="8"/>
  <c r="AB65" i="8"/>
  <c r="Y65" i="8"/>
  <c r="AC65" i="8"/>
  <c r="W65" i="8"/>
  <c r="T65" i="8"/>
  <c r="V65" i="8"/>
  <c r="U65" i="8"/>
  <c r="M63" i="4"/>
  <c r="J64" i="4"/>
  <c r="F37" i="9" l="1"/>
  <c r="J75" i="9"/>
  <c r="M74" i="9"/>
  <c r="O37" i="9"/>
  <c r="H37" i="9" s="1"/>
  <c r="I37" i="9" s="1"/>
  <c r="C38" i="9" s="1"/>
  <c r="R67" i="8"/>
  <c r="W66" i="8"/>
  <c r="S66" i="8"/>
  <c r="AB66" i="8"/>
  <c r="Z66" i="8"/>
  <c r="AA66" i="8"/>
  <c r="X66" i="8"/>
  <c r="V66" i="8"/>
  <c r="T66" i="8"/>
  <c r="AC66" i="8"/>
  <c r="Y66" i="8"/>
  <c r="U66" i="8"/>
  <c r="M64" i="4"/>
  <c r="J65" i="4"/>
  <c r="L38" i="9" l="1"/>
  <c r="G38" i="9"/>
  <c r="B38" i="9"/>
  <c r="N38" i="9" s="1"/>
  <c r="E38" i="9"/>
  <c r="D38" i="9"/>
  <c r="M75" i="9"/>
  <c r="J76" i="9"/>
  <c r="R68" i="8"/>
  <c r="U67" i="8"/>
  <c r="T67" i="8"/>
  <c r="Z67" i="8"/>
  <c r="AC67" i="8"/>
  <c r="X67" i="8"/>
  <c r="V67" i="8"/>
  <c r="W67" i="8"/>
  <c r="Y67" i="8"/>
  <c r="AA67" i="8"/>
  <c r="AB67" i="8"/>
  <c r="S67" i="8"/>
  <c r="M65" i="4"/>
  <c r="J66" i="4"/>
  <c r="M76" i="9" l="1"/>
  <c r="J77" i="9"/>
  <c r="F38" i="9"/>
  <c r="O38" i="9"/>
  <c r="H38" i="9" s="1"/>
  <c r="R69" i="8"/>
  <c r="T68" i="8"/>
  <c r="AB68" i="8"/>
  <c r="Z68" i="8"/>
  <c r="X68" i="8"/>
  <c r="U68" i="8"/>
  <c r="Y68" i="8"/>
  <c r="W68" i="8"/>
  <c r="S68" i="8"/>
  <c r="V68" i="8"/>
  <c r="AC68" i="8"/>
  <c r="AA68" i="8"/>
  <c r="M66" i="4"/>
  <c r="J67" i="4"/>
  <c r="M77" i="9" l="1"/>
  <c r="J78" i="9"/>
  <c r="I38" i="9"/>
  <c r="C39" i="9" s="1"/>
  <c r="R70" i="8"/>
  <c r="X69" i="8"/>
  <c r="Y69" i="8"/>
  <c r="Z69" i="8"/>
  <c r="S69" i="8"/>
  <c r="U69" i="8"/>
  <c r="AA69" i="8"/>
  <c r="W69" i="8"/>
  <c r="AC69" i="8"/>
  <c r="V69" i="8"/>
  <c r="T69" i="8"/>
  <c r="AB69" i="8"/>
  <c r="M67" i="4"/>
  <c r="J68" i="4"/>
  <c r="J79" i="9" l="1"/>
  <c r="M78" i="9"/>
  <c r="B39" i="9"/>
  <c r="N39" i="9" s="1"/>
  <c r="L39" i="9"/>
  <c r="G39" i="9"/>
  <c r="E39" i="9"/>
  <c r="D39" i="9"/>
  <c r="F39" i="9" s="1"/>
  <c r="R71" i="8"/>
  <c r="W70" i="8"/>
  <c r="T70" i="8"/>
  <c r="Z70" i="8"/>
  <c r="AC70" i="8"/>
  <c r="X70" i="8"/>
  <c r="V70" i="8"/>
  <c r="U70" i="8"/>
  <c r="Y70" i="8"/>
  <c r="AB70" i="8"/>
  <c r="AA70" i="8"/>
  <c r="S70" i="8"/>
  <c r="M68" i="4"/>
  <c r="J69" i="4"/>
  <c r="O39" i="9" l="1"/>
  <c r="H39" i="9" s="1"/>
  <c r="I39" i="9" s="1"/>
  <c r="C40" i="9" s="1"/>
  <c r="L40" i="9" s="1"/>
  <c r="M79" i="9"/>
  <c r="J80" i="9"/>
  <c r="R72" i="8"/>
  <c r="U71" i="8"/>
  <c r="Y71" i="8"/>
  <c r="Z71" i="8"/>
  <c r="X71" i="8"/>
  <c r="AB71" i="8"/>
  <c r="V71" i="8"/>
  <c r="T71" i="8"/>
  <c r="AC71" i="8"/>
  <c r="AA71" i="8"/>
  <c r="W71" i="8"/>
  <c r="S71" i="8"/>
  <c r="M69" i="4"/>
  <c r="J70" i="4"/>
  <c r="E40" i="9" l="1"/>
  <c r="B40" i="9"/>
  <c r="N40" i="9" s="1"/>
  <c r="O40" i="9" s="1"/>
  <c r="G40" i="9"/>
  <c r="D40" i="9"/>
  <c r="F40" i="9" s="1"/>
  <c r="M80" i="9"/>
  <c r="J81" i="9"/>
  <c r="R73" i="8"/>
  <c r="T72" i="8"/>
  <c r="X72" i="8"/>
  <c r="Z72" i="8"/>
  <c r="AC72" i="8"/>
  <c r="W72" i="8"/>
  <c r="V72" i="8"/>
  <c r="AA72" i="8"/>
  <c r="AB72" i="8"/>
  <c r="Y72" i="8"/>
  <c r="S72" i="8"/>
  <c r="U72" i="8"/>
  <c r="M70" i="4"/>
  <c r="J71" i="4"/>
  <c r="H40" i="9" l="1"/>
  <c r="I40" i="9" s="1"/>
  <c r="C41" i="9" s="1"/>
  <c r="M81" i="9"/>
  <c r="J82" i="9"/>
  <c r="R74" i="8"/>
  <c r="X73" i="8"/>
  <c r="Y73" i="8"/>
  <c r="W73" i="8"/>
  <c r="Z73" i="8"/>
  <c r="S73" i="8"/>
  <c r="U73" i="8"/>
  <c r="AC73" i="8"/>
  <c r="V73" i="8"/>
  <c r="AB73" i="8"/>
  <c r="T73" i="8"/>
  <c r="AA73" i="8"/>
  <c r="M71" i="4"/>
  <c r="J72" i="4"/>
  <c r="B41" i="9" l="1"/>
  <c r="N41" i="9" s="1"/>
  <c r="D41" i="9"/>
  <c r="L41" i="9"/>
  <c r="G41" i="9"/>
  <c r="E41" i="9"/>
  <c r="J83" i="9"/>
  <c r="M82" i="9"/>
  <c r="R75" i="8"/>
  <c r="W74" i="8"/>
  <c r="T74" i="8"/>
  <c r="Z74" i="8"/>
  <c r="AA74" i="8"/>
  <c r="Y74" i="8"/>
  <c r="AB74" i="8"/>
  <c r="S74" i="8"/>
  <c r="V74" i="8"/>
  <c r="U74" i="8"/>
  <c r="AC74" i="8"/>
  <c r="X74" i="8"/>
  <c r="M72" i="4"/>
  <c r="J73" i="4"/>
  <c r="F41" i="9" l="1"/>
  <c r="O41" i="9"/>
  <c r="H41" i="9" s="1"/>
  <c r="I41" i="9" s="1"/>
  <c r="C42" i="9" s="1"/>
  <c r="M83" i="9"/>
  <c r="J84" i="9"/>
  <c r="R76" i="8"/>
  <c r="U75" i="8"/>
  <c r="AC75" i="8"/>
  <c r="AA75" i="8"/>
  <c r="X75" i="8"/>
  <c r="Z75" i="8"/>
  <c r="Y75" i="8"/>
  <c r="S75" i="8"/>
  <c r="W75" i="8"/>
  <c r="V75" i="8"/>
  <c r="T75" i="8"/>
  <c r="AB75" i="8"/>
  <c r="M73" i="4"/>
  <c r="J74" i="4"/>
  <c r="G42" i="9" l="1"/>
  <c r="E42" i="9"/>
  <c r="B42" i="9"/>
  <c r="N42" i="9" s="1"/>
  <c r="L42" i="9"/>
  <c r="D42" i="9"/>
  <c r="M84" i="9"/>
  <c r="J85" i="9"/>
  <c r="R77" i="8"/>
  <c r="T76" i="8"/>
  <c r="U76" i="8"/>
  <c r="Z76" i="8"/>
  <c r="AC76" i="8"/>
  <c r="AB76" i="8"/>
  <c r="Y76" i="8"/>
  <c r="S76" i="8"/>
  <c r="AA76" i="8"/>
  <c r="V76" i="8"/>
  <c r="X76" i="8"/>
  <c r="W76" i="8"/>
  <c r="M74" i="4"/>
  <c r="J75" i="4"/>
  <c r="F42" i="9" l="1"/>
  <c r="O42" i="9"/>
  <c r="H42" i="9" s="1"/>
  <c r="M85" i="9"/>
  <c r="J86" i="9"/>
  <c r="R78" i="8"/>
  <c r="X77" i="8"/>
  <c r="T77" i="8"/>
  <c r="Z77" i="8"/>
  <c r="S77" i="8"/>
  <c r="AA77" i="8"/>
  <c r="AC77" i="8"/>
  <c r="U77" i="8"/>
  <c r="V77" i="8"/>
  <c r="AB77" i="8"/>
  <c r="Y77" i="8"/>
  <c r="W77" i="8"/>
  <c r="M75" i="4"/>
  <c r="J76" i="4"/>
  <c r="I42" i="9" l="1"/>
  <c r="C43" i="9" s="1"/>
  <c r="J87" i="9"/>
  <c r="M86" i="9"/>
  <c r="R79" i="8"/>
  <c r="W78" i="8"/>
  <c r="S78" i="8"/>
  <c r="Z78" i="8"/>
  <c r="AA78" i="8"/>
  <c r="Y78" i="8"/>
  <c r="AC78" i="8"/>
  <c r="V78" i="8"/>
  <c r="U78" i="8"/>
  <c r="T78" i="8"/>
  <c r="AB78" i="8"/>
  <c r="X78" i="8"/>
  <c r="M76" i="4"/>
  <c r="J77" i="4"/>
  <c r="G43" i="9" l="1"/>
  <c r="B43" i="9"/>
  <c r="N43" i="9" s="1"/>
  <c r="D43" i="9"/>
  <c r="E43" i="9"/>
  <c r="L43" i="9"/>
  <c r="M87" i="9"/>
  <c r="J88" i="9"/>
  <c r="R80" i="8"/>
  <c r="U79" i="8"/>
  <c r="X79" i="8"/>
  <c r="Z79" i="8"/>
  <c r="Y79" i="8"/>
  <c r="AC79" i="8"/>
  <c r="AA79" i="8"/>
  <c r="AB79" i="8"/>
  <c r="S79" i="8"/>
  <c r="V79" i="8"/>
  <c r="T79" i="8"/>
  <c r="W79" i="8"/>
  <c r="M77" i="4"/>
  <c r="J78" i="4"/>
  <c r="F43" i="9" l="1"/>
  <c r="O43" i="9"/>
  <c r="H43" i="9" s="1"/>
  <c r="I43" i="9" s="1"/>
  <c r="C44" i="9" s="1"/>
  <c r="M88" i="9"/>
  <c r="J89" i="9"/>
  <c r="AB80" i="8"/>
  <c r="Y80" i="8"/>
  <c r="AA80" i="8"/>
  <c r="AC80" i="8"/>
  <c r="R81" i="8"/>
  <c r="T80" i="8"/>
  <c r="W80" i="8"/>
  <c r="S80" i="8"/>
  <c r="Z80" i="8"/>
  <c r="X80" i="8"/>
  <c r="U80" i="8"/>
  <c r="V80" i="8"/>
  <c r="M78" i="4"/>
  <c r="J79" i="4"/>
  <c r="G44" i="9" l="1"/>
  <c r="B44" i="9"/>
  <c r="N44" i="9" s="1"/>
  <c r="E44" i="9"/>
  <c r="L44" i="9"/>
  <c r="D44" i="9"/>
  <c r="M89" i="9"/>
  <c r="J90" i="9"/>
  <c r="AB81" i="8"/>
  <c r="Z81" i="8"/>
  <c r="AA81" i="8"/>
  <c r="X81" i="8"/>
  <c r="V81" i="8"/>
  <c r="S81" i="8"/>
  <c r="U81" i="8"/>
  <c r="W81" i="8"/>
  <c r="T81" i="8"/>
  <c r="AC81" i="8"/>
  <c r="Y81" i="8"/>
  <c r="R82" i="8"/>
  <c r="M79" i="4"/>
  <c r="J80" i="4"/>
  <c r="O44" i="9" l="1"/>
  <c r="F44" i="9"/>
  <c r="J91" i="9"/>
  <c r="M90" i="9"/>
  <c r="AB82" i="8"/>
  <c r="Z82" i="8"/>
  <c r="S82" i="8"/>
  <c r="X82" i="8"/>
  <c r="V82" i="8"/>
  <c r="AC82" i="8"/>
  <c r="W82" i="8"/>
  <c r="T82" i="8"/>
  <c r="Y82" i="8"/>
  <c r="U82" i="8"/>
  <c r="R83" i="8"/>
  <c r="AA82" i="8"/>
  <c r="M80" i="4"/>
  <c r="J81" i="4"/>
  <c r="H44" i="9" l="1"/>
  <c r="I44" i="9" s="1"/>
  <c r="C45" i="9" s="1"/>
  <c r="G45" i="9" s="1"/>
  <c r="M91" i="9"/>
  <c r="J92" i="9"/>
  <c r="AB83" i="8"/>
  <c r="Z83" i="8"/>
  <c r="AA83" i="8"/>
  <c r="U83" i="8"/>
  <c r="X83" i="8"/>
  <c r="V83" i="8"/>
  <c r="S83" i="8"/>
  <c r="R84" i="8"/>
  <c r="Y83" i="8"/>
  <c r="T83" i="8"/>
  <c r="AC83" i="8"/>
  <c r="W83" i="8"/>
  <c r="M81" i="4"/>
  <c r="J82" i="4"/>
  <c r="D45" i="9" l="1"/>
  <c r="F45" i="9" s="1"/>
  <c r="B45" i="9"/>
  <c r="N45" i="9" s="1"/>
  <c r="E45" i="9"/>
  <c r="L45" i="9"/>
  <c r="O45" i="9" s="1"/>
  <c r="H45" i="9" s="1"/>
  <c r="I45" i="9" s="1"/>
  <c r="C46" i="9" s="1"/>
  <c r="E46" i="9" s="1"/>
  <c r="M92" i="9"/>
  <c r="J93" i="9"/>
  <c r="AB84" i="8"/>
  <c r="Z84" i="8"/>
  <c r="AA84" i="8"/>
  <c r="X84" i="8"/>
  <c r="V84" i="8"/>
  <c r="U84" i="8"/>
  <c r="R85" i="8"/>
  <c r="W84" i="8"/>
  <c r="S84" i="8"/>
  <c r="T84" i="8"/>
  <c r="Y84" i="8"/>
  <c r="AC84" i="8"/>
  <c r="M82" i="4"/>
  <c r="J83" i="4"/>
  <c r="D46" i="9" l="1"/>
  <c r="B46" i="9"/>
  <c r="N46" i="9" s="1"/>
  <c r="L46" i="9"/>
  <c r="G46" i="9"/>
  <c r="M93" i="9"/>
  <c r="J94" i="9"/>
  <c r="AB85" i="8"/>
  <c r="Z85" i="8"/>
  <c r="AA85" i="8"/>
  <c r="X85" i="8"/>
  <c r="V85" i="8"/>
  <c r="S85" i="8"/>
  <c r="R86" i="8"/>
  <c r="T85" i="8"/>
  <c r="AC85" i="8"/>
  <c r="Y85" i="8"/>
  <c r="U85" i="8"/>
  <c r="W85" i="8"/>
  <c r="M83" i="4"/>
  <c r="J84" i="4"/>
  <c r="O46" i="9" l="1"/>
  <c r="F46" i="9"/>
  <c r="J95" i="9"/>
  <c r="M94" i="9"/>
  <c r="AB86" i="8"/>
  <c r="Z86" i="8"/>
  <c r="S86" i="8"/>
  <c r="U86" i="8"/>
  <c r="X86" i="8"/>
  <c r="V86" i="8"/>
  <c r="AC86" i="8"/>
  <c r="R87" i="8"/>
  <c r="T86" i="8"/>
  <c r="Y86" i="8"/>
  <c r="AA86" i="8"/>
  <c r="W86" i="8"/>
  <c r="M84" i="4"/>
  <c r="J85" i="4"/>
  <c r="H46" i="9" l="1"/>
  <c r="I46" i="9" s="1"/>
  <c r="C47" i="9" s="1"/>
  <c r="M95" i="9"/>
  <c r="J96" i="9"/>
  <c r="AA87" i="8"/>
  <c r="Z87" i="8"/>
  <c r="AB87" i="8"/>
  <c r="U87" i="8"/>
  <c r="AC87" i="8"/>
  <c r="V87" i="8"/>
  <c r="S87" i="8"/>
  <c r="Y87" i="8"/>
  <c r="X87" i="8"/>
  <c r="R88" i="8"/>
  <c r="W87" i="8"/>
  <c r="T87" i="8"/>
  <c r="M85" i="4"/>
  <c r="J86" i="4"/>
  <c r="B47" i="9" l="1"/>
  <c r="N47" i="9" s="1"/>
  <c r="D47" i="9"/>
  <c r="L47" i="9"/>
  <c r="G47" i="9"/>
  <c r="E47" i="9"/>
  <c r="M96" i="9"/>
  <c r="J97" i="9"/>
  <c r="AA88" i="8"/>
  <c r="V88" i="8"/>
  <c r="AC88" i="8"/>
  <c r="W88" i="8"/>
  <c r="R89" i="8"/>
  <c r="Z88" i="8"/>
  <c r="AB88" i="8"/>
  <c r="T88" i="8"/>
  <c r="U88" i="8"/>
  <c r="S88" i="8"/>
  <c r="Y88" i="8"/>
  <c r="X88" i="8"/>
  <c r="M86" i="4"/>
  <c r="J87" i="4"/>
  <c r="O47" i="9" l="1"/>
  <c r="F47" i="9"/>
  <c r="M97" i="9"/>
  <c r="J98" i="9"/>
  <c r="AA89" i="8"/>
  <c r="U89" i="8"/>
  <c r="Y89" i="8"/>
  <c r="W89" i="8"/>
  <c r="AC89" i="8"/>
  <c r="T89" i="8"/>
  <c r="Z89" i="8"/>
  <c r="AB89" i="8"/>
  <c r="V89" i="8"/>
  <c r="S89" i="8"/>
  <c r="X89" i="8"/>
  <c r="R90" i="8"/>
  <c r="M87" i="4"/>
  <c r="J88" i="4"/>
  <c r="H47" i="9" l="1"/>
  <c r="I47" i="9" s="1"/>
  <c r="C48" i="9" s="1"/>
  <c r="E48" i="9" s="1"/>
  <c r="J99" i="9"/>
  <c r="M98" i="9"/>
  <c r="AA90" i="8"/>
  <c r="Y90" i="8"/>
  <c r="Z90" i="8"/>
  <c r="R91" i="8"/>
  <c r="W90" i="8"/>
  <c r="T90" i="8"/>
  <c r="X90" i="8"/>
  <c r="S90" i="8"/>
  <c r="AB90" i="8"/>
  <c r="AC90" i="8"/>
  <c r="V90" i="8"/>
  <c r="U90" i="8"/>
  <c r="M88" i="4"/>
  <c r="J89" i="4"/>
  <c r="L48" i="9" l="1"/>
  <c r="O48" i="9" s="1"/>
  <c r="G48" i="9"/>
  <c r="B48" i="9"/>
  <c r="N48" i="9" s="1"/>
  <c r="D48" i="9"/>
  <c r="M99" i="9"/>
  <c r="J100" i="9"/>
  <c r="AA91" i="8"/>
  <c r="X91" i="8"/>
  <c r="V91" i="8"/>
  <c r="S91" i="8"/>
  <c r="T91" i="8"/>
  <c r="AC91" i="8"/>
  <c r="Y91" i="8"/>
  <c r="W91" i="8"/>
  <c r="Z91" i="8"/>
  <c r="R92" i="8"/>
  <c r="U91" i="8"/>
  <c r="AB91" i="8"/>
  <c r="M89" i="4"/>
  <c r="J90" i="4"/>
  <c r="F48" i="9" l="1"/>
  <c r="M100" i="9"/>
  <c r="J101" i="9"/>
  <c r="AA92" i="8"/>
  <c r="V92" i="8"/>
  <c r="X92" i="8"/>
  <c r="Y92" i="8"/>
  <c r="AB92" i="8"/>
  <c r="T92" i="8"/>
  <c r="AC92" i="8"/>
  <c r="W92" i="8"/>
  <c r="R93" i="8"/>
  <c r="U92" i="8"/>
  <c r="S92" i="8"/>
  <c r="Z92" i="8"/>
  <c r="M90" i="4"/>
  <c r="J91" i="4"/>
  <c r="H48" i="9" l="1"/>
  <c r="I48" i="9" s="1"/>
  <c r="C49" i="9" s="1"/>
  <c r="M101" i="9"/>
  <c r="J102" i="9"/>
  <c r="Z93" i="8"/>
  <c r="V93" i="8"/>
  <c r="Y93" i="8"/>
  <c r="AA93" i="8"/>
  <c r="U93" i="8"/>
  <c r="R94" i="8"/>
  <c r="W93" i="8"/>
  <c r="AC93" i="8"/>
  <c r="T93" i="8"/>
  <c r="S93" i="8"/>
  <c r="X93" i="8"/>
  <c r="AB93" i="8"/>
  <c r="M91" i="4"/>
  <c r="J92" i="4"/>
  <c r="G49" i="9" l="1"/>
  <c r="D49" i="9"/>
  <c r="F49" i="9" s="1"/>
  <c r="L49" i="9"/>
  <c r="E49" i="9"/>
  <c r="B49" i="9"/>
  <c r="N49" i="9" s="1"/>
  <c r="J103" i="9"/>
  <c r="M102" i="9"/>
  <c r="AA94" i="8"/>
  <c r="Y94" i="8"/>
  <c r="U94" i="8"/>
  <c r="V94" i="8"/>
  <c r="W94" i="8"/>
  <c r="T94" i="8"/>
  <c r="AC94" i="8"/>
  <c r="R95" i="8"/>
  <c r="Z94" i="8"/>
  <c r="S94" i="8"/>
  <c r="AB94" i="8"/>
  <c r="X94" i="8"/>
  <c r="M92" i="4"/>
  <c r="J93" i="4"/>
  <c r="O49" i="9" l="1"/>
  <c r="H49" i="9" s="1"/>
  <c r="I49" i="9" s="1"/>
  <c r="C50" i="9" s="1"/>
  <c r="G50" i="9" s="1"/>
  <c r="M103" i="9"/>
  <c r="J104" i="9"/>
  <c r="AA95" i="8"/>
  <c r="X95" i="8"/>
  <c r="T95" i="8"/>
  <c r="W95" i="8"/>
  <c r="Z95" i="8"/>
  <c r="AB95" i="8"/>
  <c r="AC95" i="8"/>
  <c r="V95" i="8"/>
  <c r="S95" i="8"/>
  <c r="U95" i="8"/>
  <c r="Y95" i="8"/>
  <c r="R96" i="8"/>
  <c r="M93" i="4"/>
  <c r="J94" i="4"/>
  <c r="B50" i="9" l="1"/>
  <c r="N50" i="9" s="1"/>
  <c r="D50" i="9"/>
  <c r="F50" i="9" s="1"/>
  <c r="L50" i="9"/>
  <c r="O50" i="9" s="1"/>
  <c r="H50" i="9" s="1"/>
  <c r="E50" i="9"/>
  <c r="J105" i="9"/>
  <c r="M104" i="9"/>
  <c r="AA96" i="8"/>
  <c r="V96" i="8"/>
  <c r="AC96" i="8"/>
  <c r="AB96" i="8"/>
  <c r="X96" i="8"/>
  <c r="W96" i="8"/>
  <c r="R97" i="8"/>
  <c r="Z96" i="8"/>
  <c r="S96" i="8"/>
  <c r="Y96" i="8"/>
  <c r="U96" i="8"/>
  <c r="T96" i="8"/>
  <c r="M94" i="4"/>
  <c r="J95" i="4"/>
  <c r="I50" i="9" l="1"/>
  <c r="C51" i="9" s="1"/>
  <c r="M105" i="9"/>
  <c r="J106" i="9"/>
  <c r="AA97" i="8"/>
  <c r="U97" i="8"/>
  <c r="Y97" i="8"/>
  <c r="X97" i="8"/>
  <c r="Z97" i="8"/>
  <c r="T97" i="8"/>
  <c r="W97" i="8"/>
  <c r="AC97" i="8"/>
  <c r="R98" i="8"/>
  <c r="S97" i="8"/>
  <c r="V97" i="8"/>
  <c r="AB97" i="8"/>
  <c r="M95" i="4"/>
  <c r="J96" i="4"/>
  <c r="J107" i="9" l="1"/>
  <c r="M106" i="9"/>
  <c r="B51" i="9"/>
  <c r="N51" i="9" s="1"/>
  <c r="L51" i="9"/>
  <c r="G51" i="9"/>
  <c r="E51" i="9"/>
  <c r="D51" i="9"/>
  <c r="AA98" i="8"/>
  <c r="Y98" i="8"/>
  <c r="Z98" i="8"/>
  <c r="S98" i="8"/>
  <c r="AB98" i="8"/>
  <c r="U98" i="8"/>
  <c r="W98" i="8"/>
  <c r="T98" i="8"/>
  <c r="X98" i="8"/>
  <c r="R99" i="8"/>
  <c r="V98" i="8"/>
  <c r="AC98" i="8"/>
  <c r="M96" i="4"/>
  <c r="J97" i="4"/>
  <c r="O51" i="9" l="1"/>
  <c r="F51" i="9"/>
  <c r="M107" i="9"/>
  <c r="J108" i="9"/>
  <c r="AA99" i="8"/>
  <c r="X99" i="8"/>
  <c r="V99" i="8"/>
  <c r="U99" i="8"/>
  <c r="AC99" i="8"/>
  <c r="Y99" i="8"/>
  <c r="R100" i="8"/>
  <c r="W99" i="8"/>
  <c r="Z99" i="8"/>
  <c r="AB99" i="8"/>
  <c r="S99" i="8"/>
  <c r="T99" i="8"/>
  <c r="M97" i="4"/>
  <c r="J98" i="4"/>
  <c r="J109" i="9" l="1"/>
  <c r="M108" i="9"/>
  <c r="H51" i="9"/>
  <c r="I51" i="9" s="1"/>
  <c r="C52" i="9" s="1"/>
  <c r="AA100" i="8"/>
  <c r="V100" i="8"/>
  <c r="X100" i="8"/>
  <c r="W100" i="8"/>
  <c r="R101" i="8"/>
  <c r="U100" i="8"/>
  <c r="S100" i="8"/>
  <c r="Y100" i="8"/>
  <c r="AC100" i="8"/>
  <c r="AB100" i="8"/>
  <c r="T100" i="8"/>
  <c r="Z100" i="8"/>
  <c r="M98" i="4"/>
  <c r="J99" i="4"/>
  <c r="L52" i="9" l="1"/>
  <c r="G52" i="9"/>
  <c r="B52" i="9"/>
  <c r="N52" i="9" s="1"/>
  <c r="E52" i="9"/>
  <c r="D52" i="9"/>
  <c r="M109" i="9"/>
  <c r="J110" i="9"/>
  <c r="AA101" i="8"/>
  <c r="U101" i="8"/>
  <c r="R102" i="8"/>
  <c r="W101" i="8"/>
  <c r="AC101" i="8"/>
  <c r="T101" i="8"/>
  <c r="S101" i="8"/>
  <c r="X101" i="8"/>
  <c r="Y101" i="8"/>
  <c r="Z101" i="8"/>
  <c r="V101" i="8"/>
  <c r="AB101" i="8"/>
  <c r="M99" i="4"/>
  <c r="J100" i="4"/>
  <c r="J111" i="9" l="1"/>
  <c r="M110" i="9"/>
  <c r="F52" i="9"/>
  <c r="O52" i="9"/>
  <c r="H52" i="9" s="1"/>
  <c r="AA102" i="8"/>
  <c r="Y102" i="8"/>
  <c r="U102" i="8"/>
  <c r="V102" i="8"/>
  <c r="W102" i="8"/>
  <c r="T102" i="8"/>
  <c r="AC102" i="8"/>
  <c r="R103" i="8"/>
  <c r="X102" i="8"/>
  <c r="S102" i="8"/>
  <c r="AB102" i="8"/>
  <c r="Z102" i="8"/>
  <c r="M100" i="4"/>
  <c r="J101" i="4"/>
  <c r="I52" i="9" l="1"/>
  <c r="C53" i="9" s="1"/>
  <c r="M111" i="9"/>
  <c r="J112" i="9"/>
  <c r="AA103" i="8"/>
  <c r="X103" i="8"/>
  <c r="T103" i="8"/>
  <c r="W103" i="8"/>
  <c r="Z103" i="8"/>
  <c r="AB103" i="8"/>
  <c r="S103" i="8"/>
  <c r="U103" i="8"/>
  <c r="V103" i="8"/>
  <c r="AC103" i="8"/>
  <c r="R104" i="8"/>
  <c r="Y103" i="8"/>
  <c r="M101" i="4"/>
  <c r="J102" i="4"/>
  <c r="J113" i="9" l="1"/>
  <c r="M112" i="9"/>
  <c r="B53" i="9"/>
  <c r="N53" i="9" s="1"/>
  <c r="G53" i="9"/>
  <c r="L53" i="9"/>
  <c r="E53" i="9"/>
  <c r="D53" i="9"/>
  <c r="AA104" i="8"/>
  <c r="V104" i="8"/>
  <c r="AC104" i="8"/>
  <c r="W104" i="8"/>
  <c r="R105" i="8"/>
  <c r="Z104" i="8"/>
  <c r="AB104" i="8"/>
  <c r="U104" i="8"/>
  <c r="S104" i="8"/>
  <c r="Y104" i="8"/>
  <c r="X104" i="8"/>
  <c r="T104" i="8"/>
  <c r="M102" i="4"/>
  <c r="J103" i="4"/>
  <c r="F53" i="9" l="1"/>
  <c r="O53" i="9"/>
  <c r="H53" i="9" s="1"/>
  <c r="I53" i="9" s="1"/>
  <c r="C54" i="9" s="1"/>
  <c r="M113" i="9"/>
  <c r="J114" i="9"/>
  <c r="AA105" i="8"/>
  <c r="U105" i="8"/>
  <c r="Y105" i="8"/>
  <c r="Z105" i="8"/>
  <c r="AB105" i="8"/>
  <c r="V105" i="8"/>
  <c r="W105" i="8"/>
  <c r="AC105" i="8"/>
  <c r="T105" i="8"/>
  <c r="S105" i="8"/>
  <c r="X105" i="8"/>
  <c r="R106" i="8"/>
  <c r="M103" i="4"/>
  <c r="J104" i="4"/>
  <c r="G54" i="9" l="1"/>
  <c r="B54" i="9"/>
  <c r="N54" i="9" s="1"/>
  <c r="L54" i="9"/>
  <c r="E54" i="9"/>
  <c r="D54" i="9"/>
  <c r="J115" i="9"/>
  <c r="M114" i="9"/>
  <c r="AA106" i="8"/>
  <c r="Y106" i="8"/>
  <c r="Z106" i="8"/>
  <c r="W106" i="8"/>
  <c r="T106" i="8"/>
  <c r="X106" i="8"/>
  <c r="V106" i="8"/>
  <c r="S106" i="8"/>
  <c r="AB106" i="8"/>
  <c r="AC106" i="8"/>
  <c r="R107" i="8"/>
  <c r="U106" i="8"/>
  <c r="M104" i="4"/>
  <c r="J105" i="4"/>
  <c r="O54" i="9" l="1"/>
  <c r="F54" i="9"/>
  <c r="H54" i="9"/>
  <c r="M115" i="9"/>
  <c r="J116" i="9"/>
  <c r="AA107" i="8"/>
  <c r="X107" i="8"/>
  <c r="V107" i="8"/>
  <c r="Y107" i="8"/>
  <c r="W107" i="8"/>
  <c r="Z107" i="8"/>
  <c r="R108" i="8"/>
  <c r="T107" i="8"/>
  <c r="S107" i="8"/>
  <c r="U107" i="8"/>
  <c r="AB107" i="8"/>
  <c r="AC107" i="8"/>
  <c r="M105" i="4"/>
  <c r="J106" i="4"/>
  <c r="I54" i="9" l="1"/>
  <c r="C55" i="9" s="1"/>
  <c r="L55" i="9"/>
  <c r="G55" i="9"/>
  <c r="B55" i="9"/>
  <c r="N55" i="9" s="1"/>
  <c r="E55" i="9"/>
  <c r="D55" i="9"/>
  <c r="J117" i="9"/>
  <c r="M116" i="9"/>
  <c r="AA108" i="8"/>
  <c r="V108" i="8"/>
  <c r="X108" i="8"/>
  <c r="AC108" i="8"/>
  <c r="W108" i="8"/>
  <c r="R109" i="8"/>
  <c r="U108" i="8"/>
  <c r="AB108" i="8"/>
  <c r="S108" i="8"/>
  <c r="Y108" i="8"/>
  <c r="Z108" i="8"/>
  <c r="T108" i="8"/>
  <c r="M106" i="4"/>
  <c r="J107" i="4"/>
  <c r="F55" i="9" l="1"/>
  <c r="M117" i="9"/>
  <c r="J118" i="9"/>
  <c r="O55" i="9"/>
  <c r="H55" i="9" s="1"/>
  <c r="I55" i="9" s="1"/>
  <c r="C56" i="9" s="1"/>
  <c r="AA109" i="8"/>
  <c r="U109" i="8"/>
  <c r="R110" i="8"/>
  <c r="V109" i="8"/>
  <c r="W109" i="8"/>
  <c r="AC109" i="8"/>
  <c r="T109" i="8"/>
  <c r="S109" i="8"/>
  <c r="X109" i="8"/>
  <c r="AB109" i="8"/>
  <c r="Z109" i="8"/>
  <c r="Y109" i="8"/>
  <c r="M107" i="4"/>
  <c r="J108" i="4"/>
  <c r="G56" i="9" l="1"/>
  <c r="L56" i="9"/>
  <c r="B56" i="9"/>
  <c r="N56" i="9" s="1"/>
  <c r="E56" i="9"/>
  <c r="D56" i="9"/>
  <c r="J119" i="9"/>
  <c r="M118" i="9"/>
  <c r="AA110" i="8"/>
  <c r="Y110" i="8"/>
  <c r="U110" i="8"/>
  <c r="W110" i="8"/>
  <c r="T110" i="8"/>
  <c r="AC110" i="8"/>
  <c r="R111" i="8"/>
  <c r="S110" i="8"/>
  <c r="AB110" i="8"/>
  <c r="X110" i="8"/>
  <c r="V110" i="8"/>
  <c r="Z110" i="8"/>
  <c r="M108" i="4"/>
  <c r="J109" i="4"/>
  <c r="M119" i="9" l="1"/>
  <c r="J120" i="9"/>
  <c r="O56" i="9"/>
  <c r="F56" i="9"/>
  <c r="AA111" i="8"/>
  <c r="X111" i="8"/>
  <c r="T111" i="8"/>
  <c r="R112" i="8"/>
  <c r="W111" i="8"/>
  <c r="Z111" i="8"/>
  <c r="AB111" i="8"/>
  <c r="AC111" i="8"/>
  <c r="V111" i="8"/>
  <c r="S111" i="8"/>
  <c r="U111" i="8"/>
  <c r="Y111" i="8"/>
  <c r="M109" i="4"/>
  <c r="J110" i="4"/>
  <c r="J121" i="9" l="1"/>
  <c r="M120" i="9"/>
  <c r="H56" i="9"/>
  <c r="I56" i="9" s="1"/>
  <c r="C57" i="9" s="1"/>
  <c r="AA112" i="8"/>
  <c r="V112" i="8"/>
  <c r="AC112" i="8"/>
  <c r="AB112" i="8"/>
  <c r="T112" i="8"/>
  <c r="X112" i="8"/>
  <c r="W112" i="8"/>
  <c r="R113" i="8"/>
  <c r="Z112" i="8"/>
  <c r="S112" i="8"/>
  <c r="Y112" i="8"/>
  <c r="U112" i="8"/>
  <c r="M110" i="4"/>
  <c r="J111" i="4"/>
  <c r="L57" i="9" l="1"/>
  <c r="G57" i="9"/>
  <c r="B57" i="9"/>
  <c r="N57" i="9" s="1"/>
  <c r="E57" i="9"/>
  <c r="D57" i="9"/>
  <c r="M121" i="9"/>
  <c r="J122" i="9"/>
  <c r="AA113" i="8"/>
  <c r="U113" i="8"/>
  <c r="Y113" i="8"/>
  <c r="AB113" i="8"/>
  <c r="W113" i="8"/>
  <c r="AC113" i="8"/>
  <c r="R114" i="8"/>
  <c r="Z113" i="8"/>
  <c r="S113" i="8"/>
  <c r="X113" i="8"/>
  <c r="V113" i="8"/>
  <c r="T113" i="8"/>
  <c r="M111" i="4"/>
  <c r="J112" i="4"/>
  <c r="F57" i="9" l="1"/>
  <c r="O57" i="9"/>
  <c r="H57" i="9" s="1"/>
  <c r="I57" i="9" s="1"/>
  <c r="C58" i="9" s="1"/>
  <c r="J123" i="9"/>
  <c r="M122" i="9"/>
  <c r="AA114" i="8"/>
  <c r="Y114" i="8"/>
  <c r="Z114" i="8"/>
  <c r="W114" i="8"/>
  <c r="T114" i="8"/>
  <c r="X114" i="8"/>
  <c r="R115" i="8"/>
  <c r="V114" i="8"/>
  <c r="AC114" i="8"/>
  <c r="S114" i="8"/>
  <c r="AB114" i="8"/>
  <c r="U114" i="8"/>
  <c r="M112" i="4"/>
  <c r="J113" i="4"/>
  <c r="G58" i="9" l="1"/>
  <c r="B58" i="9"/>
  <c r="N58" i="9" s="1"/>
  <c r="L58" i="9"/>
  <c r="E58" i="9"/>
  <c r="D58" i="9"/>
  <c r="M123" i="9"/>
  <c r="J124" i="9"/>
  <c r="AA115" i="8"/>
  <c r="X115" i="8"/>
  <c r="V115" i="8"/>
  <c r="AC115" i="8"/>
  <c r="Y115" i="8"/>
  <c r="W115" i="8"/>
  <c r="Z115" i="8"/>
  <c r="AB115" i="8"/>
  <c r="S115" i="8"/>
  <c r="U115" i="8"/>
  <c r="T115" i="8"/>
  <c r="M113" i="4"/>
  <c r="J114" i="4"/>
  <c r="O58" i="9" l="1"/>
  <c r="J125" i="9"/>
  <c r="M124" i="9"/>
  <c r="F58" i="9"/>
  <c r="H58" i="9" s="1"/>
  <c r="M114" i="4"/>
  <c r="J115" i="4"/>
  <c r="I58" i="9" l="1"/>
  <c r="C59" i="9" s="1"/>
  <c r="M125" i="9"/>
  <c r="J126" i="9"/>
  <c r="M115" i="4"/>
  <c r="J116" i="4"/>
  <c r="J127" i="9" l="1"/>
  <c r="M126" i="9"/>
  <c r="L59" i="9"/>
  <c r="O59" i="9" s="1"/>
  <c r="G59" i="9"/>
  <c r="B59" i="9"/>
  <c r="N59" i="9" s="1"/>
  <c r="E59" i="9"/>
  <c r="D59" i="9"/>
  <c r="F59" i="9" s="1"/>
  <c r="M116" i="4"/>
  <c r="J117" i="4"/>
  <c r="H59" i="9" l="1"/>
  <c r="I59" i="9" s="1"/>
  <c r="C60" i="9" s="1"/>
  <c r="M127" i="9"/>
  <c r="J128" i="9"/>
  <c r="M117" i="4"/>
  <c r="J118" i="4"/>
  <c r="L60" i="9" l="1"/>
  <c r="E60" i="9"/>
  <c r="G60" i="9"/>
  <c r="D60" i="9"/>
  <c r="B60" i="9"/>
  <c r="N60" i="9" s="1"/>
  <c r="J129" i="9"/>
  <c r="M128" i="9"/>
  <c r="M118" i="4"/>
  <c r="J119" i="4"/>
  <c r="F60" i="9" l="1"/>
  <c r="O60" i="9"/>
  <c r="H60" i="9" s="1"/>
  <c r="I60" i="9" s="1"/>
  <c r="C61" i="9" s="1"/>
  <c r="M129" i="9"/>
  <c r="J130" i="9"/>
  <c r="M119" i="4"/>
  <c r="J120" i="4"/>
  <c r="L61" i="9" l="1"/>
  <c r="B61" i="9"/>
  <c r="N61" i="9" s="1"/>
  <c r="G61" i="9"/>
  <c r="E61" i="9"/>
  <c r="D61" i="9"/>
  <c r="J131" i="9"/>
  <c r="M130" i="9"/>
  <c r="M120" i="4"/>
  <c r="J121" i="4"/>
  <c r="M131" i="9" l="1"/>
  <c r="J132" i="9"/>
  <c r="F61" i="9"/>
  <c r="O61" i="9"/>
  <c r="H61" i="9" s="1"/>
  <c r="M121" i="4"/>
  <c r="J122" i="4"/>
  <c r="J133" i="9" l="1"/>
  <c r="M132" i="9"/>
  <c r="I61" i="9"/>
  <c r="C62" i="9" s="1"/>
  <c r="M122" i="4"/>
  <c r="J123" i="4"/>
  <c r="G62" i="9" l="1"/>
  <c r="B62" i="9"/>
  <c r="N62" i="9" s="1"/>
  <c r="L62" i="9"/>
  <c r="E62" i="9"/>
  <c r="D62" i="9"/>
  <c r="J134" i="9"/>
  <c r="M133" i="9"/>
  <c r="M123" i="4"/>
  <c r="J124" i="4"/>
  <c r="O62" i="9" l="1"/>
  <c r="J135" i="9"/>
  <c r="M134" i="9"/>
  <c r="F62" i="9"/>
  <c r="M124" i="4"/>
  <c r="J125" i="4"/>
  <c r="M135" i="9" l="1"/>
  <c r="J136" i="9"/>
  <c r="H62" i="9"/>
  <c r="I62" i="9" s="1"/>
  <c r="C63" i="9" s="1"/>
  <c r="M125" i="4"/>
  <c r="J126" i="4"/>
  <c r="L63" i="9" l="1"/>
  <c r="G63" i="9"/>
  <c r="B63" i="9"/>
  <c r="N63" i="9" s="1"/>
  <c r="E63" i="9"/>
  <c r="D63" i="9"/>
  <c r="J137" i="9"/>
  <c r="M136" i="9"/>
  <c r="M126" i="4"/>
  <c r="J127" i="4"/>
  <c r="J138" i="9" l="1"/>
  <c r="M137" i="9"/>
  <c r="F63" i="9"/>
  <c r="O63" i="9"/>
  <c r="H63" i="9" s="1"/>
  <c r="M127" i="4"/>
  <c r="J128" i="4"/>
  <c r="M138" i="9" l="1"/>
  <c r="J139" i="9"/>
  <c r="I63" i="9"/>
  <c r="C64" i="9" s="1"/>
  <c r="M128" i="4"/>
  <c r="J129" i="4"/>
  <c r="M139" i="9" l="1"/>
  <c r="J140" i="9"/>
  <c r="G64" i="9"/>
  <c r="B64" i="9"/>
  <c r="N64" i="9" s="1"/>
  <c r="L64" i="9"/>
  <c r="E64" i="9"/>
  <c r="D64" i="9"/>
  <c r="M129" i="4"/>
  <c r="J130" i="4"/>
  <c r="O64" i="9" l="1"/>
  <c r="M140" i="9"/>
  <c r="J141" i="9"/>
  <c r="F64" i="9"/>
  <c r="M130" i="4"/>
  <c r="J131" i="4"/>
  <c r="J142" i="9" l="1"/>
  <c r="M141" i="9"/>
  <c r="H64" i="9"/>
  <c r="I64" i="9" s="1"/>
  <c r="C65" i="9" s="1"/>
  <c r="M131" i="4"/>
  <c r="J132" i="4"/>
  <c r="L65" i="9" l="1"/>
  <c r="G65" i="9"/>
  <c r="B65" i="9"/>
  <c r="N65" i="9" s="1"/>
  <c r="E65" i="9"/>
  <c r="D65" i="9"/>
  <c r="M142" i="9"/>
  <c r="J143" i="9"/>
  <c r="M132" i="4"/>
  <c r="J133" i="4"/>
  <c r="M143" i="9" l="1"/>
  <c r="J144" i="9"/>
  <c r="F65" i="9"/>
  <c r="O65" i="9"/>
  <c r="H65" i="9" s="1"/>
  <c r="M133" i="4"/>
  <c r="J134" i="4"/>
  <c r="M144" i="9" l="1"/>
  <c r="J145" i="9"/>
  <c r="I65" i="9"/>
  <c r="C66" i="9" s="1"/>
  <c r="M134" i="4"/>
  <c r="J135" i="4"/>
  <c r="M145" i="9" l="1"/>
  <c r="J146" i="9"/>
  <c r="G66" i="9"/>
  <c r="B66" i="9"/>
  <c r="N66" i="9" s="1"/>
  <c r="L66" i="9"/>
  <c r="E66" i="9"/>
  <c r="D66" i="9"/>
  <c r="M135" i="4"/>
  <c r="J136" i="4"/>
  <c r="O66" i="9" l="1"/>
  <c r="M146" i="9"/>
  <c r="J147" i="9"/>
  <c r="F66" i="9"/>
  <c r="M136" i="4"/>
  <c r="J137" i="4"/>
  <c r="M147" i="9" l="1"/>
  <c r="J148" i="9"/>
  <c r="H66" i="9"/>
  <c r="I66" i="9" s="1"/>
  <c r="C67" i="9" s="1"/>
  <c r="M137" i="4"/>
  <c r="J138" i="4"/>
  <c r="L67" i="9" l="1"/>
  <c r="B67" i="9"/>
  <c r="N67" i="9" s="1"/>
  <c r="G67" i="9"/>
  <c r="E67" i="9"/>
  <c r="D67" i="9"/>
  <c r="M148" i="9"/>
  <c r="J149" i="9"/>
  <c r="M138" i="4"/>
  <c r="J139" i="4"/>
  <c r="M149" i="9" l="1"/>
  <c r="J150" i="9"/>
  <c r="F67" i="9"/>
  <c r="O67" i="9"/>
  <c r="H67" i="9" s="1"/>
  <c r="M139" i="4"/>
  <c r="J140" i="4"/>
  <c r="M150" i="9" l="1"/>
  <c r="J151" i="9"/>
  <c r="I67" i="9"/>
  <c r="C68" i="9" s="1"/>
  <c r="M140" i="4"/>
  <c r="J141" i="4"/>
  <c r="M151" i="9" l="1"/>
  <c r="J152" i="9"/>
  <c r="G68" i="9"/>
  <c r="B68" i="9"/>
  <c r="N68" i="9" s="1"/>
  <c r="L68" i="9"/>
  <c r="E68" i="9"/>
  <c r="D68" i="9"/>
  <c r="M141" i="4"/>
  <c r="J142" i="4"/>
  <c r="O68" i="9" l="1"/>
  <c r="M152" i="9"/>
  <c r="J153" i="9"/>
  <c r="F68" i="9"/>
  <c r="M142" i="4"/>
  <c r="J143" i="4"/>
  <c r="M153" i="9" l="1"/>
  <c r="J154" i="9"/>
  <c r="H68" i="9"/>
  <c r="I68" i="9" s="1"/>
  <c r="C69" i="9" s="1"/>
  <c r="M143" i="4"/>
  <c r="J144" i="4"/>
  <c r="L69" i="9" l="1"/>
  <c r="G69" i="9"/>
  <c r="B69" i="9"/>
  <c r="N69" i="9" s="1"/>
  <c r="E69" i="9"/>
  <c r="D69" i="9"/>
  <c r="M154" i="9"/>
  <c r="J155" i="9"/>
  <c r="M144" i="4"/>
  <c r="J145" i="4"/>
  <c r="M155" i="9" l="1"/>
  <c r="J156" i="9"/>
  <c r="F69" i="9"/>
  <c r="O69" i="9"/>
  <c r="H69" i="9" s="1"/>
  <c r="M145" i="4"/>
  <c r="J146" i="4"/>
  <c r="M156" i="9" l="1"/>
  <c r="J157" i="9"/>
  <c r="I69" i="9"/>
  <c r="C70" i="9" s="1"/>
  <c r="M146" i="4"/>
  <c r="J147" i="4"/>
  <c r="M157" i="9" l="1"/>
  <c r="J158" i="9"/>
  <c r="G70" i="9"/>
  <c r="B70" i="9"/>
  <c r="N70" i="9" s="1"/>
  <c r="L70" i="9"/>
  <c r="E70" i="9"/>
  <c r="D70" i="9"/>
  <c r="M147" i="4"/>
  <c r="J148" i="4"/>
  <c r="O70" i="9" l="1"/>
  <c r="M158" i="9"/>
  <c r="J159" i="9"/>
  <c r="F70" i="9"/>
  <c r="M148" i="4"/>
  <c r="J149" i="4"/>
  <c r="M159" i="9" l="1"/>
  <c r="J160" i="9"/>
  <c r="H70" i="9"/>
  <c r="I70" i="9" s="1"/>
  <c r="C71" i="9" s="1"/>
  <c r="M149" i="4"/>
  <c r="J150" i="4"/>
  <c r="L71" i="9" l="1"/>
  <c r="B71" i="9"/>
  <c r="N71" i="9" s="1"/>
  <c r="G71" i="9"/>
  <c r="E71" i="9"/>
  <c r="D71" i="9"/>
  <c r="M160" i="9"/>
  <c r="J161" i="9"/>
  <c r="M150" i="4"/>
  <c r="J151" i="4"/>
  <c r="M161" i="9" l="1"/>
  <c r="J162" i="9"/>
  <c r="F71" i="9"/>
  <c r="O71" i="9"/>
  <c r="H71" i="9" s="1"/>
  <c r="M151" i="4"/>
  <c r="J152" i="4"/>
  <c r="M162" i="9" l="1"/>
  <c r="J163" i="9"/>
  <c r="I71" i="9"/>
  <c r="C72" i="9" s="1"/>
  <c r="M152" i="4"/>
  <c r="J153" i="4"/>
  <c r="M163" i="9" l="1"/>
  <c r="J164" i="9"/>
  <c r="G72" i="9"/>
  <c r="B72" i="9"/>
  <c r="N72" i="9" s="1"/>
  <c r="L72" i="9"/>
  <c r="E72" i="9"/>
  <c r="D72" i="9"/>
  <c r="M153" i="4"/>
  <c r="J154" i="4"/>
  <c r="O72" i="9" l="1"/>
  <c r="M164" i="9"/>
  <c r="J165" i="9"/>
  <c r="F72" i="9"/>
  <c r="M154" i="4"/>
  <c r="J155" i="4"/>
  <c r="M165" i="9" l="1"/>
  <c r="J166" i="9"/>
  <c r="H72" i="9"/>
  <c r="I72" i="9" s="1"/>
  <c r="C73" i="9" s="1"/>
  <c r="M155" i="4"/>
  <c r="J156" i="4"/>
  <c r="L73" i="9" l="1"/>
  <c r="G73" i="9"/>
  <c r="B73" i="9"/>
  <c r="N73" i="9" s="1"/>
  <c r="E73" i="9"/>
  <c r="D73" i="9"/>
  <c r="M166" i="9"/>
  <c r="J167" i="9"/>
  <c r="M156" i="4"/>
  <c r="J157" i="4"/>
  <c r="M167" i="9" l="1"/>
  <c r="J168" i="9"/>
  <c r="F73" i="9"/>
  <c r="O73" i="9"/>
  <c r="H73" i="9" s="1"/>
  <c r="M157" i="4"/>
  <c r="J158" i="4"/>
  <c r="M168" i="9" l="1"/>
  <c r="J169" i="9"/>
  <c r="I73" i="9"/>
  <c r="C74" i="9" s="1"/>
  <c r="M158" i="4"/>
  <c r="J159" i="4"/>
  <c r="M169" i="9" l="1"/>
  <c r="J170" i="9"/>
  <c r="G74" i="9"/>
  <c r="B74" i="9"/>
  <c r="N74" i="9" s="1"/>
  <c r="L74" i="9"/>
  <c r="E74" i="9"/>
  <c r="D74" i="9"/>
  <c r="M159" i="4"/>
  <c r="J160" i="4"/>
  <c r="O74" i="9" l="1"/>
  <c r="M170" i="9"/>
  <c r="J171" i="9"/>
  <c r="F74" i="9"/>
  <c r="M160" i="4"/>
  <c r="J161" i="4"/>
  <c r="M171" i="9" l="1"/>
  <c r="J172" i="9"/>
  <c r="H74" i="9"/>
  <c r="I74" i="9" s="1"/>
  <c r="C75" i="9" s="1"/>
  <c r="M161" i="4"/>
  <c r="J162" i="4"/>
  <c r="L75" i="9" l="1"/>
  <c r="B75" i="9"/>
  <c r="N75" i="9" s="1"/>
  <c r="G75" i="9"/>
  <c r="E75" i="9"/>
  <c r="D75" i="9"/>
  <c r="M172" i="9"/>
  <c r="J173" i="9"/>
  <c r="M162" i="4"/>
  <c r="J163" i="4"/>
  <c r="M173" i="9" l="1"/>
  <c r="J174" i="9"/>
  <c r="F75" i="9"/>
  <c r="O75" i="9"/>
  <c r="H75" i="9" s="1"/>
  <c r="M163" i="4"/>
  <c r="J164" i="4"/>
  <c r="M174" i="9" l="1"/>
  <c r="J175" i="9"/>
  <c r="I75" i="9"/>
  <c r="C76" i="9" s="1"/>
  <c r="M164" i="4"/>
  <c r="J165" i="4"/>
  <c r="M175" i="9" l="1"/>
  <c r="J176" i="9"/>
  <c r="G76" i="9"/>
  <c r="B76" i="9"/>
  <c r="N76" i="9" s="1"/>
  <c r="L76" i="9"/>
  <c r="E76" i="9"/>
  <c r="D76" i="9"/>
  <c r="M165" i="4"/>
  <c r="J166" i="4"/>
  <c r="O76" i="9" l="1"/>
  <c r="M176" i="9"/>
  <c r="J177" i="9"/>
  <c r="F76" i="9"/>
  <c r="M166" i="4"/>
  <c r="J167" i="4"/>
  <c r="M177" i="9" l="1"/>
  <c r="J178" i="9"/>
  <c r="H76" i="9"/>
  <c r="I76" i="9" s="1"/>
  <c r="C77" i="9" s="1"/>
  <c r="M167" i="4"/>
  <c r="J168" i="4"/>
  <c r="L77" i="9" l="1"/>
  <c r="G77" i="9"/>
  <c r="B77" i="9"/>
  <c r="N77" i="9" s="1"/>
  <c r="E77" i="9"/>
  <c r="D77" i="9"/>
  <c r="M178" i="9"/>
  <c r="J179" i="9"/>
  <c r="M168" i="4"/>
  <c r="J169" i="4"/>
  <c r="M179" i="9" l="1"/>
  <c r="J180" i="9"/>
  <c r="F77" i="9"/>
  <c r="O77" i="9"/>
  <c r="H77" i="9" s="1"/>
  <c r="M169" i="4"/>
  <c r="J170" i="4"/>
  <c r="M180" i="9" l="1"/>
  <c r="J181" i="9"/>
  <c r="I77" i="9"/>
  <c r="C78" i="9" s="1"/>
  <c r="M170" i="4"/>
  <c r="J171" i="4"/>
  <c r="M181" i="9" l="1"/>
  <c r="J182" i="9"/>
  <c r="G78" i="9"/>
  <c r="B78" i="9"/>
  <c r="N78" i="9" s="1"/>
  <c r="L78" i="9"/>
  <c r="E78" i="9"/>
  <c r="D78" i="9"/>
  <c r="M171" i="4"/>
  <c r="J172" i="4"/>
  <c r="O78" i="9" l="1"/>
  <c r="M182" i="9"/>
  <c r="J183" i="9"/>
  <c r="F78" i="9"/>
  <c r="M172" i="4"/>
  <c r="J173" i="4"/>
  <c r="M183" i="9" l="1"/>
  <c r="J184" i="9"/>
  <c r="H78" i="9"/>
  <c r="I78" i="9" s="1"/>
  <c r="C79" i="9" s="1"/>
  <c r="M173" i="4"/>
  <c r="J174" i="4"/>
  <c r="L79" i="9" l="1"/>
  <c r="B79" i="9"/>
  <c r="N79" i="9" s="1"/>
  <c r="G79" i="9"/>
  <c r="E79" i="9"/>
  <c r="D79" i="9"/>
  <c r="M184" i="9"/>
  <c r="J185" i="9"/>
  <c r="M174" i="4"/>
  <c r="J175" i="4"/>
  <c r="M185" i="9" l="1"/>
  <c r="J186" i="9"/>
  <c r="F79" i="9"/>
  <c r="O79" i="9"/>
  <c r="H79" i="9" s="1"/>
  <c r="M175" i="4"/>
  <c r="J176" i="4"/>
  <c r="M186" i="9" l="1"/>
  <c r="J187" i="9"/>
  <c r="I79" i="9"/>
  <c r="C80" i="9" s="1"/>
  <c r="M176" i="4"/>
  <c r="J177" i="4"/>
  <c r="M187" i="9" l="1"/>
  <c r="J188" i="9"/>
  <c r="G80" i="9"/>
  <c r="B80" i="9"/>
  <c r="N80" i="9" s="1"/>
  <c r="L80" i="9"/>
  <c r="E80" i="9"/>
  <c r="D80" i="9"/>
  <c r="M177" i="4"/>
  <c r="J178" i="4"/>
  <c r="O80" i="9" l="1"/>
  <c r="M188" i="9"/>
  <c r="J189" i="9"/>
  <c r="F80" i="9"/>
  <c r="M178" i="4"/>
  <c r="J179" i="4"/>
  <c r="M189" i="9" l="1"/>
  <c r="J190" i="9"/>
  <c r="H80" i="9"/>
  <c r="I80" i="9" s="1"/>
  <c r="C81" i="9" s="1"/>
  <c r="M179" i="4"/>
  <c r="J180" i="4"/>
  <c r="L81" i="9" l="1"/>
  <c r="G81" i="9"/>
  <c r="B81" i="9"/>
  <c r="N81" i="9" s="1"/>
  <c r="E81" i="9"/>
  <c r="D81" i="9"/>
  <c r="M190" i="9"/>
  <c r="J191" i="9"/>
  <c r="M180" i="4"/>
  <c r="J181" i="4"/>
  <c r="M191" i="9" l="1"/>
  <c r="J192" i="9"/>
  <c r="F81" i="9"/>
  <c r="O81" i="9"/>
  <c r="H81" i="9" s="1"/>
  <c r="M181" i="4"/>
  <c r="J182" i="4"/>
  <c r="M192" i="9" l="1"/>
  <c r="J193" i="9"/>
  <c r="I81" i="9"/>
  <c r="C82" i="9" s="1"/>
  <c r="M182" i="4"/>
  <c r="J183" i="4"/>
  <c r="M193" i="9" l="1"/>
  <c r="J194" i="9"/>
  <c r="G82" i="9"/>
  <c r="B82" i="9"/>
  <c r="N82" i="9" s="1"/>
  <c r="L82" i="9"/>
  <c r="E82" i="9"/>
  <c r="D82" i="9"/>
  <c r="M183" i="4"/>
  <c r="J184" i="4"/>
  <c r="O82" i="9" l="1"/>
  <c r="M194" i="9"/>
  <c r="J195" i="9"/>
  <c r="F82" i="9"/>
  <c r="M184" i="4"/>
  <c r="J185" i="4"/>
  <c r="M195" i="9" l="1"/>
  <c r="J196" i="9"/>
  <c r="H82" i="9"/>
  <c r="I82" i="9" s="1"/>
  <c r="C83" i="9" s="1"/>
  <c r="M185" i="4"/>
  <c r="J186" i="4"/>
  <c r="L83" i="9" l="1"/>
  <c r="B83" i="9"/>
  <c r="N83" i="9" s="1"/>
  <c r="G83" i="9"/>
  <c r="E83" i="9"/>
  <c r="D83" i="9"/>
  <c r="M196" i="9"/>
  <c r="J197" i="9"/>
  <c r="M186" i="4"/>
  <c r="J187" i="4"/>
  <c r="M197" i="9" l="1"/>
  <c r="J198" i="9"/>
  <c r="F83" i="9"/>
  <c r="O83" i="9"/>
  <c r="H83" i="9" s="1"/>
  <c r="M187" i="4"/>
  <c r="J188" i="4"/>
  <c r="M198" i="9" l="1"/>
  <c r="J199" i="9"/>
  <c r="I83" i="9"/>
  <c r="C84" i="9" s="1"/>
  <c r="M188" i="4"/>
  <c r="J189" i="4"/>
  <c r="M199" i="9" l="1"/>
  <c r="J200" i="9"/>
  <c r="G84" i="9"/>
  <c r="B84" i="9"/>
  <c r="N84" i="9" s="1"/>
  <c r="L84" i="9"/>
  <c r="E84" i="9"/>
  <c r="D84" i="9"/>
  <c r="M189" i="4"/>
  <c r="J190" i="4"/>
  <c r="O84" i="9" l="1"/>
  <c r="M200" i="9"/>
  <c r="J201" i="9"/>
  <c r="F84" i="9"/>
  <c r="M190" i="4"/>
  <c r="J191" i="4"/>
  <c r="M201" i="9" l="1"/>
  <c r="J202" i="9"/>
  <c r="H84" i="9"/>
  <c r="I84" i="9" s="1"/>
  <c r="C85" i="9" s="1"/>
  <c r="M191" i="4"/>
  <c r="J192" i="4"/>
  <c r="L85" i="9" l="1"/>
  <c r="G85" i="9"/>
  <c r="B85" i="9"/>
  <c r="N85" i="9" s="1"/>
  <c r="E85" i="9"/>
  <c r="D85" i="9"/>
  <c r="M202" i="9"/>
  <c r="J203" i="9"/>
  <c r="M192" i="4"/>
  <c r="J193" i="4"/>
  <c r="M203" i="9" l="1"/>
  <c r="J204" i="9"/>
  <c r="F85" i="9"/>
  <c r="O85" i="9"/>
  <c r="H85" i="9" s="1"/>
  <c r="M193" i="4"/>
  <c r="J194" i="4"/>
  <c r="M204" i="9" l="1"/>
  <c r="J205" i="9"/>
  <c r="I85" i="9"/>
  <c r="C86" i="9" s="1"/>
  <c r="M194" i="4"/>
  <c r="J195" i="4"/>
  <c r="M205" i="9" l="1"/>
  <c r="J206" i="9"/>
  <c r="G86" i="9"/>
  <c r="B86" i="9"/>
  <c r="N86" i="9" s="1"/>
  <c r="L86" i="9"/>
  <c r="E86" i="9"/>
  <c r="D86" i="9"/>
  <c r="M195" i="4"/>
  <c r="J196" i="4"/>
  <c r="O86" i="9" l="1"/>
  <c r="J207" i="9"/>
  <c r="M206" i="9"/>
  <c r="F86" i="9"/>
  <c r="M196" i="4"/>
  <c r="J197" i="4"/>
  <c r="M207" i="9" l="1"/>
  <c r="J208" i="9"/>
  <c r="H86" i="9"/>
  <c r="I86" i="9" s="1"/>
  <c r="C87" i="9" s="1"/>
  <c r="M197" i="4"/>
  <c r="J198" i="4"/>
  <c r="L87" i="9" l="1"/>
  <c r="B87" i="9"/>
  <c r="N87" i="9" s="1"/>
  <c r="G87" i="9"/>
  <c r="E87" i="9"/>
  <c r="D87" i="9"/>
  <c r="J209" i="9"/>
  <c r="M208" i="9"/>
  <c r="M198" i="4"/>
  <c r="J199" i="4"/>
  <c r="M209" i="9" l="1"/>
  <c r="J210" i="9"/>
  <c r="F87" i="9"/>
  <c r="O87" i="9"/>
  <c r="H87" i="9" s="1"/>
  <c r="M199" i="4"/>
  <c r="J200" i="4"/>
  <c r="J211" i="9" l="1"/>
  <c r="M210" i="9"/>
  <c r="I87" i="9"/>
  <c r="C88" i="9" s="1"/>
  <c r="M200" i="4"/>
  <c r="J201" i="4"/>
  <c r="G88" i="9" l="1"/>
  <c r="B88" i="9"/>
  <c r="N88" i="9" s="1"/>
  <c r="L88" i="9"/>
  <c r="E88" i="9"/>
  <c r="D88" i="9"/>
  <c r="M211" i="9"/>
  <c r="J212" i="9"/>
  <c r="M201" i="4"/>
  <c r="J202" i="4"/>
  <c r="O88" i="9" l="1"/>
  <c r="J213" i="9"/>
  <c r="M212" i="9"/>
  <c r="F88" i="9"/>
  <c r="M202" i="4"/>
  <c r="J203" i="4"/>
  <c r="M213" i="9" l="1"/>
  <c r="J214" i="9"/>
  <c r="H88" i="9"/>
  <c r="I88" i="9" s="1"/>
  <c r="C89" i="9" s="1"/>
  <c r="M203" i="4"/>
  <c r="J204" i="4"/>
  <c r="L89" i="9" l="1"/>
  <c r="G89" i="9"/>
  <c r="B89" i="9"/>
  <c r="N89" i="9" s="1"/>
  <c r="E89" i="9"/>
  <c r="D89" i="9"/>
  <c r="M214" i="9"/>
  <c r="J215" i="9"/>
  <c r="M204" i="4"/>
  <c r="J205" i="4"/>
  <c r="M215" i="9" l="1"/>
  <c r="J216" i="9"/>
  <c r="F89" i="9"/>
  <c r="O89" i="9"/>
  <c r="H89" i="9" s="1"/>
  <c r="M205" i="4"/>
  <c r="J206" i="4"/>
  <c r="M216" i="9" l="1"/>
  <c r="J217" i="9"/>
  <c r="I89" i="9"/>
  <c r="C90" i="9" s="1"/>
  <c r="M206" i="4"/>
  <c r="J207" i="4"/>
  <c r="M217" i="9" l="1"/>
  <c r="J218" i="9"/>
  <c r="G90" i="9"/>
  <c r="B90" i="9"/>
  <c r="N90" i="9" s="1"/>
  <c r="L90" i="9"/>
  <c r="E90" i="9"/>
  <c r="D90" i="9"/>
  <c r="M207" i="4"/>
  <c r="J208" i="4"/>
  <c r="O90" i="9" l="1"/>
  <c r="M218" i="9"/>
  <c r="J219" i="9"/>
  <c r="F90" i="9"/>
  <c r="M208" i="4"/>
  <c r="J209" i="4"/>
  <c r="M219" i="9" l="1"/>
  <c r="J220" i="9"/>
  <c r="H90" i="9"/>
  <c r="I90" i="9" s="1"/>
  <c r="C91" i="9" s="1"/>
  <c r="M209" i="4"/>
  <c r="J210" i="4"/>
  <c r="L91" i="9" l="1"/>
  <c r="B91" i="9"/>
  <c r="N91" i="9" s="1"/>
  <c r="G91" i="9"/>
  <c r="E91" i="9"/>
  <c r="D91" i="9"/>
  <c r="M220" i="9"/>
  <c r="J221" i="9"/>
  <c r="M210" i="4"/>
  <c r="J211" i="4"/>
  <c r="M221" i="9" l="1"/>
  <c r="J222" i="9"/>
  <c r="F91" i="9"/>
  <c r="O91" i="9"/>
  <c r="H91" i="9" s="1"/>
  <c r="M211" i="4"/>
  <c r="J212" i="4"/>
  <c r="I91" i="9" l="1"/>
  <c r="C92" i="9" s="1"/>
  <c r="M222" i="9"/>
  <c r="J223" i="9"/>
  <c r="G92" i="9"/>
  <c r="B92" i="9"/>
  <c r="N92" i="9" s="1"/>
  <c r="L92" i="9"/>
  <c r="E92" i="9"/>
  <c r="D92" i="9"/>
  <c r="M212" i="4"/>
  <c r="J213" i="4"/>
  <c r="O92" i="9" l="1"/>
  <c r="M223" i="9"/>
  <c r="J224" i="9"/>
  <c r="F92" i="9"/>
  <c r="M213" i="4"/>
  <c r="J214" i="4"/>
  <c r="M224" i="9" l="1"/>
  <c r="J225" i="9"/>
  <c r="H92" i="9"/>
  <c r="I92" i="9" s="1"/>
  <c r="C93" i="9" s="1"/>
  <c r="M214" i="4"/>
  <c r="J215" i="4"/>
  <c r="M225" i="9" l="1"/>
  <c r="J226" i="9"/>
  <c r="L93" i="9"/>
  <c r="G93" i="9"/>
  <c r="B93" i="9"/>
  <c r="N93" i="9" s="1"/>
  <c r="E93" i="9"/>
  <c r="D93" i="9"/>
  <c r="M215" i="4"/>
  <c r="J216" i="4"/>
  <c r="M226" i="9" l="1"/>
  <c r="J227" i="9"/>
  <c r="F93" i="9"/>
  <c r="O93" i="9"/>
  <c r="H93" i="9" s="1"/>
  <c r="M216" i="4"/>
  <c r="J217" i="4"/>
  <c r="M227" i="9" l="1"/>
  <c r="J228" i="9"/>
  <c r="I93" i="9"/>
  <c r="C94" i="9" s="1"/>
  <c r="M217" i="4"/>
  <c r="J218" i="4"/>
  <c r="M228" i="9" l="1"/>
  <c r="J229" i="9"/>
  <c r="G94" i="9"/>
  <c r="B94" i="9"/>
  <c r="N94" i="9" s="1"/>
  <c r="L94" i="9"/>
  <c r="E94" i="9"/>
  <c r="D94" i="9"/>
  <c r="M218" i="4"/>
  <c r="J219" i="4"/>
  <c r="O94" i="9" l="1"/>
  <c r="M229" i="9"/>
  <c r="J230" i="9"/>
  <c r="F94" i="9"/>
  <c r="M219" i="4"/>
  <c r="J220" i="4"/>
  <c r="M230" i="9" l="1"/>
  <c r="J231" i="9"/>
  <c r="H94" i="9"/>
  <c r="I94" i="9" s="1"/>
  <c r="C95" i="9" s="1"/>
  <c r="M220" i="4"/>
  <c r="J221" i="4"/>
  <c r="L95" i="9" l="1"/>
  <c r="B95" i="9"/>
  <c r="N95" i="9" s="1"/>
  <c r="G95" i="9"/>
  <c r="E95" i="9"/>
  <c r="D95" i="9"/>
  <c r="M231" i="9"/>
  <c r="J232" i="9"/>
  <c r="M221" i="4"/>
  <c r="J222" i="4"/>
  <c r="M232" i="9" l="1"/>
  <c r="J233" i="9"/>
  <c r="F95" i="9"/>
  <c r="O95" i="9"/>
  <c r="H95" i="9" s="1"/>
  <c r="M222" i="4"/>
  <c r="J223" i="4"/>
  <c r="I95" i="9" l="1"/>
  <c r="C96" i="9" s="1"/>
  <c r="M233" i="9"/>
  <c r="J234" i="9"/>
  <c r="G96" i="9"/>
  <c r="B96" i="9"/>
  <c r="N96" i="9" s="1"/>
  <c r="L96" i="9"/>
  <c r="E96" i="9"/>
  <c r="D96" i="9"/>
  <c r="M223" i="4"/>
  <c r="J224" i="4"/>
  <c r="O96" i="9" l="1"/>
  <c r="M234" i="9"/>
  <c r="J235" i="9"/>
  <c r="F96" i="9"/>
  <c r="M224" i="4"/>
  <c r="J225" i="4"/>
  <c r="M235" i="9" l="1"/>
  <c r="J236" i="9"/>
  <c r="H96" i="9"/>
  <c r="I96" i="9" s="1"/>
  <c r="C97" i="9" s="1"/>
  <c r="M225" i="4"/>
  <c r="J226" i="4"/>
  <c r="L97" i="9" l="1"/>
  <c r="G97" i="9"/>
  <c r="B97" i="9"/>
  <c r="N97" i="9" s="1"/>
  <c r="E97" i="9"/>
  <c r="D97" i="9"/>
  <c r="M236" i="9"/>
  <c r="J237" i="9"/>
  <c r="M226" i="4"/>
  <c r="J227" i="4"/>
  <c r="M237" i="9" l="1"/>
  <c r="J238" i="9"/>
  <c r="F97" i="9"/>
  <c r="O97" i="9"/>
  <c r="H97" i="9" s="1"/>
  <c r="M227" i="4"/>
  <c r="J228" i="4"/>
  <c r="M238" i="9" l="1"/>
  <c r="J239" i="9"/>
  <c r="I97" i="9"/>
  <c r="C98" i="9" s="1"/>
  <c r="M228" i="4"/>
  <c r="J229" i="4"/>
  <c r="M239" i="9" l="1"/>
  <c r="J240" i="9"/>
  <c r="G98" i="9"/>
  <c r="B98" i="9"/>
  <c r="N98" i="9" s="1"/>
  <c r="L98" i="9"/>
  <c r="E98" i="9"/>
  <c r="D98" i="9"/>
  <c r="M229" i="4"/>
  <c r="J230" i="4"/>
  <c r="O98" i="9" l="1"/>
  <c r="M240" i="9"/>
  <c r="J241" i="9"/>
  <c r="F98" i="9"/>
  <c r="M230" i="4"/>
  <c r="J231" i="4"/>
  <c r="J242" i="9" l="1"/>
  <c r="M241" i="9"/>
  <c r="H98" i="9"/>
  <c r="I98" i="9" s="1"/>
  <c r="C99" i="9" s="1"/>
  <c r="M231" i="4"/>
  <c r="J232" i="4"/>
  <c r="L99" i="9" l="1"/>
  <c r="B99" i="9"/>
  <c r="N99" i="9" s="1"/>
  <c r="G99" i="9"/>
  <c r="E99" i="9"/>
  <c r="D99" i="9"/>
  <c r="M242" i="9"/>
  <c r="J243" i="9"/>
  <c r="M232" i="4"/>
  <c r="J233" i="4"/>
  <c r="F99" i="9" l="1"/>
  <c r="J244" i="9"/>
  <c r="M243" i="9"/>
  <c r="O99" i="9"/>
  <c r="H99" i="9" s="1"/>
  <c r="I99" i="9" s="1"/>
  <c r="C100" i="9" s="1"/>
  <c r="M233" i="4"/>
  <c r="J234" i="4"/>
  <c r="G100" i="9" l="1"/>
  <c r="B100" i="9"/>
  <c r="N100" i="9" s="1"/>
  <c r="L100" i="9"/>
  <c r="E100" i="9"/>
  <c r="D100" i="9"/>
  <c r="J245" i="9"/>
  <c r="M244" i="9"/>
  <c r="M234" i="4"/>
  <c r="J235" i="4"/>
  <c r="O100" i="9" l="1"/>
  <c r="J246" i="9"/>
  <c r="M245" i="9"/>
  <c r="F100" i="9"/>
  <c r="H100" i="9" s="1"/>
  <c r="M235" i="4"/>
  <c r="J236" i="4"/>
  <c r="I100" i="9" l="1"/>
  <c r="C101" i="9" s="1"/>
  <c r="J247" i="9"/>
  <c r="M246" i="9"/>
  <c r="M236" i="4"/>
  <c r="J237" i="4"/>
  <c r="J248" i="9" l="1"/>
  <c r="M247" i="9"/>
  <c r="L101" i="9"/>
  <c r="G101" i="9"/>
  <c r="B101" i="9"/>
  <c r="N101" i="9" s="1"/>
  <c r="E101" i="9"/>
  <c r="D101" i="9"/>
  <c r="M237" i="4"/>
  <c r="J238" i="4"/>
  <c r="F101" i="9" l="1"/>
  <c r="O101" i="9"/>
  <c r="H101" i="9" s="1"/>
  <c r="I101" i="9" s="1"/>
  <c r="C102" i="9" s="1"/>
  <c r="J249" i="9"/>
  <c r="M248" i="9"/>
  <c r="M238" i="4"/>
  <c r="J239" i="4"/>
  <c r="J250" i="9" l="1"/>
  <c r="M249" i="9"/>
  <c r="G102" i="9"/>
  <c r="B102" i="9"/>
  <c r="N102" i="9" s="1"/>
  <c r="L102" i="9"/>
  <c r="E102" i="9"/>
  <c r="D102" i="9"/>
  <c r="M239" i="4"/>
  <c r="J240" i="4"/>
  <c r="O102" i="9" l="1"/>
  <c r="F102" i="9"/>
  <c r="M250" i="9"/>
  <c r="J251" i="9"/>
  <c r="M240" i="4"/>
  <c r="J241" i="4"/>
  <c r="H102" i="9" l="1"/>
  <c r="J252" i="9"/>
  <c r="M251" i="9"/>
  <c r="I102" i="9"/>
  <c r="C103" i="9" s="1"/>
  <c r="M241" i="4"/>
  <c r="J242" i="4"/>
  <c r="B103" i="9" l="1"/>
  <c r="N103" i="9" s="1"/>
  <c r="L103" i="9"/>
  <c r="O103" i="9" s="1"/>
  <c r="G103" i="9"/>
  <c r="E103" i="9"/>
  <c r="D103" i="9"/>
  <c r="J253" i="9"/>
  <c r="M252" i="9"/>
  <c r="M242" i="4"/>
  <c r="J243" i="4"/>
  <c r="F103" i="9" l="1"/>
  <c r="H103" i="9"/>
  <c r="I103" i="9" s="1"/>
  <c r="C104" i="9" s="1"/>
  <c r="J254" i="9"/>
  <c r="M253" i="9"/>
  <c r="M243" i="4"/>
  <c r="J244" i="4"/>
  <c r="L104" i="9" l="1"/>
  <c r="G104" i="9"/>
  <c r="B104" i="9"/>
  <c r="N104" i="9" s="1"/>
  <c r="E104" i="9"/>
  <c r="D104" i="9"/>
  <c r="F104" i="9" s="1"/>
  <c r="M254" i="9"/>
  <c r="J255" i="9"/>
  <c r="M244" i="4"/>
  <c r="J245" i="4"/>
  <c r="O104" i="9" l="1"/>
  <c r="H104" i="9" s="1"/>
  <c r="I104" i="9" s="1"/>
  <c r="C105" i="9" s="1"/>
  <c r="E105" i="9" s="1"/>
  <c r="M255" i="9"/>
  <c r="J256" i="9"/>
  <c r="M245" i="4"/>
  <c r="J246" i="4"/>
  <c r="L105" i="9" l="1"/>
  <c r="D105" i="9"/>
  <c r="B105" i="9"/>
  <c r="N105" i="9" s="1"/>
  <c r="G105" i="9"/>
  <c r="M256" i="9"/>
  <c r="J257" i="9"/>
  <c r="M246" i="4"/>
  <c r="J247" i="4"/>
  <c r="F105" i="9" l="1"/>
  <c r="O105" i="9"/>
  <c r="H105" i="9" s="1"/>
  <c r="I105" i="9" s="1"/>
  <c r="C106" i="9" s="1"/>
  <c r="B106" i="9" s="1"/>
  <c r="N106" i="9" s="1"/>
  <c r="M257" i="9"/>
  <c r="J258" i="9"/>
  <c r="M247" i="4"/>
  <c r="J248" i="4"/>
  <c r="G106" i="9" l="1"/>
  <c r="D106" i="9"/>
  <c r="L106" i="9"/>
  <c r="O106" i="9" s="1"/>
  <c r="E106" i="9"/>
  <c r="M258" i="9"/>
  <c r="J259" i="9"/>
  <c r="M248" i="4"/>
  <c r="J249" i="4"/>
  <c r="F106" i="9" l="1"/>
  <c r="M259" i="9"/>
  <c r="J260" i="9"/>
  <c r="M249" i="4"/>
  <c r="J250" i="4"/>
  <c r="H106" i="9" l="1"/>
  <c r="I106" i="9" s="1"/>
  <c r="C107" i="9" s="1"/>
  <c r="M260" i="9"/>
  <c r="J261" i="9"/>
  <c r="M250" i="4"/>
  <c r="J251" i="4"/>
  <c r="G107" i="9" l="1"/>
  <c r="E107" i="9"/>
  <c r="B107" i="9"/>
  <c r="N107" i="9" s="1"/>
  <c r="D107" i="9"/>
  <c r="L107" i="9"/>
  <c r="M261" i="9"/>
  <c r="J262" i="9"/>
  <c r="M251" i="4"/>
  <c r="J252" i="4"/>
  <c r="F107" i="9" l="1"/>
  <c r="O107" i="9"/>
  <c r="H107" i="9" s="1"/>
  <c r="M262" i="9"/>
  <c r="J263" i="9"/>
  <c r="M252" i="4"/>
  <c r="J253" i="4"/>
  <c r="I107" i="9" l="1"/>
  <c r="C108" i="9" s="1"/>
  <c r="M263" i="9"/>
  <c r="J264" i="9"/>
  <c r="M253" i="4"/>
  <c r="J254" i="4"/>
  <c r="B108" i="9" l="1"/>
  <c r="N108" i="9" s="1"/>
  <c r="E108" i="9"/>
  <c r="L108" i="9"/>
  <c r="O108" i="9" s="1"/>
  <c r="D108" i="9"/>
  <c r="G108" i="9"/>
  <c r="M264" i="9"/>
  <c r="J265" i="9"/>
  <c r="M254" i="4"/>
  <c r="J255" i="4"/>
  <c r="F108" i="9" l="1"/>
  <c r="H108" i="9"/>
  <c r="I108" i="9" s="1"/>
  <c r="C109" i="9" s="1"/>
  <c r="M265" i="9"/>
  <c r="J266" i="9"/>
  <c r="M255" i="4"/>
  <c r="J256" i="4"/>
  <c r="B109" i="9" l="1"/>
  <c r="N109" i="9" s="1"/>
  <c r="D109" i="9"/>
  <c r="L109" i="9"/>
  <c r="O109" i="9" s="1"/>
  <c r="G109" i="9"/>
  <c r="E109" i="9"/>
  <c r="M266" i="9"/>
  <c r="J267" i="9"/>
  <c r="M256" i="4"/>
  <c r="J257" i="4"/>
  <c r="F109" i="9" l="1"/>
  <c r="M267" i="9"/>
  <c r="J268" i="9"/>
  <c r="H109" i="9"/>
  <c r="I109" i="9" s="1"/>
  <c r="C110" i="9" s="1"/>
  <c r="M257" i="4"/>
  <c r="J258" i="4"/>
  <c r="M268" i="9" l="1"/>
  <c r="J269" i="9"/>
  <c r="L110" i="9"/>
  <c r="G110" i="9"/>
  <c r="B110" i="9"/>
  <c r="N110" i="9" s="1"/>
  <c r="E110" i="9"/>
  <c r="D110" i="9"/>
  <c r="M258" i="4"/>
  <c r="J259" i="4"/>
  <c r="M269" i="9" l="1"/>
  <c r="J270" i="9"/>
  <c r="F110" i="9"/>
  <c r="O110" i="9"/>
  <c r="H110" i="9" s="1"/>
  <c r="M259" i="4"/>
  <c r="J260" i="4"/>
  <c r="M270" i="9" l="1"/>
  <c r="J271" i="9"/>
  <c r="I110" i="9"/>
  <c r="C111" i="9" s="1"/>
  <c r="M260" i="4"/>
  <c r="J261" i="4"/>
  <c r="M271" i="9" l="1"/>
  <c r="J272" i="9"/>
  <c r="B111" i="9"/>
  <c r="N111" i="9" s="1"/>
  <c r="L111" i="9"/>
  <c r="G111" i="9"/>
  <c r="E111" i="9"/>
  <c r="D111" i="9"/>
  <c r="F111" i="9" s="1"/>
  <c r="M261" i="4"/>
  <c r="J262" i="4"/>
  <c r="M272" i="9" l="1"/>
  <c r="J273" i="9"/>
  <c r="O111" i="9"/>
  <c r="H111" i="9" s="1"/>
  <c r="I111" i="9" s="1"/>
  <c r="C112" i="9" s="1"/>
  <c r="M262" i="4"/>
  <c r="J263" i="4"/>
  <c r="L112" i="9" l="1"/>
  <c r="G112" i="9"/>
  <c r="B112" i="9"/>
  <c r="N112" i="9" s="1"/>
  <c r="E112" i="9"/>
  <c r="D112" i="9"/>
  <c r="M273" i="9"/>
  <c r="J274" i="9"/>
  <c r="M263" i="4"/>
  <c r="J264" i="4"/>
  <c r="F112" i="9" l="1"/>
  <c r="M274" i="9"/>
  <c r="J275" i="9"/>
  <c r="O112" i="9"/>
  <c r="H112" i="9" s="1"/>
  <c r="I112" i="9" s="1"/>
  <c r="C113" i="9" s="1"/>
  <c r="M264" i="4"/>
  <c r="J265" i="4"/>
  <c r="B113" i="9" l="1"/>
  <c r="N113" i="9" s="1"/>
  <c r="L113" i="9"/>
  <c r="G113" i="9"/>
  <c r="E113" i="9"/>
  <c r="D113" i="9"/>
  <c r="F113" i="9" s="1"/>
  <c r="M275" i="9"/>
  <c r="J276" i="9"/>
  <c r="M265" i="4"/>
  <c r="J266" i="4"/>
  <c r="O113" i="9" l="1"/>
  <c r="H113" i="9"/>
  <c r="I113" i="9" s="1"/>
  <c r="C114" i="9" s="1"/>
  <c r="J277" i="9"/>
  <c r="M276" i="9"/>
  <c r="M266" i="4"/>
  <c r="J267" i="4"/>
  <c r="L114" i="9" l="1"/>
  <c r="G114" i="9"/>
  <c r="B114" i="9"/>
  <c r="N114" i="9" s="1"/>
  <c r="E114" i="9"/>
  <c r="D114" i="9"/>
  <c r="J278" i="9"/>
  <c r="M277" i="9"/>
  <c r="M267" i="4"/>
  <c r="J268" i="4"/>
  <c r="F114" i="9" l="1"/>
  <c r="O114" i="9"/>
  <c r="H114" i="9"/>
  <c r="I114" i="9" s="1"/>
  <c r="C115" i="9" s="1"/>
  <c r="J279" i="9"/>
  <c r="M278" i="9"/>
  <c r="M268" i="4"/>
  <c r="J269" i="4"/>
  <c r="J280" i="9" l="1"/>
  <c r="M279" i="9"/>
  <c r="B115" i="9"/>
  <c r="N115" i="9" s="1"/>
  <c r="L115" i="9"/>
  <c r="G115" i="9"/>
  <c r="E115" i="9"/>
  <c r="D115" i="9"/>
  <c r="F115" i="9" s="1"/>
  <c r="M269" i="4"/>
  <c r="J270" i="4"/>
  <c r="O115" i="9" l="1"/>
  <c r="H115" i="9" s="1"/>
  <c r="I115" i="9" s="1"/>
  <c r="C116" i="9" s="1"/>
  <c r="J281" i="9"/>
  <c r="M280" i="9"/>
  <c r="M270" i="4"/>
  <c r="J271" i="4"/>
  <c r="L116" i="9" l="1"/>
  <c r="G116" i="9"/>
  <c r="B116" i="9"/>
  <c r="N116" i="9" s="1"/>
  <c r="E116" i="9"/>
  <c r="D116" i="9"/>
  <c r="J282" i="9"/>
  <c r="M281" i="9"/>
  <c r="M271" i="4"/>
  <c r="J272" i="4"/>
  <c r="F116" i="9" l="1"/>
  <c r="O116" i="9"/>
  <c r="H116" i="9" s="1"/>
  <c r="M282" i="9"/>
  <c r="J283" i="9"/>
  <c r="M272" i="4"/>
  <c r="J273" i="4"/>
  <c r="I116" i="9" l="1"/>
  <c r="C117" i="9" s="1"/>
  <c r="J284" i="9"/>
  <c r="M283" i="9"/>
  <c r="M273" i="4"/>
  <c r="J274" i="4"/>
  <c r="G117" i="9" l="1"/>
  <c r="E117" i="9"/>
  <c r="B117" i="9"/>
  <c r="N117" i="9" s="1"/>
  <c r="D117" i="9"/>
  <c r="F117" i="9" s="1"/>
  <c r="L117" i="9"/>
  <c r="J285" i="9"/>
  <c r="M284" i="9"/>
  <c r="M274" i="4"/>
  <c r="J275" i="4"/>
  <c r="O117" i="9" l="1"/>
  <c r="H117" i="9" s="1"/>
  <c r="I117" i="9" s="1"/>
  <c r="C118" i="9" s="1"/>
  <c r="J286" i="9"/>
  <c r="M285" i="9"/>
  <c r="M275" i="4"/>
  <c r="J276" i="4"/>
  <c r="E118" i="9" l="1"/>
  <c r="B118" i="9"/>
  <c r="N118" i="9" s="1"/>
  <c r="L118" i="9"/>
  <c r="O118" i="9" s="1"/>
  <c r="D118" i="9"/>
  <c r="F118" i="9" s="1"/>
  <c r="G118" i="9"/>
  <c r="M286" i="9"/>
  <c r="J287" i="9"/>
  <c r="M276" i="4"/>
  <c r="J277" i="4"/>
  <c r="H118" i="9" l="1"/>
  <c r="I118" i="9" s="1"/>
  <c r="C119" i="9" s="1"/>
  <c r="E119" i="9" s="1"/>
  <c r="G119" i="9"/>
  <c r="L119" i="9"/>
  <c r="D119" i="9"/>
  <c r="F119" i="9" s="1"/>
  <c r="B119" i="9"/>
  <c r="N119" i="9" s="1"/>
  <c r="J288" i="9"/>
  <c r="M287" i="9"/>
  <c r="M277" i="4"/>
  <c r="J278" i="4"/>
  <c r="O119" i="9" l="1"/>
  <c r="H119" i="9"/>
  <c r="I119" i="9"/>
  <c r="C120" i="9" s="1"/>
  <c r="L120" i="9" s="1"/>
  <c r="M288" i="9"/>
  <c r="J289" i="9"/>
  <c r="M278" i="4"/>
  <c r="J279" i="4"/>
  <c r="E120" i="9" l="1"/>
  <c r="B120" i="9"/>
  <c r="N120" i="9" s="1"/>
  <c r="O120" i="9" s="1"/>
  <c r="G120" i="9"/>
  <c r="D120" i="9"/>
  <c r="F120" i="9" s="1"/>
  <c r="J290" i="9"/>
  <c r="M289" i="9"/>
  <c r="M279" i="4"/>
  <c r="J280" i="4"/>
  <c r="H120" i="9" l="1"/>
  <c r="I120" i="9" s="1"/>
  <c r="C121" i="9" s="1"/>
  <c r="B121" i="9" s="1"/>
  <c r="N121" i="9" s="1"/>
  <c r="L121" i="9"/>
  <c r="G121" i="9"/>
  <c r="E121" i="9"/>
  <c r="D121" i="9"/>
  <c r="M290" i="9"/>
  <c r="J291" i="9"/>
  <c r="M280" i="4"/>
  <c r="J281" i="4"/>
  <c r="F121" i="9" l="1"/>
  <c r="J292" i="9"/>
  <c r="M291" i="9"/>
  <c r="O121" i="9"/>
  <c r="H121" i="9" s="1"/>
  <c r="I121" i="9" s="1"/>
  <c r="C122" i="9" s="1"/>
  <c r="M281" i="4"/>
  <c r="J282" i="4"/>
  <c r="L122" i="9" l="1"/>
  <c r="G122" i="9"/>
  <c r="B122" i="9"/>
  <c r="N122" i="9" s="1"/>
  <c r="E122" i="9"/>
  <c r="D122" i="9"/>
  <c r="M292" i="9"/>
  <c r="J293" i="9"/>
  <c r="M282" i="4"/>
  <c r="J283" i="4"/>
  <c r="J294" i="9" l="1"/>
  <c r="M293" i="9"/>
  <c r="F122" i="9"/>
  <c r="O122" i="9"/>
  <c r="H122" i="9" s="1"/>
  <c r="M283" i="4"/>
  <c r="J284" i="4"/>
  <c r="I122" i="9" l="1"/>
  <c r="C123" i="9" s="1"/>
  <c r="M294" i="9"/>
  <c r="J295" i="9"/>
  <c r="M284" i="4"/>
  <c r="J285" i="4"/>
  <c r="J296" i="9" l="1"/>
  <c r="M295" i="9"/>
  <c r="B123" i="9"/>
  <c r="N123" i="9" s="1"/>
  <c r="L123" i="9"/>
  <c r="O123" i="9" s="1"/>
  <c r="H123" i="9" s="1"/>
  <c r="I123" i="9" s="1"/>
  <c r="C124" i="9" s="1"/>
  <c r="G123" i="9"/>
  <c r="E123" i="9"/>
  <c r="D123" i="9"/>
  <c r="F123" i="9" s="1"/>
  <c r="M285" i="4"/>
  <c r="J286" i="4"/>
  <c r="L124" i="9" l="1"/>
  <c r="G124" i="9"/>
  <c r="B124" i="9"/>
  <c r="N124" i="9" s="1"/>
  <c r="E124" i="9"/>
  <c r="D124" i="9"/>
  <c r="M296" i="9"/>
  <c r="J297" i="9"/>
  <c r="M286" i="4"/>
  <c r="J287" i="4"/>
  <c r="J298" i="9" l="1"/>
  <c r="M297" i="9"/>
  <c r="F124" i="9"/>
  <c r="O124" i="9"/>
  <c r="H124" i="9" s="1"/>
  <c r="M287" i="4"/>
  <c r="J288" i="4"/>
  <c r="I124" i="9" l="1"/>
  <c r="C125" i="9" s="1"/>
  <c r="M298" i="9"/>
  <c r="J299" i="9"/>
  <c r="M288" i="4"/>
  <c r="J289" i="4"/>
  <c r="J300" i="9" l="1"/>
  <c r="M299" i="9"/>
  <c r="B125" i="9"/>
  <c r="N125" i="9" s="1"/>
  <c r="L125" i="9"/>
  <c r="G125" i="9"/>
  <c r="E125" i="9"/>
  <c r="D125" i="9"/>
  <c r="M289" i="4"/>
  <c r="J290" i="4"/>
  <c r="O125" i="9" l="1"/>
  <c r="F125" i="9"/>
  <c r="M300" i="9"/>
  <c r="J301" i="9"/>
  <c r="M290" i="4"/>
  <c r="J291" i="4"/>
  <c r="J302" i="9" l="1"/>
  <c r="M301" i="9"/>
  <c r="H125" i="9"/>
  <c r="I125" i="9" s="1"/>
  <c r="C126" i="9" s="1"/>
  <c r="M291" i="4"/>
  <c r="J292" i="4"/>
  <c r="L126" i="9" l="1"/>
  <c r="G126" i="9"/>
  <c r="B126" i="9"/>
  <c r="N126" i="9" s="1"/>
  <c r="E126" i="9"/>
  <c r="D126" i="9"/>
  <c r="M302" i="9"/>
  <c r="J303" i="9"/>
  <c r="M292" i="4"/>
  <c r="J293" i="4"/>
  <c r="J304" i="9" l="1"/>
  <c r="M303" i="9"/>
  <c r="F126" i="9"/>
  <c r="O126" i="9"/>
  <c r="H126" i="9" s="1"/>
  <c r="M293" i="4"/>
  <c r="J294" i="4"/>
  <c r="I126" i="9" l="1"/>
  <c r="C127" i="9" s="1"/>
  <c r="M304" i="9"/>
  <c r="J305" i="9"/>
  <c r="M294" i="4"/>
  <c r="J295" i="4"/>
  <c r="J306" i="9" l="1"/>
  <c r="M305" i="9"/>
  <c r="B127" i="9"/>
  <c r="N127" i="9" s="1"/>
  <c r="L127" i="9"/>
  <c r="O127" i="9" s="1"/>
  <c r="H127" i="9" s="1"/>
  <c r="G127" i="9"/>
  <c r="E127" i="9"/>
  <c r="D127" i="9"/>
  <c r="F127" i="9" s="1"/>
  <c r="M295" i="4"/>
  <c r="J296" i="4"/>
  <c r="I127" i="9" l="1"/>
  <c r="C128" i="9" s="1"/>
  <c r="E128" i="9" s="1"/>
  <c r="M306" i="9"/>
  <c r="J307" i="9"/>
  <c r="M296" i="4"/>
  <c r="J297" i="4"/>
  <c r="B128" i="9" l="1"/>
  <c r="N128" i="9" s="1"/>
  <c r="G128" i="9"/>
  <c r="D128" i="9"/>
  <c r="F128" i="9" s="1"/>
  <c r="L128" i="9"/>
  <c r="J308" i="9"/>
  <c r="M307" i="9"/>
  <c r="M297" i="4"/>
  <c r="J298" i="4"/>
  <c r="O128" i="9" l="1"/>
  <c r="H128" i="9" s="1"/>
  <c r="I128" i="9"/>
  <c r="C129" i="9" s="1"/>
  <c r="M308" i="9"/>
  <c r="J309" i="9"/>
  <c r="M298" i="4"/>
  <c r="J299" i="4"/>
  <c r="J310" i="9" l="1"/>
  <c r="M309" i="9"/>
  <c r="B129" i="9"/>
  <c r="N129" i="9" s="1"/>
  <c r="L129" i="9"/>
  <c r="O129" i="9" s="1"/>
  <c r="H129" i="9" s="1"/>
  <c r="I129" i="9" s="1"/>
  <c r="C130" i="9" s="1"/>
  <c r="G129" i="9"/>
  <c r="E129" i="9"/>
  <c r="D129" i="9"/>
  <c r="F129" i="9" s="1"/>
  <c r="M299" i="4"/>
  <c r="J300" i="4"/>
  <c r="L130" i="9" l="1"/>
  <c r="G130" i="9"/>
  <c r="B130" i="9"/>
  <c r="N130" i="9" s="1"/>
  <c r="E130" i="9"/>
  <c r="D130" i="9"/>
  <c r="M310" i="9"/>
  <c r="J311" i="9"/>
  <c r="M300" i="4"/>
  <c r="J301" i="4"/>
  <c r="J312" i="9" l="1"/>
  <c r="M311" i="9"/>
  <c r="F130" i="9"/>
  <c r="O130" i="9"/>
  <c r="H130" i="9" s="1"/>
  <c r="M301" i="4"/>
  <c r="J302" i="4"/>
  <c r="I130" i="9" l="1"/>
  <c r="C131" i="9" s="1"/>
  <c r="M312" i="9"/>
  <c r="J313" i="9"/>
  <c r="M302" i="4"/>
  <c r="J303" i="4"/>
  <c r="J314" i="9" l="1"/>
  <c r="M313" i="9"/>
  <c r="B131" i="9"/>
  <c r="N131" i="9" s="1"/>
  <c r="L131" i="9"/>
  <c r="O131" i="9" s="1"/>
  <c r="G131" i="9"/>
  <c r="E131" i="9"/>
  <c r="D131" i="9"/>
  <c r="M303" i="4"/>
  <c r="J304" i="4"/>
  <c r="F131" i="9" l="1"/>
  <c r="M314" i="9"/>
  <c r="J315" i="9"/>
  <c r="M304" i="4"/>
  <c r="J305" i="4"/>
  <c r="J316" i="9" l="1"/>
  <c r="M315" i="9"/>
  <c r="H131" i="9"/>
  <c r="I131" i="9" s="1"/>
  <c r="C132" i="9" s="1"/>
  <c r="M305" i="4"/>
  <c r="J306" i="4"/>
  <c r="L132" i="9" l="1"/>
  <c r="G132" i="9"/>
  <c r="B132" i="9"/>
  <c r="N132" i="9" s="1"/>
  <c r="E132" i="9"/>
  <c r="D132" i="9"/>
  <c r="M316" i="9"/>
  <c r="J317" i="9"/>
  <c r="M306" i="4"/>
  <c r="J307" i="4"/>
  <c r="J318" i="9" l="1"/>
  <c r="M317" i="9"/>
  <c r="F132" i="9"/>
  <c r="O132" i="9"/>
  <c r="H132" i="9" s="1"/>
  <c r="M307" i="4"/>
  <c r="J308" i="4"/>
  <c r="I132" i="9" l="1"/>
  <c r="C133" i="9" s="1"/>
  <c r="J319" i="9"/>
  <c r="M318" i="9"/>
  <c r="M308" i="4"/>
  <c r="J309" i="4"/>
  <c r="M319" i="9" l="1"/>
  <c r="J320" i="9"/>
  <c r="B133" i="9"/>
  <c r="N133" i="9" s="1"/>
  <c r="L133" i="9"/>
  <c r="O133" i="9" s="1"/>
  <c r="G133" i="9"/>
  <c r="E133" i="9"/>
  <c r="D133" i="9"/>
  <c r="F133" i="9" s="1"/>
  <c r="M309" i="4"/>
  <c r="J310" i="4"/>
  <c r="M320" i="9" l="1"/>
  <c r="J321" i="9"/>
  <c r="H133" i="9"/>
  <c r="I133" i="9" s="1"/>
  <c r="C134" i="9" s="1"/>
  <c r="M310" i="4"/>
  <c r="J311" i="4"/>
  <c r="M321" i="9" l="1"/>
  <c r="J322" i="9"/>
  <c r="L134" i="9"/>
  <c r="G134" i="9"/>
  <c r="B134" i="9"/>
  <c r="N134" i="9" s="1"/>
  <c r="E134" i="9"/>
  <c r="D134" i="9"/>
  <c r="M311" i="4"/>
  <c r="J312" i="4"/>
  <c r="M322" i="9" l="1"/>
  <c r="J323" i="9"/>
  <c r="F134" i="9"/>
  <c r="O134" i="9"/>
  <c r="H134" i="9" s="1"/>
  <c r="M312" i="4"/>
  <c r="J313" i="4"/>
  <c r="M323" i="9" l="1"/>
  <c r="J324" i="9"/>
  <c r="I134" i="9"/>
  <c r="C135" i="9" s="1"/>
  <c r="M313" i="4"/>
  <c r="J314" i="4"/>
  <c r="M324" i="9" l="1"/>
  <c r="J325" i="9"/>
  <c r="B135" i="9"/>
  <c r="N135" i="9" s="1"/>
  <c r="L135" i="9"/>
  <c r="G135" i="9"/>
  <c r="E135" i="9"/>
  <c r="D135" i="9"/>
  <c r="F135" i="9" s="1"/>
  <c r="M314" i="4"/>
  <c r="J315" i="4"/>
  <c r="M325" i="9" l="1"/>
  <c r="J326" i="9"/>
  <c r="O135" i="9"/>
  <c r="H135" i="9" s="1"/>
  <c r="I135" i="9" s="1"/>
  <c r="C136" i="9" s="1"/>
  <c r="M315" i="4"/>
  <c r="J316" i="4"/>
  <c r="L136" i="9" l="1"/>
  <c r="G136" i="9"/>
  <c r="B136" i="9"/>
  <c r="N136" i="9" s="1"/>
  <c r="E136" i="9"/>
  <c r="D136" i="9"/>
  <c r="M326" i="9"/>
  <c r="J327" i="9"/>
  <c r="M316" i="4"/>
  <c r="J317" i="4"/>
  <c r="M327" i="9" l="1"/>
  <c r="J328" i="9"/>
  <c r="F136" i="9"/>
  <c r="O136" i="9"/>
  <c r="H136" i="9" s="1"/>
  <c r="M317" i="4"/>
  <c r="J318" i="4"/>
  <c r="M328" i="9" l="1"/>
  <c r="J329" i="9"/>
  <c r="I136" i="9"/>
  <c r="C137" i="9" s="1"/>
  <c r="M318" i="4"/>
  <c r="J319" i="4"/>
  <c r="J330" i="9" l="1"/>
  <c r="M329" i="9"/>
  <c r="B137" i="9"/>
  <c r="N137" i="9" s="1"/>
  <c r="G137" i="9"/>
  <c r="L137" i="9"/>
  <c r="E137" i="9"/>
  <c r="D137" i="9"/>
  <c r="M319" i="4"/>
  <c r="J320" i="4"/>
  <c r="O137" i="9" l="1"/>
  <c r="F137" i="9"/>
  <c r="J331" i="9"/>
  <c r="M330" i="9"/>
  <c r="M320" i="4"/>
  <c r="J321" i="4"/>
  <c r="J332" i="9" l="1"/>
  <c r="M331" i="9"/>
  <c r="H137" i="9"/>
  <c r="I137" i="9" s="1"/>
  <c r="C138" i="9" s="1"/>
  <c r="M321" i="4"/>
  <c r="J322" i="4"/>
  <c r="L138" i="9" l="1"/>
  <c r="B138" i="9"/>
  <c r="N138" i="9" s="1"/>
  <c r="G138" i="9"/>
  <c r="E138" i="9"/>
  <c r="D138" i="9"/>
  <c r="J333" i="9"/>
  <c r="M332" i="9"/>
  <c r="M322" i="4"/>
  <c r="J323" i="4"/>
  <c r="J334" i="9" l="1"/>
  <c r="M333" i="9"/>
  <c r="F138" i="9"/>
  <c r="O138" i="9"/>
  <c r="H138" i="9" s="1"/>
  <c r="M323" i="4"/>
  <c r="J324" i="4"/>
  <c r="I138" i="9" l="1"/>
  <c r="C139" i="9" s="1"/>
  <c r="J335" i="9"/>
  <c r="M334" i="9"/>
  <c r="M324" i="4"/>
  <c r="J325" i="4"/>
  <c r="J336" i="9" l="1"/>
  <c r="M335" i="9"/>
  <c r="G139" i="9"/>
  <c r="B139" i="9"/>
  <c r="N139" i="9" s="1"/>
  <c r="L139" i="9"/>
  <c r="E139" i="9"/>
  <c r="D139" i="9"/>
  <c r="M325" i="4"/>
  <c r="J326" i="4"/>
  <c r="O139" i="9" l="1"/>
  <c r="F139" i="9"/>
  <c r="J337" i="9"/>
  <c r="M336" i="9"/>
  <c r="M326" i="4"/>
  <c r="J327" i="4"/>
  <c r="J338" i="9" l="1"/>
  <c r="M337" i="9"/>
  <c r="H139" i="9"/>
  <c r="I139" i="9" s="1"/>
  <c r="C140" i="9" s="1"/>
  <c r="M327" i="4"/>
  <c r="J328" i="4"/>
  <c r="L140" i="9" l="1"/>
  <c r="G140" i="9"/>
  <c r="B140" i="9"/>
  <c r="N140" i="9" s="1"/>
  <c r="E140" i="9"/>
  <c r="D140" i="9"/>
  <c r="J339" i="9"/>
  <c r="M338" i="9"/>
  <c r="M328" i="4"/>
  <c r="J329" i="4"/>
  <c r="F140" i="9" l="1"/>
  <c r="J340" i="9"/>
  <c r="M339" i="9"/>
  <c r="O140" i="9"/>
  <c r="H140" i="9" s="1"/>
  <c r="I140" i="9" s="1"/>
  <c r="C141" i="9" s="1"/>
  <c r="M329" i="4"/>
  <c r="J330" i="4"/>
  <c r="G141" i="9" l="1"/>
  <c r="B141" i="9"/>
  <c r="N141" i="9" s="1"/>
  <c r="L141" i="9"/>
  <c r="E141" i="9"/>
  <c r="D141" i="9"/>
  <c r="J341" i="9"/>
  <c r="M340" i="9"/>
  <c r="M330" i="4"/>
  <c r="J331" i="4"/>
  <c r="O141" i="9" l="1"/>
  <c r="J342" i="9"/>
  <c r="M341" i="9"/>
  <c r="F141" i="9"/>
  <c r="M331" i="4"/>
  <c r="J332" i="4"/>
  <c r="H141" i="9" l="1"/>
  <c r="I141" i="9" s="1"/>
  <c r="C142" i="9" s="1"/>
  <c r="J343" i="9"/>
  <c r="M342" i="9"/>
  <c r="M332" i="4"/>
  <c r="J333" i="4"/>
  <c r="L142" i="9" l="1"/>
  <c r="B142" i="9"/>
  <c r="N142" i="9" s="1"/>
  <c r="G142" i="9"/>
  <c r="E142" i="9"/>
  <c r="D142" i="9"/>
  <c r="J344" i="9"/>
  <c r="M343" i="9"/>
  <c r="M333" i="4"/>
  <c r="J334" i="4"/>
  <c r="F142" i="9" l="1"/>
  <c r="J345" i="9"/>
  <c r="M344" i="9"/>
  <c r="O142" i="9"/>
  <c r="H142" i="9" s="1"/>
  <c r="I142" i="9" s="1"/>
  <c r="C143" i="9" s="1"/>
  <c r="M334" i="4"/>
  <c r="J335" i="4"/>
  <c r="J346" i="9" l="1"/>
  <c r="M345" i="9"/>
  <c r="G143" i="9"/>
  <c r="B143" i="9"/>
  <c r="N143" i="9" s="1"/>
  <c r="L143" i="9"/>
  <c r="E143" i="9"/>
  <c r="D143" i="9"/>
  <c r="M335" i="4"/>
  <c r="J336" i="4"/>
  <c r="O143" i="9" l="1"/>
  <c r="F143" i="9"/>
  <c r="J347" i="9"/>
  <c r="M346" i="9"/>
  <c r="M336" i="4"/>
  <c r="J337" i="4"/>
  <c r="J348" i="9" l="1"/>
  <c r="M347" i="9"/>
  <c r="H143" i="9"/>
  <c r="I143" i="9" s="1"/>
  <c r="C144" i="9" s="1"/>
  <c r="M337" i="4"/>
  <c r="J338" i="4"/>
  <c r="L144" i="9" l="1"/>
  <c r="G144" i="9"/>
  <c r="B144" i="9"/>
  <c r="N144" i="9" s="1"/>
  <c r="E144" i="9"/>
  <c r="D144" i="9"/>
  <c r="J349" i="9"/>
  <c r="M348" i="9"/>
  <c r="M338" i="4"/>
  <c r="J339" i="4"/>
  <c r="F144" i="9" l="1"/>
  <c r="M349" i="9"/>
  <c r="J350" i="9"/>
  <c r="O144" i="9"/>
  <c r="H144" i="9" s="1"/>
  <c r="I144" i="9" s="1"/>
  <c r="C145" i="9" s="1"/>
  <c r="M339" i="4"/>
  <c r="J340" i="4"/>
  <c r="G145" i="9" l="1"/>
  <c r="B145" i="9"/>
  <c r="N145" i="9" s="1"/>
  <c r="L145" i="9"/>
  <c r="E145" i="9"/>
  <c r="D145" i="9"/>
  <c r="M350" i="9"/>
  <c r="J351" i="9"/>
  <c r="M340" i="4"/>
  <c r="J341" i="4"/>
  <c r="O145" i="9" l="1"/>
  <c r="M351" i="9"/>
  <c r="J352" i="9"/>
  <c r="F145" i="9"/>
  <c r="M341" i="4"/>
  <c r="J342" i="4"/>
  <c r="M352" i="9" l="1"/>
  <c r="J353" i="9"/>
  <c r="H145" i="9"/>
  <c r="I145" i="9" s="1"/>
  <c r="C146" i="9" s="1"/>
  <c r="M342" i="4"/>
  <c r="J343" i="4"/>
  <c r="L146" i="9" l="1"/>
  <c r="G146" i="9"/>
  <c r="B146" i="9"/>
  <c r="N146" i="9" s="1"/>
  <c r="E146" i="9"/>
  <c r="D146" i="9"/>
  <c r="M353" i="9"/>
  <c r="J354" i="9"/>
  <c r="M343" i="4"/>
  <c r="J344" i="4"/>
  <c r="F146" i="9" l="1"/>
  <c r="M354" i="9"/>
  <c r="J355" i="9"/>
  <c r="O146" i="9"/>
  <c r="H146" i="9" s="1"/>
  <c r="I146" i="9" s="1"/>
  <c r="C147" i="9" s="1"/>
  <c r="M344" i="4"/>
  <c r="J345" i="4"/>
  <c r="G147" i="9" l="1"/>
  <c r="B147" i="9"/>
  <c r="N147" i="9" s="1"/>
  <c r="L147" i="9"/>
  <c r="E147" i="9"/>
  <c r="D147" i="9"/>
  <c r="M355" i="9"/>
  <c r="J356" i="9"/>
  <c r="M345" i="4"/>
  <c r="J346" i="4"/>
  <c r="O147" i="9" l="1"/>
  <c r="M356" i="9"/>
  <c r="J357" i="9"/>
  <c r="F147" i="9"/>
  <c r="M346" i="4"/>
  <c r="J347" i="4"/>
  <c r="M357" i="9" l="1"/>
  <c r="J358" i="9"/>
  <c r="H147" i="9"/>
  <c r="I147" i="9" s="1"/>
  <c r="C148" i="9" s="1"/>
  <c r="M347" i="4"/>
  <c r="J348" i="4"/>
  <c r="L148" i="9" l="1"/>
  <c r="G148" i="9"/>
  <c r="B148" i="9"/>
  <c r="N148" i="9" s="1"/>
  <c r="E148" i="9"/>
  <c r="D148" i="9"/>
  <c r="M358" i="9"/>
  <c r="J359" i="9"/>
  <c r="M348" i="4"/>
  <c r="J349" i="4"/>
  <c r="M359" i="9" l="1"/>
  <c r="J360" i="9"/>
  <c r="F148" i="9"/>
  <c r="O148" i="9"/>
  <c r="H148" i="9" s="1"/>
  <c r="M349" i="4"/>
  <c r="J350" i="4"/>
  <c r="M360" i="9" l="1"/>
  <c r="J361" i="9"/>
  <c r="I148" i="9"/>
  <c r="C149" i="9" s="1"/>
  <c r="M350" i="4"/>
  <c r="J351" i="4"/>
  <c r="M361" i="9" l="1"/>
  <c r="J362" i="9"/>
  <c r="G149" i="9"/>
  <c r="B149" i="9"/>
  <c r="N149" i="9" s="1"/>
  <c r="L149" i="9"/>
  <c r="E149" i="9"/>
  <c r="D149" i="9"/>
  <c r="M351" i="4"/>
  <c r="J352" i="4"/>
  <c r="O149" i="9" l="1"/>
  <c r="M362" i="9"/>
  <c r="J363" i="9"/>
  <c r="F149" i="9"/>
  <c r="M352" i="4"/>
  <c r="J353" i="4"/>
  <c r="M363" i="9" l="1"/>
  <c r="J364" i="9"/>
  <c r="H149" i="9"/>
  <c r="I149" i="9" s="1"/>
  <c r="C150" i="9" s="1"/>
  <c r="M353" i="4"/>
  <c r="J354" i="4"/>
  <c r="L150" i="9" l="1"/>
  <c r="G150" i="9"/>
  <c r="B150" i="9"/>
  <c r="N150" i="9" s="1"/>
  <c r="E150" i="9"/>
  <c r="D150" i="9"/>
  <c r="M364" i="9"/>
  <c r="J365" i="9"/>
  <c r="M354" i="4"/>
  <c r="J355" i="4"/>
  <c r="F150" i="9" l="1"/>
  <c r="M365" i="9"/>
  <c r="J366" i="9"/>
  <c r="O150" i="9"/>
  <c r="H150" i="9" s="1"/>
  <c r="I150" i="9" s="1"/>
  <c r="C151" i="9" s="1"/>
  <c r="M355" i="4"/>
  <c r="J356" i="4"/>
  <c r="G151" i="9" l="1"/>
  <c r="B151" i="9"/>
  <c r="N151" i="9" s="1"/>
  <c r="L151" i="9"/>
  <c r="E151" i="9"/>
  <c r="D151" i="9"/>
  <c r="M366" i="9"/>
  <c r="J367" i="9"/>
  <c r="M356" i="4"/>
  <c r="J357" i="4"/>
  <c r="O151" i="9" l="1"/>
  <c r="M367" i="9"/>
  <c r="J368" i="9"/>
  <c r="F151" i="9"/>
  <c r="M357" i="4"/>
  <c r="J358" i="4"/>
  <c r="M368" i="9" l="1"/>
  <c r="J369" i="9"/>
  <c r="H151" i="9"/>
  <c r="I151" i="9" s="1"/>
  <c r="C152" i="9" s="1"/>
  <c r="M358" i="4"/>
  <c r="J359" i="4"/>
  <c r="L152" i="9" l="1"/>
  <c r="G152" i="9"/>
  <c r="B152" i="9"/>
  <c r="N152" i="9" s="1"/>
  <c r="E152" i="9"/>
  <c r="D152" i="9"/>
  <c r="M369" i="9"/>
  <c r="J370" i="9"/>
  <c r="M359" i="4"/>
  <c r="J360" i="4"/>
  <c r="F152" i="9" l="1"/>
  <c r="M370" i="9"/>
  <c r="J371" i="9"/>
  <c r="O152" i="9"/>
  <c r="H152" i="9" s="1"/>
  <c r="I152" i="9" s="1"/>
  <c r="C153" i="9" s="1"/>
  <c r="M360" i="4"/>
  <c r="J361" i="4"/>
  <c r="G153" i="9" l="1"/>
  <c r="B153" i="9"/>
  <c r="N153" i="9" s="1"/>
  <c r="L153" i="9"/>
  <c r="E153" i="9"/>
  <c r="D153" i="9"/>
  <c r="M371" i="9"/>
  <c r="J372" i="9"/>
  <c r="M361" i="4"/>
  <c r="J362" i="4"/>
  <c r="O153" i="9" l="1"/>
  <c r="M372" i="9"/>
  <c r="J373" i="9"/>
  <c r="F153" i="9"/>
  <c r="M362" i="4"/>
  <c r="J363" i="4"/>
  <c r="M373" i="9" l="1"/>
  <c r="H153" i="9"/>
  <c r="I153" i="9" s="1"/>
  <c r="C154" i="9" s="1"/>
  <c r="M363" i="4"/>
  <c r="J364" i="4"/>
  <c r="L154" i="9" l="1"/>
  <c r="G154" i="9"/>
  <c r="B154" i="9"/>
  <c r="N154" i="9" s="1"/>
  <c r="E154" i="9"/>
  <c r="D154" i="9"/>
  <c r="M364" i="4"/>
  <c r="J365" i="4"/>
  <c r="F154" i="9" l="1"/>
  <c r="O154" i="9"/>
  <c r="H154" i="9" s="1"/>
  <c r="M365" i="4"/>
  <c r="J366" i="4"/>
  <c r="I154" i="9" l="1"/>
  <c r="C155" i="9" s="1"/>
  <c r="M366" i="4"/>
  <c r="J367" i="4"/>
  <c r="G155" i="9" l="1"/>
  <c r="B155" i="9"/>
  <c r="N155" i="9" s="1"/>
  <c r="L155" i="9"/>
  <c r="E155" i="9"/>
  <c r="D155" i="9"/>
  <c r="M367" i="4"/>
  <c r="J368" i="4"/>
  <c r="O155" i="9" l="1"/>
  <c r="F155" i="9"/>
  <c r="M368" i="4"/>
  <c r="J369" i="4"/>
  <c r="H155" i="9" l="1"/>
  <c r="I155" i="9" s="1"/>
  <c r="C156" i="9" s="1"/>
  <c r="M369" i="4"/>
  <c r="J370" i="4"/>
  <c r="L156" i="9" l="1"/>
  <c r="G156" i="9"/>
  <c r="B156" i="9"/>
  <c r="N156" i="9" s="1"/>
  <c r="E156" i="9"/>
  <c r="D156" i="9"/>
  <c r="M370" i="4"/>
  <c r="J371" i="4"/>
  <c r="F156" i="9" l="1"/>
  <c r="O156" i="9"/>
  <c r="H156" i="9" s="1"/>
  <c r="M371" i="4"/>
  <c r="J372" i="4"/>
  <c r="C15" i="4"/>
  <c r="D15" i="4" s="1"/>
  <c r="I156" i="9" l="1"/>
  <c r="C157" i="9" s="1"/>
  <c r="G15" i="4"/>
  <c r="M372" i="4"/>
  <c r="J373" i="4"/>
  <c r="M373" i="4" s="1"/>
  <c r="L15" i="4"/>
  <c r="B15" i="4"/>
  <c r="N15" i="4" s="1"/>
  <c r="E15" i="4"/>
  <c r="G157" i="9" l="1"/>
  <c r="B157" i="9"/>
  <c r="N157" i="9" s="1"/>
  <c r="L157" i="9"/>
  <c r="E157" i="9"/>
  <c r="D157" i="9"/>
  <c r="O15" i="4"/>
  <c r="F15" i="4"/>
  <c r="O157" i="9" l="1"/>
  <c r="F157" i="9"/>
  <c r="H15" i="4"/>
  <c r="I15" i="4" s="1"/>
  <c r="C16" i="4" s="1"/>
  <c r="G16" i="4" s="1"/>
  <c r="H157" i="9" l="1"/>
  <c r="I157" i="9" s="1"/>
  <c r="C158" i="9" s="1"/>
  <c r="D16" i="4"/>
  <c r="L16" i="4"/>
  <c r="E16" i="4"/>
  <c r="B16" i="4"/>
  <c r="N16" i="4" s="1"/>
  <c r="L158" i="9" l="1"/>
  <c r="G158" i="9"/>
  <c r="B158" i="9"/>
  <c r="N158" i="9" s="1"/>
  <c r="E158" i="9"/>
  <c r="D158" i="9"/>
  <c r="F16" i="4"/>
  <c r="O16" i="4"/>
  <c r="F158" i="9" l="1"/>
  <c r="O158" i="9"/>
  <c r="H158" i="9" s="1"/>
  <c r="H16" i="4"/>
  <c r="I16" i="4" s="1"/>
  <c r="C17" i="4" s="1"/>
  <c r="G17" i="4" s="1"/>
  <c r="I158" i="9" l="1"/>
  <c r="C159" i="9" s="1"/>
  <c r="D17" i="4"/>
  <c r="B17" i="4"/>
  <c r="N17" i="4" s="1"/>
  <c r="L17" i="4"/>
  <c r="E17" i="4"/>
  <c r="G159" i="9" l="1"/>
  <c r="B159" i="9"/>
  <c r="N159" i="9" s="1"/>
  <c r="L159" i="9"/>
  <c r="E159" i="9"/>
  <c r="D159" i="9"/>
  <c r="O17" i="4"/>
  <c r="F17" i="4"/>
  <c r="O159" i="9" l="1"/>
  <c r="F159" i="9"/>
  <c r="H159" i="9"/>
  <c r="I159" i="9" s="1"/>
  <c r="C160" i="9" s="1"/>
  <c r="H17" i="4"/>
  <c r="I17" i="4" s="1"/>
  <c r="C18" i="4" s="1"/>
  <c r="G18" i="4" s="1"/>
  <c r="L160" i="9" l="1"/>
  <c r="G160" i="9"/>
  <c r="B160" i="9"/>
  <c r="N160" i="9" s="1"/>
  <c r="E160" i="9"/>
  <c r="D160" i="9"/>
  <c r="D18" i="4"/>
  <c r="L18" i="4"/>
  <c r="E18" i="4"/>
  <c r="B18" i="4"/>
  <c r="N18" i="4" s="1"/>
  <c r="O18" i="4" l="1"/>
  <c r="F160" i="9"/>
  <c r="O160" i="9"/>
  <c r="H160" i="9" s="1"/>
  <c r="F18" i="4"/>
  <c r="H18" i="4" s="1"/>
  <c r="I160" i="9" l="1"/>
  <c r="C161" i="9" s="1"/>
  <c r="I18" i="4"/>
  <c r="C19" i="4" s="1"/>
  <c r="G19" i="4" s="1"/>
  <c r="G161" i="9" l="1"/>
  <c r="B161" i="9"/>
  <c r="N161" i="9" s="1"/>
  <c r="L161" i="9"/>
  <c r="E161" i="9"/>
  <c r="D161" i="9"/>
  <c r="D19" i="4"/>
  <c r="B19" i="4"/>
  <c r="N19" i="4" s="1"/>
  <c r="L19" i="4"/>
  <c r="E19" i="4"/>
  <c r="O161" i="9" l="1"/>
  <c r="F161" i="9"/>
  <c r="O19" i="4"/>
  <c r="F19" i="4"/>
  <c r="H161" i="9" l="1"/>
  <c r="I161" i="9" s="1"/>
  <c r="C162" i="9" s="1"/>
  <c r="H19" i="4"/>
  <c r="I19" i="4" s="1"/>
  <c r="C20" i="4" s="1"/>
  <c r="G20" i="4" s="1"/>
  <c r="L162" i="9" l="1"/>
  <c r="G162" i="9"/>
  <c r="B162" i="9"/>
  <c r="N162" i="9" s="1"/>
  <c r="E162" i="9"/>
  <c r="D162" i="9"/>
  <c r="D20" i="4"/>
  <c r="L20" i="4"/>
  <c r="B20" i="4"/>
  <c r="N20" i="4" s="1"/>
  <c r="E20" i="4"/>
  <c r="F162" i="9" l="1"/>
  <c r="O162" i="9"/>
  <c r="H162" i="9" s="1"/>
  <c r="O20" i="4"/>
  <c r="F20" i="4"/>
  <c r="I162" i="9" l="1"/>
  <c r="C163" i="9" s="1"/>
  <c r="H20" i="4"/>
  <c r="I20" i="4" s="1"/>
  <c r="C21" i="4" s="1"/>
  <c r="G21" i="4" s="1"/>
  <c r="G163" i="9" l="1"/>
  <c r="B163" i="9"/>
  <c r="N163" i="9" s="1"/>
  <c r="L163" i="9"/>
  <c r="E163" i="9"/>
  <c r="D163" i="9"/>
  <c r="D21" i="4"/>
  <c r="B21" i="4"/>
  <c r="N21" i="4" s="1"/>
  <c r="E21" i="4"/>
  <c r="L21" i="4"/>
  <c r="O163" i="9" l="1"/>
  <c r="F163" i="9"/>
  <c r="O21" i="4"/>
  <c r="F21" i="4"/>
  <c r="H163" i="9" l="1"/>
  <c r="I163" i="9" s="1"/>
  <c r="C164" i="9" s="1"/>
  <c r="H21" i="4"/>
  <c r="I21" i="4" s="1"/>
  <c r="C22" i="4" s="1"/>
  <c r="L164" i="9" l="1"/>
  <c r="G164" i="9"/>
  <c r="B164" i="9"/>
  <c r="N164" i="9" s="1"/>
  <c r="E164" i="9"/>
  <c r="D164" i="9"/>
  <c r="D22" i="4"/>
  <c r="G22" i="4"/>
  <c r="E22" i="4"/>
  <c r="B22" i="4"/>
  <c r="N22" i="4" s="1"/>
  <c r="L22" i="4"/>
  <c r="F164" i="9" l="1"/>
  <c r="O164" i="9"/>
  <c r="H164" i="9" s="1"/>
  <c r="I164" i="9" s="1"/>
  <c r="C165" i="9" s="1"/>
  <c r="F22" i="4"/>
  <c r="O22" i="4"/>
  <c r="G165" i="9" l="1"/>
  <c r="B165" i="9"/>
  <c r="N165" i="9" s="1"/>
  <c r="L165" i="9"/>
  <c r="E165" i="9"/>
  <c r="D165" i="9"/>
  <c r="H22" i="4"/>
  <c r="I22" i="4" s="1"/>
  <c r="C23" i="4" s="1"/>
  <c r="O165" i="9" l="1"/>
  <c r="F165" i="9"/>
  <c r="D23" i="4"/>
  <c r="G23" i="4"/>
  <c r="L23" i="4"/>
  <c r="E23" i="4"/>
  <c r="B23" i="4"/>
  <c r="N23" i="4" s="1"/>
  <c r="H165" i="9" l="1"/>
  <c r="I165" i="9" s="1"/>
  <c r="C166" i="9" s="1"/>
  <c r="O23" i="4"/>
  <c r="F23" i="4"/>
  <c r="L166" i="9" l="1"/>
  <c r="G166" i="9"/>
  <c r="B166" i="9"/>
  <c r="N166" i="9" s="1"/>
  <c r="E166" i="9"/>
  <c r="D166" i="9"/>
  <c r="H23" i="4"/>
  <c r="I23" i="4" s="1"/>
  <c r="C24" i="4" s="1"/>
  <c r="F166" i="9" l="1"/>
  <c r="O166" i="9"/>
  <c r="H166" i="9" s="1"/>
  <c r="L24" i="4"/>
  <c r="D24" i="4"/>
  <c r="E24" i="4"/>
  <c r="B24" i="4"/>
  <c r="N24" i="4" s="1"/>
  <c r="G24" i="4"/>
  <c r="O24" i="4" l="1"/>
  <c r="I166" i="9"/>
  <c r="C167" i="9" s="1"/>
  <c r="F24" i="4"/>
  <c r="H24" i="4"/>
  <c r="I24" i="4" s="1"/>
  <c r="C25" i="4" s="1"/>
  <c r="D25" i="4" s="1"/>
  <c r="G167" i="9" l="1"/>
  <c r="B167" i="9"/>
  <c r="N167" i="9" s="1"/>
  <c r="L167" i="9"/>
  <c r="E167" i="9"/>
  <c r="D167" i="9"/>
  <c r="B25" i="4"/>
  <c r="N25" i="4" s="1"/>
  <c r="L25" i="4"/>
  <c r="E25" i="4"/>
  <c r="G25" i="4"/>
  <c r="O167" i="9" l="1"/>
  <c r="F167" i="9"/>
  <c r="F25" i="4"/>
  <c r="O25" i="4"/>
  <c r="H25" i="4" s="1"/>
  <c r="I25" i="4" s="1"/>
  <c r="C26" i="4" s="1"/>
  <c r="B26" i="4" s="1"/>
  <c r="N26" i="4" s="1"/>
  <c r="H167" i="9" l="1"/>
  <c r="I167" i="9" s="1"/>
  <c r="C168" i="9" s="1"/>
  <c r="D26" i="4"/>
  <c r="G26" i="4"/>
  <c r="L26" i="4"/>
  <c r="O26" i="4" s="1"/>
  <c r="E26" i="4"/>
  <c r="L168" i="9" l="1"/>
  <c r="G168" i="9"/>
  <c r="B168" i="9"/>
  <c r="N168" i="9" s="1"/>
  <c r="E168" i="9"/>
  <c r="D168" i="9"/>
  <c r="F26" i="4"/>
  <c r="H26" i="4" s="1"/>
  <c r="I26" i="4" s="1"/>
  <c r="C27" i="4" s="1"/>
  <c r="F168" i="9" l="1"/>
  <c r="O168" i="9"/>
  <c r="H168" i="9" s="1"/>
  <c r="D27" i="4"/>
  <c r="G27" i="4"/>
  <c r="L27" i="4"/>
  <c r="E27" i="4"/>
  <c r="B27" i="4"/>
  <c r="N27" i="4" s="1"/>
  <c r="I168" i="9" l="1"/>
  <c r="C169" i="9" s="1"/>
  <c r="O27" i="4"/>
  <c r="F27" i="4"/>
  <c r="G169" i="9" l="1"/>
  <c r="B169" i="9"/>
  <c r="N169" i="9" s="1"/>
  <c r="L169" i="9"/>
  <c r="E169" i="9"/>
  <c r="D169" i="9"/>
  <c r="H27" i="4"/>
  <c r="I27" i="4" s="1"/>
  <c r="C28" i="4" s="1"/>
  <c r="G28" i="4" s="1"/>
  <c r="O169" i="9" l="1"/>
  <c r="F169" i="9"/>
  <c r="D28" i="4"/>
  <c r="L28" i="4"/>
  <c r="E28" i="4"/>
  <c r="B28" i="4"/>
  <c r="N28" i="4" s="1"/>
  <c r="O28" i="4" l="1"/>
  <c r="H169" i="9"/>
  <c r="I169" i="9" s="1"/>
  <c r="C170" i="9" s="1"/>
  <c r="F28" i="4"/>
  <c r="H28" i="4" s="1"/>
  <c r="I28" i="4" s="1"/>
  <c r="C29" i="4" s="1"/>
  <c r="L170" i="9" l="1"/>
  <c r="G170" i="9"/>
  <c r="B170" i="9"/>
  <c r="N170" i="9" s="1"/>
  <c r="E170" i="9"/>
  <c r="D170" i="9"/>
  <c r="G29" i="4"/>
  <c r="E29" i="4"/>
  <c r="L29" i="4"/>
  <c r="B29" i="4"/>
  <c r="N29" i="4" s="1"/>
  <c r="D29" i="4"/>
  <c r="F170" i="9" l="1"/>
  <c r="O170" i="9"/>
  <c r="H170" i="9" s="1"/>
  <c r="O29" i="4"/>
  <c r="F29" i="4"/>
  <c r="I170" i="9" l="1"/>
  <c r="C171" i="9" s="1"/>
  <c r="H29" i="4"/>
  <c r="I29" i="4" s="1"/>
  <c r="C30" i="4" s="1"/>
  <c r="G30" i="4" s="1"/>
  <c r="G171" i="9" l="1"/>
  <c r="B171" i="9"/>
  <c r="N171" i="9" s="1"/>
  <c r="L171" i="9"/>
  <c r="E171" i="9"/>
  <c r="D171" i="9"/>
  <c r="L30" i="4"/>
  <c r="B30" i="4"/>
  <c r="N30" i="4" s="1"/>
  <c r="E30" i="4"/>
  <c r="D30" i="4"/>
  <c r="F30" i="4" l="1"/>
  <c r="O171" i="9"/>
  <c r="F171" i="9"/>
  <c r="O30" i="4"/>
  <c r="H30" i="4" s="1"/>
  <c r="I30" i="4" s="1"/>
  <c r="C31" i="4" s="1"/>
  <c r="G31" i="4" s="1"/>
  <c r="H171" i="9" l="1"/>
  <c r="I171" i="9" s="1"/>
  <c r="C172" i="9" s="1"/>
  <c r="D31" i="4"/>
  <c r="L31" i="4"/>
  <c r="B31" i="4"/>
  <c r="N31" i="4" s="1"/>
  <c r="E31" i="4"/>
  <c r="L172" i="9" l="1"/>
  <c r="G172" i="9"/>
  <c r="B172" i="9"/>
  <c r="N172" i="9" s="1"/>
  <c r="E172" i="9"/>
  <c r="D172" i="9"/>
  <c r="O31" i="4"/>
  <c r="F31" i="4"/>
  <c r="F172" i="9" l="1"/>
  <c r="O172" i="9"/>
  <c r="H172" i="9" s="1"/>
  <c r="H31" i="4"/>
  <c r="I31" i="4" s="1"/>
  <c r="C32" i="4" s="1"/>
  <c r="G32" i="4" s="1"/>
  <c r="I172" i="9" l="1"/>
  <c r="C173" i="9" s="1"/>
  <c r="D32" i="4"/>
  <c r="B32" i="4"/>
  <c r="N32" i="4" s="1"/>
  <c r="E32" i="4"/>
  <c r="L32" i="4"/>
  <c r="G173" i="9" l="1"/>
  <c r="B173" i="9"/>
  <c r="N173" i="9" s="1"/>
  <c r="L173" i="9"/>
  <c r="E173" i="9"/>
  <c r="D173" i="9"/>
  <c r="O32" i="4"/>
  <c r="F32" i="4"/>
  <c r="O173" i="9" l="1"/>
  <c r="F173" i="9"/>
  <c r="H32" i="4"/>
  <c r="I32" i="4" s="1"/>
  <c r="C33" i="4" s="1"/>
  <c r="G33" i="4" s="1"/>
  <c r="H173" i="9" l="1"/>
  <c r="I173" i="9" s="1"/>
  <c r="C174" i="9" s="1"/>
  <c r="D33" i="4"/>
  <c r="E33" i="4"/>
  <c r="L33" i="4"/>
  <c r="B33" i="4"/>
  <c r="N33" i="4" s="1"/>
  <c r="L174" i="9" l="1"/>
  <c r="G174" i="9"/>
  <c r="B174" i="9"/>
  <c r="N174" i="9" s="1"/>
  <c r="E174" i="9"/>
  <c r="D174" i="9"/>
  <c r="O33" i="4"/>
  <c r="F33" i="4"/>
  <c r="F174" i="9" l="1"/>
  <c r="O174" i="9"/>
  <c r="H33" i="4"/>
  <c r="I33" i="4" s="1"/>
  <c r="C34" i="4" s="1"/>
  <c r="G34" i="4" s="1"/>
  <c r="H174" i="9" l="1"/>
  <c r="I174" i="9" s="1"/>
  <c r="C175" i="9" s="1"/>
  <c r="D34" i="4"/>
  <c r="E34" i="4"/>
  <c r="L34" i="4"/>
  <c r="B34" i="4"/>
  <c r="N34" i="4" s="1"/>
  <c r="G175" i="9" l="1"/>
  <c r="B175" i="9"/>
  <c r="N175" i="9" s="1"/>
  <c r="L175" i="9"/>
  <c r="E175" i="9"/>
  <c r="D175" i="9"/>
  <c r="O34" i="4"/>
  <c r="F34" i="4"/>
  <c r="O175" i="9" l="1"/>
  <c r="F175" i="9"/>
  <c r="H34" i="4"/>
  <c r="I34" i="4" s="1"/>
  <c r="C35" i="4" s="1"/>
  <c r="G35" i="4" s="1"/>
  <c r="H175" i="9" l="1"/>
  <c r="I175" i="9" s="1"/>
  <c r="C176" i="9" s="1"/>
  <c r="D35" i="4"/>
  <c r="E35" i="4"/>
  <c r="L35" i="4"/>
  <c r="B35" i="4"/>
  <c r="N35" i="4" s="1"/>
  <c r="L176" i="9" l="1"/>
  <c r="G176" i="9"/>
  <c r="B176" i="9"/>
  <c r="N176" i="9" s="1"/>
  <c r="E176" i="9"/>
  <c r="D176" i="9"/>
  <c r="O35" i="4"/>
  <c r="F35" i="4"/>
  <c r="F176" i="9" l="1"/>
  <c r="O176" i="9"/>
  <c r="H35" i="4"/>
  <c r="I35" i="4" s="1"/>
  <c r="C36" i="4" s="1"/>
  <c r="G36" i="4" s="1"/>
  <c r="H176" i="9" l="1"/>
  <c r="I176" i="9"/>
  <c r="C177" i="9" s="1"/>
  <c r="D36" i="4"/>
  <c r="B36" i="4"/>
  <c r="N36" i="4" s="1"/>
  <c r="E36" i="4"/>
  <c r="L36" i="4"/>
  <c r="G177" i="9" l="1"/>
  <c r="B177" i="9"/>
  <c r="N177" i="9" s="1"/>
  <c r="L177" i="9"/>
  <c r="E177" i="9"/>
  <c r="D177" i="9"/>
  <c r="O36" i="4"/>
  <c r="F36" i="4"/>
  <c r="O177" i="9" l="1"/>
  <c r="F177" i="9"/>
  <c r="H36" i="4"/>
  <c r="I36" i="4" s="1"/>
  <c r="C37" i="4" s="1"/>
  <c r="G37" i="4" s="1"/>
  <c r="H177" i="9" l="1"/>
  <c r="I177" i="9" s="1"/>
  <c r="C178" i="9" s="1"/>
  <c r="D37" i="4"/>
  <c r="B37" i="4"/>
  <c r="N37" i="4" s="1"/>
  <c r="L37" i="4"/>
  <c r="E37" i="4"/>
  <c r="L178" i="9" l="1"/>
  <c r="G178" i="9"/>
  <c r="B178" i="9"/>
  <c r="N178" i="9" s="1"/>
  <c r="E178" i="9"/>
  <c r="D178" i="9"/>
  <c r="O37" i="4"/>
  <c r="F37" i="4"/>
  <c r="F178" i="9" l="1"/>
  <c r="O178" i="9"/>
  <c r="H37" i="4"/>
  <c r="I37" i="4"/>
  <c r="C38" i="4" s="1"/>
  <c r="G38" i="4" s="1"/>
  <c r="H178" i="9" l="1"/>
  <c r="I178" i="9" s="1"/>
  <c r="C179" i="9" s="1"/>
  <c r="D38" i="4"/>
  <c r="E38" i="4"/>
  <c r="L38" i="4"/>
  <c r="B38" i="4"/>
  <c r="N38" i="4" s="1"/>
  <c r="G179" i="9" l="1"/>
  <c r="B179" i="9"/>
  <c r="N179" i="9" s="1"/>
  <c r="L179" i="9"/>
  <c r="E179" i="9"/>
  <c r="D179" i="9"/>
  <c r="O38" i="4"/>
  <c r="F38" i="4"/>
  <c r="O179" i="9" l="1"/>
  <c r="F179" i="9"/>
  <c r="H38" i="4"/>
  <c r="I38" i="4" s="1"/>
  <c r="C39" i="4" s="1"/>
  <c r="G39" i="4" s="1"/>
  <c r="H179" i="9" l="1"/>
  <c r="I179" i="9" s="1"/>
  <c r="C180" i="9" s="1"/>
  <c r="D39" i="4"/>
  <c r="E39" i="4"/>
  <c r="L39" i="4"/>
  <c r="B39" i="4"/>
  <c r="N39" i="4" s="1"/>
  <c r="L180" i="9" l="1"/>
  <c r="G180" i="9"/>
  <c r="B180" i="9"/>
  <c r="N180" i="9" s="1"/>
  <c r="E180" i="9"/>
  <c r="D180" i="9"/>
  <c r="O39" i="4"/>
  <c r="F39" i="4"/>
  <c r="F180" i="9" l="1"/>
  <c r="O180" i="9"/>
  <c r="H180" i="9" s="1"/>
  <c r="H39" i="4"/>
  <c r="I39" i="4" s="1"/>
  <c r="C40" i="4" s="1"/>
  <c r="G40" i="4" s="1"/>
  <c r="I180" i="9" l="1"/>
  <c r="C181" i="9" s="1"/>
  <c r="D40" i="4"/>
  <c r="B40" i="4"/>
  <c r="N40" i="4" s="1"/>
  <c r="E40" i="4"/>
  <c r="L40" i="4"/>
  <c r="G181" i="9" l="1"/>
  <c r="B181" i="9"/>
  <c r="N181" i="9" s="1"/>
  <c r="L181" i="9"/>
  <c r="E181" i="9"/>
  <c r="D181" i="9"/>
  <c r="O40" i="4"/>
  <c r="F40" i="4"/>
  <c r="O181" i="9" l="1"/>
  <c r="F181" i="9"/>
  <c r="H40" i="4"/>
  <c r="I40" i="4" s="1"/>
  <c r="C41" i="4" s="1"/>
  <c r="G41" i="4" s="1"/>
  <c r="H181" i="9" l="1"/>
  <c r="I181" i="9" s="1"/>
  <c r="C182" i="9" s="1"/>
  <c r="D41" i="4"/>
  <c r="B41" i="4"/>
  <c r="N41" i="4" s="1"/>
  <c r="L41" i="4"/>
  <c r="E41" i="4"/>
  <c r="L182" i="9" l="1"/>
  <c r="G182" i="9"/>
  <c r="B182" i="9"/>
  <c r="N182" i="9" s="1"/>
  <c r="E182" i="9"/>
  <c r="D182" i="9"/>
  <c r="O41" i="4"/>
  <c r="F41" i="4"/>
  <c r="F182" i="9" l="1"/>
  <c r="O182" i="9"/>
  <c r="H182" i="9" s="1"/>
  <c r="H41" i="4"/>
  <c r="I41" i="4" s="1"/>
  <c r="C42" i="4" s="1"/>
  <c r="G42" i="4" s="1"/>
  <c r="I182" i="9" l="1"/>
  <c r="C183" i="9" s="1"/>
  <c r="D42" i="4"/>
  <c r="L42" i="4"/>
  <c r="E42" i="4"/>
  <c r="B42" i="4"/>
  <c r="N42" i="4" s="1"/>
  <c r="G183" i="9" l="1"/>
  <c r="B183" i="9"/>
  <c r="N183" i="9" s="1"/>
  <c r="L183" i="9"/>
  <c r="E183" i="9"/>
  <c r="D183" i="9"/>
  <c r="O42" i="4"/>
  <c r="F42" i="4"/>
  <c r="O183" i="9" l="1"/>
  <c r="F183" i="9"/>
  <c r="H42" i="4"/>
  <c r="I42" i="4" s="1"/>
  <c r="C43" i="4" s="1"/>
  <c r="G43" i="4" s="1"/>
  <c r="H183" i="9" l="1"/>
  <c r="I183" i="9" s="1"/>
  <c r="C184" i="9" s="1"/>
  <c r="D43" i="4"/>
  <c r="E43" i="4"/>
  <c r="L43" i="4"/>
  <c r="B43" i="4"/>
  <c r="N43" i="4" s="1"/>
  <c r="L184" i="9" l="1"/>
  <c r="G184" i="9"/>
  <c r="B184" i="9"/>
  <c r="N184" i="9" s="1"/>
  <c r="E184" i="9"/>
  <c r="D184" i="9"/>
  <c r="O43" i="4"/>
  <c r="F43" i="4"/>
  <c r="F184" i="9" l="1"/>
  <c r="O184" i="9"/>
  <c r="H43" i="4"/>
  <c r="I43" i="4" s="1"/>
  <c r="C44" i="4" s="1"/>
  <c r="G44" i="4" s="1"/>
  <c r="H184" i="9" l="1"/>
  <c r="I184" i="9" s="1"/>
  <c r="C185" i="9" s="1"/>
  <c r="G185" i="9" s="1"/>
  <c r="E185" i="9"/>
  <c r="D44" i="4"/>
  <c r="E44" i="4"/>
  <c r="B44" i="4"/>
  <c r="N44" i="4" s="1"/>
  <c r="L44" i="4"/>
  <c r="L185" i="9" l="1"/>
  <c r="B185" i="9"/>
  <c r="N185" i="9" s="1"/>
  <c r="D185" i="9"/>
  <c r="F185" i="9" s="1"/>
  <c r="F44" i="4"/>
  <c r="O44" i="4"/>
  <c r="O185" i="9" l="1"/>
  <c r="H185" i="9"/>
  <c r="I185" i="9" s="1"/>
  <c r="C186" i="9" s="1"/>
  <c r="H44" i="4"/>
  <c r="I44" i="4" s="1"/>
  <c r="C45" i="4" s="1"/>
  <c r="L186" i="9" l="1"/>
  <c r="G186" i="9"/>
  <c r="B186" i="9"/>
  <c r="N186" i="9" s="1"/>
  <c r="E186" i="9"/>
  <c r="D186" i="9"/>
  <c r="D45" i="4"/>
  <c r="G45" i="4"/>
  <c r="L45" i="4"/>
  <c r="B45" i="4"/>
  <c r="N45" i="4" s="1"/>
  <c r="E45" i="4"/>
  <c r="F186" i="9" l="1"/>
  <c r="O186" i="9"/>
  <c r="O45" i="4"/>
  <c r="F45" i="4"/>
  <c r="H186" i="9" l="1"/>
  <c r="I186" i="9"/>
  <c r="C187" i="9" s="1"/>
  <c r="H45" i="4"/>
  <c r="I45" i="4" s="1"/>
  <c r="C46" i="4" s="1"/>
  <c r="G46" i="4" s="1"/>
  <c r="G187" i="9" l="1"/>
  <c r="B187" i="9"/>
  <c r="N187" i="9" s="1"/>
  <c r="L187" i="9"/>
  <c r="E187" i="9"/>
  <c r="D187" i="9"/>
  <c r="D46" i="4"/>
  <c r="E46" i="4"/>
  <c r="L46" i="4"/>
  <c r="B46" i="4"/>
  <c r="N46" i="4" s="1"/>
  <c r="O187" i="9" l="1"/>
  <c r="F187" i="9"/>
  <c r="O46" i="4"/>
  <c r="F46" i="4"/>
  <c r="H187" i="9" l="1"/>
  <c r="I187" i="9" s="1"/>
  <c r="C188" i="9" s="1"/>
  <c r="H46" i="4"/>
  <c r="I46" i="4" s="1"/>
  <c r="C47" i="4" s="1"/>
  <c r="G47" i="4" s="1"/>
  <c r="L188" i="9" l="1"/>
  <c r="G188" i="9"/>
  <c r="B188" i="9"/>
  <c r="N188" i="9" s="1"/>
  <c r="E188" i="9"/>
  <c r="D188" i="9"/>
  <c r="L47" i="4"/>
  <c r="B47" i="4"/>
  <c r="N47" i="4" s="1"/>
  <c r="O47" i="4" s="1"/>
  <c r="E47" i="4"/>
  <c r="D47" i="4"/>
  <c r="F47" i="4" l="1"/>
  <c r="F188" i="9"/>
  <c r="O188" i="9"/>
  <c r="H188" i="9" s="1"/>
  <c r="H47" i="4"/>
  <c r="I47" i="4" s="1"/>
  <c r="C48" i="4" s="1"/>
  <c r="G48" i="4" s="1"/>
  <c r="I188" i="9" l="1"/>
  <c r="C189" i="9" s="1"/>
  <c r="D48" i="4"/>
  <c r="L48" i="4"/>
  <c r="E48" i="4"/>
  <c r="B48" i="4"/>
  <c r="N48" i="4" s="1"/>
  <c r="G189" i="9" l="1"/>
  <c r="B189" i="9"/>
  <c r="N189" i="9" s="1"/>
  <c r="L189" i="9"/>
  <c r="E189" i="9"/>
  <c r="D189" i="9"/>
  <c r="O48" i="4"/>
  <c r="F48" i="4"/>
  <c r="O189" i="9" l="1"/>
  <c r="F189" i="9"/>
  <c r="H48" i="4"/>
  <c r="I48" i="4" s="1"/>
  <c r="C49" i="4" s="1"/>
  <c r="G49" i="4" s="1"/>
  <c r="H189" i="9" l="1"/>
  <c r="I189" i="9" s="1"/>
  <c r="C190" i="9" s="1"/>
  <c r="D49" i="4"/>
  <c r="E49" i="4"/>
  <c r="L49" i="4"/>
  <c r="B49" i="4"/>
  <c r="N49" i="4" s="1"/>
  <c r="L190" i="9" l="1"/>
  <c r="G190" i="9"/>
  <c r="B190" i="9"/>
  <c r="N190" i="9" s="1"/>
  <c r="E190" i="9"/>
  <c r="D190" i="9"/>
  <c r="O49" i="4"/>
  <c r="F49" i="4"/>
  <c r="F190" i="9" l="1"/>
  <c r="O190" i="9"/>
  <c r="H190" i="9" s="1"/>
  <c r="I190" i="9" s="1"/>
  <c r="C191" i="9" s="1"/>
  <c r="H49" i="4"/>
  <c r="I49" i="4"/>
  <c r="C50" i="4" s="1"/>
  <c r="G50" i="4" s="1"/>
  <c r="G191" i="9" l="1"/>
  <c r="B191" i="9"/>
  <c r="N191" i="9" s="1"/>
  <c r="L191" i="9"/>
  <c r="E191" i="9"/>
  <c r="D191" i="9"/>
  <c r="D50" i="4"/>
  <c r="L50" i="4"/>
  <c r="E50" i="4"/>
  <c r="B50" i="4"/>
  <c r="N50" i="4" s="1"/>
  <c r="O191" i="9" l="1"/>
  <c r="F191" i="9"/>
  <c r="O50" i="4"/>
  <c r="F50" i="4"/>
  <c r="H191" i="9" l="1"/>
  <c r="I191" i="9" s="1"/>
  <c r="C192" i="9" s="1"/>
  <c r="H50" i="4"/>
  <c r="I50" i="4" s="1"/>
  <c r="C51" i="4" s="1"/>
  <c r="G51" i="4" s="1"/>
  <c r="L192" i="9" l="1"/>
  <c r="G192" i="9"/>
  <c r="B192" i="9"/>
  <c r="N192" i="9" s="1"/>
  <c r="E192" i="9"/>
  <c r="D192" i="9"/>
  <c r="D51" i="4"/>
  <c r="B51" i="4"/>
  <c r="N51" i="4" s="1"/>
  <c r="L51" i="4"/>
  <c r="E51" i="4"/>
  <c r="F192" i="9" l="1"/>
  <c r="O192" i="9"/>
  <c r="H192" i="9" s="1"/>
  <c r="O51" i="4"/>
  <c r="F51" i="4"/>
  <c r="I192" i="9" l="1"/>
  <c r="C193" i="9" s="1"/>
  <c r="H51" i="4"/>
  <c r="I51" i="4" s="1"/>
  <c r="C52" i="4" s="1"/>
  <c r="G52" i="4" s="1"/>
  <c r="G193" i="9" l="1"/>
  <c r="B193" i="9"/>
  <c r="N193" i="9" s="1"/>
  <c r="L193" i="9"/>
  <c r="E193" i="9"/>
  <c r="D193" i="9"/>
  <c r="D52" i="4"/>
  <c r="B52" i="4"/>
  <c r="N52" i="4" s="1"/>
  <c r="L52" i="4"/>
  <c r="E52" i="4"/>
  <c r="O193" i="9" l="1"/>
  <c r="F193" i="9"/>
  <c r="O52" i="4"/>
  <c r="F52" i="4"/>
  <c r="H193" i="9" l="1"/>
  <c r="I193" i="9" s="1"/>
  <c r="C194" i="9" s="1"/>
  <c r="H52" i="4"/>
  <c r="I52" i="4" s="1"/>
  <c r="C53" i="4" s="1"/>
  <c r="G53" i="4" s="1"/>
  <c r="L194" i="9" l="1"/>
  <c r="G194" i="9"/>
  <c r="B194" i="9"/>
  <c r="N194" i="9" s="1"/>
  <c r="E194" i="9"/>
  <c r="D194" i="9"/>
  <c r="D53" i="4"/>
  <c r="E53" i="4"/>
  <c r="B53" i="4"/>
  <c r="N53" i="4" s="1"/>
  <c r="L53" i="4"/>
  <c r="F194" i="9" l="1"/>
  <c r="O194" i="9"/>
  <c r="O53" i="4"/>
  <c r="F53" i="4"/>
  <c r="H194" i="9" l="1"/>
  <c r="I194" i="9"/>
  <c r="C195" i="9" s="1"/>
  <c r="H53" i="4"/>
  <c r="I53" i="4" s="1"/>
  <c r="C54" i="4" s="1"/>
  <c r="G54" i="4" s="1"/>
  <c r="G195" i="9" l="1"/>
  <c r="B195" i="9"/>
  <c r="N195" i="9" s="1"/>
  <c r="L195" i="9"/>
  <c r="E195" i="9"/>
  <c r="D195" i="9"/>
  <c r="D54" i="4"/>
  <c r="B54" i="4"/>
  <c r="N54" i="4" s="1"/>
  <c r="L54" i="4"/>
  <c r="E54" i="4"/>
  <c r="O195" i="9" l="1"/>
  <c r="F195" i="9"/>
  <c r="O54" i="4"/>
  <c r="F54" i="4"/>
  <c r="H195" i="9" l="1"/>
  <c r="I195" i="9" s="1"/>
  <c r="C196" i="9" s="1"/>
  <c r="H54" i="4"/>
  <c r="I54" i="4" s="1"/>
  <c r="C55" i="4" s="1"/>
  <c r="G55" i="4" s="1"/>
  <c r="L196" i="9" l="1"/>
  <c r="G196" i="9"/>
  <c r="B196" i="9"/>
  <c r="N196" i="9" s="1"/>
  <c r="E196" i="9"/>
  <c r="D196" i="9"/>
  <c r="D55" i="4"/>
  <c r="E55" i="4"/>
  <c r="B55" i="4"/>
  <c r="N55" i="4" s="1"/>
  <c r="L55" i="4"/>
  <c r="F196" i="9" l="1"/>
  <c r="O196" i="9"/>
  <c r="O55" i="4"/>
  <c r="F55" i="4"/>
  <c r="H196" i="9" l="1"/>
  <c r="I196" i="9"/>
  <c r="C197" i="9" s="1"/>
  <c r="H55" i="4"/>
  <c r="I55" i="4" s="1"/>
  <c r="C56" i="4" s="1"/>
  <c r="G56" i="4" s="1"/>
  <c r="G197" i="9" l="1"/>
  <c r="B197" i="9"/>
  <c r="N197" i="9" s="1"/>
  <c r="L197" i="9"/>
  <c r="E197" i="9"/>
  <c r="D197" i="9"/>
  <c r="D56" i="4"/>
  <c r="B56" i="4"/>
  <c r="N56" i="4" s="1"/>
  <c r="L56" i="4"/>
  <c r="E56" i="4"/>
  <c r="O197" i="9" l="1"/>
  <c r="F197" i="9"/>
  <c r="O56" i="4"/>
  <c r="F56" i="4"/>
  <c r="H197" i="9" l="1"/>
  <c r="I197" i="9" s="1"/>
  <c r="C198" i="9" s="1"/>
  <c r="H56" i="4"/>
  <c r="I56" i="4" s="1"/>
  <c r="C57" i="4" s="1"/>
  <c r="G57" i="4" s="1"/>
  <c r="L198" i="9" l="1"/>
  <c r="G198" i="9"/>
  <c r="B198" i="9"/>
  <c r="N198" i="9" s="1"/>
  <c r="E198" i="9"/>
  <c r="D198" i="9"/>
  <c r="D57" i="4"/>
  <c r="L57" i="4"/>
  <c r="B57" i="4"/>
  <c r="N57" i="4" s="1"/>
  <c r="E57" i="4"/>
  <c r="F198" i="9" l="1"/>
  <c r="O198" i="9"/>
  <c r="H198" i="9" s="1"/>
  <c r="O57" i="4"/>
  <c r="F57" i="4"/>
  <c r="I198" i="9" l="1"/>
  <c r="C199" i="9" s="1"/>
  <c r="H57" i="4"/>
  <c r="I57" i="4" s="1"/>
  <c r="C58" i="4" s="1"/>
  <c r="G58" i="4" s="1"/>
  <c r="G199" i="9" l="1"/>
  <c r="B199" i="9"/>
  <c r="N199" i="9" s="1"/>
  <c r="L199" i="9"/>
  <c r="E199" i="9"/>
  <c r="D199" i="9"/>
  <c r="D58" i="4"/>
  <c r="L58" i="4"/>
  <c r="B58" i="4"/>
  <c r="N58" i="4" s="1"/>
  <c r="E58" i="4"/>
  <c r="O199" i="9" l="1"/>
  <c r="F199" i="9"/>
  <c r="F58" i="4"/>
  <c r="O58" i="4"/>
  <c r="H199" i="9" l="1"/>
  <c r="I199" i="9" s="1"/>
  <c r="C200" i="9" s="1"/>
  <c r="H58" i="4"/>
  <c r="I58" i="4" s="1"/>
  <c r="C59" i="4" s="1"/>
  <c r="G59" i="4" s="1"/>
  <c r="L200" i="9" l="1"/>
  <c r="G200" i="9"/>
  <c r="B200" i="9"/>
  <c r="N200" i="9" s="1"/>
  <c r="E200" i="9"/>
  <c r="D200" i="9"/>
  <c r="D59" i="4"/>
  <c r="B59" i="4"/>
  <c r="N59" i="4" s="1"/>
  <c r="E59" i="4"/>
  <c r="L59" i="4"/>
  <c r="F200" i="9" l="1"/>
  <c r="O200" i="9"/>
  <c r="H200" i="9" s="1"/>
  <c r="F59" i="4"/>
  <c r="O59" i="4"/>
  <c r="I200" i="9" l="1"/>
  <c r="C201" i="9" s="1"/>
  <c r="H59" i="4"/>
  <c r="I59" i="4" s="1"/>
  <c r="C60" i="4" s="1"/>
  <c r="G60" i="4" s="1"/>
  <c r="G201" i="9" l="1"/>
  <c r="B201" i="9"/>
  <c r="N201" i="9" s="1"/>
  <c r="L201" i="9"/>
  <c r="E201" i="9"/>
  <c r="D201" i="9"/>
  <c r="L60" i="4"/>
  <c r="B60" i="4"/>
  <c r="N60" i="4" s="1"/>
  <c r="O60" i="4" s="1"/>
  <c r="E60" i="4"/>
  <c r="D60" i="4"/>
  <c r="F60" i="4" l="1"/>
  <c r="O201" i="9"/>
  <c r="F201" i="9"/>
  <c r="H60" i="4"/>
  <c r="I60" i="4" s="1"/>
  <c r="C61" i="4" s="1"/>
  <c r="H201" i="9" l="1"/>
  <c r="I201" i="9" s="1"/>
  <c r="C202" i="9" s="1"/>
  <c r="D61" i="4"/>
  <c r="G61" i="4"/>
  <c r="L61" i="4"/>
  <c r="B61" i="4"/>
  <c r="N61" i="4" s="1"/>
  <c r="E61" i="4"/>
  <c r="L202" i="9" l="1"/>
  <c r="G202" i="9"/>
  <c r="B202" i="9"/>
  <c r="N202" i="9" s="1"/>
  <c r="E202" i="9"/>
  <c r="D202" i="9"/>
  <c r="F61" i="4"/>
  <c r="O61" i="4"/>
  <c r="H61" i="4" s="1"/>
  <c r="F202" i="9" l="1"/>
  <c r="O202" i="9"/>
  <c r="H202" i="9" s="1"/>
  <c r="I202" i="9" s="1"/>
  <c r="C203" i="9" s="1"/>
  <c r="I61" i="4"/>
  <c r="C62" i="4" s="1"/>
  <c r="G62" i="4" s="1"/>
  <c r="G203" i="9" l="1"/>
  <c r="B203" i="9"/>
  <c r="N203" i="9" s="1"/>
  <c r="L203" i="9"/>
  <c r="E203" i="9"/>
  <c r="D203" i="9"/>
  <c r="B62" i="4"/>
  <c r="N62" i="4" s="1"/>
  <c r="E62" i="4"/>
  <c r="L62" i="4"/>
  <c r="D62" i="4"/>
  <c r="F62" i="4" l="1"/>
  <c r="O203" i="9"/>
  <c r="F203" i="9"/>
  <c r="O62" i="4"/>
  <c r="H62" i="4" s="1"/>
  <c r="I62" i="4" s="1"/>
  <c r="C63" i="4" s="1"/>
  <c r="G63" i="4" s="1"/>
  <c r="H203" i="9" l="1"/>
  <c r="I203" i="9" s="1"/>
  <c r="C204" i="9" s="1"/>
  <c r="D63" i="4"/>
  <c r="B63" i="4"/>
  <c r="N63" i="4" s="1"/>
  <c r="L63" i="4"/>
  <c r="E63" i="4"/>
  <c r="L204" i="9" l="1"/>
  <c r="G204" i="9"/>
  <c r="B204" i="9"/>
  <c r="N204" i="9" s="1"/>
  <c r="E204" i="9"/>
  <c r="D204" i="9"/>
  <c r="O63" i="4"/>
  <c r="F63" i="4"/>
  <c r="F204" i="9" l="1"/>
  <c r="O204" i="9"/>
  <c r="H204" i="9" s="1"/>
  <c r="H63" i="4"/>
  <c r="I63" i="4" s="1"/>
  <c r="C64" i="4" s="1"/>
  <c r="G64" i="4" s="1"/>
  <c r="I204" i="9" l="1"/>
  <c r="C205" i="9" s="1"/>
  <c r="D64" i="4"/>
  <c r="B64" i="4"/>
  <c r="N64" i="4" s="1"/>
  <c r="L64" i="4"/>
  <c r="E64" i="4"/>
  <c r="L205" i="9" l="1"/>
  <c r="G205" i="9"/>
  <c r="B205" i="9"/>
  <c r="N205" i="9" s="1"/>
  <c r="E205" i="9"/>
  <c r="D205" i="9"/>
  <c r="O64" i="4"/>
  <c r="F64" i="4"/>
  <c r="F205" i="9" l="1"/>
  <c r="O205" i="9"/>
  <c r="H205" i="9" s="1"/>
  <c r="I205" i="9" s="1"/>
  <c r="C206" i="9" s="1"/>
  <c r="H64" i="4"/>
  <c r="I64" i="4" s="1"/>
  <c r="C65" i="4" s="1"/>
  <c r="G65" i="4" s="1"/>
  <c r="G206" i="9" l="1"/>
  <c r="B206" i="9"/>
  <c r="N206" i="9" s="1"/>
  <c r="L206" i="9"/>
  <c r="E206" i="9"/>
  <c r="D206" i="9"/>
  <c r="D65" i="4"/>
  <c r="B65" i="4"/>
  <c r="N65" i="4" s="1"/>
  <c r="L65" i="4"/>
  <c r="E65" i="4"/>
  <c r="O206" i="9" l="1"/>
  <c r="F206" i="9"/>
  <c r="O65" i="4"/>
  <c r="F65" i="4"/>
  <c r="H206" i="9" l="1"/>
  <c r="I206" i="9" s="1"/>
  <c r="C207" i="9" s="1"/>
  <c r="H65" i="4"/>
  <c r="I65" i="4" s="1"/>
  <c r="C66" i="4" s="1"/>
  <c r="G66" i="4" s="1"/>
  <c r="L207" i="9" l="1"/>
  <c r="G207" i="9"/>
  <c r="B207" i="9"/>
  <c r="N207" i="9" s="1"/>
  <c r="E207" i="9"/>
  <c r="D207" i="9"/>
  <c r="D66" i="4"/>
  <c r="L66" i="4"/>
  <c r="E66" i="4"/>
  <c r="B66" i="4"/>
  <c r="N66" i="4" s="1"/>
  <c r="F207" i="9" l="1"/>
  <c r="O207" i="9"/>
  <c r="H207" i="9" s="1"/>
  <c r="I207" i="9" s="1"/>
  <c r="C208" i="9" s="1"/>
  <c r="O66" i="4"/>
  <c r="F66" i="4"/>
  <c r="G208" i="9" l="1"/>
  <c r="B208" i="9"/>
  <c r="N208" i="9" s="1"/>
  <c r="L208" i="9"/>
  <c r="E208" i="9"/>
  <c r="D208" i="9"/>
  <c r="H66" i="4"/>
  <c r="I66" i="4" s="1"/>
  <c r="C67" i="4" s="1"/>
  <c r="G67" i="4" s="1"/>
  <c r="O208" i="9" l="1"/>
  <c r="F208" i="9"/>
  <c r="D67" i="4"/>
  <c r="L67" i="4"/>
  <c r="B67" i="4"/>
  <c r="N67" i="4" s="1"/>
  <c r="E67" i="4"/>
  <c r="H208" i="9" l="1"/>
  <c r="I208" i="9" s="1"/>
  <c r="C209" i="9" s="1"/>
  <c r="O67" i="4"/>
  <c r="F67" i="4"/>
  <c r="G209" i="9" l="1"/>
  <c r="B209" i="9"/>
  <c r="N209" i="9" s="1"/>
  <c r="L209" i="9"/>
  <c r="E209" i="9"/>
  <c r="D209" i="9"/>
  <c r="H67" i="4"/>
  <c r="I67" i="4" s="1"/>
  <c r="C68" i="4" s="1"/>
  <c r="G68" i="4" s="1"/>
  <c r="O209" i="9" l="1"/>
  <c r="F209" i="9"/>
  <c r="D68" i="4"/>
  <c r="L68" i="4"/>
  <c r="B68" i="4"/>
  <c r="N68" i="4" s="1"/>
  <c r="E68" i="4"/>
  <c r="H209" i="9" l="1"/>
  <c r="I209" i="9" s="1"/>
  <c r="C210" i="9" s="1"/>
  <c r="F68" i="4"/>
  <c r="O68" i="4"/>
  <c r="G210" i="9" l="1"/>
  <c r="B210" i="9"/>
  <c r="N210" i="9" s="1"/>
  <c r="L210" i="9"/>
  <c r="E210" i="9"/>
  <c r="D210" i="9"/>
  <c r="H68" i="4"/>
  <c r="I68" i="4" s="1"/>
  <c r="C69" i="4" s="1"/>
  <c r="G69" i="4" s="1"/>
  <c r="O210" i="9" l="1"/>
  <c r="F210" i="9"/>
  <c r="D69" i="4"/>
  <c r="L69" i="4"/>
  <c r="B69" i="4"/>
  <c r="N69" i="4" s="1"/>
  <c r="E69" i="4"/>
  <c r="H210" i="9" l="1"/>
  <c r="I210" i="9" s="1"/>
  <c r="C211" i="9" s="1"/>
  <c r="F69" i="4"/>
  <c r="O69" i="4"/>
  <c r="L211" i="9" l="1"/>
  <c r="G211" i="9"/>
  <c r="B211" i="9"/>
  <c r="N211" i="9" s="1"/>
  <c r="E211" i="9"/>
  <c r="D211" i="9"/>
  <c r="F211" i="9" s="1"/>
  <c r="H69" i="4"/>
  <c r="I69" i="4" s="1"/>
  <c r="C70" i="4" s="1"/>
  <c r="O211" i="9" l="1"/>
  <c r="H211" i="9" s="1"/>
  <c r="I211" i="9" s="1"/>
  <c r="C212" i="9" s="1"/>
  <c r="D70" i="4"/>
  <c r="G70" i="4"/>
  <c r="L70" i="4"/>
  <c r="E70" i="4"/>
  <c r="B70" i="4"/>
  <c r="N70" i="4" s="1"/>
  <c r="G212" i="9" l="1"/>
  <c r="L212" i="9"/>
  <c r="B212" i="9"/>
  <c r="N212" i="9" s="1"/>
  <c r="E212" i="9"/>
  <c r="D212" i="9"/>
  <c r="O70" i="4"/>
  <c r="F70" i="4"/>
  <c r="O212" i="9" l="1"/>
  <c r="F212" i="9"/>
  <c r="H70" i="4"/>
  <c r="I70" i="4" s="1"/>
  <c r="C71" i="4" s="1"/>
  <c r="G71" i="4" s="1"/>
  <c r="H212" i="9" l="1"/>
  <c r="I212" i="9" s="1"/>
  <c r="C213" i="9" s="1"/>
  <c r="D71" i="4"/>
  <c r="E71" i="4"/>
  <c r="L71" i="4"/>
  <c r="B71" i="4"/>
  <c r="N71" i="4" s="1"/>
  <c r="O71" i="4" l="1"/>
  <c r="L213" i="9"/>
  <c r="G213" i="9"/>
  <c r="B213" i="9"/>
  <c r="N213" i="9" s="1"/>
  <c r="E213" i="9"/>
  <c r="D213" i="9"/>
  <c r="F71" i="4"/>
  <c r="H71" i="4" s="1"/>
  <c r="I71" i="4" s="1"/>
  <c r="C72" i="4" s="1"/>
  <c r="G72" i="4" s="1"/>
  <c r="F213" i="9" l="1"/>
  <c r="O213" i="9"/>
  <c r="H213" i="9" s="1"/>
  <c r="D72" i="4"/>
  <c r="L72" i="4"/>
  <c r="B72" i="4"/>
  <c r="N72" i="4" s="1"/>
  <c r="E72" i="4"/>
  <c r="I213" i="9" l="1"/>
  <c r="C214" i="9" s="1"/>
  <c r="O72" i="4"/>
  <c r="F72" i="4"/>
  <c r="G214" i="9" l="1"/>
  <c r="B214" i="9"/>
  <c r="N214" i="9" s="1"/>
  <c r="L214" i="9"/>
  <c r="E214" i="9"/>
  <c r="D214" i="9"/>
  <c r="H72" i="4"/>
  <c r="I72" i="4" s="1"/>
  <c r="C73" i="4" s="1"/>
  <c r="G73" i="4" s="1"/>
  <c r="O214" i="9" l="1"/>
  <c r="F214" i="9"/>
  <c r="D73" i="4"/>
  <c r="B73" i="4"/>
  <c r="N73" i="4" s="1"/>
  <c r="L73" i="4"/>
  <c r="E73" i="4"/>
  <c r="H214" i="9" l="1"/>
  <c r="I214" i="9" s="1"/>
  <c r="C215" i="9" s="1"/>
  <c r="O73" i="4"/>
  <c r="F73" i="4"/>
  <c r="G215" i="9" l="1"/>
  <c r="B215" i="9"/>
  <c r="N215" i="9" s="1"/>
  <c r="L215" i="9"/>
  <c r="E215" i="9"/>
  <c r="D215" i="9"/>
  <c r="H73" i="4"/>
  <c r="I73" i="4"/>
  <c r="C74" i="4" s="1"/>
  <c r="G74" i="4" s="1"/>
  <c r="O215" i="9" l="1"/>
  <c r="F215" i="9"/>
  <c r="D74" i="4"/>
  <c r="L74" i="4"/>
  <c r="E74" i="4"/>
  <c r="B74" i="4"/>
  <c r="N74" i="4" s="1"/>
  <c r="H215" i="9" l="1"/>
  <c r="I215" i="9" s="1"/>
  <c r="C216" i="9" s="1"/>
  <c r="O74" i="4"/>
  <c r="F74" i="4"/>
  <c r="G216" i="9" l="1"/>
  <c r="B216" i="9"/>
  <c r="N216" i="9" s="1"/>
  <c r="L216" i="9"/>
  <c r="E216" i="9"/>
  <c r="D216" i="9"/>
  <c r="H74" i="4"/>
  <c r="I74" i="4" s="1"/>
  <c r="C75" i="4" s="1"/>
  <c r="G75" i="4" s="1"/>
  <c r="O216" i="9" l="1"/>
  <c r="F216" i="9"/>
  <c r="D75" i="4"/>
  <c r="L75" i="4"/>
  <c r="E75" i="4"/>
  <c r="B75" i="4"/>
  <c r="N75" i="4" s="1"/>
  <c r="H216" i="9" l="1"/>
  <c r="I216" i="9" s="1"/>
  <c r="C217" i="9" s="1"/>
  <c r="O75" i="4"/>
  <c r="F75" i="4"/>
  <c r="G217" i="9" l="1"/>
  <c r="L217" i="9"/>
  <c r="B217" i="9"/>
  <c r="N217" i="9" s="1"/>
  <c r="E217" i="9"/>
  <c r="D217" i="9"/>
  <c r="H75" i="4"/>
  <c r="I75" i="4" s="1"/>
  <c r="C76" i="4" s="1"/>
  <c r="G76" i="4" s="1"/>
  <c r="O217" i="9" l="1"/>
  <c r="F217" i="9"/>
  <c r="D76" i="4"/>
  <c r="B76" i="4"/>
  <c r="N76" i="4" s="1"/>
  <c r="E76" i="4"/>
  <c r="L76" i="4"/>
  <c r="H217" i="9" l="1"/>
  <c r="I217" i="9" s="1"/>
  <c r="C218" i="9" s="1"/>
  <c r="O76" i="4"/>
  <c r="F76" i="4"/>
  <c r="G218" i="9" l="1"/>
  <c r="L218" i="9"/>
  <c r="B218" i="9"/>
  <c r="N218" i="9" s="1"/>
  <c r="E218" i="9"/>
  <c r="D218" i="9"/>
  <c r="H76" i="4"/>
  <c r="I76" i="4" s="1"/>
  <c r="C77" i="4" s="1"/>
  <c r="G77" i="4" s="1"/>
  <c r="O218" i="9" l="1"/>
  <c r="F218" i="9"/>
  <c r="D77" i="4"/>
  <c r="L77" i="4"/>
  <c r="B77" i="4"/>
  <c r="N77" i="4" s="1"/>
  <c r="E77" i="4"/>
  <c r="H218" i="9" l="1"/>
  <c r="I218" i="9" s="1"/>
  <c r="C219" i="9" s="1"/>
  <c r="O77" i="4"/>
  <c r="F77" i="4"/>
  <c r="G219" i="9" l="1"/>
  <c r="L219" i="9"/>
  <c r="B219" i="9"/>
  <c r="N219" i="9" s="1"/>
  <c r="E219" i="9"/>
  <c r="D219" i="9"/>
  <c r="H77" i="4"/>
  <c r="I77" i="4" s="1"/>
  <c r="C78" i="4" s="1"/>
  <c r="G78" i="4" s="1"/>
  <c r="O219" i="9" l="1"/>
  <c r="F219" i="9"/>
  <c r="D78" i="4"/>
  <c r="L78" i="4"/>
  <c r="E78" i="4"/>
  <c r="B78" i="4"/>
  <c r="N78" i="4" s="1"/>
  <c r="H219" i="9" l="1"/>
  <c r="I219" i="9" s="1"/>
  <c r="C220" i="9" s="1"/>
  <c r="O78" i="4"/>
  <c r="F78" i="4"/>
  <c r="G220" i="9" l="1"/>
  <c r="B220" i="9"/>
  <c r="N220" i="9" s="1"/>
  <c r="L220" i="9"/>
  <c r="E220" i="9"/>
  <c r="D220" i="9"/>
  <c r="H78" i="4"/>
  <c r="I78" i="4" s="1"/>
  <c r="C79" i="4" s="1"/>
  <c r="G79" i="4" s="1"/>
  <c r="O220" i="9" l="1"/>
  <c r="F220" i="9"/>
  <c r="D79" i="4"/>
  <c r="L79" i="4"/>
  <c r="E79" i="4"/>
  <c r="B79" i="4"/>
  <c r="N79" i="4" s="1"/>
  <c r="H220" i="9" l="1"/>
  <c r="I220" i="9" s="1"/>
  <c r="C221" i="9" s="1"/>
  <c r="O79" i="4"/>
  <c r="F79" i="4"/>
  <c r="G221" i="9" l="1"/>
  <c r="L221" i="9"/>
  <c r="B221" i="9"/>
  <c r="N221" i="9" s="1"/>
  <c r="E221" i="9"/>
  <c r="D221" i="9"/>
  <c r="H79" i="4"/>
  <c r="I79" i="4" s="1"/>
  <c r="C80" i="4" s="1"/>
  <c r="G80" i="4" s="1"/>
  <c r="O221" i="9" l="1"/>
  <c r="F221" i="9"/>
  <c r="D80" i="4"/>
  <c r="B80" i="4"/>
  <c r="N80" i="4" s="1"/>
  <c r="L80" i="4"/>
  <c r="E80" i="4"/>
  <c r="H221" i="9" l="1"/>
  <c r="I221" i="9" s="1"/>
  <c r="C222" i="9" s="1"/>
  <c r="O80" i="4"/>
  <c r="F80" i="4"/>
  <c r="G222" i="9" l="1"/>
  <c r="L222" i="9"/>
  <c r="B222" i="9"/>
  <c r="N222" i="9" s="1"/>
  <c r="E222" i="9"/>
  <c r="D222" i="9"/>
  <c r="H80" i="4"/>
  <c r="I80" i="4" s="1"/>
  <c r="C81" i="4" s="1"/>
  <c r="G81" i="4" s="1"/>
  <c r="O222" i="9" l="1"/>
  <c r="F222" i="9"/>
  <c r="D81" i="4"/>
  <c r="B81" i="4"/>
  <c r="N81" i="4" s="1"/>
  <c r="L81" i="4"/>
  <c r="E81" i="4"/>
  <c r="H222" i="9" l="1"/>
  <c r="I222" i="9" s="1"/>
  <c r="C223" i="9" s="1"/>
  <c r="O81" i="4"/>
  <c r="F81" i="4"/>
  <c r="G223" i="9" l="1"/>
  <c r="L223" i="9"/>
  <c r="B223" i="9"/>
  <c r="N223" i="9" s="1"/>
  <c r="E223" i="9"/>
  <c r="D223" i="9"/>
  <c r="H81" i="4"/>
  <c r="I81" i="4" s="1"/>
  <c r="C82" i="4" s="1"/>
  <c r="G82" i="4" s="1"/>
  <c r="O223" i="9" l="1"/>
  <c r="F223" i="9"/>
  <c r="D82" i="4"/>
  <c r="L82" i="4"/>
  <c r="B82" i="4"/>
  <c r="N82" i="4" s="1"/>
  <c r="E82" i="4"/>
  <c r="H223" i="9" l="1"/>
  <c r="I223" i="9" s="1"/>
  <c r="C224" i="9" s="1"/>
  <c r="O82" i="4"/>
  <c r="F82" i="4"/>
  <c r="G224" i="9" l="1"/>
  <c r="B224" i="9"/>
  <c r="N224" i="9" s="1"/>
  <c r="L224" i="9"/>
  <c r="E224" i="9"/>
  <c r="D224" i="9"/>
  <c r="H82" i="4"/>
  <c r="I82" i="4" s="1"/>
  <c r="C83" i="4" s="1"/>
  <c r="G83" i="4" s="1"/>
  <c r="O224" i="9" l="1"/>
  <c r="F224" i="9"/>
  <c r="D83" i="4"/>
  <c r="E83" i="4"/>
  <c r="L83" i="4"/>
  <c r="B83" i="4"/>
  <c r="N83" i="4" s="1"/>
  <c r="H224" i="9" l="1"/>
  <c r="I224" i="9" s="1"/>
  <c r="C225" i="9" s="1"/>
  <c r="O83" i="4"/>
  <c r="F83" i="4"/>
  <c r="G225" i="9" l="1"/>
  <c r="L225" i="9"/>
  <c r="B225" i="9"/>
  <c r="N225" i="9" s="1"/>
  <c r="E225" i="9"/>
  <c r="D225" i="9"/>
  <c r="H83" i="4"/>
  <c r="I83" i="4" s="1"/>
  <c r="C84" i="4" s="1"/>
  <c r="G84" i="4" s="1"/>
  <c r="O225" i="9" l="1"/>
  <c r="F225" i="9"/>
  <c r="D84" i="4"/>
  <c r="L84" i="4"/>
  <c r="B84" i="4"/>
  <c r="N84" i="4" s="1"/>
  <c r="E84" i="4"/>
  <c r="H225" i="9" l="1"/>
  <c r="I225" i="9" s="1"/>
  <c r="C226" i="9" s="1"/>
  <c r="O84" i="4"/>
  <c r="F84" i="4"/>
  <c r="G226" i="9" l="1"/>
  <c r="L226" i="9"/>
  <c r="B226" i="9"/>
  <c r="N226" i="9" s="1"/>
  <c r="E226" i="9"/>
  <c r="D226" i="9"/>
  <c r="H84" i="4"/>
  <c r="I84" i="4" s="1"/>
  <c r="C85" i="4" s="1"/>
  <c r="G85" i="4" s="1"/>
  <c r="O226" i="9" l="1"/>
  <c r="F226" i="9"/>
  <c r="D85" i="4"/>
  <c r="L85" i="4"/>
  <c r="B85" i="4"/>
  <c r="N85" i="4" s="1"/>
  <c r="E85" i="4"/>
  <c r="H226" i="9" l="1"/>
  <c r="I226" i="9" s="1"/>
  <c r="C227" i="9" s="1"/>
  <c r="F85" i="4"/>
  <c r="O85" i="4"/>
  <c r="H85" i="4" s="1"/>
  <c r="G227" i="9" l="1"/>
  <c r="L227" i="9"/>
  <c r="B227" i="9"/>
  <c r="N227" i="9" s="1"/>
  <c r="E227" i="9"/>
  <c r="D227" i="9"/>
  <c r="I85" i="4"/>
  <c r="C86" i="4" s="1"/>
  <c r="G86" i="4" s="1"/>
  <c r="O227" i="9" l="1"/>
  <c r="F227" i="9"/>
  <c r="D86" i="4"/>
  <c r="B86" i="4"/>
  <c r="N86" i="4" s="1"/>
  <c r="E86" i="4"/>
  <c r="L86" i="4"/>
  <c r="H227" i="9" l="1"/>
  <c r="I227" i="9" s="1"/>
  <c r="C228" i="9" s="1"/>
  <c r="O86" i="4"/>
  <c r="F86" i="4"/>
  <c r="H86" i="4" s="1"/>
  <c r="I86" i="4" s="1"/>
  <c r="C87" i="4" s="1"/>
  <c r="G87" i="4" s="1"/>
  <c r="G228" i="9" l="1"/>
  <c r="B228" i="9"/>
  <c r="N228" i="9" s="1"/>
  <c r="L228" i="9"/>
  <c r="E228" i="9"/>
  <c r="D228" i="9"/>
  <c r="D87" i="4"/>
  <c r="B87" i="4"/>
  <c r="N87" i="4" s="1"/>
  <c r="L87" i="4"/>
  <c r="E87" i="4"/>
  <c r="O228" i="9" l="1"/>
  <c r="F228" i="9"/>
  <c r="O87" i="4"/>
  <c r="F87" i="4"/>
  <c r="H228" i="9" l="1"/>
  <c r="I228" i="9" s="1"/>
  <c r="C229" i="9" s="1"/>
  <c r="H87" i="4"/>
  <c r="I87" i="4" s="1"/>
  <c r="C88" i="4" s="1"/>
  <c r="G88" i="4" s="1"/>
  <c r="G229" i="9" l="1"/>
  <c r="L229" i="9"/>
  <c r="B229" i="9"/>
  <c r="N229" i="9" s="1"/>
  <c r="E229" i="9"/>
  <c r="D229" i="9"/>
  <c r="D88" i="4"/>
  <c r="E88" i="4"/>
  <c r="L88" i="4"/>
  <c r="B88" i="4"/>
  <c r="N88" i="4" s="1"/>
  <c r="O229" i="9" l="1"/>
  <c r="F229" i="9"/>
  <c r="O88" i="4"/>
  <c r="F88" i="4"/>
  <c r="H229" i="9" l="1"/>
  <c r="I229" i="9" s="1"/>
  <c r="C230" i="9" s="1"/>
  <c r="H88" i="4"/>
  <c r="I88" i="4" s="1"/>
  <c r="C89" i="4" s="1"/>
  <c r="G89" i="4" s="1"/>
  <c r="B230" i="9" l="1"/>
  <c r="N230" i="9" s="1"/>
  <c r="E230" i="9"/>
  <c r="G230" i="9"/>
  <c r="L230" i="9"/>
  <c r="O230" i="9" s="1"/>
  <c r="D230" i="9"/>
  <c r="F230" i="9" s="1"/>
  <c r="D89" i="4"/>
  <c r="E89" i="4"/>
  <c r="L89" i="4"/>
  <c r="B89" i="4"/>
  <c r="N89" i="4" s="1"/>
  <c r="H230" i="9" l="1"/>
  <c r="I230" i="9" s="1"/>
  <c r="C231" i="9" s="1"/>
  <c r="F89" i="4"/>
  <c r="O89" i="4"/>
  <c r="G231" i="9" l="1"/>
  <c r="L231" i="9"/>
  <c r="B231" i="9"/>
  <c r="N231" i="9" s="1"/>
  <c r="E231" i="9"/>
  <c r="D231" i="9"/>
  <c r="H89" i="4"/>
  <c r="I89" i="4" s="1"/>
  <c r="C90" i="4" s="1"/>
  <c r="O231" i="9" l="1"/>
  <c r="F231" i="9"/>
  <c r="D90" i="4"/>
  <c r="G90" i="4"/>
  <c r="L90" i="4"/>
  <c r="B90" i="4"/>
  <c r="N90" i="4" s="1"/>
  <c r="E90" i="4"/>
  <c r="H231" i="9" l="1"/>
  <c r="I231" i="9" s="1"/>
  <c r="C232" i="9" s="1"/>
  <c r="O90" i="4"/>
  <c r="F90" i="4"/>
  <c r="G232" i="9" l="1"/>
  <c r="B232" i="9"/>
  <c r="N232" i="9" s="1"/>
  <c r="L232" i="9"/>
  <c r="E232" i="9"/>
  <c r="D232" i="9"/>
  <c r="H90" i="4"/>
  <c r="I90" i="4" s="1"/>
  <c r="C91" i="4" s="1"/>
  <c r="O232" i="9" l="1"/>
  <c r="F232" i="9"/>
  <c r="D91" i="4"/>
  <c r="G91" i="4"/>
  <c r="B91" i="4"/>
  <c r="N91" i="4" s="1"/>
  <c r="L91" i="4"/>
  <c r="E91" i="4"/>
  <c r="H232" i="9" l="1"/>
  <c r="I232" i="9" s="1"/>
  <c r="C233" i="9" s="1"/>
  <c r="F91" i="4"/>
  <c r="O91" i="4"/>
  <c r="G233" i="9" l="1"/>
  <c r="L233" i="9"/>
  <c r="B233" i="9"/>
  <c r="N233" i="9" s="1"/>
  <c r="E233" i="9"/>
  <c r="D233" i="9"/>
  <c r="H91" i="4"/>
  <c r="I91" i="4" s="1"/>
  <c r="C92" i="4" s="1"/>
  <c r="G92" i="4" s="1"/>
  <c r="O233" i="9" l="1"/>
  <c r="F233" i="9"/>
  <c r="L92" i="4"/>
  <c r="E92" i="4"/>
  <c r="B92" i="4"/>
  <c r="N92" i="4" s="1"/>
  <c r="D92" i="4"/>
  <c r="H233" i="9" l="1"/>
  <c r="I233" i="9" s="1"/>
  <c r="C234" i="9" s="1"/>
  <c r="F92" i="4"/>
  <c r="O92" i="4"/>
  <c r="G234" i="9" l="1"/>
  <c r="L234" i="9"/>
  <c r="B234" i="9"/>
  <c r="N234" i="9" s="1"/>
  <c r="E234" i="9"/>
  <c r="D234" i="9"/>
  <c r="H92" i="4"/>
  <c r="I92" i="4" s="1"/>
  <c r="C93" i="4" s="1"/>
  <c r="G93" i="4" s="1"/>
  <c r="L93" i="4" l="1"/>
  <c r="O234" i="9"/>
  <c r="B93" i="4"/>
  <c r="N93" i="4" s="1"/>
  <c r="O93" i="4" s="1"/>
  <c r="E93" i="4"/>
  <c r="F234" i="9"/>
  <c r="D93" i="4"/>
  <c r="F93" i="4" s="1"/>
  <c r="H234" i="9" l="1"/>
  <c r="I234" i="9"/>
  <c r="C235" i="9" s="1"/>
  <c r="H93" i="4"/>
  <c r="I93" i="4" s="1"/>
  <c r="C94" i="4" s="1"/>
  <c r="G94" i="4" s="1"/>
  <c r="G235" i="9" l="1"/>
  <c r="L235" i="9"/>
  <c r="B235" i="9"/>
  <c r="N235" i="9" s="1"/>
  <c r="E235" i="9"/>
  <c r="D235" i="9"/>
  <c r="D94" i="4"/>
  <c r="L94" i="4"/>
  <c r="E94" i="4"/>
  <c r="B94" i="4"/>
  <c r="N94" i="4" s="1"/>
  <c r="O235" i="9" l="1"/>
  <c r="F235" i="9"/>
  <c r="O94" i="4"/>
  <c r="F94" i="4"/>
  <c r="H235" i="9" l="1"/>
  <c r="I235" i="9" s="1"/>
  <c r="C236" i="9" s="1"/>
  <c r="H94" i="4"/>
  <c r="I94" i="4" s="1"/>
  <c r="C95" i="4" s="1"/>
  <c r="G95" i="4" s="1"/>
  <c r="L236" i="9" l="1"/>
  <c r="E236" i="9"/>
  <c r="D236" i="9"/>
  <c r="F236" i="9" s="1"/>
  <c r="B236" i="9"/>
  <c r="N236" i="9" s="1"/>
  <c r="G236" i="9"/>
  <c r="D95" i="4"/>
  <c r="L95" i="4"/>
  <c r="E95" i="4"/>
  <c r="B95" i="4"/>
  <c r="N95" i="4" s="1"/>
  <c r="O236" i="9" l="1"/>
  <c r="H236" i="9"/>
  <c r="I236" i="9" s="1"/>
  <c r="C237" i="9" s="1"/>
  <c r="O95" i="4"/>
  <c r="F95" i="4"/>
  <c r="G237" i="9" l="1"/>
  <c r="L237" i="9"/>
  <c r="B237" i="9"/>
  <c r="N237" i="9" s="1"/>
  <c r="E237" i="9"/>
  <c r="D237" i="9"/>
  <c r="H95" i="4"/>
  <c r="I95" i="4" s="1"/>
  <c r="C96" i="4" s="1"/>
  <c r="G96" i="4" s="1"/>
  <c r="O237" i="9" l="1"/>
  <c r="F237" i="9"/>
  <c r="D96" i="4"/>
  <c r="E96" i="4"/>
  <c r="L96" i="4"/>
  <c r="B96" i="4"/>
  <c r="N96" i="4" s="1"/>
  <c r="H237" i="9" l="1"/>
  <c r="I237" i="9" s="1"/>
  <c r="C238" i="9" s="1"/>
  <c r="O96" i="4"/>
  <c r="F96" i="4"/>
  <c r="G238" i="9" l="1"/>
  <c r="L238" i="9"/>
  <c r="B238" i="9"/>
  <c r="N238" i="9" s="1"/>
  <c r="E238" i="9"/>
  <c r="D238" i="9"/>
  <c r="H96" i="4"/>
  <c r="I96" i="4" s="1"/>
  <c r="C97" i="4" s="1"/>
  <c r="G97" i="4" s="1"/>
  <c r="O238" i="9" l="1"/>
  <c r="F238" i="9"/>
  <c r="D97" i="4"/>
  <c r="B97" i="4"/>
  <c r="N97" i="4" s="1"/>
  <c r="L97" i="4"/>
  <c r="E97" i="4"/>
  <c r="H238" i="9" l="1"/>
  <c r="I238" i="9" s="1"/>
  <c r="C239" i="9" s="1"/>
  <c r="O97" i="4"/>
  <c r="F97" i="4"/>
  <c r="G239" i="9" l="1"/>
  <c r="L239" i="9"/>
  <c r="B239" i="9"/>
  <c r="N239" i="9" s="1"/>
  <c r="E239" i="9"/>
  <c r="D239" i="9"/>
  <c r="H97" i="4"/>
  <c r="I97" i="4"/>
  <c r="C98" i="4" s="1"/>
  <c r="G98" i="4" s="1"/>
  <c r="O239" i="9" l="1"/>
  <c r="F239" i="9"/>
  <c r="D98" i="4"/>
  <c r="L98" i="4"/>
  <c r="B98" i="4"/>
  <c r="N98" i="4" s="1"/>
  <c r="E98" i="4"/>
  <c r="H239" i="9" l="1"/>
  <c r="I239" i="9" s="1"/>
  <c r="C240" i="9" s="1"/>
  <c r="O98" i="4"/>
  <c r="F98" i="4"/>
  <c r="G240" i="9" l="1"/>
  <c r="B240" i="9"/>
  <c r="N240" i="9" s="1"/>
  <c r="L240" i="9"/>
  <c r="E240" i="9"/>
  <c r="D240" i="9"/>
  <c r="H98" i="4"/>
  <c r="I98" i="4" s="1"/>
  <c r="C99" i="4" s="1"/>
  <c r="G99" i="4" s="1"/>
  <c r="O240" i="9" l="1"/>
  <c r="F240" i="9"/>
  <c r="H240" i="9" s="1"/>
  <c r="D99" i="4"/>
  <c r="E99" i="4"/>
  <c r="B99" i="4"/>
  <c r="N99" i="4" s="1"/>
  <c r="L99" i="4"/>
  <c r="I240" i="9" l="1"/>
  <c r="C241" i="9" s="1"/>
  <c r="O99" i="4"/>
  <c r="F99" i="4"/>
  <c r="L241" i="9" l="1"/>
  <c r="G241" i="9"/>
  <c r="B241" i="9"/>
  <c r="N241" i="9" s="1"/>
  <c r="E241" i="9"/>
  <c r="D241" i="9"/>
  <c r="H99" i="4"/>
  <c r="I99" i="4" s="1"/>
  <c r="C100" i="4" s="1"/>
  <c r="G100" i="4" s="1"/>
  <c r="F241" i="9" l="1"/>
  <c r="O241" i="9"/>
  <c r="H241" i="9" s="1"/>
  <c r="D100" i="4"/>
  <c r="B100" i="4"/>
  <c r="N100" i="4" s="1"/>
  <c r="L100" i="4"/>
  <c r="E100" i="4"/>
  <c r="I241" i="9" l="1"/>
  <c r="C242" i="9" s="1"/>
  <c r="O100" i="4"/>
  <c r="F100" i="4"/>
  <c r="L242" i="9" l="1"/>
  <c r="G242" i="9"/>
  <c r="B242" i="9"/>
  <c r="N242" i="9" s="1"/>
  <c r="E242" i="9"/>
  <c r="D242" i="9"/>
  <c r="H100" i="4"/>
  <c r="I100" i="4" s="1"/>
  <c r="C101" i="4" s="1"/>
  <c r="G101" i="4" s="1"/>
  <c r="F242" i="9" l="1"/>
  <c r="O242" i="9"/>
  <c r="H242" i="9" s="1"/>
  <c r="I242" i="9" s="1"/>
  <c r="C243" i="9" s="1"/>
  <c r="D101" i="4"/>
  <c r="E101" i="4"/>
  <c r="L101" i="4"/>
  <c r="B101" i="4"/>
  <c r="N101" i="4" s="1"/>
  <c r="L243" i="9" l="1"/>
  <c r="G243" i="9"/>
  <c r="B243" i="9"/>
  <c r="N243" i="9" s="1"/>
  <c r="E243" i="9"/>
  <c r="D243" i="9"/>
  <c r="F101" i="4"/>
  <c r="O101" i="4"/>
  <c r="F243" i="9" l="1"/>
  <c r="O243" i="9"/>
  <c r="H243" i="9" s="1"/>
  <c r="I243" i="9" s="1"/>
  <c r="C244" i="9" s="1"/>
  <c r="H101" i="4"/>
  <c r="I101" i="4" s="1"/>
  <c r="C102" i="4" s="1"/>
  <c r="G102" i="4" s="1"/>
  <c r="B244" i="9" l="1"/>
  <c r="N244" i="9" s="1"/>
  <c r="L244" i="9"/>
  <c r="G244" i="9"/>
  <c r="E244" i="9"/>
  <c r="D244" i="9"/>
  <c r="F244" i="9" s="1"/>
  <c r="D102" i="4"/>
  <c r="B102" i="4"/>
  <c r="N102" i="4" s="1"/>
  <c r="L102" i="4"/>
  <c r="E102" i="4"/>
  <c r="O244" i="9" l="1"/>
  <c r="H244" i="9"/>
  <c r="I244" i="9" s="1"/>
  <c r="C245" i="9" s="1"/>
  <c r="F102" i="4"/>
  <c r="O102" i="4"/>
  <c r="L245" i="9" l="1"/>
  <c r="G245" i="9"/>
  <c r="B245" i="9"/>
  <c r="N245" i="9" s="1"/>
  <c r="E245" i="9"/>
  <c r="D245" i="9"/>
  <c r="H102" i="4"/>
  <c r="I102" i="4" s="1"/>
  <c r="C103" i="4" s="1"/>
  <c r="F245" i="9" l="1"/>
  <c r="O245" i="9"/>
  <c r="H245" i="9" s="1"/>
  <c r="D103" i="4"/>
  <c r="G103" i="4"/>
  <c r="L103" i="4"/>
  <c r="E103" i="4"/>
  <c r="B103" i="4"/>
  <c r="N103" i="4" s="1"/>
  <c r="I245" i="9" l="1"/>
  <c r="C246" i="9" s="1"/>
  <c r="O103" i="4"/>
  <c r="F103" i="4"/>
  <c r="B246" i="9" l="1"/>
  <c r="N246" i="9" s="1"/>
  <c r="L246" i="9"/>
  <c r="O246" i="9" s="1"/>
  <c r="G246" i="9"/>
  <c r="E246" i="9"/>
  <c r="D246" i="9"/>
  <c r="F246" i="9" s="1"/>
  <c r="H103" i="4"/>
  <c r="I103" i="4" s="1"/>
  <c r="C104" i="4" s="1"/>
  <c r="H246" i="9" l="1"/>
  <c r="I246" i="9" s="1"/>
  <c r="C247" i="9" s="1"/>
  <c r="D104" i="4"/>
  <c r="G104" i="4"/>
  <c r="B104" i="4"/>
  <c r="N104" i="4" s="1"/>
  <c r="L104" i="4"/>
  <c r="E104" i="4"/>
  <c r="L247" i="9" l="1"/>
  <c r="G247" i="9"/>
  <c r="B247" i="9"/>
  <c r="N247" i="9" s="1"/>
  <c r="E247" i="9"/>
  <c r="D247" i="9"/>
  <c r="F104" i="4"/>
  <c r="O104" i="4"/>
  <c r="F247" i="9" l="1"/>
  <c r="O247" i="9"/>
  <c r="H247" i="9" s="1"/>
  <c r="H104" i="4"/>
  <c r="I104" i="4" s="1"/>
  <c r="C105" i="4" s="1"/>
  <c r="G105" i="4" s="1"/>
  <c r="I247" i="9" l="1"/>
  <c r="C248" i="9" s="1"/>
  <c r="B105" i="4"/>
  <c r="N105" i="4" s="1"/>
  <c r="L105" i="4"/>
  <c r="D105" i="4"/>
  <c r="E105" i="4"/>
  <c r="B248" i="9" l="1"/>
  <c r="N248" i="9" s="1"/>
  <c r="L248" i="9"/>
  <c r="O248" i="9" s="1"/>
  <c r="G248" i="9"/>
  <c r="E248" i="9"/>
  <c r="D248" i="9"/>
  <c r="F248" i="9" s="1"/>
  <c r="O105" i="4"/>
  <c r="F105" i="4"/>
  <c r="H248" i="9" l="1"/>
  <c r="I248" i="9" s="1"/>
  <c r="C249" i="9" s="1"/>
  <c r="H105" i="4"/>
  <c r="I105" i="4" s="1"/>
  <c r="C106" i="4" s="1"/>
  <c r="G106" i="4" s="1"/>
  <c r="L249" i="9" l="1"/>
  <c r="G249" i="9"/>
  <c r="B249" i="9"/>
  <c r="N249" i="9" s="1"/>
  <c r="E249" i="9"/>
  <c r="D249" i="9"/>
  <c r="E106" i="4"/>
  <c r="L106" i="4"/>
  <c r="B106" i="4"/>
  <c r="N106" i="4" s="1"/>
  <c r="O106" i="4" s="1"/>
  <c r="D106" i="4"/>
  <c r="F106" i="4" s="1"/>
  <c r="F249" i="9" l="1"/>
  <c r="O249" i="9"/>
  <c r="H249" i="9" s="1"/>
  <c r="H106" i="4"/>
  <c r="I106" i="4" s="1"/>
  <c r="C107" i="4" s="1"/>
  <c r="G107" i="4" s="1"/>
  <c r="I249" i="9" l="1"/>
  <c r="C250" i="9" s="1"/>
  <c r="D107" i="4"/>
  <c r="L107" i="4"/>
  <c r="E107" i="4"/>
  <c r="B107" i="4"/>
  <c r="N107" i="4" s="1"/>
  <c r="B250" i="9" l="1"/>
  <c r="N250" i="9" s="1"/>
  <c r="L250" i="9"/>
  <c r="G250" i="9"/>
  <c r="E250" i="9"/>
  <c r="D250" i="9"/>
  <c r="F250" i="9" s="1"/>
  <c r="O107" i="4"/>
  <c r="F107" i="4"/>
  <c r="O250" i="9" l="1"/>
  <c r="H250" i="9" s="1"/>
  <c r="I250" i="9" s="1"/>
  <c r="C251" i="9" s="1"/>
  <c r="H107" i="4"/>
  <c r="I107" i="4" s="1"/>
  <c r="C108" i="4" s="1"/>
  <c r="G108" i="4" s="1"/>
  <c r="L251" i="9" l="1"/>
  <c r="G251" i="9"/>
  <c r="B251" i="9"/>
  <c r="N251" i="9" s="1"/>
  <c r="E251" i="9"/>
  <c r="D251" i="9"/>
  <c r="D108" i="4"/>
  <c r="L108" i="4"/>
  <c r="B108" i="4"/>
  <c r="N108" i="4" s="1"/>
  <c r="E108" i="4"/>
  <c r="F251" i="9" l="1"/>
  <c r="O251" i="9"/>
  <c r="H251" i="9" s="1"/>
  <c r="F108" i="4"/>
  <c r="O108" i="4"/>
  <c r="I251" i="9" l="1"/>
  <c r="C252" i="9" s="1"/>
  <c r="H108" i="4"/>
  <c r="I108" i="4" s="1"/>
  <c r="C109" i="4" s="1"/>
  <c r="G109" i="4" s="1"/>
  <c r="B252" i="9" l="1"/>
  <c r="N252" i="9" s="1"/>
  <c r="G252" i="9"/>
  <c r="L252" i="9"/>
  <c r="O252" i="9" s="1"/>
  <c r="E252" i="9"/>
  <c r="D252" i="9"/>
  <c r="D109" i="4"/>
  <c r="B109" i="4"/>
  <c r="N109" i="4" s="1"/>
  <c r="E109" i="4"/>
  <c r="L109" i="4"/>
  <c r="F252" i="9" l="1"/>
  <c r="F109" i="4"/>
  <c r="O109" i="4"/>
  <c r="H109" i="4" s="1"/>
  <c r="H252" i="9" l="1"/>
  <c r="I252" i="9" s="1"/>
  <c r="C253" i="9" s="1"/>
  <c r="I109" i="4"/>
  <c r="C110" i="4" s="1"/>
  <c r="L253" i="9" l="1"/>
  <c r="G253" i="9"/>
  <c r="B253" i="9"/>
  <c r="N253" i="9" s="1"/>
  <c r="E253" i="9"/>
  <c r="D253" i="9"/>
  <c r="D110" i="4"/>
  <c r="G110" i="4"/>
  <c r="L110" i="4"/>
  <c r="E110" i="4"/>
  <c r="B110" i="4"/>
  <c r="N110" i="4" s="1"/>
  <c r="F253" i="9" l="1"/>
  <c r="O253" i="9"/>
  <c r="H253" i="9" s="1"/>
  <c r="I253" i="9" s="1"/>
  <c r="C254" i="9" s="1"/>
  <c r="O110" i="4"/>
  <c r="F110" i="4"/>
  <c r="B254" i="9" l="1"/>
  <c r="N254" i="9" s="1"/>
  <c r="L254" i="9"/>
  <c r="O254" i="9" s="1"/>
  <c r="G254" i="9"/>
  <c r="E254" i="9"/>
  <c r="D254" i="9"/>
  <c r="H110" i="4"/>
  <c r="I110" i="4" s="1"/>
  <c r="C111" i="4" s="1"/>
  <c r="D111" i="4" s="1"/>
  <c r="F254" i="9" l="1"/>
  <c r="L111" i="4"/>
  <c r="E111" i="4"/>
  <c r="G111" i="4"/>
  <c r="B111" i="4"/>
  <c r="N111" i="4" s="1"/>
  <c r="O111" i="4" l="1"/>
  <c r="H254" i="9"/>
  <c r="I254" i="9" s="1"/>
  <c r="C255" i="9" s="1"/>
  <c r="F111" i="4"/>
  <c r="H111" i="4" s="1"/>
  <c r="I111" i="4" s="1"/>
  <c r="C112" i="4" s="1"/>
  <c r="G112" i="4" s="1"/>
  <c r="L255" i="9" l="1"/>
  <c r="G255" i="9"/>
  <c r="B255" i="9"/>
  <c r="N255" i="9" s="1"/>
  <c r="E255" i="9"/>
  <c r="D255" i="9"/>
  <c r="E112" i="4"/>
  <c r="B112" i="4"/>
  <c r="N112" i="4" s="1"/>
  <c r="L112" i="4"/>
  <c r="D112" i="4"/>
  <c r="F112" i="4" l="1"/>
  <c r="F255" i="9"/>
  <c r="O255" i="9"/>
  <c r="H255" i="9" s="1"/>
  <c r="O112" i="4"/>
  <c r="H112" i="4" s="1"/>
  <c r="I112" i="4" s="1"/>
  <c r="C113" i="4" s="1"/>
  <c r="G113" i="4" s="1"/>
  <c r="I255" i="9" l="1"/>
  <c r="C256" i="9" s="1"/>
  <c r="D113" i="4"/>
  <c r="L113" i="4"/>
  <c r="E113" i="4"/>
  <c r="B113" i="4"/>
  <c r="N113" i="4" s="1"/>
  <c r="G256" i="9" l="1"/>
  <c r="B256" i="9"/>
  <c r="N256" i="9" s="1"/>
  <c r="L256" i="9"/>
  <c r="E256" i="9"/>
  <c r="D256" i="9"/>
  <c r="O113" i="4"/>
  <c r="F113" i="4"/>
  <c r="O256" i="9" l="1"/>
  <c r="F256" i="9"/>
  <c r="H113" i="4"/>
  <c r="I113" i="4" s="1"/>
  <c r="C114" i="4" s="1"/>
  <c r="G114" i="4" s="1"/>
  <c r="H256" i="9" l="1"/>
  <c r="I256" i="9" s="1"/>
  <c r="C257" i="9" s="1"/>
  <c r="D114" i="4"/>
  <c r="B114" i="4"/>
  <c r="N114" i="4" s="1"/>
  <c r="L114" i="4"/>
  <c r="E114" i="4"/>
  <c r="L257" i="9" l="1"/>
  <c r="G257" i="9"/>
  <c r="B257" i="9"/>
  <c r="N257" i="9" s="1"/>
  <c r="E257" i="9"/>
  <c r="D257" i="9"/>
  <c r="O114" i="4"/>
  <c r="F114" i="4"/>
  <c r="F257" i="9" l="1"/>
  <c r="O257" i="9"/>
  <c r="H257" i="9" s="1"/>
  <c r="I257" i="9" s="1"/>
  <c r="C258" i="9" s="1"/>
  <c r="H114" i="4"/>
  <c r="I114" i="4" s="1"/>
  <c r="C115" i="4" s="1"/>
  <c r="G115" i="4" s="1"/>
  <c r="G258" i="9" l="1"/>
  <c r="B258" i="9"/>
  <c r="N258" i="9" s="1"/>
  <c r="L258" i="9"/>
  <c r="E258" i="9"/>
  <c r="D258" i="9"/>
  <c r="D115" i="4"/>
  <c r="L115" i="4"/>
  <c r="E115" i="4"/>
  <c r="B115" i="4"/>
  <c r="N115" i="4" s="1"/>
  <c r="O258" i="9" l="1"/>
  <c r="F258" i="9"/>
  <c r="O115" i="4"/>
  <c r="F115" i="4"/>
  <c r="H258" i="9" l="1"/>
  <c r="I258" i="9" s="1"/>
  <c r="C259" i="9" s="1"/>
  <c r="H115" i="4"/>
  <c r="I115" i="4" s="1"/>
  <c r="C116" i="4" s="1"/>
  <c r="G116" i="4" s="1"/>
  <c r="L259" i="9" l="1"/>
  <c r="G259" i="9"/>
  <c r="B259" i="9"/>
  <c r="N259" i="9" s="1"/>
  <c r="E259" i="9"/>
  <c r="D259" i="9"/>
  <c r="D116" i="4"/>
  <c r="L116" i="4"/>
  <c r="B116" i="4"/>
  <c r="N116" i="4" s="1"/>
  <c r="E116" i="4"/>
  <c r="F259" i="9" l="1"/>
  <c r="O259" i="9"/>
  <c r="H259" i="9" s="1"/>
  <c r="I259" i="9" s="1"/>
  <c r="C260" i="9" s="1"/>
  <c r="O116" i="4"/>
  <c r="F116" i="4"/>
  <c r="G260" i="9" l="1"/>
  <c r="B260" i="9"/>
  <c r="N260" i="9" s="1"/>
  <c r="L260" i="9"/>
  <c r="E260" i="9"/>
  <c r="D260" i="9"/>
  <c r="H116" i="4"/>
  <c r="I116" i="4" s="1"/>
  <c r="C117" i="4" s="1"/>
  <c r="G117" i="4" s="1"/>
  <c r="O260" i="9" l="1"/>
  <c r="F260" i="9"/>
  <c r="D117" i="4"/>
  <c r="L117" i="4"/>
  <c r="E117" i="4"/>
  <c r="B117" i="4"/>
  <c r="N117" i="4" s="1"/>
  <c r="H260" i="9" l="1"/>
  <c r="I260" i="9" s="1"/>
  <c r="C261" i="9" s="1"/>
  <c r="O117" i="4"/>
  <c r="F117" i="4"/>
  <c r="L261" i="9" l="1"/>
  <c r="G261" i="9"/>
  <c r="B261" i="9"/>
  <c r="N261" i="9" s="1"/>
  <c r="E261" i="9"/>
  <c r="D261" i="9"/>
  <c r="H117" i="4"/>
  <c r="I117" i="4" s="1"/>
  <c r="C118" i="4" s="1"/>
  <c r="G118" i="4" s="1"/>
  <c r="F261" i="9" l="1"/>
  <c r="O261" i="9"/>
  <c r="H261" i="9" s="1"/>
  <c r="I261" i="9" s="1"/>
  <c r="C262" i="9" s="1"/>
  <c r="D118" i="4"/>
  <c r="B118" i="4"/>
  <c r="N118" i="4" s="1"/>
  <c r="L118" i="4"/>
  <c r="E118" i="4"/>
  <c r="G262" i="9" l="1"/>
  <c r="B262" i="9"/>
  <c r="N262" i="9" s="1"/>
  <c r="L262" i="9"/>
  <c r="E262" i="9"/>
  <c r="D262" i="9"/>
  <c r="O118" i="4"/>
  <c r="F118" i="4"/>
  <c r="O262" i="9" l="1"/>
  <c r="F262" i="9"/>
  <c r="H118" i="4"/>
  <c r="I118" i="4" s="1"/>
  <c r="C119" i="4" s="1"/>
  <c r="G119" i="4" s="1"/>
  <c r="H262" i="9" l="1"/>
  <c r="I262" i="9" s="1"/>
  <c r="C263" i="9" s="1"/>
  <c r="D119" i="4"/>
  <c r="B119" i="4"/>
  <c r="N119" i="4" s="1"/>
  <c r="L119" i="4"/>
  <c r="E119" i="4"/>
  <c r="L263" i="9" l="1"/>
  <c r="G263" i="9"/>
  <c r="B263" i="9"/>
  <c r="N263" i="9" s="1"/>
  <c r="E263" i="9"/>
  <c r="D263" i="9"/>
  <c r="O119" i="4"/>
  <c r="F119" i="4"/>
  <c r="F263" i="9" l="1"/>
  <c r="O263" i="9"/>
  <c r="H263" i="9" s="1"/>
  <c r="I263" i="9" s="1"/>
  <c r="C264" i="9" s="1"/>
  <c r="H119" i="4"/>
  <c r="I119" i="4" s="1"/>
  <c r="C120" i="4" s="1"/>
  <c r="G120" i="4" s="1"/>
  <c r="G264" i="9" l="1"/>
  <c r="B264" i="9"/>
  <c r="N264" i="9" s="1"/>
  <c r="L264" i="9"/>
  <c r="E264" i="9"/>
  <c r="D264" i="9"/>
  <c r="D120" i="4"/>
  <c r="E120" i="4"/>
  <c r="L120" i="4"/>
  <c r="B120" i="4"/>
  <c r="N120" i="4" s="1"/>
  <c r="O264" i="9" l="1"/>
  <c r="F264" i="9"/>
  <c r="O120" i="4"/>
  <c r="F120" i="4"/>
  <c r="H264" i="9" l="1"/>
  <c r="I264" i="9" s="1"/>
  <c r="C265" i="9" s="1"/>
  <c r="H120" i="4"/>
  <c r="I120" i="4" s="1"/>
  <c r="C121" i="4" s="1"/>
  <c r="G121" i="4" s="1"/>
  <c r="L265" i="9" l="1"/>
  <c r="G265" i="9"/>
  <c r="B265" i="9"/>
  <c r="N265" i="9" s="1"/>
  <c r="E265" i="9"/>
  <c r="D265" i="9"/>
  <c r="D121" i="4"/>
  <c r="E121" i="4"/>
  <c r="L121" i="4"/>
  <c r="B121" i="4"/>
  <c r="N121" i="4" s="1"/>
  <c r="F265" i="9" l="1"/>
  <c r="O265" i="9"/>
  <c r="H265" i="9" s="1"/>
  <c r="I265" i="9" s="1"/>
  <c r="C266" i="9" s="1"/>
  <c r="O121" i="4"/>
  <c r="F121" i="4"/>
  <c r="G266" i="9" l="1"/>
  <c r="B266" i="9"/>
  <c r="N266" i="9" s="1"/>
  <c r="L266" i="9"/>
  <c r="E266" i="9"/>
  <c r="D266" i="9"/>
  <c r="H121" i="4"/>
  <c r="I121" i="4" s="1"/>
  <c r="C122" i="4" s="1"/>
  <c r="G122" i="4" s="1"/>
  <c r="O266" i="9" l="1"/>
  <c r="F266" i="9"/>
  <c r="D122" i="4"/>
  <c r="B122" i="4"/>
  <c r="N122" i="4" s="1"/>
  <c r="L122" i="4"/>
  <c r="E122" i="4"/>
  <c r="H266" i="9" l="1"/>
  <c r="I266" i="9" s="1"/>
  <c r="C267" i="9" s="1"/>
  <c r="O122" i="4"/>
  <c r="F122" i="4"/>
  <c r="L267" i="9" l="1"/>
  <c r="G267" i="9"/>
  <c r="B267" i="9"/>
  <c r="N267" i="9" s="1"/>
  <c r="E267" i="9"/>
  <c r="D267" i="9"/>
  <c r="H122" i="4"/>
  <c r="I122" i="4" s="1"/>
  <c r="C123" i="4" s="1"/>
  <c r="G123" i="4" s="1"/>
  <c r="F267" i="9" l="1"/>
  <c r="O267" i="9"/>
  <c r="H267" i="9" s="1"/>
  <c r="I267" i="9" s="1"/>
  <c r="C268" i="9" s="1"/>
  <c r="D123" i="4"/>
  <c r="B123" i="4"/>
  <c r="N123" i="4" s="1"/>
  <c r="L123" i="4"/>
  <c r="E123" i="4"/>
  <c r="G268" i="9" l="1"/>
  <c r="B268" i="9"/>
  <c r="N268" i="9" s="1"/>
  <c r="L268" i="9"/>
  <c r="E268" i="9"/>
  <c r="D268" i="9"/>
  <c r="O123" i="4"/>
  <c r="F123" i="4"/>
  <c r="O268" i="9" l="1"/>
  <c r="F268" i="9"/>
  <c r="H123" i="4"/>
  <c r="I123" i="4" s="1"/>
  <c r="C124" i="4" s="1"/>
  <c r="G124" i="4" s="1"/>
  <c r="H268" i="9" l="1"/>
  <c r="I268" i="9" s="1"/>
  <c r="C269" i="9" s="1"/>
  <c r="D124" i="4"/>
  <c r="B124" i="4"/>
  <c r="N124" i="4" s="1"/>
  <c r="E124" i="4"/>
  <c r="L124" i="4"/>
  <c r="L269" i="9" l="1"/>
  <c r="G269" i="9"/>
  <c r="B269" i="9"/>
  <c r="N269" i="9" s="1"/>
  <c r="E269" i="9"/>
  <c r="D269" i="9"/>
  <c r="O124" i="4"/>
  <c r="F124" i="4"/>
  <c r="F269" i="9" l="1"/>
  <c r="O269" i="9"/>
  <c r="H269" i="9" s="1"/>
  <c r="I269" i="9" s="1"/>
  <c r="C270" i="9" s="1"/>
  <c r="H124" i="4"/>
  <c r="I124" i="4" s="1"/>
  <c r="C125" i="4" s="1"/>
  <c r="G125" i="4" s="1"/>
  <c r="G270" i="9" l="1"/>
  <c r="B270" i="9"/>
  <c r="N270" i="9" s="1"/>
  <c r="L270" i="9"/>
  <c r="E270" i="9"/>
  <c r="D270" i="9"/>
  <c r="D125" i="4"/>
  <c r="E125" i="4"/>
  <c r="L125" i="4"/>
  <c r="B125" i="4"/>
  <c r="N125" i="4" s="1"/>
  <c r="O270" i="9" l="1"/>
  <c r="F270" i="9"/>
  <c r="O125" i="4"/>
  <c r="F125" i="4"/>
  <c r="H270" i="9" l="1"/>
  <c r="I270" i="9" s="1"/>
  <c r="C271" i="9" s="1"/>
  <c r="H125" i="4"/>
  <c r="I125" i="4" s="1"/>
  <c r="C126" i="4" s="1"/>
  <c r="G126" i="4" s="1"/>
  <c r="L271" i="9" l="1"/>
  <c r="G271" i="9"/>
  <c r="B271" i="9"/>
  <c r="N271" i="9" s="1"/>
  <c r="E271" i="9"/>
  <c r="D271" i="9"/>
  <c r="D126" i="4"/>
  <c r="B126" i="4"/>
  <c r="N126" i="4" s="1"/>
  <c r="L126" i="4"/>
  <c r="E126" i="4"/>
  <c r="F271" i="9" l="1"/>
  <c r="O271" i="9"/>
  <c r="H271" i="9" s="1"/>
  <c r="O126" i="4"/>
  <c r="F126" i="4"/>
  <c r="I271" i="9" l="1"/>
  <c r="C272" i="9" s="1"/>
  <c r="H126" i="4"/>
  <c r="I126" i="4" s="1"/>
  <c r="C127" i="4" s="1"/>
  <c r="G127" i="4" s="1"/>
  <c r="G272" i="9" l="1"/>
  <c r="B272" i="9"/>
  <c r="N272" i="9" s="1"/>
  <c r="L272" i="9"/>
  <c r="E272" i="9"/>
  <c r="D272" i="9"/>
  <c r="D127" i="4"/>
  <c r="B127" i="4"/>
  <c r="N127" i="4" s="1"/>
  <c r="E127" i="4"/>
  <c r="L127" i="4"/>
  <c r="O272" i="9" l="1"/>
  <c r="F272" i="9"/>
  <c r="O127" i="4"/>
  <c r="F127" i="4"/>
  <c r="H272" i="9" l="1"/>
  <c r="I272" i="9" s="1"/>
  <c r="C273" i="9" s="1"/>
  <c r="H127" i="4"/>
  <c r="I127" i="4" s="1"/>
  <c r="C128" i="4" s="1"/>
  <c r="G128" i="4" s="1"/>
  <c r="L273" i="9" l="1"/>
  <c r="G273" i="9"/>
  <c r="B273" i="9"/>
  <c r="N273" i="9" s="1"/>
  <c r="E273" i="9"/>
  <c r="D273" i="9"/>
  <c r="D128" i="4"/>
  <c r="E128" i="4"/>
  <c r="B128" i="4"/>
  <c r="N128" i="4" s="1"/>
  <c r="L128" i="4"/>
  <c r="F273" i="9" l="1"/>
  <c r="O273" i="9"/>
  <c r="H273" i="9" s="1"/>
  <c r="O128" i="4"/>
  <c r="F128" i="4"/>
  <c r="I273" i="9" l="1"/>
  <c r="C274" i="9" s="1"/>
  <c r="H128" i="4"/>
  <c r="I128" i="4" s="1"/>
  <c r="C129" i="4" s="1"/>
  <c r="G129" i="4" s="1"/>
  <c r="G274" i="9" l="1"/>
  <c r="B274" i="9"/>
  <c r="N274" i="9" s="1"/>
  <c r="L274" i="9"/>
  <c r="E274" i="9"/>
  <c r="D274" i="9"/>
  <c r="D129" i="4"/>
  <c r="B129" i="4"/>
  <c r="N129" i="4" s="1"/>
  <c r="L129" i="4"/>
  <c r="E129" i="4"/>
  <c r="O274" i="9" l="1"/>
  <c r="F274" i="9"/>
  <c r="O129" i="4"/>
  <c r="F129" i="4"/>
  <c r="H274" i="9" l="1"/>
  <c r="I274" i="9" s="1"/>
  <c r="C275" i="9" s="1"/>
  <c r="H129" i="4"/>
  <c r="I129" i="4" s="1"/>
  <c r="C130" i="4" s="1"/>
  <c r="G130" i="4" s="1"/>
  <c r="L275" i="9" l="1"/>
  <c r="G275" i="9"/>
  <c r="B275" i="9"/>
  <c r="N275" i="9" s="1"/>
  <c r="E275" i="9"/>
  <c r="D275" i="9"/>
  <c r="D130" i="4"/>
  <c r="B130" i="4"/>
  <c r="N130" i="4" s="1"/>
  <c r="L130" i="4"/>
  <c r="E130" i="4"/>
  <c r="F275" i="9" l="1"/>
  <c r="O275" i="9"/>
  <c r="H275" i="9" s="1"/>
  <c r="I275" i="9" s="1"/>
  <c r="C276" i="9" s="1"/>
  <c r="O130" i="4"/>
  <c r="F130" i="4"/>
  <c r="G276" i="9" l="1"/>
  <c r="B276" i="9"/>
  <c r="N276" i="9" s="1"/>
  <c r="L276" i="9"/>
  <c r="E276" i="9"/>
  <c r="D276" i="9"/>
  <c r="H130" i="4"/>
  <c r="I130" i="4" s="1"/>
  <c r="C131" i="4" s="1"/>
  <c r="G131" i="4" s="1"/>
  <c r="O276" i="9" l="1"/>
  <c r="F276" i="9"/>
  <c r="D131" i="4"/>
  <c r="B131" i="4"/>
  <c r="N131" i="4" s="1"/>
  <c r="L131" i="4"/>
  <c r="E131" i="4"/>
  <c r="H276" i="9" l="1"/>
  <c r="I276" i="9" s="1"/>
  <c r="C277" i="9" s="1"/>
  <c r="O131" i="4"/>
  <c r="F131" i="4"/>
  <c r="L277" i="9" l="1"/>
  <c r="G277" i="9"/>
  <c r="B277" i="9"/>
  <c r="N277" i="9" s="1"/>
  <c r="E277" i="9"/>
  <c r="D277" i="9"/>
  <c r="H131" i="4"/>
  <c r="I131" i="4" s="1"/>
  <c r="C132" i="4" s="1"/>
  <c r="G132" i="4" s="1"/>
  <c r="F277" i="9" l="1"/>
  <c r="O277" i="9"/>
  <c r="H277" i="9" s="1"/>
  <c r="D132" i="4"/>
  <c r="E132" i="4"/>
  <c r="L132" i="4"/>
  <c r="B132" i="4"/>
  <c r="N132" i="4" s="1"/>
  <c r="I277" i="9" l="1"/>
  <c r="C278" i="9" s="1"/>
  <c r="O132" i="4"/>
  <c r="F132" i="4"/>
  <c r="B278" i="9" l="1"/>
  <c r="N278" i="9" s="1"/>
  <c r="L278" i="9"/>
  <c r="G278" i="9"/>
  <c r="E278" i="9"/>
  <c r="D278" i="9"/>
  <c r="H132" i="4"/>
  <c r="I132" i="4" s="1"/>
  <c r="C133" i="4" s="1"/>
  <c r="G133" i="4" s="1"/>
  <c r="O278" i="9" l="1"/>
  <c r="F278" i="9"/>
  <c r="D133" i="4"/>
  <c r="L133" i="4"/>
  <c r="E133" i="4"/>
  <c r="B133" i="4"/>
  <c r="N133" i="4" s="1"/>
  <c r="H278" i="9" l="1"/>
  <c r="I278" i="9" s="1"/>
  <c r="C279" i="9" s="1"/>
  <c r="O133" i="4"/>
  <c r="F133" i="4"/>
  <c r="L279" i="9" l="1"/>
  <c r="G279" i="9"/>
  <c r="B279" i="9"/>
  <c r="N279" i="9" s="1"/>
  <c r="E279" i="9"/>
  <c r="D279" i="9"/>
  <c r="H133" i="4"/>
  <c r="I133" i="4" s="1"/>
  <c r="C134" i="4" s="1"/>
  <c r="G134" i="4" s="1"/>
  <c r="F279" i="9" l="1"/>
  <c r="O279" i="9"/>
  <c r="H279" i="9" s="1"/>
  <c r="I279" i="9" s="1"/>
  <c r="C280" i="9" s="1"/>
  <c r="D134" i="4"/>
  <c r="L134" i="4"/>
  <c r="E134" i="4"/>
  <c r="B134" i="4"/>
  <c r="N134" i="4" s="1"/>
  <c r="B280" i="9" l="1"/>
  <c r="N280" i="9" s="1"/>
  <c r="L280" i="9"/>
  <c r="G280" i="9"/>
  <c r="E280" i="9"/>
  <c r="D280" i="9"/>
  <c r="F280" i="9" s="1"/>
  <c r="O134" i="4"/>
  <c r="F134" i="4"/>
  <c r="O280" i="9" l="1"/>
  <c r="H280" i="9"/>
  <c r="I280" i="9" s="1"/>
  <c r="C281" i="9" s="1"/>
  <c r="B281" i="9" s="1"/>
  <c r="N281" i="9" s="1"/>
  <c r="L281" i="9"/>
  <c r="G281" i="9"/>
  <c r="E281" i="9"/>
  <c r="D281" i="9"/>
  <c r="H134" i="4"/>
  <c r="I134" i="4" s="1"/>
  <c r="C135" i="4" s="1"/>
  <c r="G135" i="4" s="1"/>
  <c r="F281" i="9" l="1"/>
  <c r="O281" i="9"/>
  <c r="H281" i="9" s="1"/>
  <c r="D135" i="4"/>
  <c r="L135" i="4"/>
  <c r="B135" i="4"/>
  <c r="N135" i="4" s="1"/>
  <c r="E135" i="4"/>
  <c r="I281" i="9" l="1"/>
  <c r="C282" i="9" s="1"/>
  <c r="O135" i="4"/>
  <c r="F135" i="4"/>
  <c r="B282" i="9" l="1"/>
  <c r="N282" i="9" s="1"/>
  <c r="L282" i="9"/>
  <c r="G282" i="9"/>
  <c r="E282" i="9"/>
  <c r="D282" i="9"/>
  <c r="F282" i="9" s="1"/>
  <c r="H135" i="4"/>
  <c r="I135" i="4" s="1"/>
  <c r="C136" i="4" s="1"/>
  <c r="G136" i="4" s="1"/>
  <c r="O282" i="9" l="1"/>
  <c r="H282" i="9"/>
  <c r="I282" i="9" s="1"/>
  <c r="C283" i="9" s="1"/>
  <c r="D136" i="4"/>
  <c r="L136" i="4"/>
  <c r="B136" i="4"/>
  <c r="N136" i="4" s="1"/>
  <c r="E136" i="4"/>
  <c r="L283" i="9" l="1"/>
  <c r="G283" i="9"/>
  <c r="B283" i="9"/>
  <c r="N283" i="9" s="1"/>
  <c r="E283" i="9"/>
  <c r="D283" i="9"/>
  <c r="O136" i="4"/>
  <c r="F136" i="4"/>
  <c r="F283" i="9" l="1"/>
  <c r="O283" i="9"/>
  <c r="H283" i="9" s="1"/>
  <c r="H136" i="4"/>
  <c r="I136" i="4" s="1"/>
  <c r="C137" i="4" s="1"/>
  <c r="G137" i="4" s="1"/>
  <c r="I283" i="9" l="1"/>
  <c r="C284" i="9" s="1"/>
  <c r="D137" i="4"/>
  <c r="L137" i="4"/>
  <c r="B137" i="4"/>
  <c r="N137" i="4" s="1"/>
  <c r="E137" i="4"/>
  <c r="B284" i="9" l="1"/>
  <c r="N284" i="9" s="1"/>
  <c r="G284" i="9"/>
  <c r="L284" i="9"/>
  <c r="E284" i="9"/>
  <c r="D284" i="9"/>
  <c r="F284" i="9" s="1"/>
  <c r="O137" i="4"/>
  <c r="F137" i="4"/>
  <c r="O284" i="9" l="1"/>
  <c r="H284" i="9" s="1"/>
  <c r="I284" i="9" s="1"/>
  <c r="C285" i="9" s="1"/>
  <c r="H137" i="4"/>
  <c r="I137" i="4" s="1"/>
  <c r="C138" i="4" s="1"/>
  <c r="G138" i="4" s="1"/>
  <c r="L285" i="9" l="1"/>
  <c r="G285" i="9"/>
  <c r="B285" i="9"/>
  <c r="N285" i="9" s="1"/>
  <c r="E285" i="9"/>
  <c r="D285" i="9"/>
  <c r="D138" i="4"/>
  <c r="E138" i="4"/>
  <c r="L138" i="4"/>
  <c r="B138" i="4"/>
  <c r="N138" i="4" s="1"/>
  <c r="F285" i="9" l="1"/>
  <c r="O285" i="9"/>
  <c r="H285" i="9" s="1"/>
  <c r="I285" i="9" s="1"/>
  <c r="C286" i="9" s="1"/>
  <c r="O138" i="4"/>
  <c r="F138" i="4"/>
  <c r="B286" i="9" l="1"/>
  <c r="N286" i="9" s="1"/>
  <c r="G286" i="9"/>
  <c r="L286" i="9"/>
  <c r="O286" i="9" s="1"/>
  <c r="E286" i="9"/>
  <c r="D286" i="9"/>
  <c r="F286" i="9" s="1"/>
  <c r="H138" i="4"/>
  <c r="I138" i="4" s="1"/>
  <c r="C139" i="4" s="1"/>
  <c r="G139" i="4" s="1"/>
  <c r="H286" i="9" l="1"/>
  <c r="I286" i="9"/>
  <c r="C287" i="9" s="1"/>
  <c r="B287" i="9" s="1"/>
  <c r="N287" i="9" s="1"/>
  <c r="L287" i="9"/>
  <c r="G287" i="9"/>
  <c r="D139" i="4"/>
  <c r="L139" i="4"/>
  <c r="E139" i="4"/>
  <c r="B139" i="4"/>
  <c r="N139" i="4" s="1"/>
  <c r="D287" i="9" l="1"/>
  <c r="E287" i="9"/>
  <c r="F287" i="9" s="1"/>
  <c r="O287" i="9"/>
  <c r="O139" i="4"/>
  <c r="F139" i="4"/>
  <c r="H287" i="9" l="1"/>
  <c r="I287" i="9" s="1"/>
  <c r="C288" i="9" s="1"/>
  <c r="B288" i="9"/>
  <c r="N288" i="9" s="1"/>
  <c r="G288" i="9"/>
  <c r="L288" i="9"/>
  <c r="O288" i="9" s="1"/>
  <c r="E288" i="9"/>
  <c r="D288" i="9"/>
  <c r="H139" i="4"/>
  <c r="I139" i="4" s="1"/>
  <c r="C140" i="4" s="1"/>
  <c r="G140" i="4" s="1"/>
  <c r="F288" i="9" l="1"/>
  <c r="H288" i="9" s="1"/>
  <c r="I288" i="9" s="1"/>
  <c r="C289" i="9" s="1"/>
  <c r="D140" i="4"/>
  <c r="E140" i="4"/>
  <c r="L140" i="4"/>
  <c r="B140" i="4"/>
  <c r="N140" i="4" s="1"/>
  <c r="G289" i="9" l="1"/>
  <c r="L289" i="9"/>
  <c r="B289" i="9"/>
  <c r="N289" i="9" s="1"/>
  <c r="E289" i="9"/>
  <c r="F289" i="9" s="1"/>
  <c r="D289" i="9"/>
  <c r="O140" i="4"/>
  <c r="F140" i="4"/>
  <c r="O289" i="9" l="1"/>
  <c r="H289" i="9"/>
  <c r="I289" i="9" s="1"/>
  <c r="C290" i="9" s="1"/>
  <c r="L290" i="9" s="1"/>
  <c r="H140" i="4"/>
  <c r="I140" i="4" s="1"/>
  <c r="C141" i="4" s="1"/>
  <c r="G141" i="4" s="1"/>
  <c r="G290" i="9" l="1"/>
  <c r="D290" i="9"/>
  <c r="F290" i="9" s="1"/>
  <c r="B290" i="9"/>
  <c r="N290" i="9" s="1"/>
  <c r="O290" i="9" s="1"/>
  <c r="E290" i="9"/>
  <c r="D141" i="4"/>
  <c r="B141" i="4"/>
  <c r="N141" i="4" s="1"/>
  <c r="L141" i="4"/>
  <c r="E141" i="4"/>
  <c r="H290" i="9" l="1"/>
  <c r="I290" i="9" s="1"/>
  <c r="C291" i="9" s="1"/>
  <c r="O141" i="4"/>
  <c r="F141" i="4"/>
  <c r="L291" i="9" l="1"/>
  <c r="G291" i="9"/>
  <c r="B291" i="9"/>
  <c r="N291" i="9" s="1"/>
  <c r="E291" i="9"/>
  <c r="D291" i="9"/>
  <c r="H141" i="4"/>
  <c r="I141" i="4" s="1"/>
  <c r="C142" i="4" s="1"/>
  <c r="G142" i="4" s="1"/>
  <c r="F291" i="9" l="1"/>
  <c r="O291" i="9"/>
  <c r="H291" i="9" s="1"/>
  <c r="I291" i="9" s="1"/>
  <c r="C292" i="9" s="1"/>
  <c r="D142" i="4"/>
  <c r="B142" i="4"/>
  <c r="N142" i="4" s="1"/>
  <c r="L142" i="4"/>
  <c r="E142" i="4"/>
  <c r="B292" i="9" l="1"/>
  <c r="N292" i="9" s="1"/>
  <c r="G292" i="9"/>
  <c r="L292" i="9"/>
  <c r="O292" i="9" s="1"/>
  <c r="E292" i="9"/>
  <c r="D292" i="9"/>
  <c r="F292" i="9" s="1"/>
  <c r="O142" i="4"/>
  <c r="F142" i="4"/>
  <c r="H292" i="9" l="1"/>
  <c r="I292" i="9"/>
  <c r="C293" i="9" s="1"/>
  <c r="B293" i="9" s="1"/>
  <c r="N293" i="9" s="1"/>
  <c r="H142" i="4"/>
  <c r="I142" i="4" s="1"/>
  <c r="C143" i="4" s="1"/>
  <c r="G143" i="4" s="1"/>
  <c r="G293" i="9" l="1"/>
  <c r="L293" i="9"/>
  <c r="O293" i="9" s="1"/>
  <c r="D293" i="9"/>
  <c r="F293" i="9" s="1"/>
  <c r="E293" i="9"/>
  <c r="D143" i="4"/>
  <c r="B143" i="4"/>
  <c r="N143" i="4" s="1"/>
  <c r="L143" i="4"/>
  <c r="E143" i="4"/>
  <c r="H293" i="9" l="1"/>
  <c r="I293" i="9" s="1"/>
  <c r="C294" i="9" s="1"/>
  <c r="B294" i="9"/>
  <c r="N294" i="9" s="1"/>
  <c r="G294" i="9"/>
  <c r="L294" i="9"/>
  <c r="O294" i="9" s="1"/>
  <c r="E294" i="9"/>
  <c r="D294" i="9"/>
  <c r="O143" i="4"/>
  <c r="F143" i="4"/>
  <c r="F294" i="9" l="1"/>
  <c r="H143" i="4"/>
  <c r="I143" i="4" s="1"/>
  <c r="C144" i="4" s="1"/>
  <c r="G144" i="4" s="1"/>
  <c r="H294" i="9" l="1"/>
  <c r="I294" i="9" s="1"/>
  <c r="C295" i="9" s="1"/>
  <c r="D144" i="4"/>
  <c r="E144" i="4"/>
  <c r="L144" i="4"/>
  <c r="B144" i="4"/>
  <c r="N144" i="4" s="1"/>
  <c r="L295" i="9" l="1"/>
  <c r="G295" i="9"/>
  <c r="B295" i="9"/>
  <c r="N295" i="9" s="1"/>
  <c r="E295" i="9"/>
  <c r="D295" i="9"/>
  <c r="O144" i="4"/>
  <c r="F144" i="4"/>
  <c r="F295" i="9" l="1"/>
  <c r="O295" i="9"/>
  <c r="H295" i="9" s="1"/>
  <c r="I295" i="9" s="1"/>
  <c r="C296" i="9" s="1"/>
  <c r="H144" i="4"/>
  <c r="I144" i="4" s="1"/>
  <c r="C145" i="4" s="1"/>
  <c r="G145" i="4" s="1"/>
  <c r="B296" i="9" l="1"/>
  <c r="N296" i="9" s="1"/>
  <c r="G296" i="9"/>
  <c r="L296" i="9"/>
  <c r="O296" i="9" s="1"/>
  <c r="E296" i="9"/>
  <c r="D296" i="9"/>
  <c r="D145" i="4"/>
  <c r="E145" i="4"/>
  <c r="B145" i="4"/>
  <c r="N145" i="4" s="1"/>
  <c r="L145" i="4"/>
  <c r="F296" i="9" l="1"/>
  <c r="H296" i="9" s="1"/>
  <c r="I296" i="9" s="1"/>
  <c r="C297" i="9" s="1"/>
  <c r="O145" i="4"/>
  <c r="F145" i="4"/>
  <c r="G297" i="9" l="1"/>
  <c r="B297" i="9"/>
  <c r="N297" i="9" s="1"/>
  <c r="E297" i="9"/>
  <c r="F297" i="9" s="1"/>
  <c r="L297" i="9"/>
  <c r="O297" i="9" s="1"/>
  <c r="H297" i="9" s="1"/>
  <c r="I297" i="9" s="1"/>
  <c r="C298" i="9" s="1"/>
  <c r="D297" i="9"/>
  <c r="H145" i="4"/>
  <c r="I145" i="4" s="1"/>
  <c r="C146" i="4" s="1"/>
  <c r="G146" i="4" s="1"/>
  <c r="B298" i="9" l="1"/>
  <c r="N298" i="9" s="1"/>
  <c r="G298" i="9"/>
  <c r="L298" i="9"/>
  <c r="E298" i="9"/>
  <c r="D298" i="9"/>
  <c r="F298" i="9" s="1"/>
  <c r="D146" i="4"/>
  <c r="L146" i="4"/>
  <c r="B146" i="4"/>
  <c r="N146" i="4" s="1"/>
  <c r="E146" i="4"/>
  <c r="O298" i="9" l="1"/>
  <c r="H298" i="9" s="1"/>
  <c r="I298" i="9" s="1"/>
  <c r="C299" i="9" s="1"/>
  <c r="B299" i="9" s="1"/>
  <c r="N299" i="9" s="1"/>
  <c r="O146" i="4"/>
  <c r="F146" i="4"/>
  <c r="G299" i="9" l="1"/>
  <c r="L299" i="9"/>
  <c r="O299" i="9" s="1"/>
  <c r="D299" i="9"/>
  <c r="E299" i="9"/>
  <c r="H146" i="4"/>
  <c r="I146" i="4" s="1"/>
  <c r="C147" i="4" s="1"/>
  <c r="G147" i="4" s="1"/>
  <c r="F299" i="9" l="1"/>
  <c r="H299" i="9"/>
  <c r="I299" i="9" s="1"/>
  <c r="C300" i="9" s="1"/>
  <c r="L300" i="9" s="1"/>
  <c r="G300" i="9"/>
  <c r="D300" i="9"/>
  <c r="D147" i="4"/>
  <c r="L147" i="4"/>
  <c r="B147" i="4"/>
  <c r="N147" i="4" s="1"/>
  <c r="E147" i="4"/>
  <c r="B300" i="9" l="1"/>
  <c r="N300" i="9" s="1"/>
  <c r="O300" i="9" s="1"/>
  <c r="E300" i="9"/>
  <c r="F300" i="9" s="1"/>
  <c r="O147" i="4"/>
  <c r="F147" i="4"/>
  <c r="H300" i="9" l="1"/>
  <c r="I300" i="9" s="1"/>
  <c r="C301" i="9" s="1"/>
  <c r="L301" i="9" s="1"/>
  <c r="G301" i="9"/>
  <c r="B301" i="9"/>
  <c r="N301" i="9" s="1"/>
  <c r="E301" i="9"/>
  <c r="D301" i="9"/>
  <c r="F301" i="9" s="1"/>
  <c r="H147" i="4"/>
  <c r="I147" i="4" s="1"/>
  <c r="C148" i="4" s="1"/>
  <c r="G148" i="4" s="1"/>
  <c r="O301" i="9" l="1"/>
  <c r="H301" i="9" s="1"/>
  <c r="I301" i="9" s="1"/>
  <c r="C302" i="9" s="1"/>
  <c r="D148" i="4"/>
  <c r="B148" i="4"/>
  <c r="N148" i="4" s="1"/>
  <c r="E148" i="4"/>
  <c r="L148" i="4"/>
  <c r="B302" i="9" l="1"/>
  <c r="N302" i="9" s="1"/>
  <c r="G302" i="9"/>
  <c r="L302" i="9"/>
  <c r="O302" i="9" s="1"/>
  <c r="E302" i="9"/>
  <c r="D302" i="9"/>
  <c r="O148" i="4"/>
  <c r="F148" i="4"/>
  <c r="F302" i="9" l="1"/>
  <c r="H148" i="4"/>
  <c r="I148" i="4" s="1"/>
  <c r="C149" i="4" s="1"/>
  <c r="G149" i="4" s="1"/>
  <c r="H302" i="9" l="1"/>
  <c r="I302" i="9" s="1"/>
  <c r="C303" i="9" s="1"/>
  <c r="D149" i="4"/>
  <c r="B149" i="4"/>
  <c r="N149" i="4" s="1"/>
  <c r="L149" i="4"/>
  <c r="E149" i="4"/>
  <c r="L303" i="9" l="1"/>
  <c r="G303" i="9"/>
  <c r="B303" i="9"/>
  <c r="N303" i="9" s="1"/>
  <c r="E303" i="9"/>
  <c r="D303" i="9"/>
  <c r="O149" i="4"/>
  <c r="F149" i="4"/>
  <c r="F303" i="9" l="1"/>
  <c r="O303" i="9"/>
  <c r="H303" i="9" s="1"/>
  <c r="I303" i="9" s="1"/>
  <c r="C304" i="9" s="1"/>
  <c r="H149" i="4"/>
  <c r="I149" i="4" s="1"/>
  <c r="C150" i="4" s="1"/>
  <c r="G150" i="4" s="1"/>
  <c r="B304" i="9" l="1"/>
  <c r="N304" i="9" s="1"/>
  <c r="G304" i="9"/>
  <c r="L304" i="9"/>
  <c r="O304" i="9" s="1"/>
  <c r="E304" i="9"/>
  <c r="D304" i="9"/>
  <c r="D150" i="4"/>
  <c r="E150" i="4"/>
  <c r="L150" i="4"/>
  <c r="B150" i="4"/>
  <c r="N150" i="4" s="1"/>
  <c r="F304" i="9" l="1"/>
  <c r="O150" i="4"/>
  <c r="F150" i="4"/>
  <c r="H304" i="9" l="1"/>
  <c r="I304" i="9" s="1"/>
  <c r="C305" i="9" s="1"/>
  <c r="H150" i="4"/>
  <c r="I150" i="4" s="1"/>
  <c r="C151" i="4" s="1"/>
  <c r="G151" i="4" s="1"/>
  <c r="L305" i="9" l="1"/>
  <c r="G305" i="9"/>
  <c r="B305" i="9"/>
  <c r="N305" i="9" s="1"/>
  <c r="E305" i="9"/>
  <c r="D305" i="9"/>
  <c r="D151" i="4"/>
  <c r="B151" i="4"/>
  <c r="N151" i="4" s="1"/>
  <c r="E151" i="4"/>
  <c r="L151" i="4"/>
  <c r="F305" i="9" l="1"/>
  <c r="O305" i="9"/>
  <c r="H305" i="9" s="1"/>
  <c r="I305" i="9" s="1"/>
  <c r="C306" i="9" s="1"/>
  <c r="O151" i="4"/>
  <c r="F151" i="4"/>
  <c r="B306" i="9" l="1"/>
  <c r="N306" i="9" s="1"/>
  <c r="G306" i="9"/>
  <c r="L306" i="9"/>
  <c r="E306" i="9"/>
  <c r="D306" i="9"/>
  <c r="H151" i="4"/>
  <c r="I151" i="4" s="1"/>
  <c r="C152" i="4" s="1"/>
  <c r="G152" i="4" s="1"/>
  <c r="O306" i="9" l="1"/>
  <c r="F306" i="9"/>
  <c r="D152" i="4"/>
  <c r="B152" i="4"/>
  <c r="N152" i="4" s="1"/>
  <c r="E152" i="4"/>
  <c r="L152" i="4"/>
  <c r="H306" i="9" l="1"/>
  <c r="I306" i="9" s="1"/>
  <c r="C307" i="9" s="1"/>
  <c r="O152" i="4"/>
  <c r="F152" i="4"/>
  <c r="L307" i="9" l="1"/>
  <c r="G307" i="9"/>
  <c r="B307" i="9"/>
  <c r="N307" i="9" s="1"/>
  <c r="E307" i="9"/>
  <c r="D307" i="9"/>
  <c r="H152" i="4"/>
  <c r="I152" i="4" s="1"/>
  <c r="C153" i="4" s="1"/>
  <c r="G153" i="4" s="1"/>
  <c r="F307" i="9" l="1"/>
  <c r="O307" i="9"/>
  <c r="H307" i="9" s="1"/>
  <c r="I307" i="9" s="1"/>
  <c r="C308" i="9" s="1"/>
  <c r="D153" i="4"/>
  <c r="L153" i="4"/>
  <c r="E153" i="4"/>
  <c r="B153" i="4"/>
  <c r="N153" i="4" s="1"/>
  <c r="B308" i="9" l="1"/>
  <c r="N308" i="9" s="1"/>
  <c r="G308" i="9"/>
  <c r="L308" i="9"/>
  <c r="E308" i="9"/>
  <c r="D308" i="9"/>
  <c r="F308" i="9" s="1"/>
  <c r="O153" i="4"/>
  <c r="F153" i="4"/>
  <c r="O308" i="9" l="1"/>
  <c r="H308" i="9" s="1"/>
  <c r="I308" i="9" s="1"/>
  <c r="C309" i="9" s="1"/>
  <c r="B309" i="9" s="1"/>
  <c r="N309" i="9" s="1"/>
  <c r="H153" i="4"/>
  <c r="I153" i="4" s="1"/>
  <c r="C154" i="4" s="1"/>
  <c r="G154" i="4" s="1"/>
  <c r="G309" i="9" l="1"/>
  <c r="L309" i="9"/>
  <c r="O309" i="9" s="1"/>
  <c r="D309" i="9"/>
  <c r="E309" i="9"/>
  <c r="D154" i="4"/>
  <c r="B154" i="4"/>
  <c r="N154" i="4" s="1"/>
  <c r="L154" i="4"/>
  <c r="E154" i="4"/>
  <c r="F309" i="9" l="1"/>
  <c r="H309" i="9"/>
  <c r="I309" i="9"/>
  <c r="C310" i="9" s="1"/>
  <c r="O154" i="4"/>
  <c r="F154" i="4"/>
  <c r="B310" i="9" l="1"/>
  <c r="N310" i="9" s="1"/>
  <c r="G310" i="9"/>
  <c r="L310" i="9"/>
  <c r="O310" i="9" s="1"/>
  <c r="E310" i="9"/>
  <c r="D310" i="9"/>
  <c r="F310" i="9" s="1"/>
  <c r="H154" i="4"/>
  <c r="I154" i="4" s="1"/>
  <c r="C155" i="4" s="1"/>
  <c r="G155" i="4" s="1"/>
  <c r="H310" i="9" l="1"/>
  <c r="I310" i="9" s="1"/>
  <c r="C311" i="9" s="1"/>
  <c r="D155" i="4"/>
  <c r="L155" i="4"/>
  <c r="E155" i="4"/>
  <c r="B155" i="4"/>
  <c r="N155" i="4" s="1"/>
  <c r="B311" i="9" l="1"/>
  <c r="N311" i="9" s="1"/>
  <c r="E311" i="9"/>
  <c r="L311" i="9"/>
  <c r="O311" i="9" s="1"/>
  <c r="D311" i="9"/>
  <c r="F311" i="9" s="1"/>
  <c r="G311" i="9"/>
  <c r="O155" i="4"/>
  <c r="F155" i="4"/>
  <c r="H311" i="9" l="1"/>
  <c r="I311" i="9" s="1"/>
  <c r="C312" i="9" s="1"/>
  <c r="B312" i="9" s="1"/>
  <c r="N312" i="9" s="1"/>
  <c r="L312" i="9"/>
  <c r="E312" i="9"/>
  <c r="D312" i="9"/>
  <c r="H155" i="4"/>
  <c r="I155" i="4" s="1"/>
  <c r="C156" i="4" s="1"/>
  <c r="G156" i="4" s="1"/>
  <c r="G312" i="9" l="1"/>
  <c r="F312" i="9" s="1"/>
  <c r="O312" i="9"/>
  <c r="D156" i="4"/>
  <c r="L156" i="4"/>
  <c r="B156" i="4"/>
  <c r="N156" i="4" s="1"/>
  <c r="E156" i="4"/>
  <c r="H312" i="9" l="1"/>
  <c r="I312" i="9" s="1"/>
  <c r="C313" i="9" s="1"/>
  <c r="O156" i="4"/>
  <c r="F156" i="4"/>
  <c r="B313" i="9" l="1"/>
  <c r="N313" i="9" s="1"/>
  <c r="D313" i="9"/>
  <c r="L313" i="9"/>
  <c r="O313" i="9" s="1"/>
  <c r="E313" i="9"/>
  <c r="G313" i="9"/>
  <c r="H156" i="4"/>
  <c r="I156" i="4" s="1"/>
  <c r="C157" i="4" s="1"/>
  <c r="G157" i="4" s="1"/>
  <c r="F313" i="9" l="1"/>
  <c r="H313" i="9" s="1"/>
  <c r="I313" i="9" s="1"/>
  <c r="C314" i="9" s="1"/>
  <c r="D157" i="4"/>
  <c r="L157" i="4"/>
  <c r="B157" i="4"/>
  <c r="N157" i="4" s="1"/>
  <c r="E157" i="4"/>
  <c r="L314" i="9" l="1"/>
  <c r="E314" i="9"/>
  <c r="B314" i="9"/>
  <c r="N314" i="9" s="1"/>
  <c r="D314" i="9"/>
  <c r="F314" i="9" s="1"/>
  <c r="G314" i="9"/>
  <c r="O157" i="4"/>
  <c r="F157" i="4"/>
  <c r="O314" i="9" l="1"/>
  <c r="H314" i="9" s="1"/>
  <c r="I314" i="9" s="1"/>
  <c r="C315" i="9" s="1"/>
  <c r="B315" i="9" s="1"/>
  <c r="N315" i="9" s="1"/>
  <c r="E315" i="9"/>
  <c r="H157" i="4"/>
  <c r="I157" i="4" s="1"/>
  <c r="C158" i="4" s="1"/>
  <c r="G158" i="4" s="1"/>
  <c r="D315" i="9" l="1"/>
  <c r="L315" i="9"/>
  <c r="O315" i="9" s="1"/>
  <c r="H315" i="9" s="1"/>
  <c r="I315" i="9" s="1"/>
  <c r="C316" i="9" s="1"/>
  <c r="G315" i="9"/>
  <c r="F315" i="9"/>
  <c r="D158" i="4"/>
  <c r="B158" i="4"/>
  <c r="N158" i="4" s="1"/>
  <c r="L158" i="4"/>
  <c r="E158" i="4"/>
  <c r="E316" i="9" l="1"/>
  <c r="G316" i="9"/>
  <c r="L316" i="9"/>
  <c r="B316" i="9"/>
  <c r="N316" i="9" s="1"/>
  <c r="D316" i="9"/>
  <c r="O158" i="4"/>
  <c r="F158" i="4"/>
  <c r="O316" i="9" l="1"/>
  <c r="F316" i="9"/>
  <c r="H158" i="4"/>
  <c r="I158" i="4" s="1"/>
  <c r="C159" i="4" s="1"/>
  <c r="G159" i="4" s="1"/>
  <c r="H316" i="9" l="1"/>
  <c r="I316" i="9" s="1"/>
  <c r="C317" i="9" s="1"/>
  <c r="D159" i="4"/>
  <c r="E159" i="4"/>
  <c r="L159" i="4"/>
  <c r="B159" i="4"/>
  <c r="N159" i="4" s="1"/>
  <c r="E317" i="9" l="1"/>
  <c r="L317" i="9"/>
  <c r="D317" i="9"/>
  <c r="F317" i="9" s="1"/>
  <c r="G317" i="9"/>
  <c r="B317" i="9"/>
  <c r="N317" i="9" s="1"/>
  <c r="O159" i="4"/>
  <c r="F159" i="4"/>
  <c r="O317" i="9" l="1"/>
  <c r="H317" i="9" s="1"/>
  <c r="I317" i="9" s="1"/>
  <c r="C318" i="9" s="1"/>
  <c r="H159" i="4"/>
  <c r="I159" i="4" s="1"/>
  <c r="C160" i="4" s="1"/>
  <c r="G160" i="4" s="1"/>
  <c r="L318" i="9" l="1"/>
  <c r="E318" i="9"/>
  <c r="B318" i="9"/>
  <c r="N318" i="9" s="1"/>
  <c r="D318" i="9"/>
  <c r="F318" i="9" s="1"/>
  <c r="G318" i="9"/>
  <c r="D160" i="4"/>
  <c r="E160" i="4"/>
  <c r="L160" i="4"/>
  <c r="B160" i="4"/>
  <c r="N160" i="4" s="1"/>
  <c r="O318" i="9" l="1"/>
  <c r="H318" i="9" s="1"/>
  <c r="I318" i="9" s="1"/>
  <c r="C319" i="9" s="1"/>
  <c r="F160" i="4"/>
  <c r="O160" i="4"/>
  <c r="G319" i="9" l="1"/>
  <c r="E319" i="9"/>
  <c r="B319" i="9"/>
  <c r="N319" i="9" s="1"/>
  <c r="D319" i="9"/>
  <c r="F319" i="9" s="1"/>
  <c r="L319" i="9"/>
  <c r="H160" i="4"/>
  <c r="I160" i="4" s="1"/>
  <c r="C161" i="4" s="1"/>
  <c r="G161" i="4" s="1"/>
  <c r="O319" i="9" l="1"/>
  <c r="H319" i="9" s="1"/>
  <c r="I319" i="9" s="1"/>
  <c r="C320" i="9" s="1"/>
  <c r="B161" i="4"/>
  <c r="N161" i="4" s="1"/>
  <c r="E161" i="4"/>
  <c r="L161" i="4"/>
  <c r="D161" i="4"/>
  <c r="E320" i="9" l="1"/>
  <c r="L320" i="9"/>
  <c r="G320" i="9"/>
  <c r="B320" i="9"/>
  <c r="N320" i="9" s="1"/>
  <c r="D320" i="9"/>
  <c r="F161" i="4"/>
  <c r="O161" i="4"/>
  <c r="H161" i="4" s="1"/>
  <c r="I161" i="4" s="1"/>
  <c r="C162" i="4" s="1"/>
  <c r="G162" i="4" s="1"/>
  <c r="O320" i="9" l="1"/>
  <c r="F320" i="9"/>
  <c r="D162" i="4"/>
  <c r="B162" i="4"/>
  <c r="N162" i="4" s="1"/>
  <c r="L162" i="4"/>
  <c r="E162" i="4"/>
  <c r="H320" i="9" l="1"/>
  <c r="I320" i="9" s="1"/>
  <c r="C321" i="9" s="1"/>
  <c r="L321" i="9" s="1"/>
  <c r="G321" i="9"/>
  <c r="D321" i="9"/>
  <c r="F321" i="9" s="1"/>
  <c r="B321" i="9"/>
  <c r="N321" i="9" s="1"/>
  <c r="E321" i="9"/>
  <c r="O162" i="4"/>
  <c r="F162" i="4"/>
  <c r="O321" i="9" l="1"/>
  <c r="H321" i="9" s="1"/>
  <c r="I321" i="9" s="1"/>
  <c r="C322" i="9" s="1"/>
  <c r="H162" i="4"/>
  <c r="I162" i="4" s="1"/>
  <c r="C163" i="4" s="1"/>
  <c r="G163" i="4" s="1"/>
  <c r="E322" i="9" l="1"/>
  <c r="L322" i="9"/>
  <c r="D322" i="9"/>
  <c r="F322" i="9" s="1"/>
  <c r="G322" i="9"/>
  <c r="B322" i="9"/>
  <c r="N322" i="9" s="1"/>
  <c r="D163" i="4"/>
  <c r="E163" i="4"/>
  <c r="B163" i="4"/>
  <c r="N163" i="4" s="1"/>
  <c r="L163" i="4"/>
  <c r="O322" i="9" l="1"/>
  <c r="H322" i="9" s="1"/>
  <c r="I322" i="9" s="1"/>
  <c r="C323" i="9" s="1"/>
  <c r="O163" i="4"/>
  <c r="F163" i="4"/>
  <c r="L323" i="9" l="1"/>
  <c r="G323" i="9"/>
  <c r="E323" i="9"/>
  <c r="D323" i="9"/>
  <c r="F323" i="9" s="1"/>
  <c r="B323" i="9"/>
  <c r="N323" i="9" s="1"/>
  <c r="H163" i="4"/>
  <c r="I163" i="4" s="1"/>
  <c r="C164" i="4" s="1"/>
  <c r="G164" i="4" s="1"/>
  <c r="O323" i="9" l="1"/>
  <c r="H323" i="9" s="1"/>
  <c r="I323" i="9" s="1"/>
  <c r="C324" i="9" s="1"/>
  <c r="D164" i="4"/>
  <c r="L164" i="4"/>
  <c r="B164" i="4"/>
  <c r="N164" i="4" s="1"/>
  <c r="E164" i="4"/>
  <c r="L324" i="9" l="1"/>
  <c r="B324" i="9"/>
  <c r="N324" i="9" s="1"/>
  <c r="D324" i="9"/>
  <c r="G324" i="9"/>
  <c r="E324" i="9"/>
  <c r="O164" i="4"/>
  <c r="F164" i="4"/>
  <c r="F324" i="9" l="1"/>
  <c r="O324" i="9"/>
  <c r="H324" i="9" s="1"/>
  <c r="I324" i="9" s="1"/>
  <c r="C325" i="9" s="1"/>
  <c r="H164" i="4"/>
  <c r="I164" i="4" s="1"/>
  <c r="C165" i="4" s="1"/>
  <c r="G165" i="4" s="1"/>
  <c r="E325" i="9" l="1"/>
  <c r="D325" i="9"/>
  <c r="L325" i="9"/>
  <c r="O325" i="9" s="1"/>
  <c r="G325" i="9"/>
  <c r="B325" i="9"/>
  <c r="N325" i="9" s="1"/>
  <c r="D165" i="4"/>
  <c r="L165" i="4"/>
  <c r="E165" i="4"/>
  <c r="B165" i="4"/>
  <c r="N165" i="4" s="1"/>
  <c r="F325" i="9" l="1"/>
  <c r="H325" i="9" s="1"/>
  <c r="I325" i="9" s="1"/>
  <c r="C326" i="9" s="1"/>
  <c r="O165" i="4"/>
  <c r="F165" i="4"/>
  <c r="B326" i="9" l="1"/>
  <c r="N326" i="9" s="1"/>
  <c r="L326" i="9"/>
  <c r="O326" i="9" s="1"/>
  <c r="D326" i="9"/>
  <c r="G326" i="9"/>
  <c r="E326" i="9"/>
  <c r="H165" i="4"/>
  <c r="I165" i="4" s="1"/>
  <c r="C166" i="4" s="1"/>
  <c r="G166" i="4" s="1"/>
  <c r="F326" i="9" l="1"/>
  <c r="H326" i="9"/>
  <c r="I326" i="9"/>
  <c r="C327" i="9" s="1"/>
  <c r="D166" i="4"/>
  <c r="L166" i="4"/>
  <c r="E166" i="4"/>
  <c r="B166" i="4"/>
  <c r="N166" i="4" s="1"/>
  <c r="G327" i="9" l="1"/>
  <c r="B327" i="9"/>
  <c r="N327" i="9" s="1"/>
  <c r="L327" i="9"/>
  <c r="E327" i="9"/>
  <c r="D327" i="9"/>
  <c r="O166" i="4"/>
  <c r="F166" i="4"/>
  <c r="O327" i="9" l="1"/>
  <c r="F327" i="9"/>
  <c r="H166" i="4"/>
  <c r="I166" i="4" s="1"/>
  <c r="C167" i="4" s="1"/>
  <c r="G167" i="4" s="1"/>
  <c r="H327" i="9" l="1"/>
  <c r="I327" i="9" s="1"/>
  <c r="C328" i="9" s="1"/>
  <c r="D167" i="4"/>
  <c r="L167" i="4"/>
  <c r="B167" i="4"/>
  <c r="N167" i="4" s="1"/>
  <c r="E167" i="4"/>
  <c r="L328" i="9" l="1"/>
  <c r="G328" i="9"/>
  <c r="B328" i="9"/>
  <c r="N328" i="9" s="1"/>
  <c r="E328" i="9"/>
  <c r="D328" i="9"/>
  <c r="O167" i="4"/>
  <c r="F167" i="4"/>
  <c r="F328" i="9" l="1"/>
  <c r="O328" i="9"/>
  <c r="H328" i="9" s="1"/>
  <c r="H167" i="4"/>
  <c r="I167" i="4" s="1"/>
  <c r="C168" i="4" s="1"/>
  <c r="G168" i="4" s="1"/>
  <c r="I328" i="9" l="1"/>
  <c r="C329" i="9" s="1"/>
  <c r="D168" i="4"/>
  <c r="E168" i="4"/>
  <c r="B168" i="4"/>
  <c r="N168" i="4" s="1"/>
  <c r="L168" i="4"/>
  <c r="G329" i="9" l="1"/>
  <c r="B329" i="9"/>
  <c r="N329" i="9" s="1"/>
  <c r="L329" i="9"/>
  <c r="E329" i="9"/>
  <c r="D329" i="9"/>
  <c r="O168" i="4"/>
  <c r="F168" i="4"/>
  <c r="O329" i="9" l="1"/>
  <c r="F329" i="9"/>
  <c r="H168" i="4"/>
  <c r="I168" i="4" s="1"/>
  <c r="C169" i="4" s="1"/>
  <c r="G169" i="4" s="1"/>
  <c r="H329" i="9" l="1"/>
  <c r="I329" i="9" s="1"/>
  <c r="C330" i="9" s="1"/>
  <c r="D169" i="4"/>
  <c r="E169" i="4"/>
  <c r="L169" i="4"/>
  <c r="B169" i="4"/>
  <c r="N169" i="4" s="1"/>
  <c r="L330" i="9" l="1"/>
  <c r="G330" i="9"/>
  <c r="B330" i="9"/>
  <c r="N330" i="9" s="1"/>
  <c r="E330" i="9"/>
  <c r="D330" i="9"/>
  <c r="O169" i="4"/>
  <c r="F169" i="4"/>
  <c r="F330" i="9" l="1"/>
  <c r="O330" i="9"/>
  <c r="H330" i="9" s="1"/>
  <c r="H169" i="4"/>
  <c r="I169" i="4" s="1"/>
  <c r="C170" i="4" s="1"/>
  <c r="G170" i="4" s="1"/>
  <c r="I330" i="9" l="1"/>
  <c r="C331" i="9" s="1"/>
  <c r="D170" i="4"/>
  <c r="B170" i="4"/>
  <c r="N170" i="4" s="1"/>
  <c r="E170" i="4"/>
  <c r="L170" i="4"/>
  <c r="L331" i="9" l="1"/>
  <c r="G331" i="9"/>
  <c r="B331" i="9"/>
  <c r="N331" i="9" s="1"/>
  <c r="E331" i="9"/>
  <c r="D331" i="9"/>
  <c r="O170" i="4"/>
  <c r="F170" i="4"/>
  <c r="F331" i="9" l="1"/>
  <c r="O331" i="9"/>
  <c r="H331" i="9" s="1"/>
  <c r="I331" i="9" s="1"/>
  <c r="C332" i="9" s="1"/>
  <c r="H170" i="4"/>
  <c r="I170" i="4" s="1"/>
  <c r="C171" i="4" s="1"/>
  <c r="G171" i="4" s="1"/>
  <c r="B332" i="9" l="1"/>
  <c r="N332" i="9" s="1"/>
  <c r="L332" i="9"/>
  <c r="G332" i="9"/>
  <c r="E332" i="9"/>
  <c r="D332" i="9"/>
  <c r="D171" i="4"/>
  <c r="B171" i="4"/>
  <c r="N171" i="4" s="1"/>
  <c r="E171" i="4"/>
  <c r="L171" i="4"/>
  <c r="O332" i="9" l="1"/>
  <c r="F332" i="9"/>
  <c r="O171" i="4"/>
  <c r="F171" i="4"/>
  <c r="H332" i="9" l="1"/>
  <c r="I332" i="9" s="1"/>
  <c r="C333" i="9" s="1"/>
  <c r="H171" i="4"/>
  <c r="I171" i="4" s="1"/>
  <c r="C172" i="4" s="1"/>
  <c r="G172" i="4" s="1"/>
  <c r="L333" i="9" l="1"/>
  <c r="B333" i="9"/>
  <c r="N333" i="9" s="1"/>
  <c r="G333" i="9"/>
  <c r="E333" i="9"/>
  <c r="D333" i="9"/>
  <c r="D172" i="4"/>
  <c r="E172" i="4"/>
  <c r="L172" i="4"/>
  <c r="B172" i="4"/>
  <c r="N172" i="4" s="1"/>
  <c r="F333" i="9" l="1"/>
  <c r="O333" i="9"/>
  <c r="H333" i="9" s="1"/>
  <c r="I333" i="9" s="1"/>
  <c r="C334" i="9" s="1"/>
  <c r="O172" i="4"/>
  <c r="F172" i="4"/>
  <c r="B334" i="9" l="1"/>
  <c r="N334" i="9" s="1"/>
  <c r="L334" i="9"/>
  <c r="G334" i="9"/>
  <c r="E334" i="9"/>
  <c r="D334" i="9"/>
  <c r="H172" i="4"/>
  <c r="I172" i="4" s="1"/>
  <c r="C173" i="4" s="1"/>
  <c r="G173" i="4" s="1"/>
  <c r="O334" i="9" l="1"/>
  <c r="F334" i="9"/>
  <c r="D173" i="4"/>
  <c r="E173" i="4"/>
  <c r="L173" i="4"/>
  <c r="B173" i="4"/>
  <c r="N173" i="4" s="1"/>
  <c r="H334" i="9" l="1"/>
  <c r="I334" i="9" s="1"/>
  <c r="C335" i="9" s="1"/>
  <c r="L335" i="9" s="1"/>
  <c r="B335" i="9"/>
  <c r="N335" i="9" s="1"/>
  <c r="G335" i="9"/>
  <c r="E335" i="9"/>
  <c r="D335" i="9"/>
  <c r="O173" i="4"/>
  <c r="F173" i="4"/>
  <c r="F335" i="9" l="1"/>
  <c r="O335" i="9"/>
  <c r="H335" i="9" s="1"/>
  <c r="H173" i="4"/>
  <c r="I173" i="4" s="1"/>
  <c r="C174" i="4" s="1"/>
  <c r="G174" i="4" s="1"/>
  <c r="I335" i="9" l="1"/>
  <c r="C336" i="9" s="1"/>
  <c r="D174" i="4"/>
  <c r="E174" i="4"/>
  <c r="B174" i="4"/>
  <c r="N174" i="4" s="1"/>
  <c r="L174" i="4"/>
  <c r="B336" i="9" l="1"/>
  <c r="N336" i="9" s="1"/>
  <c r="L336" i="9"/>
  <c r="G336" i="9"/>
  <c r="E336" i="9"/>
  <c r="D336" i="9"/>
  <c r="O174" i="4"/>
  <c r="F174" i="4"/>
  <c r="F336" i="9" l="1"/>
  <c r="O336" i="9"/>
  <c r="H336" i="9" s="1"/>
  <c r="I336" i="9" s="1"/>
  <c r="C337" i="9" s="1"/>
  <c r="H174" i="4"/>
  <c r="I174" i="4" s="1"/>
  <c r="C175" i="4" s="1"/>
  <c r="G175" i="4" s="1"/>
  <c r="L337" i="9" l="1"/>
  <c r="B337" i="9"/>
  <c r="N337" i="9" s="1"/>
  <c r="G337" i="9"/>
  <c r="E337" i="9"/>
  <c r="D337" i="9"/>
  <c r="D175" i="4"/>
  <c r="E175" i="4"/>
  <c r="L175" i="4"/>
  <c r="B175" i="4"/>
  <c r="N175" i="4" s="1"/>
  <c r="F337" i="9" l="1"/>
  <c r="O337" i="9"/>
  <c r="H337" i="9" s="1"/>
  <c r="O175" i="4"/>
  <c r="F175" i="4"/>
  <c r="I337" i="9" l="1"/>
  <c r="C338" i="9" s="1"/>
  <c r="H175" i="4"/>
  <c r="I175" i="4" s="1"/>
  <c r="C176" i="4" s="1"/>
  <c r="G176" i="4" s="1"/>
  <c r="B338" i="9" l="1"/>
  <c r="N338" i="9" s="1"/>
  <c r="L338" i="9"/>
  <c r="O338" i="9" s="1"/>
  <c r="G338" i="9"/>
  <c r="E338" i="9"/>
  <c r="D338" i="9"/>
  <c r="F338" i="9" s="1"/>
  <c r="D176" i="4"/>
  <c r="E176" i="4"/>
  <c r="L176" i="4"/>
  <c r="B176" i="4"/>
  <c r="N176" i="4" s="1"/>
  <c r="H338" i="9" l="1"/>
  <c r="I338" i="9" s="1"/>
  <c r="C339" i="9" s="1"/>
  <c r="O176" i="4"/>
  <c r="F176" i="4"/>
  <c r="L339" i="9" l="1"/>
  <c r="B339" i="9"/>
  <c r="N339" i="9" s="1"/>
  <c r="G339" i="9"/>
  <c r="E339" i="9"/>
  <c r="D339" i="9"/>
  <c r="H176" i="4"/>
  <c r="I176" i="4" s="1"/>
  <c r="C177" i="4" s="1"/>
  <c r="G177" i="4" s="1"/>
  <c r="F339" i="9" l="1"/>
  <c r="O339" i="9"/>
  <c r="D177" i="4"/>
  <c r="L177" i="4"/>
  <c r="B177" i="4"/>
  <c r="N177" i="4" s="1"/>
  <c r="E177" i="4"/>
  <c r="H339" i="9" l="1"/>
  <c r="I339" i="9" s="1"/>
  <c r="C340" i="9" s="1"/>
  <c r="O177" i="4"/>
  <c r="F177" i="4"/>
  <c r="B340" i="9" l="1"/>
  <c r="N340" i="9" s="1"/>
  <c r="L340" i="9"/>
  <c r="O340" i="9" s="1"/>
  <c r="G340" i="9"/>
  <c r="E340" i="9"/>
  <c r="D340" i="9"/>
  <c r="F340" i="9" s="1"/>
  <c r="H177" i="4"/>
  <c r="I177" i="4" s="1"/>
  <c r="C178" i="4" s="1"/>
  <c r="G178" i="4" s="1"/>
  <c r="H340" i="9" l="1"/>
  <c r="I340" i="9" s="1"/>
  <c r="C341" i="9" s="1"/>
  <c r="D178" i="4"/>
  <c r="E178" i="4"/>
  <c r="L178" i="4"/>
  <c r="B178" i="4"/>
  <c r="N178" i="4" s="1"/>
  <c r="L341" i="9" l="1"/>
  <c r="B341" i="9"/>
  <c r="N341" i="9" s="1"/>
  <c r="G341" i="9"/>
  <c r="E341" i="9"/>
  <c r="D341" i="9"/>
  <c r="O178" i="4"/>
  <c r="F178" i="4"/>
  <c r="F341" i="9" l="1"/>
  <c r="O341" i="9"/>
  <c r="H178" i="4"/>
  <c r="I178" i="4" s="1"/>
  <c r="C179" i="4" s="1"/>
  <c r="G179" i="4" s="1"/>
  <c r="H341" i="9" l="1"/>
  <c r="I341" i="9"/>
  <c r="C342" i="9" s="1"/>
  <c r="D179" i="4"/>
  <c r="B179" i="4"/>
  <c r="N179" i="4" s="1"/>
  <c r="L179" i="4"/>
  <c r="E179" i="4"/>
  <c r="B342" i="9" l="1"/>
  <c r="N342" i="9" s="1"/>
  <c r="L342" i="9"/>
  <c r="O342" i="9" s="1"/>
  <c r="G342" i="9"/>
  <c r="E342" i="9"/>
  <c r="D342" i="9"/>
  <c r="O179" i="4"/>
  <c r="F179" i="4"/>
  <c r="F342" i="9" l="1"/>
  <c r="H342" i="9"/>
  <c r="I342" i="9" s="1"/>
  <c r="C343" i="9" s="1"/>
  <c r="H179" i="4"/>
  <c r="I179" i="4" s="1"/>
  <c r="C180" i="4" s="1"/>
  <c r="G180" i="4" s="1"/>
  <c r="L343" i="9" l="1"/>
  <c r="B343" i="9"/>
  <c r="N343" i="9" s="1"/>
  <c r="G343" i="9"/>
  <c r="E343" i="9"/>
  <c r="D343" i="9"/>
  <c r="D180" i="4"/>
  <c r="B180" i="4"/>
  <c r="N180" i="4" s="1"/>
  <c r="E180" i="4"/>
  <c r="L180" i="4"/>
  <c r="F343" i="9" l="1"/>
  <c r="O343" i="9"/>
  <c r="O180" i="4"/>
  <c r="F180" i="4"/>
  <c r="H343" i="9" l="1"/>
  <c r="I343" i="9" s="1"/>
  <c r="C344" i="9" s="1"/>
  <c r="H180" i="4"/>
  <c r="I180" i="4" s="1"/>
  <c r="C181" i="4" s="1"/>
  <c r="G181" i="4" s="1"/>
  <c r="B344" i="9" l="1"/>
  <c r="N344" i="9" s="1"/>
  <c r="L344" i="9"/>
  <c r="G344" i="9"/>
  <c r="E344" i="9"/>
  <c r="D344" i="9"/>
  <c r="D181" i="4"/>
  <c r="B181" i="4"/>
  <c r="N181" i="4" s="1"/>
  <c r="E181" i="4"/>
  <c r="L181" i="4"/>
  <c r="O344" i="9" l="1"/>
  <c r="F344" i="9"/>
  <c r="O181" i="4"/>
  <c r="F181" i="4"/>
  <c r="H344" i="9" l="1"/>
  <c r="I344" i="9" s="1"/>
  <c r="C345" i="9" s="1"/>
  <c r="H181" i="4"/>
  <c r="I181" i="4"/>
  <c r="C182" i="4" s="1"/>
  <c r="G182" i="4" s="1"/>
  <c r="L345" i="9" l="1"/>
  <c r="B345" i="9"/>
  <c r="N345" i="9" s="1"/>
  <c r="G345" i="9"/>
  <c r="E345" i="9"/>
  <c r="D345" i="9"/>
  <c r="D182" i="4"/>
  <c r="E182" i="4"/>
  <c r="B182" i="4"/>
  <c r="N182" i="4" s="1"/>
  <c r="L182" i="4"/>
  <c r="F345" i="9" l="1"/>
  <c r="O345" i="9"/>
  <c r="H345" i="9" s="1"/>
  <c r="O182" i="4"/>
  <c r="F182" i="4"/>
  <c r="I345" i="9" l="1"/>
  <c r="C346" i="9" s="1"/>
  <c r="H182" i="4"/>
  <c r="I182" i="4" s="1"/>
  <c r="C183" i="4" s="1"/>
  <c r="G183" i="4" s="1"/>
  <c r="B346" i="9" l="1"/>
  <c r="N346" i="9" s="1"/>
  <c r="L346" i="9"/>
  <c r="G346" i="9"/>
  <c r="E346" i="9"/>
  <c r="D346" i="9"/>
  <c r="D183" i="4"/>
  <c r="B183" i="4"/>
  <c r="N183" i="4" s="1"/>
  <c r="L183" i="4"/>
  <c r="E183" i="4"/>
  <c r="O346" i="9" l="1"/>
  <c r="F346" i="9"/>
  <c r="O183" i="4"/>
  <c r="F183" i="4"/>
  <c r="H346" i="9" l="1"/>
  <c r="I346" i="9" s="1"/>
  <c r="C347" i="9" s="1"/>
  <c r="H183" i="4"/>
  <c r="I183" i="4" s="1"/>
  <c r="C184" i="4" s="1"/>
  <c r="G184" i="4" s="1"/>
  <c r="L347" i="9" l="1"/>
  <c r="B347" i="9"/>
  <c r="N347" i="9" s="1"/>
  <c r="G347" i="9"/>
  <c r="E347" i="9"/>
  <c r="D347" i="9"/>
  <c r="D184" i="4"/>
  <c r="E184" i="4"/>
  <c r="L184" i="4"/>
  <c r="B184" i="4"/>
  <c r="N184" i="4" s="1"/>
  <c r="F347" i="9" l="1"/>
  <c r="O347" i="9"/>
  <c r="H347" i="9" s="1"/>
  <c r="I347" i="9" s="1"/>
  <c r="C348" i="9" s="1"/>
  <c r="O184" i="4"/>
  <c r="F184" i="4"/>
  <c r="B348" i="9" l="1"/>
  <c r="N348" i="9" s="1"/>
  <c r="L348" i="9"/>
  <c r="G348" i="9"/>
  <c r="E348" i="9"/>
  <c r="D348" i="9"/>
  <c r="F348" i="9" s="1"/>
  <c r="H184" i="4"/>
  <c r="I184" i="4" s="1"/>
  <c r="C185" i="4" s="1"/>
  <c r="G185" i="4" s="1"/>
  <c r="O348" i="9" l="1"/>
  <c r="H348" i="9" s="1"/>
  <c r="I348" i="9" s="1"/>
  <c r="C349" i="9" s="1"/>
  <c r="D185" i="4"/>
  <c r="L185" i="4"/>
  <c r="B185" i="4"/>
  <c r="N185" i="4" s="1"/>
  <c r="E185" i="4"/>
  <c r="L349" i="9" l="1"/>
  <c r="B349" i="9"/>
  <c r="N349" i="9" s="1"/>
  <c r="G349" i="9"/>
  <c r="E349" i="9"/>
  <c r="D349" i="9"/>
  <c r="F185" i="4"/>
  <c r="O185" i="4"/>
  <c r="F349" i="9" l="1"/>
  <c r="O349" i="9"/>
  <c r="H185" i="4"/>
  <c r="I185" i="4" s="1"/>
  <c r="C186" i="4" s="1"/>
  <c r="G186" i="4" s="1"/>
  <c r="H349" i="9" l="1"/>
  <c r="I349" i="9"/>
  <c r="C350" i="9" s="1"/>
  <c r="D186" i="4"/>
  <c r="L186" i="4"/>
  <c r="E186" i="4"/>
  <c r="B186" i="4"/>
  <c r="N186" i="4" s="1"/>
  <c r="L350" i="9" l="1"/>
  <c r="G350" i="9"/>
  <c r="B350" i="9"/>
  <c r="N350" i="9" s="1"/>
  <c r="E350" i="9"/>
  <c r="D350" i="9"/>
  <c r="O186" i="4"/>
  <c r="F186" i="4"/>
  <c r="F350" i="9" l="1"/>
  <c r="O350" i="9"/>
  <c r="H350" i="9" s="1"/>
  <c r="H186" i="4"/>
  <c r="I186" i="4" s="1"/>
  <c r="C187" i="4" s="1"/>
  <c r="I350" i="9" l="1"/>
  <c r="C351" i="9" s="1"/>
  <c r="D187" i="4"/>
  <c r="G187" i="4"/>
  <c r="B187" i="4"/>
  <c r="N187" i="4" s="1"/>
  <c r="E187" i="4"/>
  <c r="L187" i="4"/>
  <c r="G351" i="9" l="1"/>
  <c r="B351" i="9"/>
  <c r="N351" i="9" s="1"/>
  <c r="L351" i="9"/>
  <c r="E351" i="9"/>
  <c r="D351" i="9"/>
  <c r="O187" i="4"/>
  <c r="F187" i="4"/>
  <c r="O351" i="9" l="1"/>
  <c r="F351" i="9"/>
  <c r="H187" i="4"/>
  <c r="I187" i="4" s="1"/>
  <c r="C188" i="4" s="1"/>
  <c r="H351" i="9" l="1"/>
  <c r="I351" i="9" s="1"/>
  <c r="C352" i="9" s="1"/>
  <c r="D188" i="4"/>
  <c r="G188" i="4"/>
  <c r="B188" i="4"/>
  <c r="N188" i="4" s="1"/>
  <c r="L188" i="4"/>
  <c r="E188" i="4"/>
  <c r="L352" i="9" l="1"/>
  <c r="G352" i="9"/>
  <c r="B352" i="9"/>
  <c r="N352" i="9" s="1"/>
  <c r="E352" i="9"/>
  <c r="D352" i="9"/>
  <c r="O188" i="4"/>
  <c r="F188" i="4"/>
  <c r="F352" i="9" l="1"/>
  <c r="O352" i="9"/>
  <c r="H352" i="9" s="1"/>
  <c r="I352" i="9" s="1"/>
  <c r="C353" i="9" s="1"/>
  <c r="H188" i="4"/>
  <c r="I188" i="4" s="1"/>
  <c r="C189" i="4" s="1"/>
  <c r="D189" i="4" s="1"/>
  <c r="G353" i="9" l="1"/>
  <c r="B353" i="9"/>
  <c r="N353" i="9" s="1"/>
  <c r="L353" i="9"/>
  <c r="E353" i="9"/>
  <c r="D353" i="9"/>
  <c r="G189" i="4"/>
  <c r="B189" i="4"/>
  <c r="N189" i="4" s="1"/>
  <c r="E189" i="4"/>
  <c r="L189" i="4"/>
  <c r="O353" i="9" l="1"/>
  <c r="F353" i="9"/>
  <c r="F189" i="4"/>
  <c r="O189" i="4"/>
  <c r="H353" i="9" l="1"/>
  <c r="I353" i="9" s="1"/>
  <c r="C354" i="9" s="1"/>
  <c r="H189" i="4"/>
  <c r="I189" i="4" s="1"/>
  <c r="C190" i="4" s="1"/>
  <c r="D190" i="4" s="1"/>
  <c r="L354" i="9" l="1"/>
  <c r="G354" i="9"/>
  <c r="B354" i="9"/>
  <c r="N354" i="9" s="1"/>
  <c r="E354" i="9"/>
  <c r="D354" i="9"/>
  <c r="E190" i="4"/>
  <c r="B190" i="4"/>
  <c r="N190" i="4" s="1"/>
  <c r="G190" i="4"/>
  <c r="L190" i="4"/>
  <c r="F190" i="4" l="1"/>
  <c r="F354" i="9"/>
  <c r="O354" i="9"/>
  <c r="H354" i="9" s="1"/>
  <c r="O190" i="4"/>
  <c r="H190" i="4" s="1"/>
  <c r="I190" i="4" s="1"/>
  <c r="C191" i="4" s="1"/>
  <c r="G191" i="4" s="1"/>
  <c r="I354" i="9" l="1"/>
  <c r="C355" i="9" s="1"/>
  <c r="L191" i="4"/>
  <c r="B191" i="4"/>
  <c r="N191" i="4" s="1"/>
  <c r="E191" i="4"/>
  <c r="D191" i="4"/>
  <c r="F191" i="4" l="1"/>
  <c r="G355" i="9"/>
  <c r="B355" i="9"/>
  <c r="N355" i="9" s="1"/>
  <c r="L355" i="9"/>
  <c r="E355" i="9"/>
  <c r="D355" i="9"/>
  <c r="O191" i="4"/>
  <c r="H191" i="4" s="1"/>
  <c r="I191" i="4" s="1"/>
  <c r="C192" i="4" s="1"/>
  <c r="G192" i="4" s="1"/>
  <c r="F355" i="9" l="1"/>
  <c r="O355" i="9"/>
  <c r="H355" i="9" s="1"/>
  <c r="I355" i="9" s="1"/>
  <c r="C356" i="9" s="1"/>
  <c r="L356" i="9" s="1"/>
  <c r="D192" i="4"/>
  <c r="B192" i="4"/>
  <c r="N192" i="4" s="1"/>
  <c r="L192" i="4"/>
  <c r="E192" i="4"/>
  <c r="D356" i="9" l="1"/>
  <c r="E356" i="9"/>
  <c r="B356" i="9"/>
  <c r="N356" i="9" s="1"/>
  <c r="O356" i="9" s="1"/>
  <c r="G356" i="9"/>
  <c r="O192" i="4"/>
  <c r="F192" i="4"/>
  <c r="F356" i="9" l="1"/>
  <c r="H356" i="9" s="1"/>
  <c r="I356" i="9" s="1"/>
  <c r="C357" i="9" s="1"/>
  <c r="H192" i="4"/>
  <c r="I192" i="4" s="1"/>
  <c r="C193" i="4" s="1"/>
  <c r="G193" i="4" s="1"/>
  <c r="L357" i="9" l="1"/>
  <c r="G357" i="9"/>
  <c r="D357" i="9"/>
  <c r="B357" i="9"/>
  <c r="N357" i="9" s="1"/>
  <c r="E357" i="9"/>
  <c r="D193" i="4"/>
  <c r="B193" i="4"/>
  <c r="N193" i="4" s="1"/>
  <c r="L193" i="4"/>
  <c r="E193" i="4"/>
  <c r="F357" i="9" l="1"/>
  <c r="O357" i="9"/>
  <c r="H357" i="9" s="1"/>
  <c r="I357" i="9" s="1"/>
  <c r="C358" i="9" s="1"/>
  <c r="O193" i="4"/>
  <c r="F193" i="4"/>
  <c r="L358" i="9" l="1"/>
  <c r="G358" i="9"/>
  <c r="B358" i="9"/>
  <c r="N358" i="9" s="1"/>
  <c r="E358" i="9"/>
  <c r="D358" i="9"/>
  <c r="H193" i="4"/>
  <c r="I193" i="4"/>
  <c r="C194" i="4" s="1"/>
  <c r="G194" i="4" s="1"/>
  <c r="F358" i="9" l="1"/>
  <c r="O358" i="9"/>
  <c r="D194" i="4"/>
  <c r="L194" i="4"/>
  <c r="B194" i="4"/>
  <c r="N194" i="4" s="1"/>
  <c r="E194" i="4"/>
  <c r="H358" i="9" l="1"/>
  <c r="I358" i="9"/>
  <c r="C359" i="9" s="1"/>
  <c r="O194" i="4"/>
  <c r="F194" i="4"/>
  <c r="G359" i="9" l="1"/>
  <c r="B359" i="9"/>
  <c r="N359" i="9" s="1"/>
  <c r="L359" i="9"/>
  <c r="E359" i="9"/>
  <c r="D359" i="9"/>
  <c r="H194" i="4"/>
  <c r="I194" i="4" s="1"/>
  <c r="C195" i="4" s="1"/>
  <c r="G195" i="4" s="1"/>
  <c r="O359" i="9" l="1"/>
  <c r="F359" i="9"/>
  <c r="D195" i="4"/>
  <c r="E195" i="4"/>
  <c r="B195" i="4"/>
  <c r="N195" i="4" s="1"/>
  <c r="L195" i="4"/>
  <c r="H359" i="9" l="1"/>
  <c r="I359" i="9" s="1"/>
  <c r="C360" i="9" s="1"/>
  <c r="O195" i="4"/>
  <c r="F195" i="4"/>
  <c r="L360" i="9" l="1"/>
  <c r="G360" i="9"/>
  <c r="B360" i="9"/>
  <c r="N360" i="9" s="1"/>
  <c r="E360" i="9"/>
  <c r="D360" i="9"/>
  <c r="H195" i="4"/>
  <c r="I195" i="4" s="1"/>
  <c r="C196" i="4" s="1"/>
  <c r="G196" i="4" s="1"/>
  <c r="F360" i="9" l="1"/>
  <c r="O360" i="9"/>
  <c r="D196" i="4"/>
  <c r="L196" i="4"/>
  <c r="E196" i="4"/>
  <c r="B196" i="4"/>
  <c r="N196" i="4" s="1"/>
  <c r="H360" i="9" l="1"/>
  <c r="I360" i="9" s="1"/>
  <c r="C361" i="9" s="1"/>
  <c r="G361" i="9" s="1"/>
  <c r="O196" i="4"/>
  <c r="F196" i="4"/>
  <c r="E361" i="9" l="1"/>
  <c r="L361" i="9"/>
  <c r="B361" i="9"/>
  <c r="N361" i="9" s="1"/>
  <c r="D361" i="9"/>
  <c r="F361" i="9" s="1"/>
  <c r="H196" i="4"/>
  <c r="I196" i="4" s="1"/>
  <c r="C197" i="4" s="1"/>
  <c r="G197" i="4" s="1"/>
  <c r="O361" i="9" l="1"/>
  <c r="H361" i="9"/>
  <c r="I361" i="9" s="1"/>
  <c r="C362" i="9" s="1"/>
  <c r="D197" i="4"/>
  <c r="L197" i="4"/>
  <c r="E197" i="4"/>
  <c r="B197" i="4"/>
  <c r="N197" i="4" s="1"/>
  <c r="L362" i="9" l="1"/>
  <c r="G362" i="9"/>
  <c r="B362" i="9"/>
  <c r="N362" i="9" s="1"/>
  <c r="E362" i="9"/>
  <c r="D362" i="9"/>
  <c r="O197" i="4"/>
  <c r="F197" i="4"/>
  <c r="F362" i="9" l="1"/>
  <c r="O362" i="9"/>
  <c r="H197" i="4"/>
  <c r="I197" i="4" s="1"/>
  <c r="C198" i="4" s="1"/>
  <c r="G198" i="4" s="1"/>
  <c r="H362" i="9" l="1"/>
  <c r="I362" i="9" s="1"/>
  <c r="C363" i="9" s="1"/>
  <c r="G363" i="9" s="1"/>
  <c r="E363" i="9"/>
  <c r="D198" i="4"/>
  <c r="B198" i="4"/>
  <c r="N198" i="4" s="1"/>
  <c r="L198" i="4"/>
  <c r="E198" i="4"/>
  <c r="L363" i="9" l="1"/>
  <c r="B363" i="9"/>
  <c r="N363" i="9" s="1"/>
  <c r="D363" i="9"/>
  <c r="F363" i="9" s="1"/>
  <c r="O198" i="4"/>
  <c r="F198" i="4"/>
  <c r="O363" i="9" l="1"/>
  <c r="H363" i="9"/>
  <c r="I363" i="9" s="1"/>
  <c r="C364" i="9" s="1"/>
  <c r="H198" i="4"/>
  <c r="I198" i="4" s="1"/>
  <c r="C199" i="4" s="1"/>
  <c r="G199" i="4" s="1"/>
  <c r="L364" i="9" l="1"/>
  <c r="G364" i="9"/>
  <c r="B364" i="9"/>
  <c r="N364" i="9" s="1"/>
  <c r="E364" i="9"/>
  <c r="D364" i="9"/>
  <c r="D199" i="4"/>
  <c r="L199" i="4"/>
  <c r="B199" i="4"/>
  <c r="N199" i="4" s="1"/>
  <c r="E199" i="4"/>
  <c r="F364" i="9" l="1"/>
  <c r="O364" i="9"/>
  <c r="H364" i="9" s="1"/>
  <c r="I364" i="9" s="1"/>
  <c r="C365" i="9" s="1"/>
  <c r="O199" i="4"/>
  <c r="F199" i="4"/>
  <c r="G365" i="9" l="1"/>
  <c r="B365" i="9"/>
  <c r="N365" i="9" s="1"/>
  <c r="L365" i="9"/>
  <c r="E365" i="9"/>
  <c r="D365" i="9"/>
  <c r="H199" i="4"/>
  <c r="I199" i="4" s="1"/>
  <c r="C200" i="4" s="1"/>
  <c r="G200" i="4" s="1"/>
  <c r="O365" i="9" l="1"/>
  <c r="F365" i="9"/>
  <c r="D200" i="4"/>
  <c r="L200" i="4"/>
  <c r="E200" i="4"/>
  <c r="B200" i="4"/>
  <c r="N200" i="4" s="1"/>
  <c r="H365" i="9" l="1"/>
  <c r="I365" i="9" s="1"/>
  <c r="C366" i="9" s="1"/>
  <c r="O200" i="4"/>
  <c r="F200" i="4"/>
  <c r="L366" i="9" l="1"/>
  <c r="G366" i="9"/>
  <c r="B366" i="9"/>
  <c r="N366" i="9" s="1"/>
  <c r="E366" i="9"/>
  <c r="D366" i="9"/>
  <c r="H200" i="4"/>
  <c r="I200" i="4" s="1"/>
  <c r="C201" i="4" s="1"/>
  <c r="G201" i="4" s="1"/>
  <c r="F366" i="9" l="1"/>
  <c r="O366" i="9"/>
  <c r="H366" i="9" s="1"/>
  <c r="I366" i="9" s="1"/>
  <c r="C367" i="9" s="1"/>
  <c r="D201" i="4"/>
  <c r="L201" i="4"/>
  <c r="E201" i="4"/>
  <c r="B201" i="4"/>
  <c r="N201" i="4" s="1"/>
  <c r="G367" i="9" l="1"/>
  <c r="B367" i="9"/>
  <c r="N367" i="9" s="1"/>
  <c r="L367" i="9"/>
  <c r="E367" i="9"/>
  <c r="D367" i="9"/>
  <c r="O201" i="4"/>
  <c r="F201" i="4"/>
  <c r="O367" i="9" l="1"/>
  <c r="F367" i="9"/>
  <c r="H201" i="4"/>
  <c r="I201" i="4" s="1"/>
  <c r="C202" i="4" s="1"/>
  <c r="G202" i="4" s="1"/>
  <c r="H367" i="9" l="1"/>
  <c r="I367" i="9" s="1"/>
  <c r="C368" i="9" s="1"/>
  <c r="D202" i="4"/>
  <c r="B202" i="4"/>
  <c r="N202" i="4" s="1"/>
  <c r="E202" i="4"/>
  <c r="L202" i="4"/>
  <c r="L368" i="9" l="1"/>
  <c r="G368" i="9"/>
  <c r="B368" i="9"/>
  <c r="N368" i="9" s="1"/>
  <c r="E368" i="9"/>
  <c r="D368" i="9"/>
  <c r="O202" i="4"/>
  <c r="F202" i="4"/>
  <c r="F368" i="9" l="1"/>
  <c r="O368" i="9"/>
  <c r="H368" i="9" s="1"/>
  <c r="I368" i="9" s="1"/>
  <c r="C369" i="9" s="1"/>
  <c r="H202" i="4"/>
  <c r="I202" i="4" s="1"/>
  <c r="C203" i="4" s="1"/>
  <c r="G203" i="4" s="1"/>
  <c r="G369" i="9" l="1"/>
  <c r="B369" i="9"/>
  <c r="N369" i="9" s="1"/>
  <c r="L369" i="9"/>
  <c r="E369" i="9"/>
  <c r="D369" i="9"/>
  <c r="D203" i="4"/>
  <c r="B203" i="4"/>
  <c r="N203" i="4" s="1"/>
  <c r="L203" i="4"/>
  <c r="E203" i="4"/>
  <c r="O369" i="9" l="1"/>
  <c r="F369" i="9"/>
  <c r="O203" i="4"/>
  <c r="F203" i="4"/>
  <c r="H369" i="9" l="1"/>
  <c r="I369" i="9" s="1"/>
  <c r="C370" i="9" s="1"/>
  <c r="H203" i="4"/>
  <c r="I203" i="4" s="1"/>
  <c r="C204" i="4" s="1"/>
  <c r="G204" i="4" s="1"/>
  <c r="L370" i="9" l="1"/>
  <c r="G370" i="9"/>
  <c r="B370" i="9"/>
  <c r="N370" i="9" s="1"/>
  <c r="E370" i="9"/>
  <c r="D370" i="9"/>
  <c r="D204" i="4"/>
  <c r="B204" i="4"/>
  <c r="N204" i="4" s="1"/>
  <c r="L204" i="4"/>
  <c r="E204" i="4"/>
  <c r="F370" i="9" l="1"/>
  <c r="O370" i="9"/>
  <c r="H370" i="9" s="1"/>
  <c r="I370" i="9" s="1"/>
  <c r="C371" i="9" s="1"/>
  <c r="O204" i="4"/>
  <c r="F204" i="4"/>
  <c r="G371" i="9" l="1"/>
  <c r="B371" i="9"/>
  <c r="N371" i="9" s="1"/>
  <c r="L371" i="9"/>
  <c r="E371" i="9"/>
  <c r="D371" i="9"/>
  <c r="H204" i="4"/>
  <c r="I204" i="4" s="1"/>
  <c r="C205" i="4" s="1"/>
  <c r="G205" i="4" s="1"/>
  <c r="O371" i="9" l="1"/>
  <c r="F371" i="9"/>
  <c r="D205" i="4"/>
  <c r="E205" i="4"/>
  <c r="L205" i="4"/>
  <c r="B205" i="4"/>
  <c r="N205" i="4" s="1"/>
  <c r="H371" i="9" l="1"/>
  <c r="I371" i="9" s="1"/>
  <c r="C372" i="9" s="1"/>
  <c r="O205" i="4"/>
  <c r="F205" i="4"/>
  <c r="L372" i="9" l="1"/>
  <c r="G372" i="9"/>
  <c r="B372" i="9"/>
  <c r="N372" i="9" s="1"/>
  <c r="E372" i="9"/>
  <c r="D372" i="9"/>
  <c r="H205" i="4"/>
  <c r="I205" i="4" s="1"/>
  <c r="C206" i="4" s="1"/>
  <c r="G206" i="4" s="1"/>
  <c r="F372" i="9" l="1"/>
  <c r="O372" i="9"/>
  <c r="H372" i="9" s="1"/>
  <c r="I372" i="9" s="1"/>
  <c r="C373" i="9" s="1"/>
  <c r="D206" i="4"/>
  <c r="B206" i="4"/>
  <c r="N206" i="4" s="1"/>
  <c r="E206" i="4"/>
  <c r="L206" i="4"/>
  <c r="G373" i="9" l="1"/>
  <c r="B373" i="9"/>
  <c r="N373" i="9" s="1"/>
  <c r="L373" i="9"/>
  <c r="E373" i="9"/>
  <c r="D373" i="9"/>
  <c r="O206" i="4"/>
  <c r="F206" i="4"/>
  <c r="O373" i="9" l="1"/>
  <c r="F373" i="9"/>
  <c r="H206" i="4"/>
  <c r="I206" i="4" s="1"/>
  <c r="C207" i="4" s="1"/>
  <c r="G207" i="4" s="1"/>
  <c r="H3" i="9" l="1"/>
  <c r="H4" i="9" s="1"/>
  <c r="H373" i="9"/>
  <c r="I373" i="9" s="1"/>
  <c r="D207" i="4"/>
  <c r="L207" i="4"/>
  <c r="E207" i="4"/>
  <c r="B207" i="4"/>
  <c r="N207" i="4" s="1"/>
  <c r="O207" i="4" l="1"/>
  <c r="F207" i="4"/>
  <c r="H207" i="4" l="1"/>
  <c r="I207" i="4" s="1"/>
  <c r="C208" i="4" s="1"/>
  <c r="G208" i="4" s="1"/>
  <c r="D208" i="4" l="1"/>
  <c r="E208" i="4"/>
  <c r="L208" i="4"/>
  <c r="B208" i="4"/>
  <c r="N208" i="4" s="1"/>
  <c r="O208" i="4" l="1"/>
  <c r="F208" i="4"/>
  <c r="H208" i="4" l="1"/>
  <c r="I208" i="4" s="1"/>
  <c r="C209" i="4" s="1"/>
  <c r="G209" i="4" s="1"/>
  <c r="D209" i="4" l="1"/>
  <c r="B209" i="4"/>
  <c r="N209" i="4" s="1"/>
  <c r="L209" i="4"/>
  <c r="E209" i="4"/>
  <c r="O209" i="4" l="1"/>
  <c r="F209" i="4"/>
  <c r="H209" i="4" l="1"/>
  <c r="I209" i="4" s="1"/>
  <c r="C210" i="4" s="1"/>
  <c r="G210" i="4" s="1"/>
  <c r="D210" i="4" l="1"/>
  <c r="E210" i="4"/>
  <c r="B210" i="4"/>
  <c r="N210" i="4" s="1"/>
  <c r="L210" i="4"/>
  <c r="O210" i="4" l="1"/>
  <c r="F210" i="4"/>
  <c r="H210" i="4" l="1"/>
  <c r="I210" i="4" s="1"/>
  <c r="C211" i="4" s="1"/>
  <c r="G211" i="4" s="1"/>
  <c r="D211" i="4" l="1"/>
  <c r="E211" i="4"/>
  <c r="B211" i="4"/>
  <c r="N211" i="4" s="1"/>
  <c r="L211" i="4"/>
  <c r="O211" i="4" l="1"/>
  <c r="F211" i="4"/>
  <c r="H211" i="4" l="1"/>
  <c r="I211" i="4" s="1"/>
  <c r="C212" i="4" s="1"/>
  <c r="G212" i="4" s="1"/>
  <c r="D212" i="4" l="1"/>
  <c r="L212" i="4"/>
  <c r="B212" i="4"/>
  <c r="N212" i="4" s="1"/>
  <c r="E212" i="4"/>
  <c r="O212" i="4" l="1"/>
  <c r="F212" i="4"/>
  <c r="H212" i="4" l="1"/>
  <c r="I212" i="4" s="1"/>
  <c r="C213" i="4" s="1"/>
  <c r="G213" i="4" s="1"/>
  <c r="D213" i="4" l="1"/>
  <c r="L213" i="4"/>
  <c r="E213" i="4"/>
  <c r="B213" i="4"/>
  <c r="N213" i="4" s="1"/>
  <c r="O213" i="4" l="1"/>
  <c r="F213" i="4"/>
  <c r="H213" i="4" l="1"/>
  <c r="I213" i="4" s="1"/>
  <c r="C214" i="4" s="1"/>
  <c r="G214" i="4" s="1"/>
  <c r="D214" i="4" l="1"/>
  <c r="B214" i="4"/>
  <c r="N214" i="4" s="1"/>
  <c r="E214" i="4"/>
  <c r="L214" i="4"/>
  <c r="O214" i="4" l="1"/>
  <c r="F214" i="4"/>
  <c r="H214" i="4" l="1"/>
  <c r="I214" i="4" s="1"/>
  <c r="C215" i="4" s="1"/>
  <c r="G215" i="4" s="1"/>
  <c r="D215" i="4" l="1"/>
  <c r="E215" i="4"/>
  <c r="L215" i="4"/>
  <c r="B215" i="4"/>
  <c r="N215" i="4" s="1"/>
  <c r="O215" i="4" l="1"/>
  <c r="F215" i="4"/>
  <c r="H215" i="4" l="1"/>
  <c r="I215" i="4" s="1"/>
  <c r="C216" i="4" s="1"/>
  <c r="G216" i="4" s="1"/>
  <c r="D216" i="4" l="1"/>
  <c r="B216" i="4"/>
  <c r="N216" i="4" s="1"/>
  <c r="L216" i="4"/>
  <c r="E216" i="4"/>
  <c r="O216" i="4" l="1"/>
  <c r="F216" i="4"/>
  <c r="H216" i="4" l="1"/>
  <c r="I216" i="4" s="1"/>
  <c r="C217" i="4" s="1"/>
  <c r="G217" i="4" s="1"/>
  <c r="D217" i="4" l="1"/>
  <c r="L217" i="4"/>
  <c r="B217" i="4"/>
  <c r="N217" i="4" s="1"/>
  <c r="E217" i="4"/>
  <c r="O217" i="4" l="1"/>
  <c r="F217" i="4"/>
  <c r="H217" i="4" l="1"/>
  <c r="I217" i="4"/>
  <c r="C218" i="4" s="1"/>
  <c r="G218" i="4" s="1"/>
  <c r="D218" i="4" l="1"/>
  <c r="L218" i="4"/>
  <c r="B218" i="4"/>
  <c r="N218" i="4" s="1"/>
  <c r="E218" i="4"/>
  <c r="O218" i="4" l="1"/>
  <c r="F218" i="4"/>
  <c r="H218" i="4" l="1"/>
  <c r="I218" i="4" s="1"/>
  <c r="C219" i="4" s="1"/>
  <c r="G219" i="4" s="1"/>
  <c r="D219" i="4" l="1"/>
  <c r="L219" i="4"/>
  <c r="E219" i="4"/>
  <c r="B219" i="4"/>
  <c r="N219" i="4" s="1"/>
  <c r="O219" i="4" l="1"/>
  <c r="F219" i="4"/>
  <c r="H219" i="4" l="1"/>
  <c r="I219" i="4" s="1"/>
  <c r="C220" i="4" s="1"/>
  <c r="G220" i="4" s="1"/>
  <c r="D220" i="4" l="1"/>
  <c r="E220" i="4"/>
  <c r="B220" i="4"/>
  <c r="N220" i="4" s="1"/>
  <c r="L220" i="4"/>
  <c r="O220" i="4" l="1"/>
  <c r="F220" i="4"/>
  <c r="H220" i="4" l="1"/>
  <c r="I220" i="4" s="1"/>
  <c r="C221" i="4" s="1"/>
  <c r="G221" i="4" s="1"/>
  <c r="D221" i="4" l="1"/>
  <c r="L221" i="4"/>
  <c r="B221" i="4"/>
  <c r="N221" i="4" s="1"/>
  <c r="E221" i="4"/>
  <c r="O221" i="4" l="1"/>
  <c r="F221" i="4"/>
  <c r="H221" i="4" l="1"/>
  <c r="I221" i="4" s="1"/>
  <c r="C222" i="4" s="1"/>
  <c r="G222" i="4" s="1"/>
  <c r="D222" i="4" l="1"/>
  <c r="B222" i="4"/>
  <c r="N222" i="4" s="1"/>
  <c r="L222" i="4"/>
  <c r="E222" i="4"/>
  <c r="O222" i="4" l="1"/>
  <c r="F222" i="4"/>
  <c r="H222" i="4" l="1"/>
  <c r="I222" i="4" s="1"/>
  <c r="C223" i="4" s="1"/>
  <c r="G223" i="4" s="1"/>
  <c r="D223" i="4" l="1"/>
  <c r="B223" i="4"/>
  <c r="N223" i="4" s="1"/>
  <c r="L223" i="4"/>
  <c r="E223" i="4"/>
  <c r="O223" i="4" l="1"/>
  <c r="F223" i="4"/>
  <c r="H223" i="4" l="1"/>
  <c r="I223" i="4" s="1"/>
  <c r="C224" i="4" s="1"/>
  <c r="G224" i="4" s="1"/>
  <c r="D224" i="4" l="1"/>
  <c r="B224" i="4"/>
  <c r="N224" i="4" s="1"/>
  <c r="E224" i="4"/>
  <c r="L224" i="4"/>
  <c r="O224" i="4" l="1"/>
  <c r="F224" i="4"/>
  <c r="H224" i="4" l="1"/>
  <c r="I224" i="4" s="1"/>
  <c r="C225" i="4" s="1"/>
  <c r="G225" i="4" s="1"/>
  <c r="D225" i="4" l="1"/>
  <c r="B225" i="4"/>
  <c r="N225" i="4" s="1"/>
  <c r="E225" i="4"/>
  <c r="L225" i="4"/>
  <c r="O225" i="4" l="1"/>
  <c r="F225" i="4"/>
  <c r="H225" i="4" l="1"/>
  <c r="I225" i="4" s="1"/>
  <c r="C226" i="4" s="1"/>
  <c r="G226" i="4" s="1"/>
  <c r="D226" i="4" l="1"/>
  <c r="B226" i="4"/>
  <c r="N226" i="4" s="1"/>
  <c r="L226" i="4"/>
  <c r="E226" i="4"/>
  <c r="O226" i="4" l="1"/>
  <c r="F226" i="4"/>
  <c r="H226" i="4" l="1"/>
  <c r="I226" i="4" s="1"/>
  <c r="C227" i="4" s="1"/>
  <c r="G227" i="4" s="1"/>
  <c r="D227" i="4" l="1"/>
  <c r="L227" i="4"/>
  <c r="E227" i="4"/>
  <c r="B227" i="4"/>
  <c r="N227" i="4" s="1"/>
  <c r="O227" i="4" l="1"/>
  <c r="F227" i="4"/>
  <c r="H227" i="4" l="1"/>
  <c r="I227" i="4" s="1"/>
  <c r="C228" i="4" s="1"/>
  <c r="G228" i="4" s="1"/>
  <c r="D228" i="4" l="1"/>
  <c r="E228" i="4"/>
  <c r="B228" i="4"/>
  <c r="N228" i="4" s="1"/>
  <c r="L228" i="4"/>
  <c r="O228" i="4" l="1"/>
  <c r="F228" i="4"/>
  <c r="H228" i="4" l="1"/>
  <c r="I228" i="4" s="1"/>
  <c r="C229" i="4" s="1"/>
  <c r="G229" i="4" s="1"/>
  <c r="D229" i="4" l="1"/>
  <c r="E229" i="4"/>
  <c r="B229" i="4"/>
  <c r="N229" i="4" s="1"/>
  <c r="L229" i="4"/>
  <c r="O229" i="4" l="1"/>
  <c r="F229" i="4"/>
  <c r="H229" i="4" l="1"/>
  <c r="I229" i="4"/>
  <c r="C230" i="4" s="1"/>
  <c r="G230" i="4" s="1"/>
  <c r="D230" i="4" l="1"/>
  <c r="E230" i="4"/>
  <c r="L230" i="4"/>
  <c r="B230" i="4"/>
  <c r="N230" i="4" s="1"/>
  <c r="O230" i="4" l="1"/>
  <c r="F230" i="4"/>
  <c r="H230" i="4" l="1"/>
  <c r="I230" i="4" s="1"/>
  <c r="C231" i="4" s="1"/>
  <c r="G231" i="4" s="1"/>
  <c r="D231" i="4" l="1"/>
  <c r="L231" i="4"/>
  <c r="B231" i="4"/>
  <c r="N231" i="4" s="1"/>
  <c r="E231" i="4"/>
  <c r="O231" i="4" l="1"/>
  <c r="F231" i="4"/>
  <c r="H231" i="4" l="1"/>
  <c r="I231" i="4" s="1"/>
  <c r="C232" i="4" s="1"/>
  <c r="G232" i="4" s="1"/>
  <c r="D232" i="4" l="1"/>
  <c r="B232" i="4"/>
  <c r="N232" i="4" s="1"/>
  <c r="E232" i="4"/>
  <c r="L232" i="4"/>
  <c r="F232" i="4" l="1"/>
  <c r="O232" i="4"/>
  <c r="H232" i="4" l="1"/>
  <c r="I232" i="4" s="1"/>
  <c r="C233" i="4" s="1"/>
  <c r="D233" i="4" l="1"/>
  <c r="G233" i="4"/>
  <c r="E233" i="4"/>
  <c r="B233" i="4"/>
  <c r="N233" i="4" s="1"/>
  <c r="L233" i="4"/>
  <c r="F233" i="4" l="1"/>
  <c r="O233" i="4"/>
  <c r="H233" i="4" l="1"/>
  <c r="I233" i="4" s="1"/>
  <c r="C234" i="4" s="1"/>
  <c r="G234" i="4" s="1"/>
  <c r="E234" i="4" l="1"/>
  <c r="L234" i="4"/>
  <c r="B234" i="4"/>
  <c r="N234" i="4" s="1"/>
  <c r="D234" i="4"/>
  <c r="F234" i="4" l="1"/>
  <c r="O234" i="4"/>
  <c r="H234" i="4" s="1"/>
  <c r="I234" i="4" s="1"/>
  <c r="C235" i="4" s="1"/>
  <c r="G235" i="4" s="1"/>
  <c r="D235" i="4" l="1"/>
  <c r="L235" i="4"/>
  <c r="B235" i="4"/>
  <c r="N235" i="4" s="1"/>
  <c r="E235" i="4"/>
  <c r="O235" i="4" l="1"/>
  <c r="F235" i="4"/>
  <c r="H235" i="4" l="1"/>
  <c r="I235" i="4" s="1"/>
  <c r="C236" i="4" s="1"/>
  <c r="G236" i="4" s="1"/>
  <c r="D236" i="4" l="1"/>
  <c r="L236" i="4"/>
  <c r="B236" i="4"/>
  <c r="N236" i="4" s="1"/>
  <c r="E236" i="4"/>
  <c r="O236" i="4" l="1"/>
  <c r="F236" i="4"/>
  <c r="H236" i="4" l="1"/>
  <c r="I236" i="4" s="1"/>
  <c r="C237" i="4" s="1"/>
  <c r="G237" i="4" s="1"/>
  <c r="D237" i="4" l="1"/>
  <c r="L237" i="4"/>
  <c r="B237" i="4"/>
  <c r="N237" i="4" s="1"/>
  <c r="E237" i="4"/>
  <c r="O237" i="4" l="1"/>
  <c r="F237" i="4"/>
  <c r="H237" i="4" l="1"/>
  <c r="I237" i="4" s="1"/>
  <c r="C238" i="4" s="1"/>
  <c r="G238" i="4" s="1"/>
  <c r="D238" i="4" l="1"/>
  <c r="B238" i="4"/>
  <c r="N238" i="4" s="1"/>
  <c r="E238" i="4"/>
  <c r="L238" i="4"/>
  <c r="O238" i="4" l="1"/>
  <c r="F238" i="4"/>
  <c r="H238" i="4" l="1"/>
  <c r="I238" i="4" s="1"/>
  <c r="C239" i="4" s="1"/>
  <c r="G239" i="4" s="1"/>
  <c r="D239" i="4" l="1"/>
  <c r="L239" i="4"/>
  <c r="E239" i="4"/>
  <c r="B239" i="4"/>
  <c r="N239" i="4" s="1"/>
  <c r="O239" i="4" l="1"/>
  <c r="F239" i="4"/>
  <c r="H239" i="4" l="1"/>
  <c r="I239" i="4" s="1"/>
  <c r="C240" i="4" s="1"/>
  <c r="G240" i="4" s="1"/>
  <c r="D240" i="4" l="1"/>
  <c r="B240" i="4"/>
  <c r="N240" i="4" s="1"/>
  <c r="L240" i="4"/>
  <c r="E240" i="4"/>
  <c r="O240" i="4" l="1"/>
  <c r="F240" i="4"/>
  <c r="H240" i="4" l="1"/>
  <c r="I240" i="4" s="1"/>
  <c r="C241" i="4" s="1"/>
  <c r="G241" i="4" s="1"/>
  <c r="D241" i="4" l="1"/>
  <c r="B241" i="4"/>
  <c r="N241" i="4" s="1"/>
  <c r="L241" i="4"/>
  <c r="E241" i="4"/>
  <c r="O241" i="4" l="1"/>
  <c r="F241" i="4"/>
  <c r="H241" i="4" l="1"/>
  <c r="I241" i="4" s="1"/>
  <c r="C242" i="4" s="1"/>
  <c r="G242" i="4" s="1"/>
  <c r="D242" i="4" l="1"/>
  <c r="B242" i="4"/>
  <c r="N242" i="4" s="1"/>
  <c r="L242" i="4"/>
  <c r="E242" i="4"/>
  <c r="O242" i="4" l="1"/>
  <c r="F242" i="4"/>
  <c r="H242" i="4" l="1"/>
  <c r="I242" i="4" s="1"/>
  <c r="C243" i="4" s="1"/>
  <c r="G243" i="4" s="1"/>
  <c r="D243" i="4" l="1"/>
  <c r="B243" i="4"/>
  <c r="N243" i="4" s="1"/>
  <c r="E243" i="4"/>
  <c r="L243" i="4"/>
  <c r="O243" i="4" l="1"/>
  <c r="F243" i="4"/>
  <c r="H243" i="4" l="1"/>
  <c r="I243" i="4" s="1"/>
  <c r="C244" i="4" s="1"/>
  <c r="G244" i="4" s="1"/>
  <c r="D244" i="4" l="1"/>
  <c r="B244" i="4"/>
  <c r="N244" i="4" s="1"/>
  <c r="E244" i="4"/>
  <c r="L244" i="4"/>
  <c r="O244" i="4" l="1"/>
  <c r="F244" i="4"/>
  <c r="H244" i="4" l="1"/>
  <c r="I244" i="4" s="1"/>
  <c r="C245" i="4" s="1"/>
  <c r="G245" i="4" s="1"/>
  <c r="D245" i="4" l="1"/>
  <c r="B245" i="4"/>
  <c r="N245" i="4" s="1"/>
  <c r="E245" i="4"/>
  <c r="L245" i="4"/>
  <c r="O245" i="4" l="1"/>
  <c r="F245" i="4"/>
  <c r="H245" i="4" l="1"/>
  <c r="I245" i="4" s="1"/>
  <c r="C246" i="4" s="1"/>
  <c r="G246" i="4" s="1"/>
  <c r="D246" i="4" l="1"/>
  <c r="L246" i="4"/>
  <c r="B246" i="4"/>
  <c r="N246" i="4" s="1"/>
  <c r="E246" i="4"/>
  <c r="O246" i="4" l="1"/>
  <c r="F246" i="4"/>
  <c r="H246" i="4" l="1"/>
  <c r="I246" i="4" s="1"/>
  <c r="C247" i="4" s="1"/>
  <c r="G247" i="4" s="1"/>
  <c r="D247" i="4" l="1"/>
  <c r="E247" i="4"/>
  <c r="L247" i="4"/>
  <c r="B247" i="4"/>
  <c r="N247" i="4" s="1"/>
  <c r="O247" i="4" l="1"/>
  <c r="F247" i="4"/>
  <c r="H247" i="4" l="1"/>
  <c r="I247" i="4" s="1"/>
  <c r="C248" i="4" s="1"/>
  <c r="G248" i="4" s="1"/>
  <c r="D248" i="4" l="1"/>
  <c r="B248" i="4"/>
  <c r="N248" i="4" s="1"/>
  <c r="E248" i="4"/>
  <c r="L248" i="4"/>
  <c r="O248" i="4" l="1"/>
  <c r="F248" i="4"/>
  <c r="H248" i="4" l="1"/>
  <c r="I248" i="4" s="1"/>
  <c r="C249" i="4" s="1"/>
  <c r="G249" i="4" s="1"/>
  <c r="D249" i="4" l="1"/>
  <c r="B249" i="4"/>
  <c r="N249" i="4" s="1"/>
  <c r="E249" i="4"/>
  <c r="L249" i="4"/>
  <c r="O249" i="4" l="1"/>
  <c r="F249" i="4"/>
  <c r="H249" i="4" l="1"/>
  <c r="I249" i="4" s="1"/>
  <c r="C250" i="4" s="1"/>
  <c r="G250" i="4" s="1"/>
  <c r="D250" i="4" l="1"/>
  <c r="B250" i="4"/>
  <c r="N250" i="4" s="1"/>
  <c r="E250" i="4"/>
  <c r="L250" i="4"/>
  <c r="O250" i="4" l="1"/>
  <c r="F250" i="4"/>
  <c r="H250" i="4" l="1"/>
  <c r="I250" i="4" s="1"/>
  <c r="C251" i="4" s="1"/>
  <c r="G251" i="4" s="1"/>
  <c r="D251" i="4" l="1"/>
  <c r="E251" i="4"/>
  <c r="L251" i="4"/>
  <c r="B251" i="4"/>
  <c r="N251" i="4" s="1"/>
  <c r="O251" i="4" l="1"/>
  <c r="F251" i="4"/>
  <c r="H251" i="4" l="1"/>
  <c r="I251" i="4" s="1"/>
  <c r="C252" i="4" s="1"/>
  <c r="G252" i="4" s="1"/>
  <c r="D252" i="4" l="1"/>
  <c r="L252" i="4"/>
  <c r="E252" i="4"/>
  <c r="B252" i="4"/>
  <c r="N252" i="4" s="1"/>
  <c r="O252" i="4" l="1"/>
  <c r="F252" i="4"/>
  <c r="H252" i="4" l="1"/>
  <c r="I252" i="4" s="1"/>
  <c r="C253" i="4" s="1"/>
  <c r="G253" i="4" s="1"/>
  <c r="D253" i="4" l="1"/>
  <c r="E253" i="4"/>
  <c r="L253" i="4"/>
  <c r="B253" i="4"/>
  <c r="N253" i="4" s="1"/>
  <c r="O253" i="4" l="1"/>
  <c r="F253" i="4"/>
  <c r="H253" i="4" l="1"/>
  <c r="I253" i="4"/>
  <c r="C254" i="4" s="1"/>
  <c r="G254" i="4" s="1"/>
  <c r="D254" i="4" l="1"/>
  <c r="B254" i="4"/>
  <c r="N254" i="4" s="1"/>
  <c r="L254" i="4"/>
  <c r="E254" i="4"/>
  <c r="O254" i="4" l="1"/>
  <c r="F254" i="4"/>
  <c r="H254" i="4" l="1"/>
  <c r="I254" i="4" s="1"/>
  <c r="C255" i="4" s="1"/>
  <c r="G255" i="4" s="1"/>
  <c r="D255" i="4" l="1"/>
  <c r="L255" i="4"/>
  <c r="E255" i="4"/>
  <c r="B255" i="4"/>
  <c r="N255" i="4" s="1"/>
  <c r="O255" i="4" l="1"/>
  <c r="F255" i="4"/>
  <c r="H255" i="4" l="1"/>
  <c r="I255" i="4" s="1"/>
  <c r="C256" i="4" s="1"/>
  <c r="G256" i="4" s="1"/>
  <c r="D256" i="4" l="1"/>
  <c r="E256" i="4"/>
  <c r="B256" i="4"/>
  <c r="N256" i="4" s="1"/>
  <c r="L256" i="4"/>
  <c r="O256" i="4" l="1"/>
  <c r="F256" i="4"/>
  <c r="H256" i="4" l="1"/>
  <c r="I256" i="4" s="1"/>
  <c r="C257" i="4" s="1"/>
  <c r="G257" i="4" s="1"/>
  <c r="D257" i="4" l="1"/>
  <c r="B257" i="4"/>
  <c r="N257" i="4" s="1"/>
  <c r="E257" i="4"/>
  <c r="L257" i="4"/>
  <c r="O257" i="4" l="1"/>
  <c r="F257" i="4"/>
  <c r="H257" i="4" l="1"/>
  <c r="I257" i="4" s="1"/>
  <c r="C258" i="4" s="1"/>
  <c r="G258" i="4" s="1"/>
  <c r="D258" i="4" l="1"/>
  <c r="E258" i="4"/>
  <c r="B258" i="4"/>
  <c r="N258" i="4" s="1"/>
  <c r="L258" i="4"/>
  <c r="O258" i="4" l="1"/>
  <c r="F258" i="4"/>
  <c r="H258" i="4" l="1"/>
  <c r="I258" i="4" s="1"/>
  <c r="C259" i="4" s="1"/>
  <c r="G259" i="4" s="1"/>
  <c r="D259" i="4" l="1"/>
  <c r="E259" i="4"/>
  <c r="L259" i="4"/>
  <c r="B259" i="4"/>
  <c r="N259" i="4" s="1"/>
  <c r="O259" i="4" l="1"/>
  <c r="F259" i="4"/>
  <c r="H259" i="4" l="1"/>
  <c r="I259" i="4" s="1"/>
  <c r="C260" i="4" s="1"/>
  <c r="G260" i="4" s="1"/>
  <c r="D260" i="4" l="1"/>
  <c r="E260" i="4"/>
  <c r="B260" i="4"/>
  <c r="N260" i="4" s="1"/>
  <c r="L260" i="4"/>
  <c r="O260" i="4" l="1"/>
  <c r="F260" i="4"/>
  <c r="H260" i="4" l="1"/>
  <c r="I260" i="4" s="1"/>
  <c r="C261" i="4" s="1"/>
  <c r="G261" i="4" s="1"/>
  <c r="D261" i="4" l="1"/>
  <c r="L261" i="4"/>
  <c r="E261" i="4"/>
  <c r="B261" i="4"/>
  <c r="N261" i="4" s="1"/>
  <c r="O261" i="4" l="1"/>
  <c r="F261" i="4"/>
  <c r="H261" i="4" l="1"/>
  <c r="I261" i="4" s="1"/>
  <c r="C262" i="4" s="1"/>
  <c r="G262" i="4" s="1"/>
  <c r="D262" i="4" l="1"/>
  <c r="E262" i="4"/>
  <c r="B262" i="4"/>
  <c r="N262" i="4" s="1"/>
  <c r="L262" i="4"/>
  <c r="O262" i="4" l="1"/>
  <c r="F262" i="4"/>
  <c r="H262" i="4" l="1"/>
  <c r="I262" i="4" s="1"/>
  <c r="C263" i="4" s="1"/>
  <c r="G263" i="4" s="1"/>
  <c r="D263" i="4" l="1"/>
  <c r="B263" i="4"/>
  <c r="N263" i="4" s="1"/>
  <c r="L263" i="4"/>
  <c r="E263" i="4"/>
  <c r="O263" i="4" l="1"/>
  <c r="F263" i="4"/>
  <c r="H263" i="4" l="1"/>
  <c r="I263" i="4" s="1"/>
  <c r="C264" i="4" s="1"/>
  <c r="G264" i="4" s="1"/>
  <c r="D264" i="4" l="1"/>
  <c r="L264" i="4"/>
  <c r="E264" i="4"/>
  <c r="B264" i="4"/>
  <c r="N264" i="4" s="1"/>
  <c r="O264" i="4" l="1"/>
  <c r="F264" i="4"/>
  <c r="H264" i="4" l="1"/>
  <c r="I264" i="4" s="1"/>
  <c r="C265" i="4" s="1"/>
  <c r="G265" i="4" s="1"/>
  <c r="D265" i="4" l="1"/>
  <c r="L265" i="4"/>
  <c r="E265" i="4"/>
  <c r="B265" i="4"/>
  <c r="N265" i="4" s="1"/>
  <c r="O265" i="4" l="1"/>
  <c r="F265" i="4"/>
  <c r="H265" i="4" l="1"/>
  <c r="I265" i="4"/>
  <c r="C266" i="4" s="1"/>
  <c r="G266" i="4" s="1"/>
  <c r="D266" i="4" l="1"/>
  <c r="B266" i="4"/>
  <c r="N266" i="4" s="1"/>
  <c r="E266" i="4"/>
  <c r="L266" i="4"/>
  <c r="O266" i="4" l="1"/>
  <c r="F266" i="4"/>
  <c r="H266" i="4" l="1"/>
  <c r="I266" i="4" s="1"/>
  <c r="C267" i="4" s="1"/>
  <c r="G267" i="4" s="1"/>
  <c r="D267" i="4" l="1"/>
  <c r="E267" i="4"/>
  <c r="B267" i="4"/>
  <c r="N267" i="4" s="1"/>
  <c r="L267" i="4"/>
  <c r="O267" i="4" l="1"/>
  <c r="F267" i="4"/>
  <c r="H267" i="4" l="1"/>
  <c r="I267" i="4" s="1"/>
  <c r="C268" i="4" s="1"/>
  <c r="G268" i="4" s="1"/>
  <c r="D268" i="4" l="1"/>
  <c r="B268" i="4"/>
  <c r="N268" i="4" s="1"/>
  <c r="E268" i="4"/>
  <c r="L268" i="4"/>
  <c r="O268" i="4" l="1"/>
  <c r="F268" i="4"/>
  <c r="H268" i="4" l="1"/>
  <c r="I268" i="4" s="1"/>
  <c r="C269" i="4" s="1"/>
  <c r="G269" i="4" s="1"/>
  <c r="D269" i="4" l="1"/>
  <c r="E269" i="4"/>
  <c r="B269" i="4"/>
  <c r="N269" i="4" s="1"/>
  <c r="L269" i="4"/>
  <c r="O269" i="4" l="1"/>
  <c r="F269" i="4"/>
  <c r="H269" i="4" l="1"/>
  <c r="I269" i="4" s="1"/>
  <c r="C270" i="4" s="1"/>
  <c r="G270" i="4" s="1"/>
  <c r="D270" i="4" l="1"/>
  <c r="L270" i="4"/>
  <c r="B270" i="4"/>
  <c r="N270" i="4" s="1"/>
  <c r="E270" i="4"/>
  <c r="O270" i="4" l="1"/>
  <c r="F270" i="4"/>
  <c r="H270" i="4" l="1"/>
  <c r="I270" i="4" s="1"/>
  <c r="C271" i="4" s="1"/>
  <c r="G271" i="4" s="1"/>
  <c r="D271" i="4" l="1"/>
  <c r="L271" i="4"/>
  <c r="B271" i="4"/>
  <c r="N271" i="4" s="1"/>
  <c r="E271" i="4"/>
  <c r="O271" i="4" l="1"/>
  <c r="F271" i="4"/>
  <c r="H271" i="4" l="1"/>
  <c r="I271" i="4" s="1"/>
  <c r="C272" i="4" s="1"/>
  <c r="G272" i="4" s="1"/>
  <c r="D272" i="4" l="1"/>
  <c r="B272" i="4"/>
  <c r="N272" i="4" s="1"/>
  <c r="L272" i="4"/>
  <c r="E272" i="4"/>
  <c r="O272" i="4" l="1"/>
  <c r="F272" i="4"/>
  <c r="H272" i="4" l="1"/>
  <c r="I272" i="4" s="1"/>
  <c r="C273" i="4" s="1"/>
  <c r="G273" i="4" s="1"/>
  <c r="D273" i="4" l="1"/>
  <c r="B273" i="4"/>
  <c r="N273" i="4" s="1"/>
  <c r="L273" i="4"/>
  <c r="E273" i="4"/>
  <c r="O273" i="4" l="1"/>
  <c r="F273" i="4"/>
  <c r="H273" i="4" l="1"/>
  <c r="I273" i="4" s="1"/>
  <c r="C274" i="4" s="1"/>
  <c r="G274" i="4" s="1"/>
  <c r="D274" i="4" l="1"/>
  <c r="E274" i="4"/>
  <c r="B274" i="4"/>
  <c r="N274" i="4" s="1"/>
  <c r="L274" i="4"/>
  <c r="O274" i="4" l="1"/>
  <c r="F274" i="4"/>
  <c r="H274" i="4" l="1"/>
  <c r="I274" i="4" s="1"/>
  <c r="C275" i="4" s="1"/>
  <c r="G275" i="4" s="1"/>
  <c r="D275" i="4" l="1"/>
  <c r="B275" i="4"/>
  <c r="N275" i="4" s="1"/>
  <c r="L275" i="4"/>
  <c r="E275" i="4"/>
  <c r="O275" i="4" l="1"/>
  <c r="F275" i="4"/>
  <c r="H275" i="4" l="1"/>
  <c r="I275" i="4" s="1"/>
  <c r="C276" i="4" s="1"/>
  <c r="G276" i="4" s="1"/>
  <c r="D276" i="4" l="1"/>
  <c r="B276" i="4"/>
  <c r="N276" i="4" s="1"/>
  <c r="L276" i="4"/>
  <c r="E276" i="4"/>
  <c r="O276" i="4" l="1"/>
  <c r="F276" i="4"/>
  <c r="H276" i="4" l="1"/>
  <c r="I276" i="4" s="1"/>
  <c r="C277" i="4" s="1"/>
  <c r="G277" i="4" s="1"/>
  <c r="D277" i="4" l="1"/>
  <c r="E277" i="4"/>
  <c r="L277" i="4"/>
  <c r="B277" i="4"/>
  <c r="N277" i="4" s="1"/>
  <c r="F277" i="4" l="1"/>
  <c r="O277" i="4"/>
  <c r="H277" i="4" s="1"/>
  <c r="I277" i="4" l="1"/>
  <c r="C278" i="4" s="1"/>
  <c r="D278" i="4" l="1"/>
  <c r="G278" i="4"/>
  <c r="E278" i="4"/>
  <c r="B278" i="4"/>
  <c r="N278" i="4" s="1"/>
  <c r="L278" i="4"/>
  <c r="F278" i="4" l="1"/>
  <c r="O278" i="4"/>
  <c r="H278" i="4" l="1"/>
  <c r="I278" i="4" s="1"/>
  <c r="C279" i="4" s="1"/>
  <c r="G279" i="4" s="1"/>
  <c r="L279" i="4" l="1"/>
  <c r="B279" i="4"/>
  <c r="N279" i="4" s="1"/>
  <c r="E279" i="4"/>
  <c r="D279" i="4"/>
  <c r="F279" i="4" l="1"/>
  <c r="O279" i="4"/>
  <c r="H279" i="4" l="1"/>
  <c r="I279" i="4" s="1"/>
  <c r="C280" i="4" s="1"/>
  <c r="D280" i="4" s="1"/>
  <c r="E280" i="4" l="1"/>
  <c r="B280" i="4"/>
  <c r="N280" i="4" s="1"/>
  <c r="L280" i="4"/>
  <c r="G280" i="4"/>
  <c r="F280" i="4" s="1"/>
  <c r="O280" i="4" l="1"/>
  <c r="H280" i="4" s="1"/>
  <c r="I280" i="4" s="1"/>
  <c r="C281" i="4" s="1"/>
  <c r="D281" i="4" l="1"/>
  <c r="G281" i="4"/>
  <c r="L281" i="4"/>
  <c r="B281" i="4"/>
  <c r="N281" i="4" s="1"/>
  <c r="E281" i="4"/>
  <c r="F281" i="4" l="1"/>
  <c r="O281" i="4"/>
  <c r="H281" i="4" l="1"/>
  <c r="I281" i="4" s="1"/>
  <c r="C282" i="4" s="1"/>
  <c r="B282" i="4" l="1"/>
  <c r="N282" i="4" s="1"/>
  <c r="G282" i="4"/>
  <c r="E282" i="4"/>
  <c r="D282" i="4"/>
  <c r="L282" i="4"/>
  <c r="O282" i="4" l="1"/>
  <c r="F282" i="4"/>
  <c r="H282" i="4" l="1"/>
  <c r="I282" i="4" s="1"/>
  <c r="C283" i="4" s="1"/>
  <c r="D283" i="4" s="1"/>
  <c r="L283" i="4" l="1"/>
  <c r="E283" i="4"/>
  <c r="G283" i="4"/>
  <c r="B283" i="4"/>
  <c r="N283" i="4" s="1"/>
  <c r="O283" i="4" s="1"/>
  <c r="F283" i="4" l="1"/>
  <c r="H283" i="4" s="1"/>
  <c r="I283" i="4" s="1"/>
  <c r="C284" i="4" s="1"/>
  <c r="D284" i="4" s="1"/>
  <c r="B284" i="4" l="1"/>
  <c r="N284" i="4" s="1"/>
  <c r="G284" i="4"/>
  <c r="E284" i="4"/>
  <c r="L284" i="4"/>
  <c r="F284" i="4" l="1"/>
  <c r="O284" i="4"/>
  <c r="H284" i="4" l="1"/>
  <c r="I284" i="4" s="1"/>
  <c r="C285" i="4" s="1"/>
  <c r="D285" i="4" s="1"/>
  <c r="B285" i="4" l="1"/>
  <c r="N285" i="4" s="1"/>
  <c r="E285" i="4"/>
  <c r="L285" i="4"/>
  <c r="G285" i="4"/>
  <c r="F285" i="4" s="1"/>
  <c r="O285" i="4" l="1"/>
  <c r="H285" i="4" s="1"/>
  <c r="I285" i="4" s="1"/>
  <c r="C286" i="4" s="1"/>
  <c r="D286" i="4" s="1"/>
  <c r="E286" i="4" l="1"/>
  <c r="B286" i="4"/>
  <c r="N286" i="4" s="1"/>
  <c r="G286" i="4"/>
  <c r="L286" i="4"/>
  <c r="F286" i="4" l="1"/>
  <c r="O286" i="4"/>
  <c r="H286" i="4" l="1"/>
  <c r="I286" i="4" s="1"/>
  <c r="C287" i="4" s="1"/>
  <c r="G287" i="4" s="1"/>
  <c r="B287" i="4" l="1"/>
  <c r="N287" i="4" s="1"/>
  <c r="E287" i="4"/>
  <c r="D287" i="4"/>
  <c r="L287" i="4"/>
  <c r="O287" i="4" l="1"/>
  <c r="F287" i="4"/>
  <c r="H287" i="4" l="1"/>
  <c r="I287" i="4" s="1"/>
  <c r="C288" i="4" s="1"/>
  <c r="D288" i="4" s="1"/>
  <c r="L288" i="4" l="1"/>
  <c r="E288" i="4"/>
  <c r="B288" i="4"/>
  <c r="N288" i="4" s="1"/>
  <c r="O288" i="4" s="1"/>
  <c r="G288" i="4"/>
  <c r="F288" i="4" s="1"/>
  <c r="H288" i="4" l="1"/>
  <c r="I288" i="4" s="1"/>
  <c r="C289" i="4" s="1"/>
  <c r="L289" i="4" s="1"/>
  <c r="D289" i="4"/>
  <c r="G289" i="4"/>
  <c r="E289" i="4" l="1"/>
  <c r="B289" i="4"/>
  <c r="N289" i="4" s="1"/>
  <c r="O289" i="4" s="1"/>
  <c r="H289" i="4" s="1"/>
  <c r="I289" i="4" s="1"/>
  <c r="C290" i="4" s="1"/>
  <c r="F289" i="4"/>
  <c r="D290" i="4" l="1"/>
  <c r="G290" i="4"/>
  <c r="E290" i="4"/>
  <c r="L290" i="4"/>
  <c r="B290" i="4"/>
  <c r="N290" i="4" s="1"/>
  <c r="F290" i="4" l="1"/>
  <c r="O290" i="4"/>
  <c r="H290" i="4" l="1"/>
  <c r="I290" i="4" s="1"/>
  <c r="C291" i="4" s="1"/>
  <c r="D291" i="4" s="1"/>
  <c r="B291" i="4" l="1"/>
  <c r="N291" i="4" s="1"/>
  <c r="L291" i="4"/>
  <c r="G291" i="4"/>
  <c r="E291" i="4"/>
  <c r="F291" i="4" l="1"/>
  <c r="O291" i="4"/>
  <c r="H291" i="4" l="1"/>
  <c r="I291" i="4" s="1"/>
  <c r="C292" i="4" s="1"/>
  <c r="D292" i="4" s="1"/>
  <c r="L292" i="4" l="1"/>
  <c r="B292" i="4"/>
  <c r="N292" i="4" s="1"/>
  <c r="G292" i="4"/>
  <c r="E292" i="4"/>
  <c r="F292" i="4" l="1"/>
  <c r="O292" i="4"/>
  <c r="H292" i="4" l="1"/>
  <c r="I292" i="4" s="1"/>
  <c r="C293" i="4" s="1"/>
  <c r="D293" i="4" s="1"/>
  <c r="B293" i="4" l="1"/>
  <c r="N293" i="4" s="1"/>
  <c r="E293" i="4"/>
  <c r="G293" i="4"/>
  <c r="L293" i="4"/>
  <c r="F293" i="4" l="1"/>
  <c r="O293" i="4"/>
  <c r="H293" i="4" l="1"/>
  <c r="I293" i="4" s="1"/>
  <c r="C294" i="4" s="1"/>
  <c r="E294" i="4" s="1"/>
  <c r="G294" i="4" l="1"/>
  <c r="D294" i="4"/>
  <c r="F294" i="4" s="1"/>
  <c r="B294" i="4"/>
  <c r="N294" i="4" s="1"/>
  <c r="L294" i="4"/>
  <c r="O294" i="4" l="1"/>
  <c r="H294" i="4" s="1"/>
  <c r="I294" i="4" s="1"/>
  <c r="C295" i="4" s="1"/>
  <c r="D295" i="4" s="1"/>
  <c r="L295" i="4" l="1"/>
  <c r="E295" i="4"/>
  <c r="G295" i="4"/>
  <c r="F295" i="4" s="1"/>
  <c r="B295" i="4"/>
  <c r="N295" i="4" s="1"/>
  <c r="O295" i="4" l="1"/>
  <c r="H295" i="4" s="1"/>
  <c r="I295" i="4" s="1"/>
  <c r="C296" i="4" s="1"/>
  <c r="G296" i="4" s="1"/>
  <c r="D296" i="4" l="1"/>
  <c r="E296" i="4"/>
  <c r="L296" i="4"/>
  <c r="B296" i="4"/>
  <c r="N296" i="4" s="1"/>
  <c r="O296" i="4" s="1"/>
  <c r="F296" i="4" l="1"/>
  <c r="H296" i="4" s="1"/>
  <c r="I296" i="4" s="1"/>
  <c r="C297" i="4" s="1"/>
  <c r="G297" i="4" s="1"/>
  <c r="E297" i="4" l="1"/>
  <c r="B297" i="4"/>
  <c r="N297" i="4" s="1"/>
  <c r="L297" i="4"/>
  <c r="D297" i="4"/>
  <c r="F297" i="4" l="1"/>
  <c r="O297" i="4"/>
  <c r="H297" i="4" l="1"/>
  <c r="I297" i="4" s="1"/>
  <c r="C298" i="4" s="1"/>
  <c r="D298" i="4" s="1"/>
  <c r="E298" i="4" l="1"/>
  <c r="L298" i="4"/>
  <c r="G298" i="4"/>
  <c r="B298" i="4"/>
  <c r="N298" i="4" s="1"/>
  <c r="F298" i="4" l="1"/>
  <c r="O298" i="4"/>
  <c r="H298" i="4" l="1"/>
  <c r="I298" i="4" s="1"/>
  <c r="C299" i="4" s="1"/>
  <c r="D299" i="4" s="1"/>
  <c r="B299" i="4" l="1"/>
  <c r="N299" i="4" s="1"/>
  <c r="G299" i="4"/>
  <c r="E299" i="4"/>
  <c r="F299" i="4" s="1"/>
  <c r="L299" i="4"/>
  <c r="O299" i="4" l="1"/>
  <c r="H299" i="4" s="1"/>
  <c r="I299" i="4" s="1"/>
  <c r="C300" i="4" s="1"/>
  <c r="D300" i="4" l="1"/>
  <c r="G300" i="4"/>
  <c r="B300" i="4"/>
  <c r="N300" i="4" s="1"/>
  <c r="E300" i="4"/>
  <c r="L300" i="4"/>
  <c r="F300" i="4" l="1"/>
  <c r="O300" i="4"/>
  <c r="H300" i="4" l="1"/>
  <c r="I300" i="4" s="1"/>
  <c r="C301" i="4" s="1"/>
  <c r="G301" i="4" s="1"/>
  <c r="B301" i="4" l="1"/>
  <c r="N301" i="4" s="1"/>
  <c r="L301" i="4"/>
  <c r="E301" i="4"/>
  <c r="D301" i="4"/>
  <c r="F301" i="4" s="1"/>
  <c r="O301" i="4" l="1"/>
  <c r="H301" i="4" l="1"/>
  <c r="I301" i="4" s="1"/>
  <c r="C302" i="4" s="1"/>
  <c r="G302" i="4" l="1"/>
  <c r="B302" i="4"/>
  <c r="N302" i="4" s="1"/>
  <c r="O302" i="4" s="1"/>
  <c r="E302" i="4"/>
  <c r="D302" i="4"/>
  <c r="F302" i="4" s="1"/>
  <c r="L302" i="4"/>
  <c r="H302" i="4" l="1"/>
  <c r="I302" i="4" s="1"/>
  <c r="C303" i="4" s="1"/>
  <c r="G303" i="4" s="1"/>
  <c r="D303" i="4" l="1"/>
  <c r="L303" i="4"/>
  <c r="E303" i="4"/>
  <c r="B303" i="4"/>
  <c r="N303" i="4" s="1"/>
  <c r="F303" i="4" l="1"/>
  <c r="O303" i="4"/>
  <c r="H303" i="4" l="1"/>
  <c r="I303" i="4" s="1"/>
  <c r="C304" i="4" s="1"/>
  <c r="G304" i="4" s="1"/>
  <c r="D304" i="4" l="1"/>
  <c r="E304" i="4"/>
  <c r="L304" i="4"/>
  <c r="B304" i="4"/>
  <c r="N304" i="4" s="1"/>
  <c r="O304" i="4" l="1"/>
  <c r="F304" i="4"/>
  <c r="H304" i="4" l="1"/>
  <c r="I304" i="4" s="1"/>
  <c r="C305" i="4" s="1"/>
  <c r="G305" i="4" s="1"/>
  <c r="D305" i="4" l="1"/>
  <c r="L305" i="4"/>
  <c r="E305" i="4"/>
  <c r="B305" i="4"/>
  <c r="N305" i="4" s="1"/>
  <c r="O305" i="4" l="1"/>
  <c r="F305" i="4"/>
  <c r="H305" i="4" l="1"/>
  <c r="I305" i="4" s="1"/>
  <c r="C306" i="4" s="1"/>
  <c r="G306" i="4" s="1"/>
  <c r="D306" i="4" l="1"/>
  <c r="L306" i="4"/>
  <c r="B306" i="4"/>
  <c r="N306" i="4" s="1"/>
  <c r="E306" i="4"/>
  <c r="F306" i="4" l="1"/>
  <c r="O306" i="4"/>
  <c r="H306" i="4" l="1"/>
  <c r="I306" i="4" s="1"/>
  <c r="C307" i="4" s="1"/>
  <c r="G307" i="4" s="1"/>
  <c r="D307" i="4" l="1"/>
  <c r="L307" i="4"/>
  <c r="E307" i="4"/>
  <c r="B307" i="4"/>
  <c r="N307" i="4" s="1"/>
  <c r="O307" i="4" l="1"/>
  <c r="F307" i="4"/>
  <c r="H307" i="4" l="1"/>
  <c r="I307" i="4" s="1"/>
  <c r="C308" i="4" s="1"/>
  <c r="G308" i="4" s="1"/>
  <c r="D308" i="4" l="1"/>
  <c r="E308" i="4"/>
  <c r="L308" i="4"/>
  <c r="B308" i="4"/>
  <c r="N308" i="4" s="1"/>
  <c r="O308" i="4" l="1"/>
  <c r="F308" i="4"/>
  <c r="H308" i="4" l="1"/>
  <c r="I308" i="4" s="1"/>
  <c r="C309" i="4" s="1"/>
  <c r="G309" i="4" s="1"/>
  <c r="D309" i="4" l="1"/>
  <c r="L309" i="4"/>
  <c r="B309" i="4"/>
  <c r="N309" i="4" s="1"/>
  <c r="E309" i="4"/>
  <c r="F309" i="4" l="1"/>
  <c r="O309" i="4"/>
  <c r="H309" i="4" l="1"/>
  <c r="I309" i="4" s="1"/>
  <c r="C310" i="4" s="1"/>
  <c r="G310" i="4" s="1"/>
  <c r="D310" i="4" l="1"/>
  <c r="L310" i="4"/>
  <c r="E310" i="4"/>
  <c r="B310" i="4"/>
  <c r="N310" i="4" s="1"/>
  <c r="O310" i="4" l="1"/>
  <c r="F310" i="4"/>
  <c r="H310" i="4" l="1"/>
  <c r="I310" i="4" s="1"/>
  <c r="C311" i="4" s="1"/>
  <c r="G311" i="4" s="1"/>
  <c r="D311" i="4" l="1"/>
  <c r="L311" i="4"/>
  <c r="E311" i="4"/>
  <c r="B311" i="4"/>
  <c r="N311" i="4" s="1"/>
  <c r="O311" i="4" l="1"/>
  <c r="F311" i="4"/>
  <c r="H311" i="4" l="1"/>
  <c r="I311" i="4" s="1"/>
  <c r="C312" i="4" s="1"/>
  <c r="G312" i="4" s="1"/>
  <c r="D312" i="4" l="1"/>
  <c r="E312" i="4"/>
  <c r="L312" i="4"/>
  <c r="B312" i="4"/>
  <c r="N312" i="4" s="1"/>
  <c r="O312" i="4" l="1"/>
  <c r="F312" i="4"/>
  <c r="H312" i="4" l="1"/>
  <c r="I312" i="4" s="1"/>
  <c r="C313" i="4" s="1"/>
  <c r="G313" i="4" s="1"/>
  <c r="D313" i="4" l="1"/>
  <c r="L313" i="4"/>
  <c r="B313" i="4"/>
  <c r="N313" i="4" s="1"/>
  <c r="E313" i="4"/>
  <c r="O313" i="4" l="1"/>
  <c r="F313" i="4"/>
  <c r="H313" i="4" l="1"/>
  <c r="I313" i="4" s="1"/>
  <c r="C314" i="4" s="1"/>
  <c r="G314" i="4" s="1"/>
  <c r="D314" i="4" l="1"/>
  <c r="L314" i="4"/>
  <c r="B314" i="4"/>
  <c r="N314" i="4" s="1"/>
  <c r="E314" i="4"/>
  <c r="O314" i="4" l="1"/>
  <c r="F314" i="4"/>
  <c r="H314" i="4" l="1"/>
  <c r="I314" i="4" s="1"/>
  <c r="C315" i="4" s="1"/>
  <c r="G315" i="4" s="1"/>
  <c r="D315" i="4" l="1"/>
  <c r="E315" i="4"/>
  <c r="L315" i="4"/>
  <c r="B315" i="4"/>
  <c r="N315" i="4" s="1"/>
  <c r="F315" i="4" l="1"/>
  <c r="O315" i="4"/>
  <c r="H315" i="4" l="1"/>
  <c r="I315" i="4" s="1"/>
  <c r="C316" i="4" s="1"/>
  <c r="G316" i="4" s="1"/>
  <c r="D316" i="4" l="1"/>
  <c r="L316" i="4"/>
  <c r="B316" i="4"/>
  <c r="N316" i="4" s="1"/>
  <c r="E316" i="4"/>
  <c r="O316" i="4" l="1"/>
  <c r="F316" i="4"/>
  <c r="H316" i="4" l="1"/>
  <c r="I316" i="4" s="1"/>
  <c r="C317" i="4" s="1"/>
  <c r="G317" i="4" s="1"/>
  <c r="D317" i="4" l="1"/>
  <c r="E317" i="4"/>
  <c r="B317" i="4"/>
  <c r="N317" i="4" s="1"/>
  <c r="L317" i="4"/>
  <c r="O317" i="4" l="1"/>
  <c r="F317" i="4"/>
  <c r="H317" i="4" l="1"/>
  <c r="I317" i="4" s="1"/>
  <c r="C318" i="4" s="1"/>
  <c r="G318" i="4" s="1"/>
  <c r="D318" i="4" l="1"/>
  <c r="B318" i="4"/>
  <c r="N318" i="4" s="1"/>
  <c r="L318" i="4"/>
  <c r="E318" i="4"/>
  <c r="O318" i="4" l="1"/>
  <c r="F318" i="4"/>
  <c r="H318" i="4" l="1"/>
  <c r="I318" i="4" s="1"/>
  <c r="C319" i="4" s="1"/>
  <c r="G319" i="4" s="1"/>
  <c r="D319" i="4" l="1"/>
  <c r="E319" i="4"/>
  <c r="B319" i="4"/>
  <c r="N319" i="4" s="1"/>
  <c r="L319" i="4"/>
  <c r="O319" i="4" l="1"/>
  <c r="F319" i="4"/>
  <c r="H319" i="4" l="1"/>
  <c r="I319" i="4" s="1"/>
  <c r="C320" i="4" s="1"/>
  <c r="G320" i="4" s="1"/>
  <c r="D320" i="4" l="1"/>
  <c r="L320" i="4"/>
  <c r="E320" i="4"/>
  <c r="B320" i="4"/>
  <c r="N320" i="4" s="1"/>
  <c r="O320" i="4" l="1"/>
  <c r="F320" i="4"/>
  <c r="H320" i="4" l="1"/>
  <c r="I320" i="4" s="1"/>
  <c r="C321" i="4" s="1"/>
  <c r="G321" i="4" s="1"/>
  <c r="D321" i="4" l="1"/>
  <c r="B321" i="4"/>
  <c r="N321" i="4" s="1"/>
  <c r="E321" i="4"/>
  <c r="L321" i="4"/>
  <c r="O321" i="4" l="1"/>
  <c r="F321" i="4"/>
  <c r="H321" i="4" l="1"/>
  <c r="I321" i="4" s="1"/>
  <c r="C322" i="4" s="1"/>
  <c r="G322" i="4" s="1"/>
  <c r="D322" i="4" l="1"/>
  <c r="B322" i="4"/>
  <c r="N322" i="4" s="1"/>
  <c r="L322" i="4"/>
  <c r="E322" i="4"/>
  <c r="F322" i="4" l="1"/>
  <c r="O322" i="4"/>
  <c r="H322" i="4" l="1"/>
  <c r="I322" i="4" s="1"/>
  <c r="C323" i="4" s="1"/>
  <c r="D323" i="4" l="1"/>
  <c r="G323" i="4"/>
  <c r="E323" i="4"/>
  <c r="B323" i="4"/>
  <c r="N323" i="4" s="1"/>
  <c r="L323" i="4"/>
  <c r="F323" i="4" l="1"/>
  <c r="O323" i="4"/>
  <c r="H323" i="4" l="1"/>
  <c r="I323" i="4" s="1"/>
  <c r="C324" i="4" s="1"/>
  <c r="D324" i="4" l="1"/>
  <c r="G324" i="4"/>
  <c r="L324" i="4"/>
  <c r="E324" i="4"/>
  <c r="B324" i="4"/>
  <c r="N324" i="4" s="1"/>
  <c r="O324" i="4" l="1"/>
  <c r="F324" i="4"/>
  <c r="H324" i="4" l="1"/>
  <c r="I324" i="4" s="1"/>
  <c r="C325" i="4" s="1"/>
  <c r="G325" i="4" s="1"/>
  <c r="E325" i="4" l="1"/>
  <c r="L325" i="4"/>
  <c r="B325" i="4"/>
  <c r="N325" i="4" s="1"/>
  <c r="O325" i="4" s="1"/>
  <c r="D325" i="4"/>
  <c r="F325" i="4" s="1"/>
  <c r="H325" i="4" l="1"/>
  <c r="I325" i="4" s="1"/>
  <c r="C326" i="4" s="1"/>
  <c r="G326" i="4" s="1"/>
  <c r="D326" i="4" l="1"/>
  <c r="B326" i="4"/>
  <c r="N326" i="4" s="1"/>
  <c r="E326" i="4"/>
  <c r="L326" i="4"/>
  <c r="F326" i="4" l="1"/>
  <c r="O326" i="4"/>
  <c r="H326" i="4" l="1"/>
  <c r="I326" i="4" s="1"/>
  <c r="C327" i="4" s="1"/>
  <c r="D327" i="4" l="1"/>
  <c r="G327" i="4"/>
  <c r="E327" i="4"/>
  <c r="L327" i="4"/>
  <c r="B327" i="4"/>
  <c r="N327" i="4" s="1"/>
  <c r="F327" i="4" l="1"/>
  <c r="O327" i="4"/>
  <c r="H327" i="4" l="1"/>
  <c r="I327" i="4" s="1"/>
  <c r="C328" i="4" s="1"/>
  <c r="D328" i="4" l="1"/>
  <c r="G328" i="4"/>
  <c r="E328" i="4"/>
  <c r="L328" i="4"/>
  <c r="B328" i="4"/>
  <c r="N328" i="4" s="1"/>
  <c r="F328" i="4" l="1"/>
  <c r="O328" i="4"/>
  <c r="H328" i="4" l="1"/>
  <c r="I328" i="4" s="1"/>
  <c r="C329" i="4" s="1"/>
  <c r="E329" i="4" s="1"/>
  <c r="L329" i="4" l="1"/>
  <c r="D329" i="4"/>
  <c r="G329" i="4"/>
  <c r="B329" i="4"/>
  <c r="N329" i="4" s="1"/>
  <c r="O329" i="4" s="1"/>
  <c r="F329" i="4" l="1"/>
  <c r="H329" i="4" s="1"/>
  <c r="I329" i="4" s="1"/>
  <c r="C330" i="4" s="1"/>
  <c r="D330" i="4" l="1"/>
  <c r="G330" i="4"/>
  <c r="B330" i="4"/>
  <c r="N330" i="4" s="1"/>
  <c r="L330" i="4"/>
  <c r="E330" i="4"/>
  <c r="O330" i="4" l="1"/>
  <c r="F330" i="4"/>
  <c r="H330" i="4" l="1"/>
  <c r="I330" i="4" s="1"/>
  <c r="C331" i="4" s="1"/>
  <c r="D331" i="4" l="1"/>
  <c r="G331" i="4"/>
  <c r="E331" i="4"/>
  <c r="B331" i="4"/>
  <c r="N331" i="4" s="1"/>
  <c r="L331" i="4"/>
  <c r="F331" i="4" l="1"/>
  <c r="O331" i="4"/>
  <c r="H331" i="4" l="1"/>
  <c r="I331" i="4" s="1"/>
  <c r="C332" i="4" s="1"/>
  <c r="B332" i="4" s="1"/>
  <c r="N332" i="4" s="1"/>
  <c r="E332" i="4" l="1"/>
  <c r="D332" i="4"/>
  <c r="L332" i="4"/>
  <c r="O332" i="4" s="1"/>
  <c r="G332" i="4"/>
  <c r="F332" i="4" l="1"/>
  <c r="H332" i="4" s="1"/>
  <c r="I332" i="4" s="1"/>
  <c r="C333" i="4" s="1"/>
  <c r="G333" i="4" s="1"/>
  <c r="D333" i="4" l="1"/>
  <c r="L333" i="4"/>
  <c r="E333" i="4"/>
  <c r="B333" i="4"/>
  <c r="N333" i="4" s="1"/>
  <c r="O333" i="4" s="1"/>
  <c r="F333" i="4" l="1"/>
  <c r="H333" i="4" s="1"/>
  <c r="I333" i="4" s="1"/>
  <c r="C334" i="4" s="1"/>
  <c r="G334" i="4" s="1"/>
  <c r="D334" i="4" l="1"/>
  <c r="L334" i="4"/>
  <c r="E334" i="4"/>
  <c r="B334" i="4"/>
  <c r="N334" i="4" s="1"/>
  <c r="O334" i="4" l="1"/>
  <c r="F334" i="4"/>
  <c r="H334" i="4" l="1"/>
  <c r="I334" i="4" s="1"/>
  <c r="C335" i="4" s="1"/>
  <c r="G335" i="4" s="1"/>
  <c r="D335" i="4" l="1"/>
  <c r="L335" i="4"/>
  <c r="B335" i="4"/>
  <c r="N335" i="4" s="1"/>
  <c r="E335" i="4"/>
  <c r="F335" i="4" l="1"/>
  <c r="O335" i="4"/>
  <c r="H335" i="4" l="1"/>
  <c r="I335" i="4" s="1"/>
  <c r="C336" i="4" s="1"/>
  <c r="G336" i="4" s="1"/>
  <c r="D336" i="4" l="1"/>
  <c r="L336" i="4"/>
  <c r="E336" i="4"/>
  <c r="B336" i="4"/>
  <c r="N336" i="4" s="1"/>
  <c r="O336" i="4" l="1"/>
  <c r="F336" i="4"/>
  <c r="H336" i="4" l="1"/>
  <c r="I336" i="4" s="1"/>
  <c r="C337" i="4" s="1"/>
  <c r="G337" i="4" s="1"/>
  <c r="D337" i="4" l="1"/>
  <c r="L337" i="4"/>
  <c r="B337" i="4"/>
  <c r="N337" i="4" s="1"/>
  <c r="E337" i="4"/>
  <c r="O337" i="4" l="1"/>
  <c r="F337" i="4"/>
  <c r="H337" i="4" l="1"/>
  <c r="I337" i="4"/>
  <c r="C338" i="4" s="1"/>
  <c r="G338" i="4" s="1"/>
  <c r="D338" i="4" l="1"/>
  <c r="L338" i="4"/>
  <c r="B338" i="4"/>
  <c r="N338" i="4" s="1"/>
  <c r="E338" i="4"/>
  <c r="F338" i="4" l="1"/>
  <c r="O338" i="4"/>
  <c r="H338" i="4" l="1"/>
  <c r="I338" i="4" s="1"/>
  <c r="C339" i="4" s="1"/>
  <c r="G339" i="4" s="1"/>
  <c r="L339" i="4" l="1"/>
  <c r="B339" i="4"/>
  <c r="N339" i="4" s="1"/>
  <c r="D339" i="4"/>
  <c r="E339" i="4"/>
  <c r="O339" i="4" l="1"/>
  <c r="F339" i="4"/>
  <c r="H339" i="4" l="1"/>
  <c r="I339" i="4" s="1"/>
  <c r="C340" i="4" s="1"/>
  <c r="L340" i="4" l="1"/>
  <c r="G340" i="4"/>
  <c r="E340" i="4"/>
  <c r="B340" i="4"/>
  <c r="N340" i="4" s="1"/>
  <c r="D340" i="4"/>
  <c r="O340" i="4" l="1"/>
  <c r="F340" i="4"/>
  <c r="H340" i="4" l="1"/>
  <c r="I340" i="4" s="1"/>
  <c r="C341" i="4" s="1"/>
  <c r="D341" i="4" s="1"/>
  <c r="B341" i="4" l="1"/>
  <c r="N341" i="4" s="1"/>
  <c r="E341" i="4"/>
  <c r="G341" i="4"/>
  <c r="L341" i="4"/>
  <c r="F341" i="4" l="1"/>
  <c r="O341" i="4"/>
  <c r="H341" i="4" l="1"/>
  <c r="I341" i="4" s="1"/>
  <c r="C342" i="4" s="1"/>
  <c r="E342" i="4" s="1"/>
  <c r="L342" i="4" l="1"/>
  <c r="D342" i="4"/>
  <c r="B342" i="4"/>
  <c r="N342" i="4" s="1"/>
  <c r="O342" i="4" s="1"/>
  <c r="G342" i="4"/>
  <c r="F342" i="4" l="1"/>
  <c r="H342" i="4"/>
  <c r="I342" i="4" s="1"/>
  <c r="C343" i="4" s="1"/>
  <c r="E343" i="4" s="1"/>
  <c r="B343" i="4" l="1"/>
  <c r="N343" i="4" s="1"/>
  <c r="D343" i="4"/>
  <c r="G343" i="4"/>
  <c r="L343" i="4"/>
  <c r="O343" i="4" l="1"/>
  <c r="F343" i="4"/>
  <c r="H343" i="4" l="1"/>
  <c r="I343" i="4" s="1"/>
  <c r="C344" i="4" s="1"/>
  <c r="B344" i="4" s="1"/>
  <c r="N344" i="4" s="1"/>
  <c r="L344" i="4" l="1"/>
  <c r="O344" i="4" s="1"/>
  <c r="D344" i="4"/>
  <c r="E344" i="4"/>
  <c r="G344" i="4"/>
  <c r="F344" i="4" l="1"/>
  <c r="H344" i="4" s="1"/>
  <c r="I344" i="4" s="1"/>
  <c r="C345" i="4" s="1"/>
  <c r="G345" i="4" s="1"/>
  <c r="B345" i="4" l="1"/>
  <c r="N345" i="4" s="1"/>
  <c r="E345" i="4"/>
  <c r="L345" i="4"/>
  <c r="D345" i="4"/>
  <c r="F345" i="4" l="1"/>
  <c r="O345" i="4"/>
  <c r="H345" i="4" l="1"/>
  <c r="I345" i="4" s="1"/>
  <c r="C346" i="4" s="1"/>
  <c r="G346" i="4" s="1"/>
  <c r="D346" i="4"/>
  <c r="E346" i="4"/>
  <c r="L346" i="4"/>
  <c r="B346" i="4"/>
  <c r="N346" i="4" s="1"/>
  <c r="F346" i="4" l="1"/>
  <c r="O346" i="4"/>
  <c r="H346" i="4" l="1"/>
  <c r="I346" i="4" s="1"/>
  <c r="C347" i="4" s="1"/>
  <c r="G347" i="4" s="1"/>
  <c r="D347" i="4" l="1"/>
  <c r="L347" i="4"/>
  <c r="B347" i="4"/>
  <c r="N347" i="4" s="1"/>
  <c r="E347" i="4"/>
  <c r="F347" i="4" l="1"/>
  <c r="O347" i="4"/>
  <c r="H347" i="4" l="1"/>
  <c r="I347" i="4" s="1"/>
  <c r="C348" i="4" s="1"/>
  <c r="G348" i="4" s="1"/>
  <c r="D348" i="4" l="1"/>
  <c r="E348" i="4"/>
  <c r="L348" i="4"/>
  <c r="B348" i="4"/>
  <c r="N348" i="4" s="1"/>
  <c r="O348" i="4" l="1"/>
  <c r="F348" i="4"/>
  <c r="H348" i="4" l="1"/>
  <c r="I348" i="4" s="1"/>
  <c r="C349" i="4" s="1"/>
  <c r="G349" i="4" s="1"/>
  <c r="D349" i="4" l="1"/>
  <c r="L349" i="4"/>
  <c r="E349" i="4"/>
  <c r="B349" i="4"/>
  <c r="N349" i="4" s="1"/>
  <c r="F349" i="4" l="1"/>
  <c r="O349" i="4"/>
  <c r="H349" i="4" l="1"/>
  <c r="I349" i="4" s="1"/>
  <c r="C350" i="4" s="1"/>
  <c r="G350" i="4" s="1"/>
  <c r="D350" i="4" l="1"/>
  <c r="E350" i="4"/>
  <c r="L350" i="4"/>
  <c r="B350" i="4"/>
  <c r="N350" i="4" s="1"/>
  <c r="O350" i="4" l="1"/>
  <c r="F350" i="4"/>
  <c r="H350" i="4" l="1"/>
  <c r="I350" i="4" s="1"/>
  <c r="C351" i="4" s="1"/>
  <c r="G351" i="4" s="1"/>
  <c r="D351" i="4" l="1"/>
  <c r="L351" i="4"/>
  <c r="B351" i="4"/>
  <c r="N351" i="4" s="1"/>
  <c r="E351" i="4"/>
  <c r="O351" i="4" l="1"/>
  <c r="F351" i="4"/>
  <c r="H351" i="4" l="1"/>
  <c r="I351" i="4" s="1"/>
  <c r="C352" i="4" s="1"/>
  <c r="G352" i="4" s="1"/>
  <c r="D352" i="4" l="1"/>
  <c r="E352" i="4"/>
  <c r="B352" i="4"/>
  <c r="N352" i="4" s="1"/>
  <c r="L352" i="4"/>
  <c r="O352" i="4" l="1"/>
  <c r="F352" i="4"/>
  <c r="H352" i="4" l="1"/>
  <c r="I352" i="4" s="1"/>
  <c r="C353" i="4" s="1"/>
  <c r="G353" i="4" s="1"/>
  <c r="D353" i="4" l="1"/>
  <c r="L353" i="4"/>
  <c r="B353" i="4"/>
  <c r="N353" i="4" s="1"/>
  <c r="E353" i="4"/>
  <c r="O353" i="4" l="1"/>
  <c r="F353" i="4"/>
  <c r="H353" i="4" l="1"/>
  <c r="I353" i="4" s="1"/>
  <c r="C354" i="4" s="1"/>
  <c r="G354" i="4" s="1"/>
  <c r="D354" i="4" l="1"/>
  <c r="L354" i="4"/>
  <c r="B354" i="4"/>
  <c r="N354" i="4" s="1"/>
  <c r="E354" i="4"/>
  <c r="O354" i="4" l="1"/>
  <c r="F354" i="4"/>
  <c r="H354" i="4" l="1"/>
  <c r="I354" i="4" s="1"/>
  <c r="C355" i="4" s="1"/>
  <c r="G355" i="4" s="1"/>
  <c r="D355" i="4" l="1"/>
  <c r="B355" i="4"/>
  <c r="N355" i="4" s="1"/>
  <c r="E355" i="4"/>
  <c r="L355" i="4"/>
  <c r="O355" i="4" l="1"/>
  <c r="F355" i="4"/>
  <c r="H355" i="4" l="1"/>
  <c r="I355" i="4" s="1"/>
  <c r="C356" i="4" s="1"/>
  <c r="G356" i="4" s="1"/>
  <c r="D356" i="4" l="1"/>
  <c r="E356" i="4"/>
  <c r="B356" i="4"/>
  <c r="N356" i="4" s="1"/>
  <c r="L356" i="4"/>
  <c r="O356" i="4" l="1"/>
  <c r="F356" i="4"/>
  <c r="H356" i="4" l="1"/>
  <c r="I356" i="4" s="1"/>
  <c r="C357" i="4" s="1"/>
  <c r="G357" i="4" s="1"/>
  <c r="D357" i="4" l="1"/>
  <c r="L357" i="4"/>
  <c r="B357" i="4"/>
  <c r="N357" i="4" s="1"/>
  <c r="E357" i="4"/>
  <c r="O357" i="4" l="1"/>
  <c r="F357" i="4"/>
  <c r="H357" i="4" l="1"/>
  <c r="I357" i="4" s="1"/>
  <c r="C358" i="4" s="1"/>
  <c r="G358" i="4" s="1"/>
  <c r="D358" i="4" l="1"/>
  <c r="B358" i="4"/>
  <c r="N358" i="4" s="1"/>
  <c r="E358" i="4"/>
  <c r="L358" i="4"/>
  <c r="O358" i="4" l="1"/>
  <c r="F358" i="4"/>
  <c r="H358" i="4" l="1"/>
  <c r="I358" i="4" s="1"/>
  <c r="C359" i="4" s="1"/>
  <c r="G359" i="4" s="1"/>
  <c r="D359" i="4" l="1"/>
  <c r="B359" i="4"/>
  <c r="N359" i="4" s="1"/>
  <c r="E359" i="4"/>
  <c r="L359" i="4"/>
  <c r="O359" i="4" l="1"/>
  <c r="F359" i="4"/>
  <c r="H359" i="4" l="1"/>
  <c r="I359" i="4" s="1"/>
  <c r="C360" i="4" s="1"/>
  <c r="G360" i="4" s="1"/>
  <c r="D360" i="4" l="1"/>
  <c r="E360" i="4"/>
  <c r="B360" i="4"/>
  <c r="N360" i="4" s="1"/>
  <c r="L360" i="4"/>
  <c r="O360" i="4" l="1"/>
  <c r="F360" i="4"/>
  <c r="H360" i="4" l="1"/>
  <c r="I360" i="4" s="1"/>
  <c r="C361" i="4" s="1"/>
  <c r="G361" i="4" s="1"/>
  <c r="D361" i="4" l="1"/>
  <c r="E361" i="4"/>
  <c r="L361" i="4"/>
  <c r="B361" i="4"/>
  <c r="N361" i="4" s="1"/>
  <c r="O361" i="4" l="1"/>
  <c r="F361" i="4"/>
  <c r="H361" i="4" l="1"/>
  <c r="I361" i="4" s="1"/>
  <c r="C362" i="4" s="1"/>
  <c r="G362" i="4" s="1"/>
  <c r="D362" i="4" l="1"/>
  <c r="E362" i="4"/>
  <c r="L362" i="4"/>
  <c r="B362" i="4"/>
  <c r="N362" i="4" s="1"/>
  <c r="O362" i="4" l="1"/>
  <c r="F362" i="4"/>
  <c r="H362" i="4" l="1"/>
  <c r="I362" i="4" s="1"/>
  <c r="C363" i="4" s="1"/>
  <c r="G363" i="4" s="1"/>
  <c r="D363" i="4" l="1"/>
  <c r="B363" i="4"/>
  <c r="N363" i="4" s="1"/>
  <c r="E363" i="4"/>
  <c r="L363" i="4"/>
  <c r="O363" i="4" l="1"/>
  <c r="F363" i="4"/>
  <c r="H363" i="4" l="1"/>
  <c r="I363" i="4" s="1"/>
  <c r="C364" i="4" s="1"/>
  <c r="G364" i="4" s="1"/>
  <c r="D364" i="4" l="1"/>
  <c r="E364" i="4"/>
  <c r="B364" i="4"/>
  <c r="N364" i="4" s="1"/>
  <c r="L364" i="4"/>
  <c r="O364" i="4" l="1"/>
  <c r="F364" i="4"/>
  <c r="H364" i="4" l="1"/>
  <c r="I364" i="4" s="1"/>
  <c r="C365" i="4" s="1"/>
  <c r="G365" i="4" s="1"/>
  <c r="D365" i="4" l="1"/>
  <c r="L365" i="4"/>
  <c r="E365" i="4"/>
  <c r="B365" i="4"/>
  <c r="N365" i="4" s="1"/>
  <c r="O365" i="4" l="1"/>
  <c r="F365" i="4"/>
  <c r="H365" i="4" l="1"/>
  <c r="I365" i="4" s="1"/>
  <c r="C366" i="4" s="1"/>
  <c r="G366" i="4" s="1"/>
  <c r="E366" i="4" l="1"/>
  <c r="L366" i="4"/>
  <c r="D366" i="4"/>
  <c r="B366" i="4"/>
  <c r="N366" i="4" s="1"/>
  <c r="O366" i="4" l="1"/>
  <c r="F366" i="4"/>
  <c r="H366" i="4" l="1"/>
  <c r="I366" i="4" s="1"/>
  <c r="C367" i="4" s="1"/>
  <c r="G367" i="4" s="1"/>
  <c r="L367" i="4" l="1"/>
  <c r="B367" i="4"/>
  <c r="N367" i="4" s="1"/>
  <c r="D367" i="4"/>
  <c r="E367" i="4"/>
  <c r="F367" i="4" l="1"/>
  <c r="O367" i="4"/>
  <c r="H367" i="4" l="1"/>
  <c r="I367" i="4" s="1"/>
  <c r="C368" i="4" s="1"/>
  <c r="G368" i="4" s="1"/>
  <c r="D368" i="4" l="1"/>
  <c r="B368" i="4"/>
  <c r="N368" i="4" s="1"/>
  <c r="E368" i="4"/>
  <c r="L368" i="4"/>
  <c r="O368" i="4" l="1"/>
  <c r="F368" i="4"/>
  <c r="H368" i="4" l="1"/>
  <c r="I368" i="4" s="1"/>
  <c r="C369" i="4" s="1"/>
  <c r="G369" i="4" s="1"/>
  <c r="D369" i="4" l="1"/>
  <c r="B369" i="4"/>
  <c r="N369" i="4" s="1"/>
  <c r="E369" i="4"/>
  <c r="L369" i="4"/>
  <c r="O369" i="4" l="1"/>
  <c r="F369" i="4"/>
  <c r="H369" i="4" l="1"/>
  <c r="I369" i="4" s="1"/>
  <c r="C370" i="4" s="1"/>
  <c r="G370" i="4" s="1"/>
  <c r="L370" i="4" l="1"/>
  <c r="D370" i="4"/>
  <c r="B370" i="4"/>
  <c r="N370" i="4" s="1"/>
  <c r="E370" i="4"/>
  <c r="F370" i="4" l="1"/>
  <c r="O370" i="4"/>
  <c r="H370" i="4" l="1"/>
  <c r="I370" i="4" s="1"/>
  <c r="C371" i="4" s="1"/>
  <c r="G371" i="4" s="1"/>
  <c r="D371" i="4" l="1"/>
  <c r="E371" i="4"/>
  <c r="L371" i="4"/>
  <c r="B371" i="4"/>
  <c r="N371" i="4" s="1"/>
  <c r="O371" i="4" l="1"/>
  <c r="F371" i="4"/>
  <c r="H371" i="4" l="1"/>
  <c r="I371" i="4" s="1"/>
  <c r="C372" i="4" s="1"/>
  <c r="G372" i="4" s="1"/>
  <c r="D372" i="4" l="1"/>
  <c r="B372" i="4"/>
  <c r="N372" i="4" s="1"/>
  <c r="E372" i="4"/>
  <c r="L372" i="4"/>
  <c r="O372" i="4" l="1"/>
  <c r="F372" i="4"/>
  <c r="H372" i="4" l="1"/>
  <c r="I372" i="4" s="1"/>
  <c r="C373" i="4" s="1"/>
  <c r="G373" i="4" s="1"/>
  <c r="D373" i="4" l="1"/>
  <c r="B373" i="4"/>
  <c r="N373" i="4" s="1"/>
  <c r="E373" i="4"/>
  <c r="L373" i="4"/>
  <c r="O373" i="4" l="1"/>
  <c r="F373" i="4"/>
  <c r="H373" i="4" l="1"/>
  <c r="I373" i="4" s="1"/>
  <c r="H3" i="4" l="1"/>
  <c r="H4" i="4" s="1"/>
</calcChain>
</file>

<file path=xl/sharedStrings.xml><?xml version="1.0" encoding="utf-8"?>
<sst xmlns="http://schemas.openxmlformats.org/spreadsheetml/2006/main" count="90" uniqueCount="48">
  <si>
    <t xml:space="preserve"> </t>
  </si>
  <si>
    <t>Servicing</t>
  </si>
  <si>
    <t>Net APR</t>
  </si>
  <si>
    <t>Payment</t>
  </si>
  <si>
    <t>Starting Balance</t>
  </si>
  <si>
    <t xml:space="preserve">Interest </t>
  </si>
  <si>
    <t xml:space="preserve">Principal </t>
  </si>
  <si>
    <t>Prepayment</t>
  </si>
  <si>
    <t>Ending Balance</t>
  </si>
  <si>
    <t>Payment #</t>
  </si>
  <si>
    <t>Yellow  = (input cells)</t>
  </si>
  <si>
    <t>WAC</t>
  </si>
  <si>
    <t>CPR</t>
  </si>
  <si>
    <t>Servicing Cost</t>
  </si>
  <si>
    <t>Market Yield</t>
  </si>
  <si>
    <t>Month</t>
  </si>
  <si>
    <t>Date</t>
  </si>
  <si>
    <t>Original Funding Date</t>
  </si>
  <si>
    <t>Seasoning</t>
  </si>
  <si>
    <t>Seasonality</t>
  </si>
  <si>
    <t>Spread</t>
  </si>
  <si>
    <t>Base Factor</t>
  </si>
  <si>
    <t>Burnout</t>
  </si>
  <si>
    <t>WAM</t>
  </si>
  <si>
    <t>Pool Factor</t>
  </si>
  <si>
    <t>Months</t>
  </si>
  <si>
    <t>Factor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</si>
  <si>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</si>
  <si>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</si>
  <si>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</si>
  <si>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</si>
  <si>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</si>
  <si>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</si>
  <si>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</si>
  <si>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</si>
  <si>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</si>
  <si>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</si>
  <si>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</si>
  <si>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</si>
  <si>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SMM</t>
  </si>
  <si>
    <t>Average Life Months</t>
  </si>
  <si>
    <t>Average Life Years</t>
  </si>
  <si>
    <t>Likelihood</t>
  </si>
  <si>
    <t>Age Loan Seasoning</t>
  </si>
  <si>
    <t>Period</t>
  </si>
  <si>
    <t>Base Factor Model S-shape</t>
  </si>
  <si>
    <t>Base Factor Model 101</t>
  </si>
  <si>
    <t>Spread is WAC - Market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</si>
</sst>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%"/>
    <numFmt numFmtId="167" formatCode="0.000"/>
    <numFmt numFmtId="168" formatCode="0.0"/>
    <numFmt numFmtId="169" formatCode="0.00000"/>
    <numFmt numFmtId="170" formatCode="0.0000000000"/>
    <numFmt numFmtId="171" formatCode="0.000000000"/>
    <numFmt numFmtId="172" formatCode="0.00000000"/>
    <numFmt numFmtId="173" formatCode="dd/mm/yyyy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66FF"/>
      <name val="Arial"/>
      <family val="2"/>
    </font>
    <font>
      <sz val="11"/>
      <name val="Calibri"/>
      <family val="2"/>
      <scheme val="minor"/>
    </font>
    <font>
      <sz val="10"/>
      <color rgb="FF3F3F76"/>
      <name val="Arial"/>
      <family val="2"/>
    </font>
    <font>
      <sz val="10"/>
      <color theme="9" tint="-0.249977111117893"/>
      <name val="Arial"/>
      <family val="2"/>
    </font>
    <font>
      <sz val="8"/>
      <color theme="2" tint="-0.249977111117893"/>
      <name val="Arial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6" fillId="5" borderId="0" applyNumberFormat="0" applyBorder="0" applyAlignment="0" applyProtection="0"/>
    <xf numFmtId="164" fontId="3" fillId="0" borderId="0" applyFont="0" applyFill="0" applyBorder="0" applyAlignment="0" applyProtection="0"/>
    <xf numFmtId="0" fontId="4" fillId="2" borderId="0" applyNumberFormat="0" applyBorder="0" applyAlignment="0" applyProtection="0"/>
    <xf numFmtId="2" fontId="3" fillId="6" borderId="5">
      <alignment horizontal="center"/>
    </xf>
    <xf numFmtId="166" fontId="3" fillId="6" borderId="5">
      <alignment horizontal="center"/>
    </xf>
    <xf numFmtId="0" fontId="5" fillId="3" borderId="3" applyNumberFormat="0" applyAlignment="0" applyProtection="0"/>
    <xf numFmtId="0" fontId="3" fillId="4" borderId="4" applyNumberFormat="0" applyFont="0" applyAlignment="0" applyProtection="0"/>
    <xf numFmtId="0" fontId="6" fillId="4" borderId="4" applyNumberFormat="0" applyFont="0" applyAlignment="0" applyProtection="0"/>
    <xf numFmtId="0" fontId="6" fillId="4" borderId="4" applyNumberFormat="0" applyFont="0" applyAlignment="0" applyProtection="0"/>
    <xf numFmtId="0" fontId="2" fillId="4" borderId="4" applyNumberFormat="0" applyFont="0" applyAlignment="0" applyProtection="0"/>
    <xf numFmtId="165" fontId="3" fillId="0" borderId="0" applyFont="0" applyFill="0" applyBorder="0" applyAlignment="0" applyProtection="0"/>
    <xf numFmtId="0" fontId="12" fillId="12" borderId="0" applyNumberFormat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86">
    <xf numFmtId="0" fontId="0" fillId="0" borderId="0" xfId="0"/>
    <xf numFmtId="0" fontId="7" fillId="0" borderId="0" xfId="0" applyFont="1"/>
    <xf numFmtId="0" fontId="0" fillId="0" borderId="0" xfId="0" applyAlignment="1">
      <alignment horizontal="center"/>
    </xf>
    <xf numFmtId="164" fontId="3" fillId="0" borderId="0" xfId="2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166" fontId="5" fillId="8" borderId="6" xfId="7" applyNumberFormat="1" applyFont="1" applyFill="1" applyBorder="1" applyAlignment="1">
      <alignment horizontal="center"/>
    </xf>
    <xf numFmtId="0" fontId="0" fillId="4" borderId="6" xfId="7" applyFont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8" fontId="0" fillId="9" borderId="6" xfId="0" applyNumberForma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left"/>
    </xf>
    <xf numFmtId="2" fontId="0" fillId="10" borderId="6" xfId="0" applyNumberFormat="1" applyFill="1" applyBorder="1" applyAlignment="1">
      <alignment horizontal="center"/>
    </xf>
    <xf numFmtId="0" fontId="0" fillId="7" borderId="1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right"/>
    </xf>
    <xf numFmtId="0" fontId="0" fillId="7" borderId="2" xfId="0" applyFill="1" applyBorder="1"/>
    <xf numFmtId="0" fontId="0" fillId="11" borderId="10" xfId="0" applyFill="1" applyBorder="1" applyAlignment="1">
      <alignment horizontal="center"/>
    </xf>
    <xf numFmtId="10" fontId="0" fillId="4" borderId="11" xfId="10" applyNumberFormat="1" applyFont="1" applyBorder="1" applyAlignment="1">
      <alignment horizontal="center"/>
    </xf>
    <xf numFmtId="0" fontId="0" fillId="10" borderId="6" xfId="0" quotePrefix="1" applyFill="1" applyBorder="1"/>
    <xf numFmtId="0" fontId="0" fillId="10" borderId="6" xfId="0" quotePrefix="1" applyFill="1" applyBorder="1" applyAlignment="1">
      <alignment horizontal="center"/>
    </xf>
    <xf numFmtId="169" fontId="0" fillId="10" borderId="7" xfId="0" applyNumberFormat="1" applyFill="1" applyBorder="1" applyAlignment="1">
      <alignment horizontal="center"/>
    </xf>
    <xf numFmtId="10" fontId="0" fillId="10" borderId="12" xfId="10" applyNumberFormat="1" applyFont="1" applyFill="1" applyBorder="1" applyAlignment="1">
      <alignment horizontal="center"/>
    </xf>
    <xf numFmtId="0" fontId="0" fillId="10" borderId="6" xfId="7" applyFont="1" applyFill="1" applyBorder="1" applyAlignment="1">
      <alignment horizontal="center"/>
    </xf>
    <xf numFmtId="0" fontId="0" fillId="0" borderId="0" xfId="0" applyAlignment="1">
      <alignment horizontal="left"/>
    </xf>
    <xf numFmtId="0" fontId="13" fillId="0" borderId="0" xfId="13" applyFont="1" applyAlignment="1">
      <alignment horizontal="right"/>
    </xf>
    <xf numFmtId="0" fontId="0" fillId="13" borderId="0" xfId="0" applyFill="1"/>
    <xf numFmtId="0" fontId="14" fillId="0" borderId="0" xfId="14"/>
    <xf numFmtId="10" fontId="0" fillId="14" borderId="0" xfId="0" applyNumberFormat="1" applyFill="1" applyAlignment="1">
      <alignment horizontal="center"/>
    </xf>
    <xf numFmtId="0" fontId="15" fillId="15" borderId="0" xfId="0" applyFont="1" applyFill="1" applyAlignment="1">
      <alignment horizontal="center" vertical="center" wrapText="1"/>
    </xf>
    <xf numFmtId="0" fontId="15" fillId="16" borderId="16" xfId="0" applyFont="1" applyFill="1" applyBorder="1" applyAlignment="1">
      <alignment horizontal="center"/>
    </xf>
    <xf numFmtId="0" fontId="15" fillId="16" borderId="13" xfId="0" applyFont="1" applyFill="1" applyBorder="1" applyAlignment="1">
      <alignment horizontal="center"/>
    </xf>
    <xf numFmtId="4" fontId="3" fillId="0" borderId="0" xfId="2" applyNumberFormat="1" applyAlignment="1">
      <alignment horizontal="center"/>
    </xf>
    <xf numFmtId="4" fontId="8" fillId="16" borderId="0" xfId="3" applyNumberFormat="1" applyFont="1" applyFill="1" applyAlignment="1">
      <alignment horizontal="center"/>
    </xf>
    <xf numFmtId="4" fontId="3" fillId="9" borderId="0" xfId="2" quotePrefix="1" applyNumberFormat="1" applyFill="1" applyAlignment="1">
      <alignment horizontal="center"/>
    </xf>
    <xf numFmtId="4" fontId="8" fillId="0" borderId="0" xfId="3" applyNumberFormat="1" applyFont="1" applyFill="1" applyAlignment="1">
      <alignment horizontal="center"/>
    </xf>
    <xf numFmtId="4" fontId="3" fillId="9" borderId="0" xfId="2" applyNumberFormat="1" applyFill="1" applyAlignment="1">
      <alignment horizontal="center"/>
    </xf>
    <xf numFmtId="167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70" fontId="0" fillId="0" borderId="18" xfId="11" applyNumberFormat="1" applyFont="1" applyBorder="1" applyAlignment="1">
      <alignment horizontal="center"/>
    </xf>
    <xf numFmtId="170" fontId="0" fillId="0" borderId="14" xfId="11" applyNumberFormat="1" applyFont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72" fontId="0" fillId="0" borderId="22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171" fontId="0" fillId="9" borderId="15" xfId="0" applyNumberFormat="1" applyFill="1" applyBorder="1" applyAlignment="1">
      <alignment horizontal="center"/>
    </xf>
    <xf numFmtId="171" fontId="0" fillId="9" borderId="23" xfId="0" applyNumberFormat="1" applyFill="1" applyBorder="1" applyAlignment="1">
      <alignment horizontal="center"/>
    </xf>
    <xf numFmtId="170" fontId="0" fillId="0" borderId="16" xfId="11" applyNumberFormat="1" applyFon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172" fontId="0" fillId="0" borderId="17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71" fontId="0" fillId="9" borderId="13" xfId="0" applyNumberFormat="1" applyFill="1" applyBorder="1" applyAlignment="1">
      <alignment horizontal="center"/>
    </xf>
    <xf numFmtId="14" fontId="0" fillId="0" borderId="19" xfId="0" applyNumberFormat="1" applyBorder="1"/>
    <xf numFmtId="14" fontId="0" fillId="0" borderId="20" xfId="0" applyNumberFormat="1" applyBorder="1"/>
    <xf numFmtId="14" fontId="0" fillId="0" borderId="21" xfId="0" applyNumberFormat="1" applyBorder="1"/>
    <xf numFmtId="0" fontId="16" fillId="0" borderId="14" xfId="0" applyFont="1" applyBorder="1" applyAlignment="1">
      <alignment horizontal="center"/>
    </xf>
    <xf numFmtId="0" fontId="0" fillId="0" borderId="22" xfId="0" applyBorder="1"/>
    <xf numFmtId="0" fontId="0" fillId="0" borderId="15" xfId="0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8" xfId="0" applyBorder="1"/>
    <xf numFmtId="0" fontId="16" fillId="0" borderId="23" xfId="0" applyFont="1" applyBorder="1" applyAlignment="1">
      <alignment horizontal="center"/>
    </xf>
    <xf numFmtId="0" fontId="0" fillId="0" borderId="16" xfId="0" applyBorder="1"/>
    <xf numFmtId="0" fontId="16" fillId="0" borderId="14" xfId="0" applyFont="1" applyBorder="1"/>
    <xf numFmtId="2" fontId="0" fillId="8" borderId="6" xfId="0" applyNumberFormat="1" applyFill="1" applyBorder="1" applyAlignment="1">
      <alignment horizontal="center"/>
    </xf>
    <xf numFmtId="10" fontId="0" fillId="10" borderId="6" xfId="0" applyNumberFormat="1" applyFill="1" applyBorder="1" applyAlignment="1">
      <alignment horizontal="center"/>
    </xf>
    <xf numFmtId="173" fontId="5" fillId="13" borderId="4" xfId="7" applyNumberFormat="1" applyFont="1" applyFill="1" applyAlignment="1">
      <alignment horizontal="center"/>
    </xf>
    <xf numFmtId="1" fontId="5" fillId="13" borderId="4" xfId="7" applyNumberFormat="1" applyFont="1" applyFill="1" applyAlignment="1">
      <alignment horizontal="center"/>
    </xf>
    <xf numFmtId="164" fontId="5" fillId="13" borderId="4" xfId="7" applyNumberFormat="1" applyFont="1" applyFill="1"/>
    <xf numFmtId="166" fontId="5" fillId="13" borderId="4" xfId="7" applyNumberFormat="1" applyFont="1" applyFill="1" applyAlignment="1">
      <alignment horizontal="center"/>
    </xf>
    <xf numFmtId="166" fontId="9" fillId="13" borderId="6" xfId="7" applyNumberFormat="1" applyFont="1" applyFill="1" applyBorder="1" applyAlignment="1">
      <alignment horizontal="center"/>
    </xf>
    <xf numFmtId="1" fontId="1" fillId="8" borderId="6" xfId="12" quotePrefix="1" applyNumberFormat="1" applyFont="1" applyFill="1" applyBorder="1" applyAlignment="1">
      <alignment horizontal="center"/>
    </xf>
    <xf numFmtId="2" fontId="1" fillId="8" borderId="6" xfId="12" quotePrefix="1" applyNumberFormat="1" applyFont="1" applyFill="1" applyBorder="1" applyAlignment="1">
      <alignment horizontal="center"/>
    </xf>
    <xf numFmtId="0" fontId="3" fillId="13" borderId="0" xfId="7" applyFill="1" applyBorder="1" applyAlignment="1">
      <alignment horizontal="center"/>
    </xf>
    <xf numFmtId="0" fontId="15" fillId="16" borderId="14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5" fillId="16" borderId="6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5" fillId="16" borderId="12" xfId="0" applyFont="1" applyFill="1" applyBorder="1" applyAlignment="1">
      <alignment horizontal="center"/>
    </xf>
  </cellXfs>
  <cellStyles count="15">
    <cellStyle name="40% - Accent3 4 2" xfId="1" xr:uid="{00000000-0005-0000-0000-000000000000}"/>
    <cellStyle name="Accent6" xfId="12" builtinId="49"/>
    <cellStyle name="Comma" xfId="11" builtinId="3"/>
    <cellStyle name="Currency" xfId="2" builtinId="4"/>
    <cellStyle name="Good" xfId="3" builtinId="26"/>
    <cellStyle name="Green Number" xfId="4" xr:uid="{00000000-0005-0000-0000-000004000000}"/>
    <cellStyle name="Green Percent" xfId="5" xr:uid="{00000000-0005-0000-0000-000005000000}"/>
    <cellStyle name="Hyperlink" xfId="14" builtinId="8"/>
    <cellStyle name="Input 2" xfId="6" xr:uid="{00000000-0005-0000-0000-000006000000}"/>
    <cellStyle name="Normal" xfId="0" builtinId="0"/>
    <cellStyle name="Normal 4" xfId="13" xr:uid="{C26A3AB1-78C0-48C4-A0D8-9ADBE9BD1157}"/>
    <cellStyle name="Note" xfId="7" builtinId="10"/>
    <cellStyle name="Note 2" xfId="8" xr:uid="{00000000-0005-0000-0000-000009000000}"/>
    <cellStyle name="Note 3" xfId="10" xr:uid="{00000000-0005-0000-0000-00000A000000}"/>
    <cellStyle name="Note 6" xfId="9" xr:uid="{00000000-0005-0000-0000-00000B000000}"/>
  </cellStyles>
  <dxfs count="66"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  <vertical/>
        <horizontal/>
      </border>
    </dxf>
    <dxf>
      <font>
        <color theme="0"/>
      </font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</border>
    </dxf>
    <dxf>
      <border>
        <bottom style="thin">
          <color rgb="FFFF0000"/>
        </bottom>
        <vertical/>
        <horizontal/>
      </border>
    </dxf>
    <dxf>
      <font>
        <color theme="0"/>
      </font>
    </dxf>
    <dxf>
      <border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Prepayments</a:t>
            </a:r>
          </a:p>
        </c:rich>
      </c:tx>
      <c:layout>
        <c:manualLayout>
          <c:xMode val="edge"/>
          <c:yMode val="edge"/>
          <c:x val="0.38916544269619435"/>
          <c:y val="1.377740700521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4261505099375"/>
          <c:y val="0.17586860042156696"/>
          <c:w val="0.82644736021976772"/>
          <c:h val="0.64576062677438362"/>
        </c:manualLayout>
      </c:layout>
      <c:lineChart>
        <c:grouping val="standard"/>
        <c:varyColors val="0"/>
        <c:ser>
          <c:idx val="1"/>
          <c:order val="0"/>
          <c:tx>
            <c:strRef>
              <c:f>'Amortization Model 101'!$H$13</c:f>
              <c:strCache>
                <c:ptCount val="1"/>
                <c:pt idx="0">
                  <c:v>Prepayment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'Amortization Model 101'!$H$14:$H$373</c:f>
              <c:numCache>
                <c:formatCode>#,##0.00</c:formatCode>
                <c:ptCount val="360"/>
                <c:pt idx="0">
                  <c:v>1282.6178205075271</c:v>
                </c:pt>
                <c:pt idx="1">
                  <c:v>2591.127899720746</c:v>
                </c:pt>
                <c:pt idx="2">
                  <c:v>4097.4215709219907</c:v>
                </c:pt>
                <c:pt idx="3">
                  <c:v>5512.8733949824327</c:v>
                </c:pt>
                <c:pt idx="4">
                  <c:v>7596.9446609252536</c:v>
                </c:pt>
                <c:pt idx="5">
                  <c:v>9357.5668673843084</c:v>
                </c:pt>
                <c:pt idx="6">
                  <c:v>10995.565518227702</c:v>
                </c:pt>
                <c:pt idx="7">
                  <c:v>13109.341263878858</c:v>
                </c:pt>
                <c:pt idx="8">
                  <c:v>14457.172818675896</c:v>
                </c:pt>
                <c:pt idx="9">
                  <c:v>14321.534962391886</c:v>
                </c:pt>
                <c:pt idx="10">
                  <c:v>13380.327057328528</c:v>
                </c:pt>
                <c:pt idx="11">
                  <c:v>15238.566447034758</c:v>
                </c:pt>
                <c:pt idx="12">
                  <c:v>16282.144333271362</c:v>
                </c:pt>
                <c:pt idx="13">
                  <c:v>17682.982794494015</c:v>
                </c:pt>
                <c:pt idx="14">
                  <c:v>19940.639942507267</c:v>
                </c:pt>
                <c:pt idx="15">
                  <c:v>21426.352712460244</c:v>
                </c:pt>
                <c:pt idx="16">
                  <c:v>25053.710135132362</c:v>
                </c:pt>
                <c:pt idx="17">
                  <c:v>27177.313933963189</c:v>
                </c:pt>
                <c:pt idx="18">
                  <c:v>28836.373148098388</c:v>
                </c:pt>
                <c:pt idx="19">
                  <c:v>31602.804923058546</c:v>
                </c:pt>
                <c:pt idx="20">
                  <c:v>32136.547252204196</c:v>
                </c:pt>
                <c:pt idx="21">
                  <c:v>29955.739967580892</c:v>
                </c:pt>
                <c:pt idx="22">
                  <c:v>26551.420108151477</c:v>
                </c:pt>
                <c:pt idx="23">
                  <c:v>28879.484953315019</c:v>
                </c:pt>
                <c:pt idx="24">
                  <c:v>29622.632780116353</c:v>
                </c:pt>
                <c:pt idx="25">
                  <c:v>31018.723334623628</c:v>
                </c:pt>
                <c:pt idx="26">
                  <c:v>33848.169531258602</c:v>
                </c:pt>
                <c:pt idx="27">
                  <c:v>35299.915548386562</c:v>
                </c:pt>
                <c:pt idx="28">
                  <c:v>40166.604624678352</c:v>
                </c:pt>
                <c:pt idx="29">
                  <c:v>42489.565624911927</c:v>
                </c:pt>
                <c:pt idx="30">
                  <c:v>44049.083843691813</c:v>
                </c:pt>
                <c:pt idx="31">
                  <c:v>47248.476693950659</c:v>
                </c:pt>
                <c:pt idx="32">
                  <c:v>47568.373874413031</c:v>
                </c:pt>
                <c:pt idx="33">
                  <c:v>43518.941070752553</c:v>
                </c:pt>
                <c:pt idx="34">
                  <c:v>37912.048223572841</c:v>
                </c:pt>
                <c:pt idx="35">
                  <c:v>40583.487558226334</c:v>
                </c:pt>
                <c:pt idx="36">
                  <c:v>41005.588687888594</c:v>
                </c:pt>
                <c:pt idx="37">
                  <c:v>42333.872404568967</c:v>
                </c:pt>
                <c:pt idx="38">
                  <c:v>45580.399713504776</c:v>
                </c:pt>
                <c:pt idx="39">
                  <c:v>46931.893526635962</c:v>
                </c:pt>
                <c:pt idx="40">
                  <c:v>52757.703018625507</c:v>
                </c:pt>
                <c:pt idx="41">
                  <c:v>54601.298796256015</c:v>
                </c:pt>
                <c:pt idx="42">
                  <c:v>55976.923557118658</c:v>
                </c:pt>
                <c:pt idx="43">
                  <c:v>59404.813535660382</c:v>
                </c:pt>
                <c:pt idx="44">
                  <c:v>59194.006790387895</c:v>
                </c:pt>
                <c:pt idx="45">
                  <c:v>53624.420109731931</c:v>
                </c:pt>
                <c:pt idx="46">
                  <c:v>46285.411762763026</c:v>
                </c:pt>
                <c:pt idx="47">
                  <c:v>49120.806388269913</c:v>
                </c:pt>
                <c:pt idx="48">
                  <c:v>48213.820110192035</c:v>
                </c:pt>
                <c:pt idx="49">
                  <c:v>48395.89951336541</c:v>
                </c:pt>
                <c:pt idx="50">
                  <c:v>50703.835696168841</c:v>
                </c:pt>
                <c:pt idx="51">
                  <c:v>50837.895513485339</c:v>
                </c:pt>
                <c:pt idx="52">
                  <c:v>55691.367288727051</c:v>
                </c:pt>
                <c:pt idx="53">
                  <c:v>56777.158205134787</c:v>
                </c:pt>
                <c:pt idx="54">
                  <c:v>56795.258613924343</c:v>
                </c:pt>
                <c:pt idx="55">
                  <c:v>58851.28151246444</c:v>
                </c:pt>
                <c:pt idx="56">
                  <c:v>56711.154991169351</c:v>
                </c:pt>
                <c:pt idx="57">
                  <c:v>50232.807161252931</c:v>
                </c:pt>
                <c:pt idx="58">
                  <c:v>42421.807724588405</c:v>
                </c:pt>
                <c:pt idx="59">
                  <c:v>44075.191130328858</c:v>
                </c:pt>
                <c:pt idx="60">
                  <c:v>43259.479003010958</c:v>
                </c:pt>
                <c:pt idx="61">
                  <c:v>43420.884671737855</c:v>
                </c:pt>
                <c:pt idx="62">
                  <c:v>45489.505485602785</c:v>
                </c:pt>
                <c:pt idx="63">
                  <c:v>45607.831081307049</c:v>
                </c:pt>
                <c:pt idx="64">
                  <c:v>49959.849642685469</c:v>
                </c:pt>
                <c:pt idx="65">
                  <c:v>50932.026174445928</c:v>
                </c:pt>
                <c:pt idx="66">
                  <c:v>50946.456079909447</c:v>
                </c:pt>
                <c:pt idx="67">
                  <c:v>52788.86681574244</c:v>
                </c:pt>
                <c:pt idx="68">
                  <c:v>51391.927380397137</c:v>
                </c:pt>
                <c:pt idx="69">
                  <c:v>45516.019352620293</c:v>
                </c:pt>
                <c:pt idx="70">
                  <c:v>38434.037732616547</c:v>
                </c:pt>
                <c:pt idx="71">
                  <c:v>39927.366080106076</c:v>
                </c:pt>
                <c:pt idx="72">
                  <c:v>39183.836420432483</c:v>
                </c:pt>
                <c:pt idx="73">
                  <c:v>39325.399415704487</c:v>
                </c:pt>
                <c:pt idx="74">
                  <c:v>40769.330653771387</c:v>
                </c:pt>
                <c:pt idx="75">
                  <c:v>40873.187901626661</c:v>
                </c:pt>
                <c:pt idx="76">
                  <c:v>44771.003121045957</c:v>
                </c:pt>
                <c:pt idx="77">
                  <c:v>45640.02659681104</c:v>
                </c:pt>
                <c:pt idx="78">
                  <c:v>45650.825191979748</c:v>
                </c:pt>
                <c:pt idx="79">
                  <c:v>47299.503385213611</c:v>
                </c:pt>
                <c:pt idx="80">
                  <c:v>46045.778775539824</c:v>
                </c:pt>
                <c:pt idx="81">
                  <c:v>40779.210281314867</c:v>
                </c:pt>
                <c:pt idx="82">
                  <c:v>34432.302158153754</c:v>
                </c:pt>
                <c:pt idx="83">
                  <c:v>35767.71527521895</c:v>
                </c:pt>
                <c:pt idx="84">
                  <c:v>35099.323066685443</c:v>
                </c:pt>
                <c:pt idx="85">
                  <c:v>35223.735235025524</c:v>
                </c:pt>
                <c:pt idx="86">
                  <c:v>36894.927699515283</c:v>
                </c:pt>
                <c:pt idx="87">
                  <c:v>36984.027794787566</c:v>
                </c:pt>
                <c:pt idx="88">
                  <c:v>40505.561203053454</c:v>
                </c:pt>
                <c:pt idx="89">
                  <c:v>41286.243200697274</c:v>
                </c:pt>
                <c:pt idx="90">
                  <c:v>41290.417031115911</c:v>
                </c:pt>
                <c:pt idx="91">
                  <c:v>42775.77452175349</c:v>
                </c:pt>
                <c:pt idx="92">
                  <c:v>41636.219241322928</c:v>
                </c:pt>
                <c:pt idx="93">
                  <c:v>36868.878903833494</c:v>
                </c:pt>
                <c:pt idx="94">
                  <c:v>30801.984535668442</c:v>
                </c:pt>
                <c:pt idx="95">
                  <c:v>31993.995114570003</c:v>
                </c:pt>
                <c:pt idx="96">
                  <c:v>31393.616236807149</c:v>
                </c:pt>
                <c:pt idx="97">
                  <c:v>31502.317795019233</c:v>
                </c:pt>
                <c:pt idx="98">
                  <c:v>32994.23234874745</c:v>
                </c:pt>
                <c:pt idx="99">
                  <c:v>33071.265688492233</c:v>
                </c:pt>
                <c:pt idx="100">
                  <c:v>36217.316166021257</c:v>
                </c:pt>
                <c:pt idx="101">
                  <c:v>36912.585990324209</c:v>
                </c:pt>
                <c:pt idx="102">
                  <c:v>36913.584816823815</c:v>
                </c:pt>
                <c:pt idx="103">
                  <c:v>38238.638645176667</c:v>
                </c:pt>
                <c:pt idx="104">
                  <c:v>37217.257382378033</c:v>
                </c:pt>
                <c:pt idx="105">
                  <c:v>32953.409751492269</c:v>
                </c:pt>
                <c:pt idx="106">
                  <c:v>27818.252987539989</c:v>
                </c:pt>
                <c:pt idx="107">
                  <c:v>28890.267032213022</c:v>
                </c:pt>
                <c:pt idx="108">
                  <c:v>28343.648492354943</c:v>
                </c:pt>
                <c:pt idx="109">
                  <c:v>28437.25252134362</c:v>
                </c:pt>
                <c:pt idx="110">
                  <c:v>29779.215771033647</c:v>
                </c:pt>
                <c:pt idx="111">
                  <c:v>29843.89635878312</c:v>
                </c:pt>
                <c:pt idx="112">
                  <c:v>32677.574921001848</c:v>
                </c:pt>
                <c:pt idx="113">
                  <c:v>33299.386782013375</c:v>
                </c:pt>
                <c:pt idx="114">
                  <c:v>33294.734104364637</c:v>
                </c:pt>
                <c:pt idx="115">
                  <c:v>34484.08124092529</c:v>
                </c:pt>
                <c:pt idx="116">
                  <c:v>33557.287660959504</c:v>
                </c:pt>
                <c:pt idx="117">
                  <c:v>28144.097406760684</c:v>
                </c:pt>
                <c:pt idx="118">
                  <c:v>23762.633621058158</c:v>
                </c:pt>
                <c:pt idx="119">
                  <c:v>24681.441182806349</c:v>
                </c:pt>
                <c:pt idx="120">
                  <c:v>24217.780562873104</c:v>
                </c:pt>
                <c:pt idx="121">
                  <c:v>24300.970786108424</c:v>
                </c:pt>
                <c:pt idx="122">
                  <c:v>25451.152680028081</c:v>
                </c:pt>
                <c:pt idx="123">
                  <c:v>25510.256199604428</c:v>
                </c:pt>
                <c:pt idx="124">
                  <c:v>27936.69363656632</c:v>
                </c:pt>
                <c:pt idx="125">
                  <c:v>28473.562243226763</c:v>
                </c:pt>
                <c:pt idx="126">
                  <c:v>28475.104400515629</c:v>
                </c:pt>
                <c:pt idx="127">
                  <c:v>29498.056702831404</c:v>
                </c:pt>
                <c:pt idx="128">
                  <c:v>28711.337804349736</c:v>
                </c:pt>
                <c:pt idx="129">
                  <c:v>25422.777751751903</c:v>
                </c:pt>
                <c:pt idx="130">
                  <c:v>21460.82011205954</c:v>
                </c:pt>
                <c:pt idx="131">
                  <c:v>22286.27707009263</c:v>
                </c:pt>
                <c:pt idx="132">
                  <c:v>21863.304794434982</c:v>
                </c:pt>
                <c:pt idx="133">
                  <c:v>21934.045124219196</c:v>
                </c:pt>
                <c:pt idx="134">
                  <c:v>22967.587258443495</c:v>
                </c:pt>
                <c:pt idx="135">
                  <c:v>23016.257482099376</c:v>
                </c:pt>
                <c:pt idx="136">
                  <c:v>25200.317259283591</c:v>
                </c:pt>
                <c:pt idx="137">
                  <c:v>25679.292815674678</c:v>
                </c:pt>
                <c:pt idx="138">
                  <c:v>25675.325497948201</c:v>
                </c:pt>
                <c:pt idx="139">
                  <c:v>26592.093533580424</c:v>
                </c:pt>
                <c:pt idx="140">
                  <c:v>25877.370521878427</c:v>
                </c:pt>
                <c:pt idx="141">
                  <c:v>22908.486476915274</c:v>
                </c:pt>
                <c:pt idx="142">
                  <c:v>19334.167115579825</c:v>
                </c:pt>
                <c:pt idx="143">
                  <c:v>20073.42599232987</c:v>
                </c:pt>
                <c:pt idx="144">
                  <c:v>19688.093268784014</c:v>
                </c:pt>
                <c:pt idx="145">
                  <c:v>19747.380429728746</c:v>
                </c:pt>
                <c:pt idx="146">
                  <c:v>20673.217402528022</c:v>
                </c:pt>
                <c:pt idx="147">
                  <c:v>13808.200769806052</c:v>
                </c:pt>
                <c:pt idx="148">
                  <c:v>15145.330651566548</c:v>
                </c:pt>
                <c:pt idx="149">
                  <c:v>15463.803767583655</c:v>
                </c:pt>
                <c:pt idx="150">
                  <c:v>15493.020205612396</c:v>
                </c:pt>
                <c:pt idx="151">
                  <c:v>16079.31701298298</c:v>
                </c:pt>
                <c:pt idx="152">
                  <c:v>15681.035252800923</c:v>
                </c:pt>
                <c:pt idx="153">
                  <c:v>13911.410591615078</c:v>
                </c:pt>
                <c:pt idx="154">
                  <c:v>11762.776926724309</c:v>
                </c:pt>
                <c:pt idx="155">
                  <c:v>12231.444807963464</c:v>
                </c:pt>
                <c:pt idx="156">
                  <c:v>12016.19809865607</c:v>
                </c:pt>
                <c:pt idx="157">
                  <c:v>12071.738864741554</c:v>
                </c:pt>
                <c:pt idx="158">
                  <c:v>12658.238674945607</c:v>
                </c:pt>
                <c:pt idx="159">
                  <c:v>12704.067785897632</c:v>
                </c:pt>
                <c:pt idx="160">
                  <c:v>13930.644630869469</c:v>
                </c:pt>
                <c:pt idx="161">
                  <c:v>14219.82731326009</c:v>
                </c:pt>
                <c:pt idx="162">
                  <c:v>14242.898942749478</c:v>
                </c:pt>
                <c:pt idx="163">
                  <c:v>14777.908503417006</c:v>
                </c:pt>
                <c:pt idx="164">
                  <c:v>14407.94079055198</c:v>
                </c:pt>
                <c:pt idx="165">
                  <c:v>12778.470661831569</c:v>
                </c:pt>
                <c:pt idx="166">
                  <c:v>10801.816602859742</c:v>
                </c:pt>
                <c:pt idx="167">
                  <c:v>11229.039392388639</c:v>
                </c:pt>
                <c:pt idx="168">
                  <c:v>11028.297966600869</c:v>
                </c:pt>
                <c:pt idx="169">
                  <c:v>11076.089335347258</c:v>
                </c:pt>
                <c:pt idx="170">
                  <c:v>11610.842167567054</c:v>
                </c:pt>
                <c:pt idx="171">
                  <c:v>11649.456494088674</c:v>
                </c:pt>
                <c:pt idx="172">
                  <c:v>12770.416730531508</c:v>
                </c:pt>
                <c:pt idx="173">
                  <c:v>13031.599522997747</c:v>
                </c:pt>
                <c:pt idx="174">
                  <c:v>13048.778875742637</c:v>
                </c:pt>
                <c:pt idx="175">
                  <c:v>13534.774797188134</c:v>
                </c:pt>
                <c:pt idx="176">
                  <c:v>13191.829809276738</c:v>
                </c:pt>
                <c:pt idx="177">
                  <c:v>11696.219945860405</c:v>
                </c:pt>
                <c:pt idx="178">
                  <c:v>9883.8330322854163</c:v>
                </c:pt>
                <c:pt idx="179">
                  <c:v>10271.445547927588</c:v>
                </c:pt>
                <c:pt idx="180">
                  <c:v>10084.542433082735</c:v>
                </c:pt>
                <c:pt idx="181">
                  <c:v>10124.911934909791</c:v>
                </c:pt>
                <c:pt idx="182">
                  <c:v>10610.209329672942</c:v>
                </c:pt>
                <c:pt idx="183">
                  <c:v>10641.910958551709</c:v>
                </c:pt>
                <c:pt idx="184">
                  <c:v>11661.945964109427</c:v>
                </c:pt>
                <c:pt idx="185">
                  <c:v>11896.35515805545</c:v>
                </c:pt>
                <c:pt idx="186">
                  <c:v>11907.88199286441</c:v>
                </c:pt>
                <c:pt idx="187">
                  <c:v>12347.024839048057</c:v>
                </c:pt>
                <c:pt idx="188">
                  <c:v>12029.875063306241</c:v>
                </c:pt>
                <c:pt idx="189">
                  <c:v>10662.143262249361</c:v>
                </c:pt>
                <c:pt idx="190">
                  <c:v>9006.6935297648306</c:v>
                </c:pt>
                <c:pt idx="191">
                  <c:v>9356.4393353173109</c:v>
                </c:pt>
                <c:pt idx="192">
                  <c:v>7652.2837158854181</c:v>
                </c:pt>
                <c:pt idx="193">
                  <c:v>7684.749823133614</c:v>
                </c:pt>
                <c:pt idx="194">
                  <c:v>8055.027425428988</c:v>
                </c:pt>
                <c:pt idx="195">
                  <c:v>8081.2834771437811</c:v>
                </c:pt>
                <c:pt idx="196">
                  <c:v>8858.2983051692063</c:v>
                </c:pt>
                <c:pt idx="197">
                  <c:v>9039.4061020309946</c:v>
                </c:pt>
                <c:pt idx="198">
                  <c:v>9051.3653512438505</c:v>
                </c:pt>
                <c:pt idx="199">
                  <c:v>9388.5015938725919</c:v>
                </c:pt>
                <c:pt idx="200">
                  <c:v>9150.8693381944449</c:v>
                </c:pt>
                <c:pt idx="201">
                  <c:v>8113.4326678863144</c:v>
                </c:pt>
                <c:pt idx="202">
                  <c:v>6855.6027707801331</c:v>
                </c:pt>
                <c:pt idx="203">
                  <c:v>7123.0035949568319</c:v>
                </c:pt>
                <c:pt idx="204">
                  <c:v>6992.0869407812033</c:v>
                </c:pt>
                <c:pt idx="205">
                  <c:v>7018.6463689677794</c:v>
                </c:pt>
                <c:pt idx="206">
                  <c:v>7353.5317959674176</c:v>
                </c:pt>
                <c:pt idx="207">
                  <c:v>7374.1508848818712</c:v>
                </c:pt>
                <c:pt idx="208">
                  <c:v>8079.4548861190533</c:v>
                </c:pt>
                <c:pt idx="209">
                  <c:v>8240.7936679057202</c:v>
                </c:pt>
                <c:pt idx="210">
                  <c:v>8247.7952582908383</c:v>
                </c:pt>
                <c:pt idx="211">
                  <c:v>8550.9012477147189</c:v>
                </c:pt>
                <c:pt idx="212">
                  <c:v>8330.4206571107006</c:v>
                </c:pt>
                <c:pt idx="213">
                  <c:v>7382.3608641631163</c:v>
                </c:pt>
                <c:pt idx="214">
                  <c:v>6234.7545727943107</c:v>
                </c:pt>
                <c:pt idx="215">
                  <c:v>6474.6594369949853</c:v>
                </c:pt>
                <c:pt idx="216">
                  <c:v>6352.3956674272722</c:v>
                </c:pt>
                <c:pt idx="217">
                  <c:v>6373.2048772078024</c:v>
                </c:pt>
                <c:pt idx="218">
                  <c:v>6673.7674353709908</c:v>
                </c:pt>
                <c:pt idx="219">
                  <c:v>6688.8953319361453</c:v>
                </c:pt>
                <c:pt idx="220">
                  <c:v>7324.6751865069582</c:v>
                </c:pt>
                <c:pt idx="221">
                  <c:v>7466.8229468186346</c:v>
                </c:pt>
                <c:pt idx="222">
                  <c:v>7468.9867324605257</c:v>
                </c:pt>
                <c:pt idx="223">
                  <c:v>7739.0764573834986</c:v>
                </c:pt>
                <c:pt idx="224">
                  <c:v>7535.1856843094411</c:v>
                </c:pt>
                <c:pt idx="225">
                  <c:v>6673.7256435646132</c:v>
                </c:pt>
                <c:pt idx="226">
                  <c:v>5632.9342699537401</c:v>
                </c:pt>
                <c:pt idx="227">
                  <c:v>5846.1587121779621</c:v>
                </c:pt>
                <c:pt idx="228">
                  <c:v>5732.2561044664517</c:v>
                </c:pt>
                <c:pt idx="229">
                  <c:v>5747.4636269374441</c:v>
                </c:pt>
                <c:pt idx="230">
                  <c:v>6014.7221615422704</c:v>
                </c:pt>
                <c:pt idx="231">
                  <c:v>6024.4971480423237</c:v>
                </c:pt>
                <c:pt idx="232">
                  <c:v>6592.8368437475629</c:v>
                </c:pt>
                <c:pt idx="233">
                  <c:v>6716.3438214979269</c:v>
                </c:pt>
                <c:pt idx="234">
                  <c:v>6713.783257457334</c:v>
                </c:pt>
                <c:pt idx="235">
                  <c:v>6951.822504120968</c:v>
                </c:pt>
                <c:pt idx="236">
                  <c:v>6763.9851315325768</c:v>
                </c:pt>
                <c:pt idx="237">
                  <c:v>5986.4768660717555</c:v>
                </c:pt>
                <c:pt idx="238">
                  <c:v>5049.2506316138024</c:v>
                </c:pt>
                <c:pt idx="239">
                  <c:v>5236.5713268412528</c:v>
                </c:pt>
                <c:pt idx="240">
                  <c:v>5130.7511728077116</c:v>
                </c:pt>
                <c:pt idx="241">
                  <c:v>5140.4979042097111</c:v>
                </c:pt>
                <c:pt idx="242">
                  <c:v>5375.4227299813965</c:v>
                </c:pt>
                <c:pt idx="243">
                  <c:v>5379.9758773466483</c:v>
                </c:pt>
                <c:pt idx="244">
                  <c:v>5882.8606465613657</c:v>
                </c:pt>
                <c:pt idx="245">
                  <c:v>5988.2503802525289</c:v>
                </c:pt>
                <c:pt idx="246">
                  <c:v>5981.0727555815374</c:v>
                </c:pt>
                <c:pt idx="247">
                  <c:v>6187.9809463848924</c:v>
                </c:pt>
                <c:pt idx="248">
                  <c:v>6015.6849975561317</c:v>
                </c:pt>
                <c:pt idx="249">
                  <c:v>5319.6047072392394</c:v>
                </c:pt>
                <c:pt idx="250">
                  <c:v>4482.846631913686</c:v>
                </c:pt>
                <c:pt idx="251">
                  <c:v>4645.0028729937803</c:v>
                </c:pt>
                <c:pt idx="252">
                  <c:v>4092.2990722336103</c:v>
                </c:pt>
                <c:pt idx="253">
                  <c:v>4097.5427153513965</c:v>
                </c:pt>
                <c:pt idx="254">
                  <c:v>4282.1006474829774</c:v>
                </c:pt>
                <c:pt idx="255">
                  <c:v>4283.0231360481521</c:v>
                </c:pt>
                <c:pt idx="256">
                  <c:v>4680.3478858874414</c:v>
                </c:pt>
                <c:pt idx="257">
                  <c:v>4761.1958679136924</c:v>
                </c:pt>
                <c:pt idx="258">
                  <c:v>4752.4540376967307</c:v>
                </c:pt>
                <c:pt idx="259">
                  <c:v>4913.6419292527135</c:v>
                </c:pt>
                <c:pt idx="260">
                  <c:v>4773.6886470817099</c:v>
                </c:pt>
                <c:pt idx="261">
                  <c:v>4218.428951676764</c:v>
                </c:pt>
                <c:pt idx="262">
                  <c:v>3552.2222941732043</c:v>
                </c:pt>
                <c:pt idx="263">
                  <c:v>3677.6874997425707</c:v>
                </c:pt>
                <c:pt idx="264">
                  <c:v>3597.0993696025707</c:v>
                </c:pt>
                <c:pt idx="265">
                  <c:v>3597.5048599036163</c:v>
                </c:pt>
                <c:pt idx="266">
                  <c:v>3755.0619225067858</c:v>
                </c:pt>
                <c:pt idx="267">
                  <c:v>3751.3031801994707</c:v>
                </c:pt>
                <c:pt idx="268">
                  <c:v>4094.211143728066</c:v>
                </c:pt>
                <c:pt idx="269">
                  <c:v>4159.6519962419288</c:v>
                </c:pt>
                <c:pt idx="270">
                  <c:v>4146.6354153894681</c:v>
                </c:pt>
                <c:pt idx="271">
                  <c:v>4281.6006310160465</c:v>
                </c:pt>
                <c:pt idx="272">
                  <c:v>4154.0221985095295</c:v>
                </c:pt>
                <c:pt idx="273">
                  <c:v>3665.763721989731</c:v>
                </c:pt>
                <c:pt idx="274">
                  <c:v>3082.473652161802</c:v>
                </c:pt>
                <c:pt idx="275">
                  <c:v>3186.732552190394</c:v>
                </c:pt>
                <c:pt idx="276">
                  <c:v>3112.2921606729496</c:v>
                </c:pt>
                <c:pt idx="277">
                  <c:v>3107.9321082924303</c:v>
                </c:pt>
                <c:pt idx="278">
                  <c:v>3239.0228337494236</c:v>
                </c:pt>
                <c:pt idx="279">
                  <c:v>3230.6496591834712</c:v>
                </c:pt>
                <c:pt idx="280">
                  <c:v>3520.2392441464344</c:v>
                </c:pt>
                <c:pt idx="281">
                  <c:v>3570.557609777813</c:v>
                </c:pt>
                <c:pt idx="282">
                  <c:v>3553.3192961982495</c:v>
                </c:pt>
                <c:pt idx="283">
                  <c:v>3662.5659321266112</c:v>
                </c:pt>
                <c:pt idx="284">
                  <c:v>3547.071263094374</c:v>
                </c:pt>
                <c:pt idx="285">
                  <c:v>3124.4065825566104</c:v>
                </c:pt>
                <c:pt idx="286">
                  <c:v>2622.3088035649885</c:v>
                </c:pt>
                <c:pt idx="287">
                  <c:v>2705.7649914550025</c:v>
                </c:pt>
                <c:pt idx="288">
                  <c:v>2637.3185194252364</c:v>
                </c:pt>
                <c:pt idx="289">
                  <c:v>2628.2604817391934</c:v>
                </c:pt>
                <c:pt idx="290">
                  <c:v>2733.3893799439757</c:v>
                </c:pt>
                <c:pt idx="291">
                  <c:v>2720.4637316113567</c:v>
                </c:pt>
                <c:pt idx="292">
                  <c:v>2957.7725412878181</c:v>
                </c:pt>
                <c:pt idx="293">
                  <c:v>2993.2362186811042</c:v>
                </c:pt>
                <c:pt idx="294">
                  <c:v>2971.8248830052526</c:v>
                </c:pt>
                <c:pt idx="295">
                  <c:v>3055.8280902669744</c:v>
                </c:pt>
                <c:pt idx="296">
                  <c:v>2952.1405085161391</c:v>
                </c:pt>
                <c:pt idx="297">
                  <c:v>2593.7378429278751</c:v>
                </c:pt>
                <c:pt idx="298">
                  <c:v>2171.2014216174694</c:v>
                </c:pt>
                <c:pt idx="299">
                  <c:v>2234.2351401631131</c:v>
                </c:pt>
                <c:pt idx="300">
                  <c:v>2171.6360571760397</c:v>
                </c:pt>
                <c:pt idx="301">
                  <c:v>2157.9426705324208</c:v>
                </c:pt>
                <c:pt idx="302">
                  <c:v>2237.5850974560176</c:v>
                </c:pt>
                <c:pt idx="303">
                  <c:v>2220.1642176194791</c:v>
                </c:pt>
                <c:pt idx="304">
                  <c:v>2406.1708230990798</c:v>
                </c:pt>
                <c:pt idx="305">
                  <c:v>2427.0312415160861</c:v>
                </c:pt>
                <c:pt idx="306">
                  <c:v>2401.4913919991363</c:v>
                </c:pt>
                <c:pt idx="307">
                  <c:v>2460.6982044528049</c:v>
                </c:pt>
                <c:pt idx="308">
                  <c:v>2368.554998151857</c:v>
                </c:pt>
                <c:pt idx="309">
                  <c:v>2073.1559694811399</c:v>
                </c:pt>
                <c:pt idx="310">
                  <c:v>1728.6405836881536</c:v>
                </c:pt>
                <c:pt idx="311">
                  <c:v>1771.6093905031776</c:v>
                </c:pt>
                <c:pt idx="312">
                  <c:v>1714.7182239140495</c:v>
                </c:pt>
                <c:pt idx="313">
                  <c:v>1696.4473292983678</c:v>
                </c:pt>
                <c:pt idx="314">
                  <c:v>1751.0503183040476</c:v>
                </c:pt>
                <c:pt idx="315">
                  <c:v>1729.1868511120056</c:v>
                </c:pt>
                <c:pt idx="316">
                  <c:v>1864.8124879429099</c:v>
                </c:pt>
                <c:pt idx="317">
                  <c:v>1871.3051611459332</c:v>
                </c:pt>
                <c:pt idx="318">
                  <c:v>1841.6772035032072</c:v>
                </c:pt>
                <c:pt idx="319">
                  <c:v>1876.5073300797296</c:v>
                </c:pt>
                <c:pt idx="320">
                  <c:v>1795.6593244071307</c:v>
                </c:pt>
                <c:pt idx="321">
                  <c:v>1562.0768133171107</c:v>
                </c:pt>
                <c:pt idx="322">
                  <c:v>1150.3378806619037</c:v>
                </c:pt>
                <c:pt idx="323">
                  <c:v>1171.3447275855485</c:v>
                </c:pt>
                <c:pt idx="324">
                  <c:v>1126.0687448768049</c:v>
                </c:pt>
                <c:pt idx="325">
                  <c:v>1106.1356105532875</c:v>
                </c:pt>
                <c:pt idx="326">
                  <c:v>1133.165717946096</c:v>
                </c:pt>
                <c:pt idx="327">
                  <c:v>1110.1626908698797</c:v>
                </c:pt>
                <c:pt idx="328">
                  <c:v>1187.2203948712411</c:v>
                </c:pt>
                <c:pt idx="329">
                  <c:v>1180.8376396055112</c:v>
                </c:pt>
                <c:pt idx="330">
                  <c:v>1151.2680944463964</c:v>
                </c:pt>
                <c:pt idx="331">
                  <c:v>1161.3786612951453</c:v>
                </c:pt>
                <c:pt idx="332">
                  <c:v>1099.5954387587658</c:v>
                </c:pt>
                <c:pt idx="333">
                  <c:v>945.76497979612554</c:v>
                </c:pt>
                <c:pt idx="334">
                  <c:v>774.05251673895793</c:v>
                </c:pt>
                <c:pt idx="335">
                  <c:v>777.69799581543509</c:v>
                </c:pt>
                <c:pt idx="336">
                  <c:v>736.97541319634627</c:v>
                </c:pt>
                <c:pt idx="337">
                  <c:v>712.83864063202304</c:v>
                </c:pt>
                <c:pt idx="338">
                  <c:v>718.20540724114028</c:v>
                </c:pt>
                <c:pt idx="339">
                  <c:v>691.07841339850677</c:v>
                </c:pt>
                <c:pt idx="340">
                  <c:v>724.7608611913339</c:v>
                </c:pt>
                <c:pt idx="341">
                  <c:v>705.70583789759598</c:v>
                </c:pt>
                <c:pt idx="342">
                  <c:v>672.23397794396567</c:v>
                </c:pt>
                <c:pt idx="343">
                  <c:v>661.05814009586538</c:v>
                </c:pt>
                <c:pt idx="344">
                  <c:v>608.5203205633735</c:v>
                </c:pt>
                <c:pt idx="345">
                  <c:v>507.29826238493951</c:v>
                </c:pt>
                <c:pt idx="346">
                  <c:v>400.96828872774864</c:v>
                </c:pt>
                <c:pt idx="347">
                  <c:v>387.37183334236244</c:v>
                </c:pt>
                <c:pt idx="348">
                  <c:v>351.13627884029273</c:v>
                </c:pt>
                <c:pt idx="349">
                  <c:v>322.80273523010607</c:v>
                </c:pt>
                <c:pt idx="350">
                  <c:v>306.65590975338586</c:v>
                </c:pt>
                <c:pt idx="351">
                  <c:v>275.40864758900187</c:v>
                </c:pt>
                <c:pt idx="352">
                  <c:v>266.03588762498055</c:v>
                </c:pt>
                <c:pt idx="353">
                  <c:v>234.37663296667964</c:v>
                </c:pt>
                <c:pt idx="354">
                  <c:v>196.99908087109705</c:v>
                </c:pt>
                <c:pt idx="355">
                  <c:v>164.66948401374887</c:v>
                </c:pt>
                <c:pt idx="356">
                  <c:v>121.2688730198949</c:v>
                </c:pt>
                <c:pt idx="357">
                  <c:v>72.2138330310935</c:v>
                </c:pt>
                <c:pt idx="358">
                  <c:v>30.734952047964889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6-43F5-BB3D-A0002169E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58824"/>
        <c:axId val="1241754560"/>
      </c:lineChart>
      <c:catAx>
        <c:axId val="12417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4560"/>
        <c:crosses val="autoZero"/>
        <c:auto val="1"/>
        <c:lblAlgn val="ctr"/>
        <c:lblOffset val="100"/>
        <c:noMultiLvlLbl val="0"/>
      </c:catAx>
      <c:valAx>
        <c:axId val="1241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88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7106770886111296E-3"/>
                <c:y val="0.3274200774789297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Prepayments</a:t>
            </a:r>
          </a:p>
        </c:rich>
      </c:tx>
      <c:layout>
        <c:manualLayout>
          <c:xMode val="edge"/>
          <c:yMode val="edge"/>
          <c:x val="0.38916544269619435"/>
          <c:y val="1.37774070052148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84261505099375"/>
          <c:y val="0.17586860042156696"/>
          <c:w val="0.82644736021976772"/>
          <c:h val="0.64576062677438362"/>
        </c:manualLayout>
      </c:layout>
      <c:lineChart>
        <c:grouping val="standard"/>
        <c:varyColors val="0"/>
        <c:ser>
          <c:idx val="1"/>
          <c:order val="0"/>
          <c:tx>
            <c:strRef>
              <c:f>'Amortization Model S Shape'!$H$13</c:f>
              <c:strCache>
                <c:ptCount val="1"/>
                <c:pt idx="0">
                  <c:v>Prepayment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'Amortization Model S Shape'!$H$14:$H$373</c:f>
              <c:numCache>
                <c:formatCode>#,##0.00</c:formatCode>
                <c:ptCount val="360"/>
                <c:pt idx="0">
                  <c:v>1294.7517263689549</c:v>
                </c:pt>
                <c:pt idx="1">
                  <c:v>2615.6374817360092</c:v>
                </c:pt>
                <c:pt idx="2">
                  <c:v>4136.1690816352029</c:v>
                </c:pt>
                <c:pt idx="3">
                  <c:v>5564.9845563229392</c:v>
                </c:pt>
                <c:pt idx="4">
                  <c:v>7668.7155696572299</c:v>
                </c:pt>
                <c:pt idx="5">
                  <c:v>9445.9025952163938</c:v>
                </c:pt>
                <c:pt idx="6">
                  <c:v>11099.26484697261</c:v>
                </c:pt>
                <c:pt idx="7">
                  <c:v>13232.836429411531</c:v>
                </c:pt>
                <c:pt idx="8">
                  <c:v>14593.181619871408</c:v>
                </c:pt>
                <c:pt idx="9">
                  <c:v>14456.066786714644</c:v>
                </c:pt>
                <c:pt idx="10">
                  <c:v>13505.831047852698</c:v>
                </c:pt>
                <c:pt idx="11">
                  <c:v>15381.301389892489</c:v>
                </c:pt>
                <c:pt idx="12">
                  <c:v>16434.411539962537</c:v>
                </c:pt>
                <c:pt idx="13">
                  <c:v>17848.06805635849</c:v>
                </c:pt>
                <c:pt idx="14">
                  <c:v>20126.455580345435</c:v>
                </c:pt>
                <c:pt idx="15">
                  <c:v>21625.591441532299</c:v>
                </c:pt>
                <c:pt idx="16">
                  <c:v>25286.147588616372</c:v>
                </c:pt>
                <c:pt idx="17">
                  <c:v>27428.776952618704</c:v>
                </c:pt>
                <c:pt idx="18">
                  <c:v>29102.405440124665</c:v>
                </c:pt>
                <c:pt idx="19">
                  <c:v>31893.44669326282</c:v>
                </c:pt>
                <c:pt idx="20">
                  <c:v>32431.076309948083</c:v>
                </c:pt>
                <c:pt idx="21">
                  <c:v>30229.309582510574</c:v>
                </c:pt>
                <c:pt idx="22">
                  <c:v>26793.092970800975</c:v>
                </c:pt>
                <c:pt idx="23">
                  <c:v>29141.567011137337</c:v>
                </c:pt>
                <c:pt idx="24">
                  <c:v>29890.583897177967</c:v>
                </c:pt>
                <c:pt idx="25">
                  <c:v>31298.358871123768</c:v>
                </c:pt>
                <c:pt idx="26">
                  <c:v>34152.229304365741</c:v>
                </c:pt>
                <c:pt idx="27">
                  <c:v>35615.777582042043</c:v>
                </c:pt>
                <c:pt idx="28">
                  <c:v>40524.536123068785</c:v>
                </c:pt>
                <c:pt idx="29">
                  <c:v>42866.409176801266</c:v>
                </c:pt>
                <c:pt idx="30">
                  <c:v>44437.786332205324</c:v>
                </c:pt>
                <c:pt idx="31">
                  <c:v>47663.204830303177</c:v>
                </c:pt>
                <c:pt idx="32">
                  <c:v>47983.511502050496</c:v>
                </c:pt>
                <c:pt idx="33">
                  <c:v>43896.515056658034</c:v>
                </c:pt>
                <c:pt idx="34">
                  <c:v>38239.193371659072</c:v>
                </c:pt>
                <c:pt idx="35">
                  <c:v>40932.012855725283</c:v>
                </c:pt>
                <c:pt idx="36">
                  <c:v>41355.920091058986</c:v>
                </c:pt>
                <c:pt idx="37">
                  <c:v>42693.643470313771</c:v>
                </c:pt>
                <c:pt idx="38">
                  <c:v>45965.626693339334</c:v>
                </c:pt>
                <c:pt idx="39">
                  <c:v>47326.161044920969</c:v>
                </c:pt>
                <c:pt idx="40">
                  <c:v>53198.136909102352</c:v>
                </c:pt>
                <c:pt idx="41">
                  <c:v>55053.870452824784</c:v>
                </c:pt>
                <c:pt idx="42">
                  <c:v>56437.419066533766</c:v>
                </c:pt>
                <c:pt idx="43">
                  <c:v>59889.694284170837</c:v>
                </c:pt>
                <c:pt idx="44">
                  <c:v>59673.099196855292</c:v>
                </c:pt>
                <c:pt idx="45">
                  <c:v>54054.731500824557</c:v>
                </c:pt>
                <c:pt idx="46">
                  <c:v>46653.912704880131</c:v>
                </c:pt>
                <c:pt idx="47">
                  <c:v>49509.189372266243</c:v>
                </c:pt>
                <c:pt idx="48">
                  <c:v>48592.206920051613</c:v>
                </c:pt>
                <c:pt idx="49">
                  <c:v>48772.911578056664</c:v>
                </c:pt>
                <c:pt idx="50">
                  <c:v>51095.856500676578</c:v>
                </c:pt>
                <c:pt idx="51">
                  <c:v>51227.808140624125</c:v>
                </c:pt>
                <c:pt idx="52">
                  <c:v>56115.023526580728</c:v>
                </c:pt>
                <c:pt idx="53">
                  <c:v>57205.153111445194</c:v>
                </c:pt>
                <c:pt idx="54">
                  <c:v>57219.355973876533</c:v>
                </c:pt>
                <c:pt idx="55">
                  <c:v>59286.513091991648</c:v>
                </c:pt>
                <c:pt idx="56">
                  <c:v>57126.308492952696</c:v>
                </c:pt>
                <c:pt idx="57">
                  <c:v>50596.874986241368</c:v>
                </c:pt>
                <c:pt idx="58">
                  <c:v>42726.503513512012</c:v>
                </c:pt>
                <c:pt idx="59">
                  <c:v>44389.322485787408</c:v>
                </c:pt>
                <c:pt idx="60">
                  <c:v>43565.289967853896</c:v>
                </c:pt>
                <c:pt idx="61">
                  <c:v>43725.348891841175</c:v>
                </c:pt>
                <c:pt idx="62">
                  <c:v>45805.839141400007</c:v>
                </c:pt>
                <c:pt idx="63">
                  <c:v>45922.197542623479</c:v>
                </c:pt>
                <c:pt idx="64">
                  <c:v>50301.125320210464</c:v>
                </c:pt>
                <c:pt idx="65">
                  <c:v>51276.464123637321</c:v>
                </c:pt>
                <c:pt idx="66">
                  <c:v>51287.41299928369</c:v>
                </c:pt>
                <c:pt idx="67">
                  <c:v>53138.4119465322</c:v>
                </c:pt>
                <c:pt idx="68">
                  <c:v>51728.4129510114</c:v>
                </c:pt>
                <c:pt idx="69">
                  <c:v>45810.718084670501</c:v>
                </c:pt>
                <c:pt idx="70">
                  <c:v>38680.383858800458</c:v>
                </c:pt>
                <c:pt idx="71">
                  <c:v>40181.07522301576</c:v>
                </c:pt>
                <c:pt idx="72">
                  <c:v>39430.552211047492</c:v>
                </c:pt>
                <c:pt idx="73">
                  <c:v>39162.809227698832</c:v>
                </c:pt>
                <c:pt idx="74">
                  <c:v>41023.931408190561</c:v>
                </c:pt>
                <c:pt idx="75">
                  <c:v>41125.96452763967</c:v>
                </c:pt>
                <c:pt idx="76">
                  <c:v>45045.148398531594</c:v>
                </c:pt>
                <c:pt idx="77">
                  <c:v>45916.410458203449</c:v>
                </c:pt>
                <c:pt idx="78">
                  <c:v>45924.10333884896</c:v>
                </c:pt>
                <c:pt idx="79">
                  <c:v>47579.335195316002</c:v>
                </c:pt>
                <c:pt idx="80">
                  <c:v>46314.817842440512</c:v>
                </c:pt>
                <c:pt idx="81">
                  <c:v>41014.540700915786</c:v>
                </c:pt>
                <c:pt idx="82">
                  <c:v>34628.791107978963</c:v>
                </c:pt>
                <c:pt idx="83">
                  <c:v>35969.86817963831</c:v>
                </c:pt>
                <c:pt idx="84">
                  <c:v>35295.688545077755</c:v>
                </c:pt>
                <c:pt idx="85">
                  <c:v>35418.802489187678</c:v>
                </c:pt>
                <c:pt idx="86">
                  <c:v>37097.137565789562</c:v>
                </c:pt>
                <c:pt idx="87">
                  <c:v>37184.490266090921</c:v>
                </c:pt>
                <c:pt idx="88">
                  <c:v>40722.636848629998</c:v>
                </c:pt>
                <c:pt idx="89">
                  <c:v>41504.716143061465</c:v>
                </c:pt>
                <c:pt idx="90">
                  <c:v>41506.046023580435</c:v>
                </c:pt>
                <c:pt idx="91">
                  <c:v>42996.164055327783</c:v>
                </c:pt>
                <c:pt idx="92">
                  <c:v>41847.687627001877</c:v>
                </c:pt>
                <c:pt idx="93">
                  <c:v>36667.507240886713</c:v>
                </c:pt>
                <c:pt idx="94">
                  <c:v>30956.430493347871</c:v>
                </c:pt>
                <c:pt idx="95">
                  <c:v>32152.687342360037</c:v>
                </c:pt>
                <c:pt idx="96">
                  <c:v>31547.553007174527</c:v>
                </c:pt>
                <c:pt idx="97">
                  <c:v>31655.023916842569</c:v>
                </c:pt>
                <c:pt idx="98">
                  <c:v>33152.302502071987</c:v>
                </c:pt>
                <c:pt idx="99">
                  <c:v>33227.728014872446</c:v>
                </c:pt>
                <c:pt idx="100">
                  <c:v>36386.474918867156</c:v>
                </c:pt>
                <c:pt idx="101">
                  <c:v>37082.528620968973</c:v>
                </c:pt>
                <c:pt idx="102">
                  <c:v>37080.998429944942</c:v>
                </c:pt>
                <c:pt idx="103">
                  <c:v>38409.413118460339</c:v>
                </c:pt>
                <c:pt idx="104">
                  <c:v>37380.774574708368</c:v>
                </c:pt>
                <c:pt idx="105">
                  <c:v>33095.848429507292</c:v>
                </c:pt>
                <c:pt idx="106">
                  <c:v>27936.727553074616</c:v>
                </c:pt>
                <c:pt idx="107">
                  <c:v>29011.745583535478</c:v>
                </c:pt>
                <c:pt idx="108">
                  <c:v>28461.224965818208</c:v>
                </c:pt>
                <c:pt idx="109">
                  <c:v>28553.626421616962</c:v>
                </c:pt>
                <c:pt idx="110">
                  <c:v>29899.396718329379</c:v>
                </c:pt>
                <c:pt idx="111">
                  <c:v>29962.555719335338</c:v>
                </c:pt>
                <c:pt idx="112">
                  <c:v>32805.528550782758</c:v>
                </c:pt>
                <c:pt idx="113">
                  <c:v>33427.554522188584</c:v>
                </c:pt>
                <c:pt idx="114">
                  <c:v>33420.600422868265</c:v>
                </c:pt>
                <c:pt idx="115">
                  <c:v>34612.056950244005</c:v>
                </c:pt>
                <c:pt idx="116">
                  <c:v>31906.795315166171</c:v>
                </c:pt>
                <c:pt idx="117">
                  <c:v>28255.745118551869</c:v>
                </c:pt>
                <c:pt idx="118">
                  <c:v>23855.470486988583</c:v>
                </c:pt>
                <c:pt idx="119">
                  <c:v>24776.604627551405</c:v>
                </c:pt>
                <c:pt idx="120">
                  <c:v>24309.859053881559</c:v>
                </c:pt>
                <c:pt idx="121">
                  <c:v>24392.078499053139</c:v>
                </c:pt>
                <c:pt idx="122">
                  <c:v>25545.209431019586</c:v>
                </c:pt>
                <c:pt idx="123">
                  <c:v>25603.088771525712</c:v>
                </c:pt>
                <c:pt idx="124">
                  <c:v>28036.75963039948</c:v>
                </c:pt>
                <c:pt idx="125">
                  <c:v>28573.753585322556</c:v>
                </c:pt>
                <c:pt idx="126">
                  <c:v>28573.452307561096</c:v>
                </c:pt>
                <c:pt idx="127">
                  <c:v>29598.004855344665</c:v>
                </c:pt>
                <c:pt idx="128">
                  <c:v>28806.653018837729</c:v>
                </c:pt>
                <c:pt idx="129">
                  <c:v>25505.46434065195</c:v>
                </c:pt>
                <c:pt idx="130">
                  <c:v>21529.330418603298</c:v>
                </c:pt>
                <c:pt idx="131">
                  <c:v>22356.282843852212</c:v>
                </c:pt>
                <c:pt idx="132">
                  <c:v>21930.811644778765</c:v>
                </c:pt>
                <c:pt idx="133">
                  <c:v>22000.609510684939</c:v>
                </c:pt>
                <c:pt idx="134">
                  <c:v>23036.058929665145</c:v>
                </c:pt>
                <c:pt idx="135">
                  <c:v>23083.573611233543</c:v>
                </c:pt>
                <c:pt idx="136">
                  <c:v>25272.582094880403</c:v>
                </c:pt>
                <c:pt idx="137">
                  <c:v>25751.311084076973</c:v>
                </c:pt>
                <c:pt idx="138">
                  <c:v>25745.666751861034</c:v>
                </c:pt>
                <c:pt idx="139">
                  <c:v>26663.205209393382</c:v>
                </c:pt>
                <c:pt idx="140">
                  <c:v>25944.799053677925</c:v>
                </c:pt>
                <c:pt idx="141">
                  <c:v>22966.638008263028</c:v>
                </c:pt>
                <c:pt idx="142">
                  <c:v>19382.08400241928</c:v>
                </c:pt>
                <c:pt idx="143">
                  <c:v>20122.149239927454</c:v>
                </c:pt>
                <c:pt idx="144">
                  <c:v>19734.828119378191</c:v>
                </c:pt>
                <c:pt idx="145">
                  <c:v>19793.211602555282</c:v>
                </c:pt>
                <c:pt idx="146">
                  <c:v>13813.394434792013</c:v>
                </c:pt>
                <c:pt idx="147">
                  <c:v>13866.463744897052</c:v>
                </c:pt>
                <c:pt idx="148">
                  <c:v>15208.659406671819</c:v>
                </c:pt>
                <c:pt idx="149">
                  <c:v>15527.81437695543</c:v>
                </c:pt>
                <c:pt idx="150">
                  <c:v>15556.482233200655</c:v>
                </c:pt>
                <c:pt idx="151">
                  <c:v>16144.479381192165</c:v>
                </c:pt>
                <c:pt idx="152">
                  <c:v>15743.86849745295</c:v>
                </c:pt>
                <c:pt idx="153">
                  <c:v>13966.529770252326</c:v>
                </c:pt>
                <c:pt idx="154">
                  <c:v>11808.912111833455</c:v>
                </c:pt>
                <c:pt idx="155">
                  <c:v>12279.001621919522</c:v>
                </c:pt>
                <c:pt idx="156">
                  <c:v>12062.489707288694</c:v>
                </c:pt>
                <c:pt idx="157">
                  <c:v>12117.818965345581</c:v>
                </c:pt>
                <c:pt idx="158">
                  <c:v>12706.106393248112</c:v>
                </c:pt>
                <c:pt idx="159">
                  <c:v>12751.630775119052</c:v>
                </c:pt>
                <c:pt idx="160">
                  <c:v>13982.270115179792</c:v>
                </c:pt>
                <c:pt idx="161">
                  <c:v>14271.927223672879</c:v>
                </c:pt>
                <c:pt idx="162">
                  <c:v>14294.468179858632</c:v>
                </c:pt>
                <c:pt idx="163">
                  <c:v>14830.770678998681</c:v>
                </c:pt>
                <c:pt idx="164">
                  <c:v>14458.822853006273</c:v>
                </c:pt>
                <c:pt idx="165">
                  <c:v>12823.025976924275</c:v>
                </c:pt>
                <c:pt idx="166">
                  <c:v>10839.047714735701</c:v>
                </c:pt>
                <c:pt idx="167">
                  <c:v>11267.360801770221</c:v>
                </c:pt>
                <c:pt idx="168">
                  <c:v>11065.541394420492</c:v>
                </c:pt>
                <c:pt idx="169">
                  <c:v>11113.103960293221</c:v>
                </c:pt>
                <c:pt idx="170">
                  <c:v>11649.230220604039</c:v>
                </c:pt>
                <c:pt idx="171">
                  <c:v>11687.534071698719</c:v>
                </c:pt>
                <c:pt idx="172">
                  <c:v>12811.672933634616</c:v>
                </c:pt>
                <c:pt idx="173">
                  <c:v>13073.152417608238</c:v>
                </c:pt>
                <c:pt idx="174">
                  <c:v>13089.823189126166</c:v>
                </c:pt>
                <c:pt idx="175">
                  <c:v>13576.758085626438</c:v>
                </c:pt>
                <c:pt idx="176">
                  <c:v>13232.148337598554</c:v>
                </c:pt>
                <c:pt idx="177">
                  <c:v>11731.443888917442</c:v>
                </c:pt>
                <c:pt idx="178">
                  <c:v>9913.2036539389937</c:v>
                </c:pt>
                <c:pt idx="179">
                  <c:v>10301.618522882651</c:v>
                </c:pt>
                <c:pt idx="180">
                  <c:v>10113.807252780894</c:v>
                </c:pt>
                <c:pt idx="181">
                  <c:v>10153.937384539375</c:v>
                </c:pt>
                <c:pt idx="182">
                  <c:v>10640.248189826012</c:v>
                </c:pt>
                <c:pt idx="183">
                  <c:v>10671.639510929515</c:v>
                </c:pt>
                <c:pt idx="184">
                  <c:v>11694.080998366062</c:v>
                </c:pt>
                <c:pt idx="185">
                  <c:v>11928.636926066145</c:v>
                </c:pt>
                <c:pt idx="186">
                  <c:v>11939.681179970654</c:v>
                </c:pt>
                <c:pt idx="187">
                  <c:v>12379.459029474619</c:v>
                </c:pt>
                <c:pt idx="188">
                  <c:v>12060.928348588071</c:v>
                </c:pt>
                <c:pt idx="189">
                  <c:v>10689.188952860488</c:v>
                </c:pt>
                <c:pt idx="190">
                  <c:v>9029.1800358202199</c:v>
                </c:pt>
                <c:pt idx="191">
                  <c:v>7816.2340377464425</c:v>
                </c:pt>
                <c:pt idx="192">
                  <c:v>7675.7000793700154</c:v>
                </c:pt>
                <c:pt idx="193">
                  <c:v>7708.0401410093864</c:v>
                </c:pt>
                <c:pt idx="194">
                  <c:v>8079.2010411289566</c:v>
                </c:pt>
                <c:pt idx="195">
                  <c:v>8105.2828480231792</c:v>
                </c:pt>
                <c:pt idx="196">
                  <c:v>8884.3249225190812</c:v>
                </c:pt>
                <c:pt idx="197">
                  <c:v>9065.6489176461491</c:v>
                </c:pt>
                <c:pt idx="198">
                  <c:v>9077.3175774655774</c:v>
                </c:pt>
                <c:pt idx="199">
                  <c:v>9415.0799417345279</c:v>
                </c:pt>
                <c:pt idx="200">
                  <c:v>9176.4279254714602</c:v>
                </c:pt>
                <c:pt idx="201">
                  <c:v>8135.7913617316708</c:v>
                </c:pt>
                <c:pt idx="202">
                  <c:v>6874.2669724079642</c:v>
                </c:pt>
                <c:pt idx="203">
                  <c:v>7142.1940020653219</c:v>
                </c:pt>
                <c:pt idx="204">
                  <c:v>7010.7173258924167</c:v>
                </c:pt>
                <c:pt idx="205">
                  <c:v>7037.1417460439325</c:v>
                </c:pt>
                <c:pt idx="206">
                  <c:v>7372.6916380734037</c:v>
                </c:pt>
                <c:pt idx="207">
                  <c:v>7393.1336425945447</c:v>
                </c:pt>
                <c:pt idx="208">
                  <c:v>8099.997711686101</c:v>
                </c:pt>
                <c:pt idx="209">
                  <c:v>8261.4588219828493</c:v>
                </c:pt>
                <c:pt idx="210">
                  <c:v>8268.18165850482</c:v>
                </c:pt>
                <c:pt idx="211">
                  <c:v>8571.7268279726904</c:v>
                </c:pt>
                <c:pt idx="212">
                  <c:v>8350.3934633320168</c:v>
                </c:pt>
                <c:pt idx="213">
                  <c:v>7399.7856655125597</c:v>
                </c:pt>
                <c:pt idx="214">
                  <c:v>6249.2631827470468</c:v>
                </c:pt>
                <c:pt idx="215">
                  <c:v>6489.5429712980458</c:v>
                </c:pt>
                <c:pt idx="216">
                  <c:v>6366.8098770201332</c:v>
                </c:pt>
                <c:pt idx="217">
                  <c:v>6387.4795264252152</c:v>
                </c:pt>
                <c:pt idx="218">
                  <c:v>6688.5174962605597</c:v>
                </c:pt>
                <c:pt idx="219">
                  <c:v>6703.4695505811051</c:v>
                </c:pt>
                <c:pt idx="220">
                  <c:v>7340.4031032286166</c:v>
                </c:pt>
                <c:pt idx="221">
                  <c:v>7482.5953404038746</c:v>
                </c:pt>
                <c:pt idx="222">
                  <c:v>7484.4954705709133</c:v>
                </c:pt>
                <c:pt idx="223">
                  <c:v>7754.8655396136419</c:v>
                </c:pt>
                <c:pt idx="224">
                  <c:v>7550.2732553423484</c:v>
                </c:pt>
                <c:pt idx="225">
                  <c:v>6686.8398590973475</c:v>
                </c:pt>
                <c:pt idx="226">
                  <c:v>5643.8159134639691</c:v>
                </c:pt>
                <c:pt idx="227">
                  <c:v>5857.286776189072</c:v>
                </c:pt>
                <c:pt idx="228">
                  <c:v>5742.9975309599076</c:v>
                </c:pt>
                <c:pt idx="229">
                  <c:v>5758.0651765572347</c:v>
                </c:pt>
                <c:pt idx="230">
                  <c:v>6025.6385021480783</c:v>
                </c:pt>
                <c:pt idx="231">
                  <c:v>6035.2428139216372</c:v>
                </c:pt>
                <c:pt idx="232">
                  <c:v>6604.3878738231415</c:v>
                </c:pt>
                <c:pt idx="233">
                  <c:v>6727.8767929348805</c:v>
                </c:pt>
                <c:pt idx="234">
                  <c:v>6725.0708218484324</c:v>
                </c:pt>
                <c:pt idx="235">
                  <c:v>6963.2584280857081</c:v>
                </c:pt>
                <c:pt idx="236">
                  <c:v>6774.8558451596964</c:v>
                </c:pt>
                <c:pt idx="237">
                  <c:v>5995.8752159150163</c:v>
                </c:pt>
                <c:pt idx="238">
                  <c:v>5057.0097193895763</c:v>
                </c:pt>
                <c:pt idx="239">
                  <c:v>5244.4700962678071</c:v>
                </c:pt>
                <c:pt idx="240">
                  <c:v>5138.3383791295146</c:v>
                </c:pt>
                <c:pt idx="241">
                  <c:v>5147.9489907444049</c:v>
                </c:pt>
                <c:pt idx="242">
                  <c:v>5383.0551550721111</c:v>
                </c:pt>
                <c:pt idx="243">
                  <c:v>5387.4465753333789</c:v>
                </c:pt>
                <c:pt idx="244">
                  <c:v>5890.8438062037267</c:v>
                </c:pt>
                <c:pt idx="245">
                  <c:v>5996.1676041598739</c:v>
                </c:pt>
                <c:pt idx="246">
                  <c:v>5988.7658669669154</c:v>
                </c:pt>
                <c:pt idx="247">
                  <c:v>6195.7161076196144</c:v>
                </c:pt>
                <c:pt idx="248">
                  <c:v>6022.9770053289622</c:v>
                </c:pt>
                <c:pt idx="249">
                  <c:v>5325.8550525708442</c:v>
                </c:pt>
                <c:pt idx="250">
                  <c:v>4487.9648251080098</c:v>
                </c:pt>
                <c:pt idx="251">
                  <c:v>4185.1573420602135</c:v>
                </c:pt>
                <c:pt idx="252">
                  <c:v>4098.0271480495912</c:v>
                </c:pt>
                <c:pt idx="253">
                  <c:v>4103.1701804791237</c:v>
                </c:pt>
                <c:pt idx="254">
                  <c:v>4287.867499320846</c:v>
                </c:pt>
                <c:pt idx="255">
                  <c:v>4288.6707702136764</c:v>
                </c:pt>
                <c:pt idx="256">
                  <c:v>4686.3864153380491</c:v>
                </c:pt>
                <c:pt idx="257">
                  <c:v>4767.1892496957244</c:v>
                </c:pt>
                <c:pt idx="258">
                  <c:v>4758.2830011955039</c:v>
                </c:pt>
                <c:pt idx="259">
                  <c:v>4919.5085199185442</c:v>
                </c:pt>
                <c:pt idx="260">
                  <c:v>4779.2255399304031</c:v>
                </c:pt>
                <c:pt idx="261">
                  <c:v>4223.1806352626973</c:v>
                </c:pt>
                <c:pt idx="262">
                  <c:v>3556.1173427786425</c:v>
                </c:pt>
                <c:pt idx="263">
                  <c:v>3681.6265361147903</c:v>
                </c:pt>
                <c:pt idx="264">
                  <c:v>3600.856288575394</c:v>
                </c:pt>
                <c:pt idx="265">
                  <c:v>3601.1674592505678</c:v>
                </c:pt>
                <c:pt idx="266">
                  <c:v>3758.7849256402501</c:v>
                </c:pt>
                <c:pt idx="267">
                  <c:v>3754.9169887171447</c:v>
                </c:pt>
                <c:pt idx="268">
                  <c:v>4098.0389709050896</c:v>
                </c:pt>
                <c:pt idx="269">
                  <c:v>4163.4104788260347</c:v>
                </c:pt>
                <c:pt idx="270">
                  <c:v>4150.2483266005947</c:v>
                </c:pt>
                <c:pt idx="271">
                  <c:v>4285.1917028626185</c:v>
                </c:pt>
                <c:pt idx="272">
                  <c:v>4157.3648228321954</c:v>
                </c:pt>
                <c:pt idx="273">
                  <c:v>3668.5908216461153</c:v>
                </c:pt>
                <c:pt idx="274">
                  <c:v>3084.7587742282049</c:v>
                </c:pt>
                <c:pt idx="275">
                  <c:v>3189.0139002036321</c:v>
                </c:pt>
                <c:pt idx="276">
                  <c:v>3114.4373565898932</c:v>
                </c:pt>
                <c:pt idx="277">
                  <c:v>3109.9924781680629</c:v>
                </c:pt>
                <c:pt idx="278">
                  <c:v>3241.0838783015402</c:v>
                </c:pt>
                <c:pt idx="279">
                  <c:v>3232.6145781904697</c:v>
                </c:pt>
                <c:pt idx="280">
                  <c:v>3522.2803166997883</c:v>
                </c:pt>
                <c:pt idx="281">
                  <c:v>3572.5158550452597</c:v>
                </c:pt>
                <c:pt idx="282">
                  <c:v>3555.1534638321164</c:v>
                </c:pt>
                <c:pt idx="283">
                  <c:v>3664.3372598504029</c:v>
                </c:pt>
                <c:pt idx="284">
                  <c:v>3548.6659989591658</c:v>
                </c:pt>
                <c:pt idx="285">
                  <c:v>3125.7068027824889</c:v>
                </c:pt>
                <c:pt idx="286">
                  <c:v>2623.321723750862</c:v>
                </c:pt>
                <c:pt idx="287">
                  <c:v>2706.7413435264143</c:v>
                </c:pt>
                <c:pt idx="288">
                  <c:v>2638.199982674751</c:v>
                </c:pt>
                <c:pt idx="289">
                  <c:v>2629.0697493384905</c:v>
                </c:pt>
                <c:pt idx="290">
                  <c:v>2734.1582742652859</c:v>
                </c:pt>
                <c:pt idx="291">
                  <c:v>2721.1525583579414</c:v>
                </c:pt>
                <c:pt idx="292">
                  <c:v>2958.4374812629135</c:v>
                </c:pt>
                <c:pt idx="293">
                  <c:v>2993.8152717860812</c:v>
                </c:pt>
                <c:pt idx="294">
                  <c:v>2972.3039625243896</c:v>
                </c:pt>
                <c:pt idx="295">
                  <c:v>3056.2212674593238</c:v>
                </c:pt>
                <c:pt idx="296">
                  <c:v>2952.4198955281799</c:v>
                </c:pt>
                <c:pt idx="297">
                  <c:v>2593.8966001005474</c:v>
                </c:pt>
                <c:pt idx="298">
                  <c:v>2171.2694656452854</c:v>
                </c:pt>
                <c:pt idx="299">
                  <c:v>2234.2483655265528</c:v>
                </c:pt>
                <c:pt idx="300">
                  <c:v>2171.5911358283215</c:v>
                </c:pt>
                <c:pt idx="301">
                  <c:v>2157.8412617828353</c:v>
                </c:pt>
                <c:pt idx="302">
                  <c:v>2237.4204184705818</c:v>
                </c:pt>
                <c:pt idx="303">
                  <c:v>2219.93846720801</c:v>
                </c:pt>
                <c:pt idx="304">
                  <c:v>2405.8578700711582</c:v>
                </c:pt>
                <c:pt idx="305">
                  <c:v>2426.639497431674</c:v>
                </c:pt>
                <c:pt idx="306">
                  <c:v>2401.0263576254583</c:v>
                </c:pt>
                <c:pt idx="307">
                  <c:v>2460.1416562062855</c:v>
                </c:pt>
                <c:pt idx="308">
                  <c:v>2367.9387267576462</c:v>
                </c:pt>
                <c:pt idx="309">
                  <c:v>2072.547274671882</c:v>
                </c:pt>
                <c:pt idx="310">
                  <c:v>1728.0814276605288</c:v>
                </c:pt>
                <c:pt idx="311">
                  <c:v>1770.9913173301591</c:v>
                </c:pt>
                <c:pt idx="312">
                  <c:v>1714.0743950193214</c:v>
                </c:pt>
                <c:pt idx="313">
                  <c:v>1695.7657467060012</c:v>
                </c:pt>
                <c:pt idx="314">
                  <c:v>1750.3002303114802</c:v>
                </c:pt>
                <c:pt idx="315">
                  <c:v>1728.3975814904391</c:v>
                </c:pt>
                <c:pt idx="316">
                  <c:v>1863.9084072440473</c:v>
                </c:pt>
                <c:pt idx="317">
                  <c:v>1870.3392954772114</c:v>
                </c:pt>
                <c:pt idx="318">
                  <c:v>1840.6672843320287</c:v>
                </c:pt>
                <c:pt idx="319">
                  <c:v>1875.4172882456555</c:v>
                </c:pt>
                <c:pt idx="320">
                  <c:v>1794.5551906788171</c:v>
                </c:pt>
                <c:pt idx="321">
                  <c:v>1561.0641226220391</c:v>
                </c:pt>
                <c:pt idx="322">
                  <c:v>1149.5577848182704</c:v>
                </c:pt>
                <c:pt idx="323">
                  <c:v>1170.5239456141114</c:v>
                </c:pt>
                <c:pt idx="324">
                  <c:v>1125.2530855428315</c:v>
                </c:pt>
                <c:pt idx="325">
                  <c:v>1105.3085491889735</c:v>
                </c:pt>
                <c:pt idx="326">
                  <c:v>1132.2916766286692</c:v>
                </c:pt>
                <c:pt idx="327">
                  <c:v>1109.2787061816016</c:v>
                </c:pt>
                <c:pt idx="328">
                  <c:v>1186.2451320539478</c:v>
                </c:pt>
                <c:pt idx="329">
                  <c:v>1179.8347529815226</c:v>
                </c:pt>
                <c:pt idx="330">
                  <c:v>1150.2573685302748</c:v>
                </c:pt>
                <c:pt idx="331">
                  <c:v>1160.3255119928949</c:v>
                </c:pt>
                <c:pt idx="332">
                  <c:v>1098.5651052413236</c:v>
                </c:pt>
                <c:pt idx="333">
                  <c:v>944.85072248442464</c:v>
                </c:pt>
                <c:pt idx="334">
                  <c:v>773.28372875950356</c:v>
                </c:pt>
                <c:pt idx="335">
                  <c:v>776.90803792363806</c:v>
                </c:pt>
                <c:pt idx="336">
                  <c:v>736.20941451244141</c:v>
                </c:pt>
                <c:pt idx="337">
                  <c:v>712.08108188509084</c:v>
                </c:pt>
                <c:pt idx="338">
                  <c:v>717.42518379642979</c:v>
                </c:pt>
                <c:pt idx="339">
                  <c:v>690.31043010539418</c:v>
                </c:pt>
                <c:pt idx="340">
                  <c:v>723.9371879003055</c:v>
                </c:pt>
                <c:pt idx="341">
                  <c:v>704.88418399948227</c:v>
                </c:pt>
                <c:pt idx="342">
                  <c:v>671.43206007891956</c:v>
                </c:pt>
                <c:pt idx="343">
                  <c:v>660.25046503667352</c:v>
                </c:pt>
                <c:pt idx="344">
                  <c:v>607.7584630982301</c:v>
                </c:pt>
                <c:pt idx="345">
                  <c:v>506.64808441916767</c:v>
                </c:pt>
                <c:pt idx="346">
                  <c:v>400.44376078792743</c:v>
                </c:pt>
                <c:pt idx="347">
                  <c:v>386.85635312420402</c:v>
                </c:pt>
                <c:pt idx="348">
                  <c:v>350.66072743522687</c:v>
                </c:pt>
                <c:pt idx="349">
                  <c:v>322.35802030808571</c:v>
                </c:pt>
                <c:pt idx="350">
                  <c:v>306.22620004388136</c:v>
                </c:pt>
                <c:pt idx="351">
                  <c:v>275.01585987631734</c:v>
                </c:pt>
                <c:pt idx="352">
                  <c:v>265.64976706860534</c:v>
                </c:pt>
                <c:pt idx="353">
                  <c:v>234.0299427381874</c:v>
                </c:pt>
                <c:pt idx="354">
                  <c:v>196.70204441933248</c:v>
                </c:pt>
                <c:pt idx="355">
                  <c:v>164.41644075917287</c:v>
                </c:pt>
                <c:pt idx="356">
                  <c:v>121.07886210277859</c:v>
                </c:pt>
                <c:pt idx="357">
                  <c:v>72.098542792932975</c:v>
                </c:pt>
                <c:pt idx="358">
                  <c:v>30.68506896505761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3-42EB-B47E-E73DF91F5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758824"/>
        <c:axId val="1241754560"/>
      </c:lineChart>
      <c:catAx>
        <c:axId val="1241758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4560"/>
        <c:crosses val="autoZero"/>
        <c:auto val="1"/>
        <c:lblAlgn val="ctr"/>
        <c:lblOffset val="100"/>
        <c:noMultiLvlLbl val="0"/>
      </c:catAx>
      <c:valAx>
        <c:axId val="12417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588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7106770886111296E-3"/>
                <c:y val="0.3274200774789297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 w="1905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(S shape) CPR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412089593095343E-2"/>
          <c:y val="0.17171296296296296"/>
          <c:w val="0.8234786295884795"/>
          <c:h val="0.65348388743073782"/>
        </c:manualLayout>
      </c:layout>
      <c:lineChart>
        <c:grouping val="standard"/>
        <c:varyColors val="0"/>
        <c:ser>
          <c:idx val="0"/>
          <c:order val="0"/>
          <c:tx>
            <c:strRef>
              <c:f>'4-Factor Model'!$D$4:$E$4</c:f>
              <c:strCache>
                <c:ptCount val="1"/>
                <c:pt idx="0">
                  <c:v>Base Factor Model 101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'4-Factor Model'!$D$6:$D$16</c:f>
              <c:numCache>
                <c:formatCode>0.00%</c:formatCode>
                <c:ptCount val="11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</c:numCache>
            </c:numRef>
          </c:cat>
          <c:val>
            <c:numRef>
              <c:f>'4-Factor Model'!$E$6:$E$16</c:f>
              <c:numCache>
                <c:formatCode>0.00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45</c:v>
                </c:pt>
                <c:pt idx="9">
                  <c:v>55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0-4669-A231-2ABF6A86418C}"/>
            </c:ext>
          </c:extLst>
        </c:ser>
        <c:ser>
          <c:idx val="1"/>
          <c:order val="1"/>
          <c:tx>
            <c:strRef>
              <c:f>'4-Factor Model'!$A$4</c:f>
              <c:strCache>
                <c:ptCount val="1"/>
                <c:pt idx="0">
                  <c:v>Base Factor Model S-shape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'4-Factor Model'!$D$6:$D$16</c:f>
              <c:numCache>
                <c:formatCode>0.00%</c:formatCode>
                <c:ptCount val="11"/>
                <c:pt idx="0">
                  <c:v>-0.05</c:v>
                </c:pt>
                <c:pt idx="1">
                  <c:v>-0.04</c:v>
                </c:pt>
                <c:pt idx="2">
                  <c:v>-0.03</c:v>
                </c:pt>
                <c:pt idx="3">
                  <c:v>-0.02</c:v>
                </c:pt>
                <c:pt idx="4">
                  <c:v>-0.01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0.04</c:v>
                </c:pt>
                <c:pt idx="10">
                  <c:v>0.05</c:v>
                </c:pt>
              </c:numCache>
            </c:numRef>
          </c:cat>
          <c:val>
            <c:numRef>
              <c:f>'4-Factor Model'!$A$6:$A$16</c:f>
              <c:numCache>
                <c:formatCode>0.00</c:formatCode>
                <c:ptCount val="11"/>
                <c:pt idx="0">
                  <c:v>6.7156358963462175</c:v>
                </c:pt>
                <c:pt idx="1">
                  <c:v>7.0202537426416525</c:v>
                </c:pt>
                <c:pt idx="2">
                  <c:v>7.4440486487583115</c:v>
                </c:pt>
                <c:pt idx="3">
                  <c:v>8.0727970212756635</c:v>
                </c:pt>
                <c:pt idx="4">
                  <c:v>9.097988165691163</c:v>
                </c:pt>
                <c:pt idx="5">
                  <c:v>11.039882414214617</c:v>
                </c:pt>
                <c:pt idx="6">
                  <c:v>15.782219519323027</c:v>
                </c:pt>
                <c:pt idx="7">
                  <c:v>30</c:v>
                </c:pt>
                <c:pt idx="8">
                  <c:v>44.217780480676971</c:v>
                </c:pt>
                <c:pt idx="9">
                  <c:v>48.960117585785376</c:v>
                </c:pt>
                <c:pt idx="10">
                  <c:v>50.902011834308837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5-4885-AB0C-70E22E85B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33888"/>
        <c:axId val="738828312"/>
      </c:lineChart>
      <c:catAx>
        <c:axId val="738833888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28312"/>
        <c:crosses val="autoZero"/>
        <c:auto val="1"/>
        <c:lblAlgn val="ctr"/>
        <c:lblOffset val="100"/>
        <c:noMultiLvlLbl val="0"/>
      </c:catAx>
      <c:valAx>
        <c:axId val="73882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096093049718481"/>
          <c:y val="0.24152704870224556"/>
          <c:w val="0.38736335872126409"/>
          <c:h val="0.25694663167104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Loan Seasoning Surface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'4-Factor Model'!$S$5:$S$52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3-4135-A586-B687D8C850C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'4-Factor Model'!$T$5:$T$52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3-4135-A586-B687D8C850C6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'4-Factor Model'!$U$5:$U$52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3-4135-A586-B687D8C850C6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'4-Factor Model'!$V$5:$V$52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3-4135-A586-B687D8C850C6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'4-Factor Model'!$W$5:$W$52</c:f>
              <c:numCache>
                <c:formatCode>General</c:formatCode>
                <c:ptCount val="48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3-4135-A586-B687D8C850C6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'4-Factor Model'!$X$5:$X$52</c:f>
              <c:numCache>
                <c:formatCode>General</c:formatCode>
                <c:ptCount val="48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0.76666666666666672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3-4135-A586-B687D8C850C6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'4-Factor Model'!$Y$5:$Y$52</c:f>
              <c:numCache>
                <c:formatCode>General</c:formatCode>
                <c:ptCount val="4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3-4135-A586-B687D8C850C6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'4-Factor Model'!$Z$5:$Z$52</c:f>
              <c:numCache>
                <c:formatCode>General</c:formatCode>
                <c:ptCount val="48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3-4135-A586-B687D8C850C6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'4-Factor Model'!$AA$5:$AA$52</c:f>
              <c:numCache>
                <c:formatCode>General</c:formatCode>
                <c:ptCount val="4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3-4135-A586-B687D8C850C6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'4-Factor Model'!$AB$5:$AB$52</c:f>
              <c:numCache>
                <c:formatCode>General</c:formatCode>
                <c:ptCount val="4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D3-4135-A586-B687D8C850C6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'4-Factor Model'!$AC$5:$AC$52</c:f>
              <c:numCache>
                <c:formatCode>General</c:formatCode>
                <c:ptCount val="48"/>
                <c:pt idx="0">
                  <c:v>0.16666666666666666</c:v>
                </c:pt>
                <c:pt idx="1">
                  <c:v>0.33333333333333331</c:v>
                </c:pt>
                <c:pt idx="2">
                  <c:v>0.5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D3-4135-A586-B687D8C850C6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38821096"/>
        <c:axId val="738815192"/>
        <c:axId val="756102032"/>
      </c:surface3DChart>
      <c:catAx>
        <c:axId val="7388210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5192"/>
        <c:crosses val="autoZero"/>
        <c:auto val="1"/>
        <c:lblAlgn val="ctr"/>
        <c:lblOffset val="100"/>
        <c:noMultiLvlLbl val="0"/>
      </c:catAx>
      <c:valAx>
        <c:axId val="73881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21096"/>
        <c:crosses val="autoZero"/>
        <c:crossBetween val="midCat"/>
      </c:valAx>
      <c:serAx>
        <c:axId val="756102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5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 Loan Seasoning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'4-Factor Model'!$V$5:$V$79</c:f>
              <c:numCache>
                <c:formatCode>General</c:formatCode>
                <c:ptCount val="75"/>
                <c:pt idx="0">
                  <c:v>2.0833333333333332E-2</c:v>
                </c:pt>
                <c:pt idx="1">
                  <c:v>4.1666666666666664E-2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0.10416666666666667</c:v>
                </c:pt>
                <c:pt idx="5">
                  <c:v>0.125</c:v>
                </c:pt>
                <c:pt idx="6">
                  <c:v>0.14583333333333334</c:v>
                </c:pt>
                <c:pt idx="7">
                  <c:v>0.16666666666666666</c:v>
                </c:pt>
                <c:pt idx="8">
                  <c:v>0.1875</c:v>
                </c:pt>
                <c:pt idx="9">
                  <c:v>0.20833333333333334</c:v>
                </c:pt>
                <c:pt idx="10">
                  <c:v>0.22916666666666666</c:v>
                </c:pt>
                <c:pt idx="11">
                  <c:v>0.25</c:v>
                </c:pt>
                <c:pt idx="12">
                  <c:v>0.27083333333333331</c:v>
                </c:pt>
                <c:pt idx="13">
                  <c:v>0.29166666666666669</c:v>
                </c:pt>
                <c:pt idx="14">
                  <c:v>0.3125</c:v>
                </c:pt>
                <c:pt idx="15">
                  <c:v>0.33333333333333331</c:v>
                </c:pt>
                <c:pt idx="16">
                  <c:v>0.35416666666666669</c:v>
                </c:pt>
                <c:pt idx="17">
                  <c:v>0.375</c:v>
                </c:pt>
                <c:pt idx="18">
                  <c:v>0.39583333333333331</c:v>
                </c:pt>
                <c:pt idx="19">
                  <c:v>0.41666666666666669</c:v>
                </c:pt>
                <c:pt idx="20">
                  <c:v>0.4375</c:v>
                </c:pt>
                <c:pt idx="21">
                  <c:v>0.45833333333333331</c:v>
                </c:pt>
                <c:pt idx="22">
                  <c:v>0.47916666666666669</c:v>
                </c:pt>
                <c:pt idx="23">
                  <c:v>0.5</c:v>
                </c:pt>
                <c:pt idx="24">
                  <c:v>0.52083333333333337</c:v>
                </c:pt>
                <c:pt idx="25">
                  <c:v>0.54166666666666663</c:v>
                </c:pt>
                <c:pt idx="26">
                  <c:v>0.5625</c:v>
                </c:pt>
                <c:pt idx="27">
                  <c:v>0.58333333333333337</c:v>
                </c:pt>
                <c:pt idx="28">
                  <c:v>0.60416666666666663</c:v>
                </c:pt>
                <c:pt idx="29">
                  <c:v>0.625</c:v>
                </c:pt>
                <c:pt idx="30">
                  <c:v>0.64583333333333337</c:v>
                </c:pt>
                <c:pt idx="31">
                  <c:v>0.66666666666666663</c:v>
                </c:pt>
                <c:pt idx="32">
                  <c:v>0.6875</c:v>
                </c:pt>
                <c:pt idx="33">
                  <c:v>0.70833333333333337</c:v>
                </c:pt>
                <c:pt idx="34">
                  <c:v>0.72916666666666663</c:v>
                </c:pt>
                <c:pt idx="35">
                  <c:v>0.75</c:v>
                </c:pt>
                <c:pt idx="36">
                  <c:v>0.77083333333333337</c:v>
                </c:pt>
                <c:pt idx="37">
                  <c:v>0.79166666666666663</c:v>
                </c:pt>
                <c:pt idx="38">
                  <c:v>0.8125</c:v>
                </c:pt>
                <c:pt idx="39">
                  <c:v>0.83333333333333337</c:v>
                </c:pt>
                <c:pt idx="40">
                  <c:v>0.85416666666666663</c:v>
                </c:pt>
                <c:pt idx="41">
                  <c:v>0.875</c:v>
                </c:pt>
                <c:pt idx="42">
                  <c:v>0.89583333333333337</c:v>
                </c:pt>
                <c:pt idx="43">
                  <c:v>0.91666666666666663</c:v>
                </c:pt>
                <c:pt idx="44">
                  <c:v>0.9375</c:v>
                </c:pt>
                <c:pt idx="45">
                  <c:v>0.95833333333333337</c:v>
                </c:pt>
                <c:pt idx="46">
                  <c:v>0.97916666666666663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8-4BBC-ADAC-54989EF84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730832"/>
        <c:axId val="729732472"/>
      </c:lineChart>
      <c:catAx>
        <c:axId val="72973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2472"/>
        <c:crosses val="autoZero"/>
        <c:auto val="1"/>
        <c:lblAlgn val="ctr"/>
        <c:lblOffset val="100"/>
        <c:noMultiLvlLbl val="0"/>
      </c:catAx>
      <c:valAx>
        <c:axId val="72973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7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635662" y="1323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450736</xdr:colOff>
      <xdr:row>0</xdr:row>
      <xdr:rowOff>28745</xdr:rowOff>
    </xdr:from>
    <xdr:to>
      <xdr:col>15</xdr:col>
      <xdr:colOff>110558</xdr:colOff>
      <xdr:row>10</xdr:row>
      <xdr:rowOff>60892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533400</xdr:colOff>
      <xdr:row>2</xdr:row>
      <xdr:rowOff>28575</xdr:rowOff>
    </xdr:from>
    <xdr:to>
      <xdr:col>15</xdr:col>
      <xdr:colOff>381000</xdr:colOff>
      <xdr:row>4</xdr:row>
      <xdr:rowOff>123825</xdr:rowOff>
    </xdr:to>
    <xdr:sp macro="" textlink="">
      <xdr:nvSpPr>
        <xdr:cNvPr id="3186" name="AutoShape 1138">
          <a:extLst>
            <a:ext uri="{FF2B5EF4-FFF2-40B4-BE49-F238E27FC236}">
              <a16:creationId xmlns:a16="http://schemas.microsoft.com/office/drawing/2014/main" id="{206E5DE6-0177-78BC-12E5-B82C82754570}"/>
            </a:ext>
          </a:extLst>
        </xdr:cNvPr>
        <xdr:cNvSpPr>
          <a:spLocks noChangeAspect="1" noChangeArrowheads="1"/>
        </xdr:cNvSpPr>
      </xdr:nvSpPr>
      <xdr:spPr bwMode="auto">
        <a:xfrm>
          <a:off x="11753850" y="400050"/>
          <a:ext cx="1409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98A4AE-E48A-4C83-97D7-CF43F4BC3D15}"/>
            </a:ext>
          </a:extLst>
        </xdr:cNvPr>
        <xdr:cNvSpPr txBox="1"/>
      </xdr:nvSpPr>
      <xdr:spPr>
        <a:xfrm>
          <a:off x="9896475" y="13049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450736</xdr:colOff>
      <xdr:row>0</xdr:row>
      <xdr:rowOff>28745</xdr:rowOff>
    </xdr:from>
    <xdr:to>
      <xdr:col>15</xdr:col>
      <xdr:colOff>110558</xdr:colOff>
      <xdr:row>10</xdr:row>
      <xdr:rowOff>60892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2B88CF-D111-42E3-BB6E-D3252D15C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533400</xdr:colOff>
      <xdr:row>2</xdr:row>
      <xdr:rowOff>28575</xdr:rowOff>
    </xdr:from>
    <xdr:to>
      <xdr:col>15</xdr:col>
      <xdr:colOff>381000</xdr:colOff>
      <xdr:row>4</xdr:row>
      <xdr:rowOff>123825</xdr:rowOff>
    </xdr:to>
    <xdr:sp macro="" textlink="">
      <xdr:nvSpPr>
        <xdr:cNvPr id="4" name="AutoShape 1138">
          <a:extLst>
            <a:ext uri="{FF2B5EF4-FFF2-40B4-BE49-F238E27FC236}">
              <a16:creationId xmlns:a16="http://schemas.microsoft.com/office/drawing/2014/main" id="{13FB7041-DB77-42B8-89C5-EFCDC700B284}"/>
            </a:ext>
          </a:extLst>
        </xdr:cNvPr>
        <xdr:cNvSpPr>
          <a:spLocks noChangeAspect="1" noChangeArrowheads="1"/>
        </xdr:cNvSpPr>
      </xdr:nvSpPr>
      <xdr:spPr bwMode="auto">
        <a:xfrm>
          <a:off x="11753850" y="400050"/>
          <a:ext cx="14097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24</xdr:row>
      <xdr:rowOff>9525</xdr:rowOff>
    </xdr:from>
    <xdr:to>
      <xdr:col>14</xdr:col>
      <xdr:colOff>57150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E3B5E-95EC-42A7-B8A5-B42491B85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4</xdr:row>
      <xdr:rowOff>161925</xdr:rowOff>
    </xdr:from>
    <xdr:to>
      <xdr:col>26</xdr:col>
      <xdr:colOff>466725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2CC0AA-CD68-461D-8478-7535DEE80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161925</xdr:colOff>
      <xdr:row>22</xdr:row>
      <xdr:rowOff>9525</xdr:rowOff>
    </xdr:from>
    <xdr:to>
      <xdr:col>26</xdr:col>
      <xdr:colOff>466725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C851F3-C7E8-4518-AB78-FAB6E4344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61"/>
  <sheetViews>
    <sheetView showGridLines="0" zoomScaleNormal="100" workbookViewId="0">
      <selection activeCell="T15" sqref="T15"/>
    </sheetView>
  </sheetViews>
  <sheetFormatPr defaultRowHeight="12.75" x14ac:dyDescent="0.2"/>
  <cols>
    <col min="1" max="1" width="1.85546875" customWidth="1"/>
    <col min="2" max="2" width="10.7109375" customWidth="1"/>
    <col min="3" max="3" width="16.42578125" customWidth="1"/>
    <col min="4" max="4" width="15.140625" customWidth="1"/>
    <col min="5" max="5" width="16" customWidth="1"/>
    <col min="6" max="6" width="16.85546875" customWidth="1"/>
    <col min="7" max="7" width="15.42578125" customWidth="1"/>
    <col min="8" max="8" width="14.42578125" customWidth="1"/>
    <col min="9" max="9" width="16.85546875" customWidth="1"/>
    <col min="10" max="10" width="11.5703125" customWidth="1"/>
    <col min="11" max="11" width="13.140625" customWidth="1"/>
    <col min="13" max="13" width="10.7109375" customWidth="1"/>
    <col min="14" max="14" width="12" customWidth="1"/>
    <col min="15" max="15" width="11.42578125" customWidth="1"/>
    <col min="17" max="17" width="11.42578125" bestFit="1" customWidth="1"/>
    <col min="22" max="22" width="12" customWidth="1"/>
  </cols>
  <sheetData>
    <row r="1" spans="1:15" x14ac:dyDescent="0.2">
      <c r="C1" s="31"/>
    </row>
    <row r="2" spans="1:15" ht="16.5" customHeight="1" x14ac:dyDescent="0.25">
      <c r="A2" s="7" t="s">
        <v>0</v>
      </c>
      <c r="C2" t="s">
        <v>0</v>
      </c>
      <c r="E2" s="5" t="s">
        <v>17</v>
      </c>
      <c r="F2" s="72">
        <v>42370</v>
      </c>
    </row>
    <row r="3" spans="1:15" ht="15" x14ac:dyDescent="0.25">
      <c r="A3" s="7" t="s">
        <v>0</v>
      </c>
      <c r="B3" s="79" t="s">
        <v>10</v>
      </c>
      <c r="C3" s="79"/>
      <c r="E3" s="4" t="s">
        <v>23</v>
      </c>
      <c r="F3" s="73">
        <v>360</v>
      </c>
      <c r="G3" s="29" t="s">
        <v>40</v>
      </c>
      <c r="H3" s="77">
        <f>SUMPRODUCT($F$20:$F$413+$H$20:$H$413,$J$20:$J$413)/$F$4</f>
        <v>131.67502752099799</v>
      </c>
    </row>
    <row r="4" spans="1:15" ht="13.5" customHeight="1" x14ac:dyDescent="0.25">
      <c r="E4" s="4" t="s">
        <v>4</v>
      </c>
      <c r="F4" s="74">
        <v>10000000</v>
      </c>
      <c r="G4" s="29" t="s">
        <v>41</v>
      </c>
      <c r="H4" s="78">
        <f>H3/12</f>
        <v>10.972918960083165</v>
      </c>
    </row>
    <row r="5" spans="1:15" ht="15" customHeight="1" x14ac:dyDescent="0.25">
      <c r="E5" s="4" t="s">
        <v>11</v>
      </c>
      <c r="F5" s="75">
        <v>0.06</v>
      </c>
    </row>
    <row r="6" spans="1:15" ht="15" customHeight="1" x14ac:dyDescent="0.25">
      <c r="E6" s="5" t="s">
        <v>13</v>
      </c>
      <c r="F6" s="75">
        <v>0</v>
      </c>
    </row>
    <row r="7" spans="1:15" ht="15" customHeight="1" x14ac:dyDescent="0.25">
      <c r="E7" s="5" t="s">
        <v>2</v>
      </c>
      <c r="F7" s="8">
        <f>+F5-F6</f>
        <v>0.06</v>
      </c>
    </row>
    <row r="8" spans="1:15" x14ac:dyDescent="0.2">
      <c r="C8" t="s">
        <v>0</v>
      </c>
      <c r="E8" s="5" t="s">
        <v>14</v>
      </c>
      <c r="F8" s="76">
        <v>0.08</v>
      </c>
    </row>
    <row r="10" spans="1:15" x14ac:dyDescent="0.2">
      <c r="H10" s="6"/>
    </row>
    <row r="11" spans="1:15" x14ac:dyDescent="0.2">
      <c r="D11" s="3"/>
      <c r="E11" s="3"/>
      <c r="F11" s="3"/>
      <c r="G11" s="3"/>
      <c r="H11" s="6"/>
    </row>
    <row r="12" spans="1:15" x14ac:dyDescent="0.2">
      <c r="D12" s="3"/>
      <c r="E12" s="3"/>
      <c r="F12" s="3"/>
      <c r="G12" s="3"/>
      <c r="H12" s="6"/>
      <c r="K12" s="32">
        <f>ROUND($F$5-F8,2)</f>
        <v>-0.02</v>
      </c>
    </row>
    <row r="13" spans="1:15" x14ac:dyDescent="0.2">
      <c r="B13" s="33" t="s">
        <v>16</v>
      </c>
      <c r="C13" s="33" t="s">
        <v>4</v>
      </c>
      <c r="D13" s="33" t="s">
        <v>3</v>
      </c>
      <c r="E13" s="33" t="s">
        <v>5</v>
      </c>
      <c r="F13" s="33" t="s">
        <v>6</v>
      </c>
      <c r="G13" s="33" t="s">
        <v>1</v>
      </c>
      <c r="H13" s="33" t="s">
        <v>7</v>
      </c>
      <c r="I13" s="33" t="s">
        <v>8</v>
      </c>
      <c r="J13" s="33" t="s">
        <v>9</v>
      </c>
      <c r="K13" s="33" t="s">
        <v>21</v>
      </c>
      <c r="L13" s="33" t="s">
        <v>22</v>
      </c>
      <c r="M13" s="33" t="s">
        <v>18</v>
      </c>
      <c r="N13" s="33" t="s">
        <v>19</v>
      </c>
      <c r="O13" s="33" t="s">
        <v>39</v>
      </c>
    </row>
    <row r="14" spans="1:15" ht="15" x14ac:dyDescent="0.25">
      <c r="B14" s="56">
        <f>+F2</f>
        <v>42370</v>
      </c>
      <c r="C14" s="36">
        <f>+F4</f>
        <v>10000000</v>
      </c>
      <c r="D14" s="37">
        <f>-PMT($F$5/12,$F$3,F4)</f>
        <v>59955.052515275231</v>
      </c>
      <c r="E14" s="36">
        <f t="shared" ref="E14:E15" si="0">($F$7*C14)/12</f>
        <v>50000</v>
      </c>
      <c r="F14" s="36">
        <f>D14-E14-G14</f>
        <v>9955.0525152752307</v>
      </c>
      <c r="G14" s="36">
        <f>($F$6*C14)/12</f>
        <v>0</v>
      </c>
      <c r="H14" s="38">
        <f>+O14*(C14-F14)</f>
        <v>1282.6178205075271</v>
      </c>
      <c r="I14" s="36">
        <f>IF(J14&gt;$F$3,0,C14-F14-H14)</f>
        <v>9988762.3296642173</v>
      </c>
      <c r="J14" s="2">
        <v>1</v>
      </c>
      <c r="K14" s="45">
        <f>1-((1-VLOOKUP(K$12,CPR,2,FALSE)/100)^(1/12))</f>
        <v>6.9243826282994192E-3</v>
      </c>
      <c r="L14" s="46">
        <f>VLOOKUP(ROUNDUP(C14/$F$4,1),Burnout,2,FALSE)</f>
        <v>1</v>
      </c>
      <c r="M14" s="47">
        <f t="shared" ref="M14:M77" si="1">MIN(J14/VLOOKUP($F$5-$F$8,Seasoning,2,TRUE),1)</f>
        <v>2.0833333333333332E-2</v>
      </c>
      <c r="N14" s="48">
        <f>(VLOOKUP(MONTH('Amortization Model 101'!$B14),Seasonality,2,TRUE))</f>
        <v>0.89</v>
      </c>
      <c r="O14" s="49">
        <f>PRODUCT(K14:N14)</f>
        <v>1.2838959456638505E-4</v>
      </c>
    </row>
    <row r="15" spans="1:15" ht="15" x14ac:dyDescent="0.25">
      <c r="B15" s="57">
        <f>IF(C15&gt;0,EDATE(B14,1),"")</f>
        <v>42401</v>
      </c>
      <c r="C15" s="36">
        <f>+I14</f>
        <v>9988762.3296642173</v>
      </c>
      <c r="D15" s="39">
        <f>-PMT($F$5/12,$F$3-J14,$C15)</f>
        <v>59947.35491039059</v>
      </c>
      <c r="E15" s="36">
        <f t="shared" si="0"/>
        <v>49943.811648321083</v>
      </c>
      <c r="F15" s="36">
        <f>D15-E15-G15</f>
        <v>10003.543262069506</v>
      </c>
      <c r="G15" s="36">
        <f>($F$6*C15)/12</f>
        <v>0</v>
      </c>
      <c r="H15" s="38">
        <f>+O15*(C15-F15)</f>
        <v>2591.127899720746</v>
      </c>
      <c r="I15" s="36">
        <f>IF(J15&gt;$F$3,0,C15-F15-H15)</f>
        <v>9976167.658502426</v>
      </c>
      <c r="J15" s="2">
        <f t="shared" ref="J15:J78" si="2">+J14+1</f>
        <v>2</v>
      </c>
      <c r="K15" s="44">
        <f t="shared" ref="K15:K78" si="3">1-((1-VLOOKUP(K$12,CPR,2,TRUE)/100)^(1/12))</f>
        <v>6.9243826282994192E-3</v>
      </c>
      <c r="L15" s="41">
        <f t="shared" ref="L15:L78" si="4">VLOOKUP(ROUND(C15/$F$4,1),Burnout,2,FALSE)</f>
        <v>1</v>
      </c>
      <c r="M15" s="42">
        <f t="shared" si="1"/>
        <v>4.1666666666666664E-2</v>
      </c>
      <c r="N15" s="43">
        <f>(VLOOKUP(MONTH('Amortization Model 101'!$B15),Seasonality,2,TRUE))</f>
        <v>0.9</v>
      </c>
      <c r="O15" s="50">
        <f>PRODUCT(K15:N15)</f>
        <v>2.5966434856122822E-4</v>
      </c>
    </row>
    <row r="16" spans="1:15" ht="15" x14ac:dyDescent="0.25">
      <c r="B16" s="57">
        <f t="shared" ref="B16:B67" si="5">IF(C16&gt;0,EDATE(B15,1),"")</f>
        <v>42430</v>
      </c>
      <c r="C16" s="36">
        <f t="shared" ref="C16:C67" si="6">+I15</f>
        <v>9976167.658502426</v>
      </c>
      <c r="D16" s="39">
        <f t="shared" ref="D16:D17" si="7">-PMT($F$5/12,$F$3-J15,$C16)</f>
        <v>59931.78871952981</v>
      </c>
      <c r="E16" s="36">
        <f t="shared" ref="E16:E67" si="8">($F$7*C16)/12</f>
        <v>49880.838292512133</v>
      </c>
      <c r="F16" s="36">
        <f>D16-E16-G16</f>
        <v>10050.950427017677</v>
      </c>
      <c r="G16" s="36">
        <f t="shared" ref="G16:G79" si="9">($F$6*C16)/12</f>
        <v>0</v>
      </c>
      <c r="H16" s="38">
        <f>+O16*(C16-F16)</f>
        <v>4097.4215709219907</v>
      </c>
      <c r="I16" s="36">
        <f t="shared" ref="I16:I67" si="10">IF(J16&gt;$F$3,0,C16-F16-H16)</f>
        <v>9962019.2865044866</v>
      </c>
      <c r="J16" s="2">
        <f t="shared" si="2"/>
        <v>3</v>
      </c>
      <c r="K16" s="44">
        <f t="shared" si="3"/>
        <v>6.9243826282994192E-3</v>
      </c>
      <c r="L16" s="41">
        <f t="shared" si="4"/>
        <v>1</v>
      </c>
      <c r="M16" s="42">
        <f t="shared" si="1"/>
        <v>6.25E-2</v>
      </c>
      <c r="N16" s="43">
        <f>(VLOOKUP(MONTH('Amortization Model 101'!$B16),Seasonality,2,TRUE))</f>
        <v>0.95</v>
      </c>
      <c r="O16" s="50">
        <f t="shared" ref="O16:O79" si="11">PRODUCT(K16:N16)</f>
        <v>4.1113521855527801E-4</v>
      </c>
    </row>
    <row r="17" spans="2:15" ht="15" x14ac:dyDescent="0.25">
      <c r="B17" s="57">
        <f t="shared" si="5"/>
        <v>42461</v>
      </c>
      <c r="C17" s="36">
        <f t="shared" si="6"/>
        <v>9962019.2865044866</v>
      </c>
      <c r="D17" s="39">
        <f t="shared" si="7"/>
        <v>59907.1486504762</v>
      </c>
      <c r="E17" s="36">
        <f t="shared" si="8"/>
        <v>49810.096432522434</v>
      </c>
      <c r="F17" s="36">
        <f t="shared" ref="F17:F67" si="12">D17-E17-G17</f>
        <v>10097.052217953766</v>
      </c>
      <c r="G17" s="36">
        <f t="shared" si="9"/>
        <v>0</v>
      </c>
      <c r="H17" s="38">
        <f t="shared" ref="H17:H79" si="13">+O17*(C17-F17)</f>
        <v>5512.8733949824327</v>
      </c>
      <c r="I17" s="36">
        <f t="shared" si="10"/>
        <v>9946409.3608915508</v>
      </c>
      <c r="J17" s="2">
        <f t="shared" si="2"/>
        <v>4</v>
      </c>
      <c r="K17" s="44">
        <f t="shared" si="3"/>
        <v>6.9243826282994192E-3</v>
      </c>
      <c r="L17" s="41">
        <f t="shared" si="4"/>
        <v>1</v>
      </c>
      <c r="M17" s="42">
        <f t="shared" si="1"/>
        <v>8.3333333333333329E-2</v>
      </c>
      <c r="N17" s="43">
        <f>(VLOOKUP(MONTH('Amortization Model 101'!$B17),Seasonality,2,TRUE))</f>
        <v>0.96</v>
      </c>
      <c r="O17" s="50">
        <f t="shared" si="11"/>
        <v>5.5395061026395351E-4</v>
      </c>
    </row>
    <row r="18" spans="2:15" ht="15" x14ac:dyDescent="0.25">
      <c r="B18" s="57">
        <f t="shared" si="5"/>
        <v>42491</v>
      </c>
      <c r="C18" s="36">
        <f t="shared" si="6"/>
        <v>9946409.3608915508</v>
      </c>
      <c r="D18" s="39">
        <f>-PMT($F$5/12,$F$3-J17,$C18)</f>
        <v>59873.963048922094</v>
      </c>
      <c r="E18" s="36">
        <f t="shared" si="8"/>
        <v>49732.04680445775</v>
      </c>
      <c r="F18" s="36">
        <f t="shared" si="12"/>
        <v>10141.916244464344</v>
      </c>
      <c r="G18" s="36">
        <f t="shared" si="9"/>
        <v>0</v>
      </c>
      <c r="H18" s="38">
        <f t="shared" si="13"/>
        <v>7596.9446609252536</v>
      </c>
      <c r="I18" s="36">
        <f t="shared" si="10"/>
        <v>9928670.4999861624</v>
      </c>
      <c r="J18" s="2">
        <f t="shared" si="2"/>
        <v>5</v>
      </c>
      <c r="K18" s="44">
        <f t="shared" si="3"/>
        <v>6.9243826282994192E-3</v>
      </c>
      <c r="L18" s="41">
        <f t="shared" si="4"/>
        <v>1</v>
      </c>
      <c r="M18" s="42">
        <f t="shared" si="1"/>
        <v>0.10416666666666667</v>
      </c>
      <c r="N18" s="43">
        <f>(VLOOKUP(MONTH('Amortization Model 101'!$B18),Seasonality,2,TRUE))</f>
        <v>1.06</v>
      </c>
      <c r="O18" s="50">
        <f t="shared" si="11"/>
        <v>7.6456724854139424E-4</v>
      </c>
    </row>
    <row r="19" spans="2:15" ht="15" x14ac:dyDescent="0.25">
      <c r="B19" s="57">
        <f t="shared" si="5"/>
        <v>42522</v>
      </c>
      <c r="C19" s="36">
        <f t="shared" si="6"/>
        <v>9928670.4999861624</v>
      </c>
      <c r="D19" s="39">
        <f t="shared" ref="D19:D82" si="14">-PMT($F$5/12,$F$3-J18,$C19)</f>
        <v>59828.185377734517</v>
      </c>
      <c r="E19" s="36">
        <f t="shared" si="8"/>
        <v>49643.352499930807</v>
      </c>
      <c r="F19" s="36">
        <f t="shared" si="12"/>
        <v>10184.83287780371</v>
      </c>
      <c r="G19" s="36">
        <f t="shared" si="9"/>
        <v>0</v>
      </c>
      <c r="H19" s="38">
        <f t="shared" si="13"/>
        <v>9357.5668673843084</v>
      </c>
      <c r="I19" s="36">
        <f t="shared" si="10"/>
        <v>9909128.1002409738</v>
      </c>
      <c r="J19" s="2">
        <f t="shared" si="2"/>
        <v>6</v>
      </c>
      <c r="K19" s="44">
        <f t="shared" si="3"/>
        <v>6.9243826282994192E-3</v>
      </c>
      <c r="L19" s="41">
        <f t="shared" si="4"/>
        <v>1</v>
      </c>
      <c r="M19" s="42">
        <f t="shared" si="1"/>
        <v>0.125</v>
      </c>
      <c r="N19" s="43">
        <f>(VLOOKUP(MONTH('Amortization Model 101'!$B19),Seasonality,2,TRUE))</f>
        <v>1.0900000000000001</v>
      </c>
      <c r="O19" s="50">
        <f t="shared" si="11"/>
        <v>9.4344713310579595E-4</v>
      </c>
    </row>
    <row r="20" spans="2:15" ht="15" x14ac:dyDescent="0.25">
      <c r="B20" s="57">
        <f t="shared" si="5"/>
        <v>42552</v>
      </c>
      <c r="C20" s="36">
        <f t="shared" si="6"/>
        <v>9909128.1002409738</v>
      </c>
      <c r="D20" s="39">
        <f t="shared" si="14"/>
        <v>59771.740647760977</v>
      </c>
      <c r="E20" s="36">
        <f t="shared" si="8"/>
        <v>49545.640501204871</v>
      </c>
      <c r="F20" s="36">
        <f t="shared" si="12"/>
        <v>10226.100146556106</v>
      </c>
      <c r="G20" s="36">
        <f t="shared" si="9"/>
        <v>0</v>
      </c>
      <c r="H20" s="38">
        <f t="shared" si="13"/>
        <v>10995.565518227702</v>
      </c>
      <c r="I20" s="36">
        <f t="shared" si="10"/>
        <v>9887906.4345761891</v>
      </c>
      <c r="J20" s="2">
        <f t="shared" si="2"/>
        <v>7</v>
      </c>
      <c r="K20" s="44">
        <f t="shared" si="3"/>
        <v>6.9243826282994192E-3</v>
      </c>
      <c r="L20" s="41">
        <f t="shared" si="4"/>
        <v>1</v>
      </c>
      <c r="M20" s="42">
        <f t="shared" si="1"/>
        <v>0.14583333333333334</v>
      </c>
      <c r="N20" s="43">
        <f>(VLOOKUP(MONTH('Amortization Model 101'!$B20),Seasonality,2,TRUE))</f>
        <v>1.1000000000000001</v>
      </c>
      <c r="O20" s="50">
        <f t="shared" si="11"/>
        <v>1.1107863799563653E-3</v>
      </c>
    </row>
    <row r="21" spans="2:15" ht="15" x14ac:dyDescent="0.25">
      <c r="B21" s="57">
        <f t="shared" si="5"/>
        <v>42583</v>
      </c>
      <c r="C21" s="36">
        <f t="shared" si="6"/>
        <v>9887906.4345761891</v>
      </c>
      <c r="D21" s="39">
        <f t="shared" si="14"/>
        <v>59705.347012343154</v>
      </c>
      <c r="E21" s="36">
        <f t="shared" si="8"/>
        <v>49439.532172880943</v>
      </c>
      <c r="F21" s="36">
        <f t="shared" si="12"/>
        <v>10265.814839462211</v>
      </c>
      <c r="G21" s="36">
        <f t="shared" si="9"/>
        <v>0</v>
      </c>
      <c r="H21" s="38">
        <f t="shared" si="13"/>
        <v>13109.341263878858</v>
      </c>
      <c r="I21" s="36">
        <f t="shared" si="10"/>
        <v>9864531.2784728482</v>
      </c>
      <c r="J21" s="2">
        <f t="shared" si="2"/>
        <v>8</v>
      </c>
      <c r="K21" s="44">
        <f t="shared" si="3"/>
        <v>6.9243826282994192E-3</v>
      </c>
      <c r="L21" s="41">
        <f t="shared" si="4"/>
        <v>1</v>
      </c>
      <c r="M21" s="42">
        <f t="shared" si="1"/>
        <v>0.16666666666666666</v>
      </c>
      <c r="N21" s="43">
        <f>(VLOOKUP(MONTH('Amortization Model 101'!$B21),Seasonality,2,TRUE))</f>
        <v>1.1499999999999999</v>
      </c>
      <c r="O21" s="50">
        <f t="shared" si="11"/>
        <v>1.3271733370907217E-3</v>
      </c>
    </row>
    <row r="22" spans="2:15" ht="15" x14ac:dyDescent="0.25">
      <c r="B22" s="57">
        <f t="shared" si="5"/>
        <v>42614</v>
      </c>
      <c r="C22" s="36">
        <f t="shared" si="6"/>
        <v>9864531.2784728482</v>
      </c>
      <c r="D22" s="39">
        <f t="shared" si="14"/>
        <v>59626.107667706616</v>
      </c>
      <c r="E22" s="36">
        <f t="shared" si="8"/>
        <v>49322.656392364239</v>
      </c>
      <c r="F22" s="36">
        <f t="shared" si="12"/>
        <v>10303.451275342377</v>
      </c>
      <c r="G22" s="36">
        <f t="shared" si="9"/>
        <v>0</v>
      </c>
      <c r="H22" s="38">
        <f t="shared" si="13"/>
        <v>14457.172818675896</v>
      </c>
      <c r="I22" s="36">
        <f t="shared" si="10"/>
        <v>9839770.6543788295</v>
      </c>
      <c r="J22" s="2">
        <f t="shared" si="2"/>
        <v>9</v>
      </c>
      <c r="K22" s="44">
        <f t="shared" si="3"/>
        <v>6.9243826282994192E-3</v>
      </c>
      <c r="L22" s="41">
        <f t="shared" si="4"/>
        <v>1</v>
      </c>
      <c r="M22" s="42">
        <f t="shared" si="1"/>
        <v>0.1875</v>
      </c>
      <c r="N22" s="43">
        <f>(VLOOKUP(MONTH('Amortization Model 101'!$B22),Seasonality,2,TRUE))</f>
        <v>1.1299999999999999</v>
      </c>
      <c r="O22" s="50">
        <f t="shared" si="11"/>
        <v>1.4671035693709393E-3</v>
      </c>
    </row>
    <row r="23" spans="2:15" ht="15" x14ac:dyDescent="0.25">
      <c r="B23" s="57">
        <f t="shared" si="5"/>
        <v>42644</v>
      </c>
      <c r="C23" s="36">
        <f t="shared" si="6"/>
        <v>9839770.6543788295</v>
      </c>
      <c r="D23" s="39">
        <f t="shared" si="14"/>
        <v>59538.629992319635</v>
      </c>
      <c r="E23" s="36">
        <f t="shared" si="8"/>
        <v>49198.85327189415</v>
      </c>
      <c r="F23" s="36">
        <f t="shared" si="12"/>
        <v>10339.776720425485</v>
      </c>
      <c r="G23" s="36">
        <f t="shared" si="9"/>
        <v>0</v>
      </c>
      <c r="H23" s="38">
        <f>+O23*(C23-F23)</f>
        <v>14321.534962391886</v>
      </c>
      <c r="I23" s="36">
        <f t="shared" si="10"/>
        <v>9815109.3426960129</v>
      </c>
      <c r="J23" s="2">
        <f t="shared" si="2"/>
        <v>10</v>
      </c>
      <c r="K23" s="44">
        <f t="shared" si="3"/>
        <v>6.9243826282994192E-3</v>
      </c>
      <c r="L23" s="41">
        <f t="shared" si="4"/>
        <v>1</v>
      </c>
      <c r="M23" s="42">
        <f t="shared" si="1"/>
        <v>0.20833333333333334</v>
      </c>
      <c r="N23" s="43">
        <f>(VLOOKUP(MONTH('Amortization Model 101'!$B23),Seasonality,2,TRUE))</f>
        <v>1.01</v>
      </c>
      <c r="O23" s="50">
        <f t="shared" si="11"/>
        <v>1.4570055113713363E-3</v>
      </c>
    </row>
    <row r="24" spans="2:15" ht="15" x14ac:dyDescent="0.25">
      <c r="B24" s="57">
        <f t="shared" si="5"/>
        <v>42675</v>
      </c>
      <c r="C24" s="36">
        <f t="shared" si="6"/>
        <v>9815109.3426960129</v>
      </c>
      <c r="D24" s="39">
        <f t="shared" si="14"/>
        <v>59451.881880281326</v>
      </c>
      <c r="E24" s="36">
        <f t="shared" si="8"/>
        <v>49075.546713480064</v>
      </c>
      <c r="F24" s="36">
        <f t="shared" si="12"/>
        <v>10376.335166801262</v>
      </c>
      <c r="G24" s="36">
        <f t="shared" si="9"/>
        <v>0</v>
      </c>
      <c r="H24" s="38">
        <f t="shared" si="13"/>
        <v>13380.327057328528</v>
      </c>
      <c r="I24" s="36">
        <f t="shared" si="10"/>
        <v>9791352.6804718841</v>
      </c>
      <c r="J24" s="2">
        <f t="shared" si="2"/>
        <v>11</v>
      </c>
      <c r="K24" s="44">
        <f t="shared" si="3"/>
        <v>6.9243826282994192E-3</v>
      </c>
      <c r="L24" s="41">
        <f t="shared" si="4"/>
        <v>1</v>
      </c>
      <c r="M24" s="42">
        <f t="shared" si="1"/>
        <v>0.22916666666666666</v>
      </c>
      <c r="N24" s="43">
        <f>(VLOOKUP(MONTH('Amortization Model 101'!$B24),Seasonality,2,TRUE))</f>
        <v>0.86</v>
      </c>
      <c r="O24" s="50">
        <f t="shared" si="11"/>
        <v>1.3646804096606772E-3</v>
      </c>
    </row>
    <row r="25" spans="2:15" ht="15" x14ac:dyDescent="0.25">
      <c r="B25" s="57">
        <f t="shared" si="5"/>
        <v>42705</v>
      </c>
      <c r="C25" s="36">
        <f t="shared" si="6"/>
        <v>9791352.6804718841</v>
      </c>
      <c r="D25" s="39">
        <f t="shared" si="14"/>
        <v>59370.749061761853</v>
      </c>
      <c r="E25" s="36">
        <f t="shared" si="8"/>
        <v>48956.763402359415</v>
      </c>
      <c r="F25" s="36">
        <f t="shared" si="12"/>
        <v>10413.985659402439</v>
      </c>
      <c r="G25" s="36">
        <f t="shared" si="9"/>
        <v>0</v>
      </c>
      <c r="H25" s="40">
        <f t="shared" si="13"/>
        <v>15238.566447034758</v>
      </c>
      <c r="I25" s="36">
        <f t="shared" si="10"/>
        <v>9765700.1283654477</v>
      </c>
      <c r="J25" s="2">
        <f t="shared" si="2"/>
        <v>12</v>
      </c>
      <c r="K25" s="44">
        <f t="shared" si="3"/>
        <v>6.9243826282994192E-3</v>
      </c>
      <c r="L25" s="41">
        <f t="shared" si="4"/>
        <v>1</v>
      </c>
      <c r="M25" s="42">
        <f t="shared" si="1"/>
        <v>0.25</v>
      </c>
      <c r="N25" s="43">
        <f>(VLOOKUP(MONTH('Amortization Model 101'!$B25),Seasonality,2,TRUE))</f>
        <v>0.9</v>
      </c>
      <c r="O25" s="50">
        <f t="shared" si="11"/>
        <v>1.5579860913673693E-3</v>
      </c>
    </row>
    <row r="26" spans="2:15" ht="15" x14ac:dyDescent="0.25">
      <c r="B26" s="57">
        <f t="shared" si="5"/>
        <v>42736</v>
      </c>
      <c r="C26" s="36">
        <f t="shared" si="6"/>
        <v>9765700.1283654477</v>
      </c>
      <c r="D26" s="39">
        <f t="shared" si="14"/>
        <v>59278.250260489578</v>
      </c>
      <c r="E26" s="36">
        <f t="shared" si="8"/>
        <v>48828.500641827239</v>
      </c>
      <c r="F26" s="36">
        <f t="shared" si="12"/>
        <v>10449.749618662339</v>
      </c>
      <c r="G26" s="36">
        <f t="shared" si="9"/>
        <v>0</v>
      </c>
      <c r="H26" s="38">
        <f t="shared" si="13"/>
        <v>16282.144333271362</v>
      </c>
      <c r="I26" s="36">
        <f t="shared" si="10"/>
        <v>9738968.2344135139</v>
      </c>
      <c r="J26" s="2">
        <f t="shared" si="2"/>
        <v>13</v>
      </c>
      <c r="K26" s="44">
        <f t="shared" si="3"/>
        <v>6.9243826282994192E-3</v>
      </c>
      <c r="L26" s="41">
        <f t="shared" si="4"/>
        <v>1</v>
      </c>
      <c r="M26" s="42">
        <f t="shared" si="1"/>
        <v>0.27083333333333331</v>
      </c>
      <c r="N26" s="43">
        <f>(VLOOKUP(MONTH('Amortization Model 101'!$B26),Seasonality,2,TRUE))</f>
        <v>0.89</v>
      </c>
      <c r="O26" s="50">
        <f t="shared" si="11"/>
        <v>1.6690647293630058E-3</v>
      </c>
    </row>
    <row r="27" spans="2:15" ht="15" x14ac:dyDescent="0.25">
      <c r="B27" s="57">
        <f t="shared" si="5"/>
        <v>42767</v>
      </c>
      <c r="C27" s="36">
        <f t="shared" si="6"/>
        <v>9738968.2344135139</v>
      </c>
      <c r="D27" s="39">
        <f t="shared" si="14"/>
        <v>59179.311023761424</v>
      </c>
      <c r="E27" s="36">
        <f t="shared" si="8"/>
        <v>48694.841172067565</v>
      </c>
      <c r="F27" s="36">
        <f t="shared" si="12"/>
        <v>10484.469851693859</v>
      </c>
      <c r="G27" s="36">
        <f t="shared" si="9"/>
        <v>0</v>
      </c>
      <c r="H27" s="38">
        <f t="shared" si="13"/>
        <v>17682.982794494015</v>
      </c>
      <c r="I27" s="36">
        <f t="shared" si="10"/>
        <v>9710800.7817673273</v>
      </c>
      <c r="J27" s="2">
        <f t="shared" si="2"/>
        <v>14</v>
      </c>
      <c r="K27" s="44">
        <f t="shared" si="3"/>
        <v>6.9243826282994192E-3</v>
      </c>
      <c r="L27" s="41">
        <f t="shared" si="4"/>
        <v>1</v>
      </c>
      <c r="M27" s="42">
        <f t="shared" si="1"/>
        <v>0.29166666666666669</v>
      </c>
      <c r="N27" s="43">
        <f>(VLOOKUP(MONTH('Amortization Model 101'!$B27),Seasonality,2,TRUE))</f>
        <v>0.9</v>
      </c>
      <c r="O27" s="50">
        <f t="shared" si="11"/>
        <v>1.8176504399285978E-3</v>
      </c>
    </row>
    <row r="28" spans="2:15" ht="15" x14ac:dyDescent="0.25">
      <c r="B28" s="57">
        <f t="shared" si="5"/>
        <v>42795</v>
      </c>
      <c r="C28" s="36">
        <f t="shared" si="6"/>
        <v>9710800.7817673273</v>
      </c>
      <c r="D28" s="39">
        <f t="shared" si="14"/>
        <v>59071.743723044434</v>
      </c>
      <c r="E28" s="36">
        <f t="shared" si="8"/>
        <v>48554.003908836632</v>
      </c>
      <c r="F28" s="36">
        <f t="shared" si="12"/>
        <v>10517.739814207802</v>
      </c>
      <c r="G28" s="36">
        <f t="shared" si="9"/>
        <v>0</v>
      </c>
      <c r="H28" s="38">
        <f t="shared" si="13"/>
        <v>19940.639942507267</v>
      </c>
      <c r="I28" s="36">
        <f t="shared" si="10"/>
        <v>9680342.4020106122</v>
      </c>
      <c r="J28" s="2">
        <f t="shared" si="2"/>
        <v>15</v>
      </c>
      <c r="K28" s="44">
        <f t="shared" si="3"/>
        <v>6.9243826282994192E-3</v>
      </c>
      <c r="L28" s="41">
        <f t="shared" si="4"/>
        <v>1</v>
      </c>
      <c r="M28" s="42">
        <f t="shared" si="1"/>
        <v>0.3125</v>
      </c>
      <c r="N28" s="43">
        <f>(VLOOKUP(MONTH('Amortization Model 101'!$B28),Seasonality,2,TRUE))</f>
        <v>0.95</v>
      </c>
      <c r="O28" s="50">
        <f t="shared" si="11"/>
        <v>2.0556760927763901E-3</v>
      </c>
    </row>
    <row r="29" spans="2:15" ht="15" x14ac:dyDescent="0.25">
      <c r="B29" s="57">
        <f t="shared" si="5"/>
        <v>42826</v>
      </c>
      <c r="C29" s="36">
        <f t="shared" si="6"/>
        <v>9680342.4020106122</v>
      </c>
      <c r="D29" s="39">
        <f t="shared" si="14"/>
        <v>58950.31135171435</v>
      </c>
      <c r="E29" s="36">
        <f t="shared" si="8"/>
        <v>48401.712010053052</v>
      </c>
      <c r="F29" s="36">
        <f t="shared" si="12"/>
        <v>10548.599341661298</v>
      </c>
      <c r="G29" s="36">
        <f t="shared" si="9"/>
        <v>0</v>
      </c>
      <c r="H29" s="38">
        <f t="shared" si="13"/>
        <v>21426.352712460244</v>
      </c>
      <c r="I29" s="36">
        <f t="shared" si="10"/>
        <v>9648367.4499564916</v>
      </c>
      <c r="J29" s="2">
        <f t="shared" si="2"/>
        <v>16</v>
      </c>
      <c r="K29" s="44">
        <f t="shared" si="3"/>
        <v>6.9243826282994192E-3</v>
      </c>
      <c r="L29" s="41">
        <f t="shared" si="4"/>
        <v>1</v>
      </c>
      <c r="M29" s="42">
        <f t="shared" si="1"/>
        <v>0.33333333333333331</v>
      </c>
      <c r="N29" s="43">
        <f>(VLOOKUP(MONTH('Amortization Model 101'!$B29),Seasonality,2,TRUE))</f>
        <v>0.96</v>
      </c>
      <c r="O29" s="50">
        <f t="shared" si="11"/>
        <v>2.2158024410558141E-3</v>
      </c>
    </row>
    <row r="30" spans="2:15" ht="15" x14ac:dyDescent="0.25">
      <c r="B30" s="57">
        <f t="shared" si="5"/>
        <v>42856</v>
      </c>
      <c r="C30" s="36">
        <f t="shared" si="6"/>
        <v>9648367.4499564916</v>
      </c>
      <c r="D30" s="39">
        <f t="shared" si="14"/>
        <v>58819.689107920232</v>
      </c>
      <c r="E30" s="36">
        <f t="shared" si="8"/>
        <v>48241.83724978246</v>
      </c>
      <c r="F30" s="36">
        <f t="shared" si="12"/>
        <v>10577.851858137772</v>
      </c>
      <c r="G30" s="36">
        <f t="shared" si="9"/>
        <v>0</v>
      </c>
      <c r="H30" s="38">
        <f t="shared" si="13"/>
        <v>25053.710135132362</v>
      </c>
      <c r="I30" s="36">
        <f t="shared" si="10"/>
        <v>9612735.8879632223</v>
      </c>
      <c r="J30" s="2">
        <f t="shared" si="2"/>
        <v>17</v>
      </c>
      <c r="K30" s="44">
        <f t="shared" si="3"/>
        <v>6.9243826282994192E-3</v>
      </c>
      <c r="L30" s="41">
        <f t="shared" si="4"/>
        <v>1</v>
      </c>
      <c r="M30" s="42">
        <f t="shared" si="1"/>
        <v>0.35416666666666669</v>
      </c>
      <c r="N30" s="43">
        <f>(VLOOKUP(MONTH('Amortization Model 101'!$B30),Seasonality,2,TRUE))</f>
        <v>1.06</v>
      </c>
      <c r="O30" s="50">
        <f t="shared" si="11"/>
        <v>2.5995286450407407E-3</v>
      </c>
    </row>
    <row r="31" spans="2:15" ht="15" x14ac:dyDescent="0.25">
      <c r="B31" s="57">
        <f t="shared" si="5"/>
        <v>42887</v>
      </c>
      <c r="C31" s="36">
        <f t="shared" si="6"/>
        <v>9612735.8879632223</v>
      </c>
      <c r="D31" s="39">
        <f t="shared" si="14"/>
        <v>58666.785641191811</v>
      </c>
      <c r="E31" s="36">
        <f t="shared" si="8"/>
        <v>48063.679439816107</v>
      </c>
      <c r="F31" s="36">
        <f t="shared" si="12"/>
        <v>10603.106201375704</v>
      </c>
      <c r="G31" s="36">
        <f t="shared" si="9"/>
        <v>0</v>
      </c>
      <c r="H31" s="38">
        <f t="shared" si="13"/>
        <v>27177.313933963189</v>
      </c>
      <c r="I31" s="36">
        <f t="shared" si="10"/>
        <v>9574955.4678278845</v>
      </c>
      <c r="J31" s="2">
        <f t="shared" si="2"/>
        <v>18</v>
      </c>
      <c r="K31" s="44">
        <f t="shared" si="3"/>
        <v>6.9243826282994192E-3</v>
      </c>
      <c r="L31" s="41">
        <f t="shared" si="4"/>
        <v>1</v>
      </c>
      <c r="M31" s="42">
        <f t="shared" si="1"/>
        <v>0.375</v>
      </c>
      <c r="N31" s="43">
        <f>(VLOOKUP(MONTH('Amortization Model 101'!$B31),Seasonality,2,TRUE))</f>
        <v>1.0900000000000001</v>
      </c>
      <c r="O31" s="50">
        <f t="shared" si="11"/>
        <v>2.8303413993173879E-3</v>
      </c>
    </row>
    <row r="32" spans="2:15" ht="15" x14ac:dyDescent="0.25">
      <c r="B32" s="57">
        <f t="shared" si="5"/>
        <v>42917</v>
      </c>
      <c r="C32" s="36">
        <f t="shared" si="6"/>
        <v>9574955.4678278845</v>
      </c>
      <c r="D32" s="39">
        <f t="shared" si="14"/>
        <v>58500.738609026659</v>
      </c>
      <c r="E32" s="36">
        <f t="shared" si="8"/>
        <v>47874.777339139422</v>
      </c>
      <c r="F32" s="36">
        <f t="shared" si="12"/>
        <v>10625.961269887237</v>
      </c>
      <c r="G32" s="36">
        <f t="shared" si="9"/>
        <v>0</v>
      </c>
      <c r="H32" s="38">
        <f t="shared" si="13"/>
        <v>28836.373148098388</v>
      </c>
      <c r="I32" s="36">
        <f t="shared" si="10"/>
        <v>9535493.1334098987</v>
      </c>
      <c r="J32" s="2">
        <f t="shared" si="2"/>
        <v>19</v>
      </c>
      <c r="K32" s="44">
        <f t="shared" si="3"/>
        <v>6.9243826282994192E-3</v>
      </c>
      <c r="L32" s="41">
        <f t="shared" si="4"/>
        <v>1</v>
      </c>
      <c r="M32" s="42">
        <f t="shared" si="1"/>
        <v>0.39583333333333331</v>
      </c>
      <c r="N32" s="43">
        <f>(VLOOKUP(MONTH('Amortization Model 101'!$B32),Seasonality,2,TRUE))</f>
        <v>1.1000000000000001</v>
      </c>
      <c r="O32" s="50">
        <f t="shared" si="11"/>
        <v>3.0149916027387056E-3</v>
      </c>
    </row>
    <row r="33" spans="2:15" ht="15" x14ac:dyDescent="0.25">
      <c r="B33" s="57">
        <f t="shared" si="5"/>
        <v>42948</v>
      </c>
      <c r="C33" s="36">
        <f t="shared" si="6"/>
        <v>9535493.1334098987</v>
      </c>
      <c r="D33" s="39">
        <f t="shared" si="14"/>
        <v>58324.359373366446</v>
      </c>
      <c r="E33" s="36">
        <f t="shared" si="8"/>
        <v>47677.465667049488</v>
      </c>
      <c r="F33" s="36">
        <f t="shared" si="12"/>
        <v>10646.893706316958</v>
      </c>
      <c r="G33" s="36">
        <f t="shared" si="9"/>
        <v>0</v>
      </c>
      <c r="H33" s="38">
        <f t="shared" si="13"/>
        <v>31602.804923058546</v>
      </c>
      <c r="I33" s="36">
        <f t="shared" si="10"/>
        <v>9493243.4347805232</v>
      </c>
      <c r="J33" s="2">
        <f t="shared" si="2"/>
        <v>20</v>
      </c>
      <c r="K33" s="44">
        <f t="shared" si="3"/>
        <v>6.9243826282994192E-3</v>
      </c>
      <c r="L33" s="41">
        <f t="shared" si="4"/>
        <v>1</v>
      </c>
      <c r="M33" s="42">
        <f t="shared" si="1"/>
        <v>0.41666666666666669</v>
      </c>
      <c r="N33" s="43">
        <f>(VLOOKUP(MONTH('Amortization Model 101'!$B33),Seasonality,2,TRUE))</f>
        <v>1.1499999999999999</v>
      </c>
      <c r="O33" s="50">
        <f t="shared" si="11"/>
        <v>3.3179333427268047E-3</v>
      </c>
    </row>
    <row r="34" spans="2:15" ht="15" x14ac:dyDescent="0.25">
      <c r="B34" s="57">
        <f t="shared" si="5"/>
        <v>42979</v>
      </c>
      <c r="C34" s="36">
        <f t="shared" si="6"/>
        <v>9493243.4347805232</v>
      </c>
      <c r="D34" s="39">
        <f t="shared" si="14"/>
        <v>58130.843036708364</v>
      </c>
      <c r="E34" s="36">
        <f t="shared" si="8"/>
        <v>47466.217173902616</v>
      </c>
      <c r="F34" s="36">
        <f t="shared" si="12"/>
        <v>10664.625862805748</v>
      </c>
      <c r="G34" s="36">
        <f t="shared" si="9"/>
        <v>0</v>
      </c>
      <c r="H34" s="38">
        <f t="shared" si="13"/>
        <v>32136.547252204196</v>
      </c>
      <c r="I34" s="36">
        <f t="shared" si="10"/>
        <v>9450442.2616655137</v>
      </c>
      <c r="J34" s="2">
        <f t="shared" si="2"/>
        <v>21</v>
      </c>
      <c r="K34" s="44">
        <f t="shared" si="3"/>
        <v>6.9243826282994192E-3</v>
      </c>
      <c r="L34" s="41">
        <f t="shared" si="4"/>
        <v>0.99</v>
      </c>
      <c r="M34" s="42">
        <f t="shared" si="1"/>
        <v>0.4375</v>
      </c>
      <c r="N34" s="43">
        <f>(VLOOKUP(MONTH('Amortization Model 101'!$B34),Seasonality,2,TRUE))</f>
        <v>1.1299999999999999</v>
      </c>
      <c r="O34" s="50">
        <f t="shared" si="11"/>
        <v>3.3890092452468698E-3</v>
      </c>
    </row>
    <row r="35" spans="2:15" ht="15" x14ac:dyDescent="0.25">
      <c r="B35" s="57">
        <f t="shared" si="5"/>
        <v>43009</v>
      </c>
      <c r="C35" s="36">
        <f t="shared" si="6"/>
        <v>9450442.2616655137</v>
      </c>
      <c r="D35" s="39">
        <f t="shared" si="14"/>
        <v>57933.837072222967</v>
      </c>
      <c r="E35" s="36">
        <f t="shared" si="8"/>
        <v>47252.211308327569</v>
      </c>
      <c r="F35" s="36">
        <f t="shared" si="12"/>
        <v>10681.625763895398</v>
      </c>
      <c r="G35" s="36">
        <f t="shared" si="9"/>
        <v>0</v>
      </c>
      <c r="H35" s="38">
        <f t="shared" si="13"/>
        <v>29955.739967580892</v>
      </c>
      <c r="I35" s="36">
        <f t="shared" si="10"/>
        <v>9409804.8959340379</v>
      </c>
      <c r="J35" s="2">
        <f t="shared" si="2"/>
        <v>22</v>
      </c>
      <c r="K35" s="44">
        <f t="shared" si="3"/>
        <v>6.9243826282994192E-3</v>
      </c>
      <c r="L35" s="41">
        <f t="shared" si="4"/>
        <v>0.99</v>
      </c>
      <c r="M35" s="42">
        <f t="shared" si="1"/>
        <v>0.45833333333333331</v>
      </c>
      <c r="N35" s="43">
        <f>(VLOOKUP(MONTH('Amortization Model 101'!$B35),Seasonality,2,TRUE))</f>
        <v>1.01</v>
      </c>
      <c r="O35" s="50">
        <f t="shared" si="11"/>
        <v>3.1733580037667697E-3</v>
      </c>
    </row>
    <row r="36" spans="2:15" ht="15" x14ac:dyDescent="0.25">
      <c r="B36" s="57">
        <f t="shared" si="5"/>
        <v>43040</v>
      </c>
      <c r="C36" s="36">
        <f t="shared" si="6"/>
        <v>9409804.8959340379</v>
      </c>
      <c r="D36" s="39">
        <f t="shared" si="14"/>
        <v>57749.992266660913</v>
      </c>
      <c r="E36" s="36">
        <f t="shared" si="8"/>
        <v>47049.024479670188</v>
      </c>
      <c r="F36" s="36">
        <f t="shared" si="12"/>
        <v>10700.967786990725</v>
      </c>
      <c r="G36" s="36">
        <f t="shared" si="9"/>
        <v>0</v>
      </c>
      <c r="H36" s="38">
        <f t="shared" si="13"/>
        <v>26551.420108151477</v>
      </c>
      <c r="I36" s="36">
        <f t="shared" si="10"/>
        <v>9372552.5080388971</v>
      </c>
      <c r="J36" s="2">
        <f t="shared" si="2"/>
        <v>23</v>
      </c>
      <c r="K36" s="44">
        <f t="shared" si="3"/>
        <v>6.9243826282994192E-3</v>
      </c>
      <c r="L36" s="41">
        <f t="shared" si="4"/>
        <v>0.99</v>
      </c>
      <c r="M36" s="42">
        <f t="shared" si="1"/>
        <v>0.47916666666666669</v>
      </c>
      <c r="N36" s="43">
        <f>(VLOOKUP(MONTH('Amortization Model 101'!$B36),Seasonality,2,TRUE))</f>
        <v>0.86</v>
      </c>
      <c r="O36" s="50">
        <f t="shared" si="11"/>
        <v>2.8248884479976019E-3</v>
      </c>
    </row>
    <row r="37" spans="2:15" ht="15" x14ac:dyDescent="0.25">
      <c r="B37" s="57">
        <f t="shared" si="5"/>
        <v>43070</v>
      </c>
      <c r="C37" s="36">
        <f t="shared" si="6"/>
        <v>9372552.5080388971</v>
      </c>
      <c r="D37" s="39">
        <f t="shared" si="14"/>
        <v>57586.854980634882</v>
      </c>
      <c r="E37" s="36">
        <f t="shared" si="8"/>
        <v>46862.76254019449</v>
      </c>
      <c r="F37" s="36">
        <f t="shared" si="12"/>
        <v>10724.092440440392</v>
      </c>
      <c r="G37" s="36">
        <f t="shared" si="9"/>
        <v>0</v>
      </c>
      <c r="H37" s="40">
        <f t="shared" si="13"/>
        <v>28879.484953315019</v>
      </c>
      <c r="I37" s="36">
        <f t="shared" si="10"/>
        <v>9332948.9306451399</v>
      </c>
      <c r="J37" s="2">
        <f t="shared" si="2"/>
        <v>24</v>
      </c>
      <c r="K37" s="44">
        <f t="shared" si="3"/>
        <v>6.9243826282994192E-3</v>
      </c>
      <c r="L37" s="41">
        <f t="shared" si="4"/>
        <v>0.99</v>
      </c>
      <c r="M37" s="42">
        <f t="shared" si="1"/>
        <v>0.5</v>
      </c>
      <c r="N37" s="43">
        <f>(VLOOKUP(MONTH('Amortization Model 101'!$B37),Seasonality,2,TRUE))</f>
        <v>0.9</v>
      </c>
      <c r="O37" s="50">
        <f t="shared" si="11"/>
        <v>3.0848124609073914E-3</v>
      </c>
    </row>
    <row r="38" spans="2:15" ht="15" x14ac:dyDescent="0.25">
      <c r="B38" s="57">
        <f t="shared" si="5"/>
        <v>43101</v>
      </c>
      <c r="C38" s="36">
        <f t="shared" si="6"/>
        <v>9332948.9306451399</v>
      </c>
      <c r="D38" s="39">
        <f t="shared" si="14"/>
        <v>57409.210332806142</v>
      </c>
      <c r="E38" s="36">
        <f t="shared" si="8"/>
        <v>46664.744653225702</v>
      </c>
      <c r="F38" s="36">
        <f t="shared" si="12"/>
        <v>10744.46567958044</v>
      </c>
      <c r="G38" s="36">
        <f t="shared" si="9"/>
        <v>0</v>
      </c>
      <c r="H38" s="38">
        <f t="shared" si="13"/>
        <v>29622.632780116353</v>
      </c>
      <c r="I38" s="36">
        <f t="shared" si="10"/>
        <v>9292581.8321854435</v>
      </c>
      <c r="J38" s="2">
        <f t="shared" si="2"/>
        <v>25</v>
      </c>
      <c r="K38" s="44">
        <f t="shared" si="3"/>
        <v>6.9243826282994192E-3</v>
      </c>
      <c r="L38" s="41">
        <f t="shared" si="4"/>
        <v>0.99</v>
      </c>
      <c r="M38" s="42">
        <f t="shared" si="1"/>
        <v>0.52083333333333337</v>
      </c>
      <c r="N38" s="43">
        <f>(VLOOKUP(MONTH('Amortization Model 101'!$B38),Seasonality,2,TRUE))</f>
        <v>0.89</v>
      </c>
      <c r="O38" s="50">
        <f t="shared" si="11"/>
        <v>3.1776424655180304E-3</v>
      </c>
    </row>
    <row r="39" spans="2:15" ht="15" x14ac:dyDescent="0.25">
      <c r="B39" s="57">
        <f t="shared" si="5"/>
        <v>43132</v>
      </c>
      <c r="C39" s="36">
        <f t="shared" si="6"/>
        <v>9292581.8321854435</v>
      </c>
      <c r="D39" s="39">
        <f t="shared" si="14"/>
        <v>57226.784388140768</v>
      </c>
      <c r="E39" s="36">
        <f t="shared" si="8"/>
        <v>46462.909160927222</v>
      </c>
      <c r="F39" s="36">
        <f t="shared" si="12"/>
        <v>10763.875227213546</v>
      </c>
      <c r="G39" s="36">
        <f t="shared" si="9"/>
        <v>0</v>
      </c>
      <c r="H39" s="38">
        <f t="shared" si="13"/>
        <v>31018.723334623628</v>
      </c>
      <c r="I39" s="36">
        <f t="shared" si="10"/>
        <v>9250799.2336236071</v>
      </c>
      <c r="J39" s="2">
        <f t="shared" si="2"/>
        <v>26</v>
      </c>
      <c r="K39" s="44">
        <f t="shared" si="3"/>
        <v>6.9243826282994192E-3</v>
      </c>
      <c r="L39" s="41">
        <f t="shared" si="4"/>
        <v>0.99</v>
      </c>
      <c r="M39" s="42">
        <f t="shared" si="1"/>
        <v>0.54166666666666663</v>
      </c>
      <c r="N39" s="43">
        <f>(VLOOKUP(MONTH('Amortization Model 101'!$B39),Seasonality,2,TRUE))</f>
        <v>0.9</v>
      </c>
      <c r="O39" s="50">
        <f t="shared" si="11"/>
        <v>3.3418801659830071E-3</v>
      </c>
    </row>
    <row r="40" spans="2:15" ht="15" x14ac:dyDescent="0.25">
      <c r="B40" s="57">
        <f t="shared" si="5"/>
        <v>43160</v>
      </c>
      <c r="C40" s="36">
        <f t="shared" si="6"/>
        <v>9250799.2336236071</v>
      </c>
      <c r="D40" s="39">
        <f t="shared" si="14"/>
        <v>57035.53933243105</v>
      </c>
      <c r="E40" s="36">
        <f t="shared" si="8"/>
        <v>46253.996168118036</v>
      </c>
      <c r="F40" s="36">
        <f t="shared" si="12"/>
        <v>10781.543164313014</v>
      </c>
      <c r="G40" s="36">
        <f t="shared" si="9"/>
        <v>0</v>
      </c>
      <c r="H40" s="38">
        <f t="shared" si="13"/>
        <v>33848.169531258602</v>
      </c>
      <c r="I40" s="36">
        <f t="shared" si="10"/>
        <v>9206169.5209280364</v>
      </c>
      <c r="J40" s="2">
        <f t="shared" si="2"/>
        <v>27</v>
      </c>
      <c r="K40" s="44">
        <f t="shared" si="3"/>
        <v>6.9243826282994192E-3</v>
      </c>
      <c r="L40" s="41">
        <f t="shared" si="4"/>
        <v>0.99</v>
      </c>
      <c r="M40" s="42">
        <f t="shared" si="1"/>
        <v>0.5625</v>
      </c>
      <c r="N40" s="43">
        <f>(VLOOKUP(MONTH('Amortization Model 101'!$B40),Seasonality,2,TRUE))</f>
        <v>0.95</v>
      </c>
      <c r="O40" s="50">
        <f t="shared" si="11"/>
        <v>3.6632147973275266E-3</v>
      </c>
    </row>
    <row r="41" spans="2:15" ht="15" x14ac:dyDescent="0.25">
      <c r="B41" s="57">
        <f t="shared" si="5"/>
        <v>43191</v>
      </c>
      <c r="C41" s="36">
        <f t="shared" si="6"/>
        <v>9206169.5209280364</v>
      </c>
      <c r="D41" s="39">
        <f t="shared" si="14"/>
        <v>56826.605900774943</v>
      </c>
      <c r="E41" s="36">
        <f t="shared" si="8"/>
        <v>46030.847604640177</v>
      </c>
      <c r="F41" s="36">
        <f t="shared" si="12"/>
        <v>10795.758296134765</v>
      </c>
      <c r="G41" s="36">
        <f t="shared" si="9"/>
        <v>0</v>
      </c>
      <c r="H41" s="38">
        <f t="shared" si="13"/>
        <v>35299.915548386562</v>
      </c>
      <c r="I41" s="36">
        <f t="shared" si="10"/>
        <v>9160073.8470835164</v>
      </c>
      <c r="J41" s="2">
        <f t="shared" si="2"/>
        <v>28</v>
      </c>
      <c r="K41" s="44">
        <f t="shared" si="3"/>
        <v>6.9243826282994192E-3</v>
      </c>
      <c r="L41" s="41">
        <f t="shared" si="4"/>
        <v>0.99</v>
      </c>
      <c r="M41" s="42">
        <f t="shared" si="1"/>
        <v>0.58333333333333337</v>
      </c>
      <c r="N41" s="43">
        <f>(VLOOKUP(MONTH('Amortization Model 101'!$B41),Seasonality,2,TRUE))</f>
        <v>0.96</v>
      </c>
      <c r="O41" s="50">
        <f t="shared" si="11"/>
        <v>3.8388777291291976E-3</v>
      </c>
    </row>
    <row r="42" spans="2:15" ht="15" x14ac:dyDescent="0.25">
      <c r="B42" s="57">
        <f t="shared" si="5"/>
        <v>43221</v>
      </c>
      <c r="C42" s="36">
        <f t="shared" si="6"/>
        <v>9160073.8470835164</v>
      </c>
      <c r="D42" s="39">
        <f t="shared" si="14"/>
        <v>56608.455508960462</v>
      </c>
      <c r="E42" s="36">
        <f t="shared" si="8"/>
        <v>45800.36923541758</v>
      </c>
      <c r="F42" s="36">
        <f t="shared" si="12"/>
        <v>10808.086273542882</v>
      </c>
      <c r="G42" s="36">
        <f t="shared" si="9"/>
        <v>0</v>
      </c>
      <c r="H42" s="38">
        <f t="shared" si="13"/>
        <v>40166.604624678352</v>
      </c>
      <c r="I42" s="36">
        <f t="shared" si="10"/>
        <v>9109099.1561852954</v>
      </c>
      <c r="J42" s="2">
        <f t="shared" si="2"/>
        <v>29</v>
      </c>
      <c r="K42" s="44">
        <f t="shared" si="3"/>
        <v>6.9243826282994192E-3</v>
      </c>
      <c r="L42" s="41">
        <f t="shared" si="4"/>
        <v>0.99</v>
      </c>
      <c r="M42" s="42">
        <f t="shared" si="1"/>
        <v>0.60416666666666663</v>
      </c>
      <c r="N42" s="43">
        <f>(VLOOKUP(MONTH('Amortization Model 101'!$B42),Seasonality,2,TRUE))</f>
        <v>1.06</v>
      </c>
      <c r="O42" s="50">
        <f t="shared" si="11"/>
        <v>4.3901451411246855E-3</v>
      </c>
    </row>
    <row r="43" spans="2:15" ht="15" x14ac:dyDescent="0.25">
      <c r="B43" s="57">
        <f t="shared" si="5"/>
        <v>43252</v>
      </c>
      <c r="C43" s="36">
        <f t="shared" si="6"/>
        <v>9109099.1561852954</v>
      </c>
      <c r="D43" s="39">
        <f t="shared" si="14"/>
        <v>56359.936173061229</v>
      </c>
      <c r="E43" s="36">
        <f t="shared" si="8"/>
        <v>45545.495780926482</v>
      </c>
      <c r="F43" s="36">
        <f t="shared" si="12"/>
        <v>10814.440392134748</v>
      </c>
      <c r="G43" s="36">
        <f t="shared" si="9"/>
        <v>0</v>
      </c>
      <c r="H43" s="38">
        <f t="shared" si="13"/>
        <v>42489.565624911927</v>
      </c>
      <c r="I43" s="36">
        <f t="shared" si="10"/>
        <v>9055795.1501682494</v>
      </c>
      <c r="J43" s="2">
        <f t="shared" si="2"/>
        <v>30</v>
      </c>
      <c r="K43" s="44">
        <f t="shared" si="3"/>
        <v>6.9243826282994192E-3</v>
      </c>
      <c r="L43" s="41">
        <f t="shared" si="4"/>
        <v>0.99</v>
      </c>
      <c r="M43" s="42">
        <f t="shared" si="1"/>
        <v>0.625</v>
      </c>
      <c r="N43" s="43">
        <f>(VLOOKUP(MONTH('Amortization Model 101'!$B43),Seasonality,2,TRUE))</f>
        <v>1.0900000000000001</v>
      </c>
      <c r="O43" s="50">
        <f t="shared" si="11"/>
        <v>4.67006330887369E-3</v>
      </c>
    </row>
    <row r="44" spans="2:15" ht="15" x14ac:dyDescent="0.25">
      <c r="B44" s="57">
        <f t="shared" si="5"/>
        <v>43282</v>
      </c>
      <c r="C44" s="36">
        <f t="shared" si="6"/>
        <v>9055795.1501682494</v>
      </c>
      <c r="D44" s="39">
        <f t="shared" si="14"/>
        <v>56096.731703048958</v>
      </c>
      <c r="E44" s="36">
        <f t="shared" si="8"/>
        <v>45278.975750841251</v>
      </c>
      <c r="F44" s="36">
        <f t="shared" si="12"/>
        <v>10817.755952207706</v>
      </c>
      <c r="G44" s="36">
        <f t="shared" si="9"/>
        <v>0</v>
      </c>
      <c r="H44" s="38">
        <f t="shared" si="13"/>
        <v>44049.083843691813</v>
      </c>
      <c r="I44" s="36">
        <f t="shared" si="10"/>
        <v>9000928.3103723507</v>
      </c>
      <c r="J44" s="2">
        <f t="shared" si="2"/>
        <v>31</v>
      </c>
      <c r="K44" s="44">
        <f t="shared" si="3"/>
        <v>6.9243826282994192E-3</v>
      </c>
      <c r="L44" s="41">
        <f t="shared" si="4"/>
        <v>0.99</v>
      </c>
      <c r="M44" s="42">
        <f t="shared" si="1"/>
        <v>0.64583333333333337</v>
      </c>
      <c r="N44" s="43">
        <f>(VLOOKUP(MONTH('Amortization Model 101'!$B44),Seasonality,2,TRUE))</f>
        <v>1.1000000000000001</v>
      </c>
      <c r="O44" s="50">
        <f t="shared" si="11"/>
        <v>4.8700048572658363E-3</v>
      </c>
    </row>
    <row r="45" spans="2:15" ht="15" x14ac:dyDescent="0.25">
      <c r="B45" s="57">
        <f t="shared" si="5"/>
        <v>43313</v>
      </c>
      <c r="C45" s="36">
        <f t="shared" si="6"/>
        <v>9000928.3103723507</v>
      </c>
      <c r="D45" s="39">
        <f t="shared" si="14"/>
        <v>55823.540347178372</v>
      </c>
      <c r="E45" s="36">
        <f t="shared" si="8"/>
        <v>45004.64155186175</v>
      </c>
      <c r="F45" s="36">
        <f t="shared" si="12"/>
        <v>10818.898795316622</v>
      </c>
      <c r="G45" s="36">
        <f t="shared" si="9"/>
        <v>0</v>
      </c>
      <c r="H45" s="38">
        <f t="shared" si="13"/>
        <v>47248.476693950659</v>
      </c>
      <c r="I45" s="36">
        <f t="shared" si="10"/>
        <v>8942860.9348830841</v>
      </c>
      <c r="J45" s="2">
        <f t="shared" si="2"/>
        <v>32</v>
      </c>
      <c r="K45" s="44">
        <f t="shared" si="3"/>
        <v>6.9243826282994192E-3</v>
      </c>
      <c r="L45" s="41">
        <f t="shared" si="4"/>
        <v>0.99</v>
      </c>
      <c r="M45" s="42">
        <f t="shared" si="1"/>
        <v>0.66666666666666663</v>
      </c>
      <c r="N45" s="43">
        <f>(VLOOKUP(MONTH('Amortization Model 101'!$B45),Seasonality,2,TRUE))</f>
        <v>1.1499999999999999</v>
      </c>
      <c r="O45" s="50">
        <f t="shared" si="11"/>
        <v>5.255606414879258E-3</v>
      </c>
    </row>
    <row r="46" spans="2:15" ht="15" x14ac:dyDescent="0.25">
      <c r="B46" s="57">
        <f t="shared" si="5"/>
        <v>43344</v>
      </c>
      <c r="C46" s="36">
        <f t="shared" si="6"/>
        <v>8942860.9348830841</v>
      </c>
      <c r="D46" s="39">
        <f t="shared" si="14"/>
        <v>55530.153790428471</v>
      </c>
      <c r="E46" s="36">
        <f t="shared" si="8"/>
        <v>44714.30467441542</v>
      </c>
      <c r="F46" s="36">
        <f t="shared" si="12"/>
        <v>10815.849116013051</v>
      </c>
      <c r="G46" s="36">
        <f t="shared" si="9"/>
        <v>0</v>
      </c>
      <c r="H46" s="38">
        <f t="shared" si="13"/>
        <v>47568.373874413031</v>
      </c>
      <c r="I46" s="36">
        <f t="shared" si="10"/>
        <v>8884476.7118926588</v>
      </c>
      <c r="J46" s="2">
        <f t="shared" si="2"/>
        <v>33</v>
      </c>
      <c r="K46" s="44">
        <f t="shared" si="3"/>
        <v>6.9243826282994192E-3</v>
      </c>
      <c r="L46" s="41">
        <f t="shared" si="4"/>
        <v>0.99</v>
      </c>
      <c r="M46" s="42">
        <f t="shared" si="1"/>
        <v>0.6875</v>
      </c>
      <c r="N46" s="43">
        <f>(VLOOKUP(MONTH('Amortization Model 101'!$B46),Seasonality,2,TRUE))</f>
        <v>1.1299999999999999</v>
      </c>
      <c r="O46" s="50">
        <f t="shared" si="11"/>
        <v>5.3255859568165096E-3</v>
      </c>
    </row>
    <row r="47" spans="2:15" ht="15" x14ac:dyDescent="0.25">
      <c r="B47" s="57">
        <f t="shared" si="5"/>
        <v>43374</v>
      </c>
      <c r="C47" s="36">
        <f t="shared" si="6"/>
        <v>8884476.7118926588</v>
      </c>
      <c r="D47" s="39">
        <f t="shared" si="14"/>
        <v>55234.423183222309</v>
      </c>
      <c r="E47" s="36">
        <f t="shared" si="8"/>
        <v>44422.383559463291</v>
      </c>
      <c r="F47" s="36">
        <f t="shared" si="12"/>
        <v>10812.039623759018</v>
      </c>
      <c r="G47" s="36">
        <f t="shared" si="9"/>
        <v>0</v>
      </c>
      <c r="H47" s="38">
        <f t="shared" si="13"/>
        <v>43518.941070752553</v>
      </c>
      <c r="I47" s="36">
        <f t="shared" si="10"/>
        <v>8830145.7311981469</v>
      </c>
      <c r="J47" s="2">
        <f t="shared" si="2"/>
        <v>34</v>
      </c>
      <c r="K47" s="44">
        <f t="shared" si="3"/>
        <v>6.9243826282994192E-3</v>
      </c>
      <c r="L47" s="41">
        <f t="shared" si="4"/>
        <v>0.99</v>
      </c>
      <c r="M47" s="42">
        <f t="shared" si="1"/>
        <v>0.70833333333333337</v>
      </c>
      <c r="N47" s="43">
        <f>(VLOOKUP(MONTH('Amortization Model 101'!$B47),Seasonality,2,TRUE))</f>
        <v>1.01</v>
      </c>
      <c r="O47" s="50">
        <f t="shared" si="11"/>
        <v>4.9042805512759177E-3</v>
      </c>
    </row>
    <row r="48" spans="2:15" ht="15" x14ac:dyDescent="0.25">
      <c r="B48" s="57">
        <f t="shared" si="5"/>
        <v>43405</v>
      </c>
      <c r="C48" s="36">
        <f t="shared" si="6"/>
        <v>8830145.7311981469</v>
      </c>
      <c r="D48" s="39">
        <f t="shared" si="14"/>
        <v>54963.538075843891</v>
      </c>
      <c r="E48" s="36">
        <f t="shared" si="8"/>
        <v>44150.728655990737</v>
      </c>
      <c r="F48" s="36">
        <f t="shared" si="12"/>
        <v>10812.809419853154</v>
      </c>
      <c r="G48" s="36">
        <f t="shared" si="9"/>
        <v>0</v>
      </c>
      <c r="H48" s="38">
        <f t="shared" si="13"/>
        <v>37912.048223572841</v>
      </c>
      <c r="I48" s="36">
        <f t="shared" si="10"/>
        <v>8781420.8735547196</v>
      </c>
      <c r="J48" s="2">
        <f t="shared" si="2"/>
        <v>35</v>
      </c>
      <c r="K48" s="44">
        <f t="shared" si="3"/>
        <v>6.9243826282994192E-3</v>
      </c>
      <c r="L48" s="41">
        <f t="shared" si="4"/>
        <v>0.99</v>
      </c>
      <c r="M48" s="42">
        <f t="shared" si="1"/>
        <v>0.72916666666666663</v>
      </c>
      <c r="N48" s="43">
        <f>(VLOOKUP(MONTH('Amortization Model 101'!$B48),Seasonality,2,TRUE))</f>
        <v>0.86</v>
      </c>
      <c r="O48" s="50">
        <f t="shared" si="11"/>
        <v>4.298743290431133E-3</v>
      </c>
    </row>
    <row r="49" spans="2:15" ht="15" x14ac:dyDescent="0.25">
      <c r="B49" s="57">
        <f t="shared" ref="B49:B51" si="15">IF(C49&gt;0,EDATE(B48,1),"")</f>
        <v>43435</v>
      </c>
      <c r="C49" s="36">
        <f t="shared" ref="C49:C51" si="16">+I48</f>
        <v>8781420.8735547196</v>
      </c>
      <c r="D49" s="39">
        <f t="shared" si="14"/>
        <v>54727.263935322</v>
      </c>
      <c r="E49" s="36">
        <f t="shared" ref="E49:E51" si="17">($F$7*C49)/12</f>
        <v>43907.104367773594</v>
      </c>
      <c r="F49" s="36">
        <f t="shared" ref="F49:F51" si="18">D49-E49-G49</f>
        <v>10820.159567548406</v>
      </c>
      <c r="G49" s="36">
        <f t="shared" si="9"/>
        <v>0</v>
      </c>
      <c r="H49" s="40">
        <f t="shared" si="13"/>
        <v>40583.487558226334</v>
      </c>
      <c r="I49" s="36">
        <f t="shared" ref="I49:I51" si="19">IF(J49&gt;$F$3,0,C49-F49-H49)</f>
        <v>8730017.2264289446</v>
      </c>
      <c r="J49" s="2">
        <f t="shared" si="2"/>
        <v>36</v>
      </c>
      <c r="K49" s="44">
        <f t="shared" si="3"/>
        <v>6.9243826282994192E-3</v>
      </c>
      <c r="L49" s="41">
        <f t="shared" si="4"/>
        <v>0.99</v>
      </c>
      <c r="M49" s="42">
        <f t="shared" si="1"/>
        <v>0.75</v>
      </c>
      <c r="N49" s="43">
        <f>(VLOOKUP(MONTH('Amortization Model 101'!$B49),Seasonality,2,TRUE))</f>
        <v>0.9</v>
      </c>
      <c r="O49" s="50">
        <f t="shared" si="11"/>
        <v>4.6272186913610871E-3</v>
      </c>
    </row>
    <row r="50" spans="2:15" ht="15" x14ac:dyDescent="0.25">
      <c r="B50" s="57">
        <f t="shared" si="15"/>
        <v>43466</v>
      </c>
      <c r="C50" s="36">
        <f t="shared" si="16"/>
        <v>8730017.2264289446</v>
      </c>
      <c r="D50" s="39">
        <f t="shared" si="14"/>
        <v>54474.028916713418</v>
      </c>
      <c r="E50" s="36">
        <f t="shared" si="17"/>
        <v>43650.086132144723</v>
      </c>
      <c r="F50" s="36">
        <f t="shared" si="18"/>
        <v>10823.942784568695</v>
      </c>
      <c r="G50" s="36">
        <f t="shared" si="9"/>
        <v>0</v>
      </c>
      <c r="H50" s="38">
        <f t="shared" si="13"/>
        <v>41005.588687888594</v>
      </c>
      <c r="I50" s="36">
        <f t="shared" si="19"/>
        <v>8678187.694956487</v>
      </c>
      <c r="J50" s="2">
        <f t="shared" si="2"/>
        <v>37</v>
      </c>
      <c r="K50" s="44">
        <f t="shared" si="3"/>
        <v>6.9243826282994192E-3</v>
      </c>
      <c r="L50" s="41">
        <f t="shared" si="4"/>
        <v>0.99</v>
      </c>
      <c r="M50" s="42">
        <f t="shared" si="1"/>
        <v>0.77083333333333337</v>
      </c>
      <c r="N50" s="43">
        <f>(VLOOKUP(MONTH('Amortization Model 101'!$B50),Seasonality,2,TRUE))</f>
        <v>0.89</v>
      </c>
      <c r="O50" s="50">
        <f t="shared" si="11"/>
        <v>4.7029108489666854E-3</v>
      </c>
    </row>
    <row r="51" spans="2:15" ht="15" x14ac:dyDescent="0.25">
      <c r="B51" s="57">
        <f t="shared" si="15"/>
        <v>43497</v>
      </c>
      <c r="C51" s="36">
        <f t="shared" si="16"/>
        <v>8678187.694956487</v>
      </c>
      <c r="D51" s="39">
        <f t="shared" si="14"/>
        <v>54217.842415134081</v>
      </c>
      <c r="E51" s="36">
        <f t="shared" si="17"/>
        <v>43390.93847478243</v>
      </c>
      <c r="F51" s="36">
        <f t="shared" si="18"/>
        <v>10826.903940351651</v>
      </c>
      <c r="G51" s="36">
        <f t="shared" si="9"/>
        <v>0</v>
      </c>
      <c r="H51" s="38">
        <f t="shared" si="13"/>
        <v>42333.872404568967</v>
      </c>
      <c r="I51" s="36">
        <f t="shared" si="19"/>
        <v>8625026.9186115656</v>
      </c>
      <c r="J51" s="2">
        <f t="shared" si="2"/>
        <v>38</v>
      </c>
      <c r="K51" s="44">
        <f t="shared" si="3"/>
        <v>6.9243826282994192E-3</v>
      </c>
      <c r="L51" s="41">
        <f t="shared" si="4"/>
        <v>0.99</v>
      </c>
      <c r="M51" s="42">
        <f t="shared" si="1"/>
        <v>0.79166666666666663</v>
      </c>
      <c r="N51" s="43">
        <f>(VLOOKUP(MONTH('Amortization Model 101'!$B51),Seasonality,2,TRUE))</f>
        <v>0.9</v>
      </c>
      <c r="O51" s="50">
        <f t="shared" si="11"/>
        <v>4.8842863964367027E-3</v>
      </c>
    </row>
    <row r="52" spans="2:15" ht="15" x14ac:dyDescent="0.25">
      <c r="B52" s="57">
        <f t="shared" si="5"/>
        <v>43525</v>
      </c>
      <c r="C52" s="36">
        <f t="shared" si="6"/>
        <v>8625026.9186115656</v>
      </c>
      <c r="D52" s="39">
        <f t="shared" si="14"/>
        <v>53953.026944981684</v>
      </c>
      <c r="E52" s="36">
        <f t="shared" si="8"/>
        <v>43125.134593057825</v>
      </c>
      <c r="F52" s="36">
        <f t="shared" si="12"/>
        <v>10827.89235192386</v>
      </c>
      <c r="G52" s="36">
        <f t="shared" si="9"/>
        <v>0</v>
      </c>
      <c r="H52" s="38">
        <f t="shared" si="13"/>
        <v>45580.399713504776</v>
      </c>
      <c r="I52" s="36">
        <f t="shared" si="10"/>
        <v>8568618.626546137</v>
      </c>
      <c r="J52" s="2">
        <f t="shared" si="2"/>
        <v>39</v>
      </c>
      <c r="K52" s="44">
        <f t="shared" si="3"/>
        <v>6.9243826282994192E-3</v>
      </c>
      <c r="L52" s="41">
        <f t="shared" si="4"/>
        <v>0.99</v>
      </c>
      <c r="M52" s="42">
        <f t="shared" si="1"/>
        <v>0.8125</v>
      </c>
      <c r="N52" s="43">
        <f>(VLOOKUP(MONTH('Amortization Model 101'!$B52),Seasonality,2,TRUE))</f>
        <v>0.95</v>
      </c>
      <c r="O52" s="50">
        <f t="shared" si="11"/>
        <v>5.2913102628064273E-3</v>
      </c>
    </row>
    <row r="53" spans="2:15" ht="15" x14ac:dyDescent="0.25">
      <c r="B53" s="57">
        <f t="shared" si="5"/>
        <v>43556</v>
      </c>
      <c r="C53" s="36">
        <f t="shared" si="6"/>
        <v>8568618.626546137</v>
      </c>
      <c r="D53" s="39">
        <f t="shared" si="14"/>
        <v>53667.544739798235</v>
      </c>
      <c r="E53" s="36">
        <f t="shared" si="8"/>
        <v>42843.093132730683</v>
      </c>
      <c r="F53" s="36">
        <f t="shared" si="12"/>
        <v>10824.451607067553</v>
      </c>
      <c r="G53" s="36">
        <f t="shared" si="9"/>
        <v>0</v>
      </c>
      <c r="H53" s="38">
        <f t="shared" si="13"/>
        <v>46931.893526635962</v>
      </c>
      <c r="I53" s="36">
        <f t="shared" si="10"/>
        <v>8510862.2814124338</v>
      </c>
      <c r="J53" s="2">
        <f t="shared" si="2"/>
        <v>40</v>
      </c>
      <c r="K53" s="44">
        <f t="shared" si="3"/>
        <v>6.9243826282994192E-3</v>
      </c>
      <c r="L53" s="41">
        <f t="shared" si="4"/>
        <v>0.99</v>
      </c>
      <c r="M53" s="42">
        <f t="shared" si="1"/>
        <v>0.83333333333333337</v>
      </c>
      <c r="N53" s="43">
        <f>(VLOOKUP(MONTH('Amortization Model 101'!$B53),Seasonality,2,TRUE))</f>
        <v>0.96</v>
      </c>
      <c r="O53" s="50">
        <f t="shared" si="11"/>
        <v>5.4841110416131399E-3</v>
      </c>
    </row>
    <row r="54" spans="2:15" ht="15" x14ac:dyDescent="0.25">
      <c r="B54" s="57">
        <f t="shared" si="5"/>
        <v>43586</v>
      </c>
      <c r="C54" s="36">
        <f t="shared" si="6"/>
        <v>8510862.2814124338</v>
      </c>
      <c r="D54" s="39">
        <f t="shared" si="14"/>
        <v>53373.225965114441</v>
      </c>
      <c r="E54" s="36">
        <f t="shared" si="8"/>
        <v>42554.311407062167</v>
      </c>
      <c r="F54" s="36">
        <f t="shared" si="12"/>
        <v>10818.914558052275</v>
      </c>
      <c r="G54" s="36">
        <f t="shared" si="9"/>
        <v>0</v>
      </c>
      <c r="H54" s="38">
        <f t="shared" si="13"/>
        <v>52757.703018625507</v>
      </c>
      <c r="I54" s="36">
        <f t="shared" si="10"/>
        <v>8447285.6638357546</v>
      </c>
      <c r="J54" s="2">
        <f t="shared" si="2"/>
        <v>41</v>
      </c>
      <c r="K54" s="44">
        <f t="shared" si="3"/>
        <v>6.9243826282994192E-3</v>
      </c>
      <c r="L54" s="41">
        <f t="shared" si="4"/>
        <v>0.99</v>
      </c>
      <c r="M54" s="42">
        <f t="shared" si="1"/>
        <v>0.85416666666666663</v>
      </c>
      <c r="N54" s="43">
        <f>(VLOOKUP(MONTH('Amortization Model 101'!$B54),Seasonality,2,TRUE))</f>
        <v>1.06</v>
      </c>
      <c r="O54" s="50">
        <f t="shared" si="11"/>
        <v>6.206756923659038E-3</v>
      </c>
    </row>
    <row r="55" spans="2:15" ht="15" x14ac:dyDescent="0.25">
      <c r="B55" s="57">
        <f t="shared" si="5"/>
        <v>43617</v>
      </c>
      <c r="C55" s="36">
        <f t="shared" si="6"/>
        <v>8447285.6638357546</v>
      </c>
      <c r="D55" s="39">
        <f t="shared" si="14"/>
        <v>53041.951325317445</v>
      </c>
      <c r="E55" s="36">
        <f t="shared" si="8"/>
        <v>42236.428319178776</v>
      </c>
      <c r="F55" s="36">
        <f t="shared" si="12"/>
        <v>10805.523006138668</v>
      </c>
      <c r="G55" s="36">
        <f t="shared" si="9"/>
        <v>0</v>
      </c>
      <c r="H55" s="38">
        <f t="shared" si="13"/>
        <v>54601.298796256015</v>
      </c>
      <c r="I55" s="36">
        <f t="shared" si="10"/>
        <v>8381878.8420333592</v>
      </c>
      <c r="J55" s="2">
        <f t="shared" si="2"/>
        <v>42</v>
      </c>
      <c r="K55" s="44">
        <f t="shared" si="3"/>
        <v>6.9243826282994192E-3</v>
      </c>
      <c r="L55" s="41">
        <f t="shared" si="4"/>
        <v>0.98</v>
      </c>
      <c r="M55" s="42">
        <f t="shared" si="1"/>
        <v>0.875</v>
      </c>
      <c r="N55" s="43">
        <f>(VLOOKUP(MONTH('Amortization Model 101'!$B55),Seasonality,2,TRUE))</f>
        <v>1.0900000000000001</v>
      </c>
      <c r="O55" s="50">
        <f t="shared" si="11"/>
        <v>6.4720473331057599E-3</v>
      </c>
    </row>
    <row r="56" spans="2:15" ht="15" x14ac:dyDescent="0.25">
      <c r="B56" s="57">
        <f t="shared" si="5"/>
        <v>43647</v>
      </c>
      <c r="C56" s="36">
        <f t="shared" si="6"/>
        <v>8381878.8420333592</v>
      </c>
      <c r="D56" s="39">
        <f t="shared" si="14"/>
        <v>52698.661305699694</v>
      </c>
      <c r="E56" s="36">
        <f t="shared" si="8"/>
        <v>41909.394210166793</v>
      </c>
      <c r="F56" s="36">
        <f t="shared" si="12"/>
        <v>10789.267095532901</v>
      </c>
      <c r="G56" s="36">
        <f t="shared" si="9"/>
        <v>0</v>
      </c>
      <c r="H56" s="38">
        <f t="shared" si="13"/>
        <v>55976.923557118658</v>
      </c>
      <c r="I56" s="36">
        <f t="shared" si="10"/>
        <v>8315112.6513807075</v>
      </c>
      <c r="J56" s="2">
        <f t="shared" si="2"/>
        <v>43</v>
      </c>
      <c r="K56" s="44">
        <f t="shared" si="3"/>
        <v>6.9243826282994192E-3</v>
      </c>
      <c r="L56" s="41">
        <f t="shared" si="4"/>
        <v>0.98</v>
      </c>
      <c r="M56" s="42">
        <f t="shared" si="1"/>
        <v>0.89583333333333337</v>
      </c>
      <c r="N56" s="43">
        <f>(VLOOKUP(MONTH('Amortization Model 101'!$B56),Seasonality,2,TRUE))</f>
        <v>1.1000000000000001</v>
      </c>
      <c r="O56" s="50">
        <f t="shared" si="11"/>
        <v>6.6869340073373194E-3</v>
      </c>
    </row>
    <row r="57" spans="2:15" ht="15" x14ac:dyDescent="0.25">
      <c r="B57" s="57">
        <f t="shared" si="5"/>
        <v>43678</v>
      </c>
      <c r="C57" s="36">
        <f t="shared" si="6"/>
        <v>8315112.6513807075</v>
      </c>
      <c r="D57" s="39">
        <f t="shared" si="14"/>
        <v>52346.268835273455</v>
      </c>
      <c r="E57" s="36">
        <f t="shared" si="8"/>
        <v>41575.563256903537</v>
      </c>
      <c r="F57" s="36">
        <f t="shared" si="12"/>
        <v>10770.705578369918</v>
      </c>
      <c r="G57" s="36">
        <f t="shared" si="9"/>
        <v>0</v>
      </c>
      <c r="H57" s="38">
        <f t="shared" si="13"/>
        <v>59404.813535660382</v>
      </c>
      <c r="I57" s="36">
        <f t="shared" si="10"/>
        <v>8244937.132266677</v>
      </c>
      <c r="J57" s="2">
        <f t="shared" si="2"/>
        <v>44</v>
      </c>
      <c r="K57" s="44">
        <f t="shared" si="3"/>
        <v>6.9243826282994192E-3</v>
      </c>
      <c r="L57" s="41">
        <f t="shared" si="4"/>
        <v>0.98</v>
      </c>
      <c r="M57" s="42">
        <f t="shared" si="1"/>
        <v>0.91666666666666663</v>
      </c>
      <c r="N57" s="43">
        <f>(VLOOKUP(MONTH('Amortization Model 101'!$B57),Seasonality,2,TRUE))</f>
        <v>1.1499999999999999</v>
      </c>
      <c r="O57" s="50">
        <f t="shared" si="11"/>
        <v>7.1534642869189903E-3</v>
      </c>
    </row>
    <row r="58" spans="2:15" ht="15" x14ac:dyDescent="0.25">
      <c r="B58" s="57">
        <f t="shared" si="5"/>
        <v>43709</v>
      </c>
      <c r="C58" s="36">
        <f t="shared" si="6"/>
        <v>8244937.132266677</v>
      </c>
      <c r="D58" s="39">
        <f t="shared" si="14"/>
        <v>51971.811670606861</v>
      </c>
      <c r="E58" s="36">
        <f t="shared" si="8"/>
        <v>41224.685661333388</v>
      </c>
      <c r="F58" s="36">
        <f t="shared" si="12"/>
        <v>10747.126009273474</v>
      </c>
      <c r="G58" s="36">
        <f t="shared" si="9"/>
        <v>0</v>
      </c>
      <c r="H58" s="38">
        <f t="shared" si="13"/>
        <v>59194.006790387895</v>
      </c>
      <c r="I58" s="36">
        <f t="shared" si="10"/>
        <v>8174995.9994670162</v>
      </c>
      <c r="J58" s="2">
        <f t="shared" si="2"/>
        <v>45</v>
      </c>
      <c r="K58" s="44">
        <f t="shared" si="3"/>
        <v>6.9243826282994192E-3</v>
      </c>
      <c r="L58" s="41">
        <f t="shared" si="4"/>
        <v>0.98</v>
      </c>
      <c r="M58" s="42">
        <f t="shared" si="1"/>
        <v>0.9375</v>
      </c>
      <c r="N58" s="43">
        <f>(VLOOKUP(MONTH('Amortization Model 101'!$B58),Seasonality,2,TRUE))</f>
        <v>1.1299999999999999</v>
      </c>
      <c r="O58" s="50">
        <f t="shared" si="11"/>
        <v>7.1888074899176023E-3</v>
      </c>
    </row>
    <row r="59" spans="2:15" ht="15" x14ac:dyDescent="0.25">
      <c r="B59" s="57">
        <f t="shared" si="5"/>
        <v>43739</v>
      </c>
      <c r="C59" s="36">
        <f t="shared" si="6"/>
        <v>8174995.9994670162</v>
      </c>
      <c r="D59" s="39">
        <f t="shared" si="14"/>
        <v>51598.196321604628</v>
      </c>
      <c r="E59" s="36">
        <f t="shared" si="8"/>
        <v>40874.979997335082</v>
      </c>
      <c r="F59" s="36">
        <f t="shared" si="12"/>
        <v>10723.216324269546</v>
      </c>
      <c r="G59" s="36">
        <f t="shared" si="9"/>
        <v>0</v>
      </c>
      <c r="H59" s="38">
        <f t="shared" si="13"/>
        <v>53624.420109731931</v>
      </c>
      <c r="I59" s="36">
        <f t="shared" si="10"/>
        <v>8110648.3630330143</v>
      </c>
      <c r="J59" s="2">
        <f t="shared" si="2"/>
        <v>46</v>
      </c>
      <c r="K59" s="44">
        <f t="shared" si="3"/>
        <v>6.9243826282994192E-3</v>
      </c>
      <c r="L59" s="41">
        <f t="shared" si="4"/>
        <v>0.98</v>
      </c>
      <c r="M59" s="42">
        <f t="shared" si="1"/>
        <v>0.95833333333333337</v>
      </c>
      <c r="N59" s="43">
        <f>(VLOOKUP(MONTH('Amortization Model 101'!$B59),Seasonality,2,TRUE))</f>
        <v>1.01</v>
      </c>
      <c r="O59" s="50">
        <f t="shared" si="11"/>
        <v>6.5681808452619835E-3</v>
      </c>
    </row>
    <row r="60" spans="2:15" ht="15" x14ac:dyDescent="0.25">
      <c r="B60" s="57">
        <f t="shared" si="5"/>
        <v>43770</v>
      </c>
      <c r="C60" s="36">
        <f t="shared" si="6"/>
        <v>8110648.3630330143</v>
      </c>
      <c r="D60" s="39">
        <f t="shared" si="14"/>
        <v>51259.290036874983</v>
      </c>
      <c r="E60" s="36">
        <f t="shared" si="8"/>
        <v>40553.241815165071</v>
      </c>
      <c r="F60" s="36">
        <f t="shared" si="12"/>
        <v>10706.048221709912</v>
      </c>
      <c r="G60" s="36">
        <f t="shared" si="9"/>
        <v>0</v>
      </c>
      <c r="H60" s="38">
        <f t="shared" si="13"/>
        <v>46285.411762763026</v>
      </c>
      <c r="I60" s="36">
        <f t="shared" si="10"/>
        <v>8053656.9030485414</v>
      </c>
      <c r="J60" s="2">
        <f t="shared" si="2"/>
        <v>47</v>
      </c>
      <c r="K60" s="44">
        <f t="shared" si="3"/>
        <v>6.9243826282994192E-3</v>
      </c>
      <c r="L60" s="41">
        <f t="shared" si="4"/>
        <v>0.98</v>
      </c>
      <c r="M60" s="42">
        <f t="shared" si="1"/>
        <v>0.97916666666666663</v>
      </c>
      <c r="N60" s="43">
        <f>(VLOOKUP(MONTH('Amortization Model 101'!$B60),Seasonality,2,TRUE))</f>
        <v>0.86</v>
      </c>
      <c r="O60" s="50">
        <f t="shared" si="11"/>
        <v>5.7142890608155262E-3</v>
      </c>
    </row>
    <row r="61" spans="2:15" ht="15" x14ac:dyDescent="0.25">
      <c r="B61" s="57">
        <f t="shared" si="5"/>
        <v>43800</v>
      </c>
      <c r="C61" s="36">
        <f t="shared" si="6"/>
        <v>8053656.9030485414</v>
      </c>
      <c r="D61" s="39">
        <f t="shared" si="14"/>
        <v>50966.379636552105</v>
      </c>
      <c r="E61" s="36">
        <f t="shared" si="8"/>
        <v>40268.284515242703</v>
      </c>
      <c r="F61" s="36">
        <f t="shared" si="12"/>
        <v>10698.095121309401</v>
      </c>
      <c r="G61" s="36">
        <f t="shared" si="9"/>
        <v>0</v>
      </c>
      <c r="H61" s="40">
        <f t="shared" si="13"/>
        <v>49120.806388269913</v>
      </c>
      <c r="I61" s="36">
        <f t="shared" si="10"/>
        <v>7993838.0015389621</v>
      </c>
      <c r="J61" s="2">
        <f t="shared" si="2"/>
        <v>48</v>
      </c>
      <c r="K61" s="44">
        <f t="shared" si="3"/>
        <v>6.9243826282994192E-3</v>
      </c>
      <c r="L61" s="41">
        <f t="shared" si="4"/>
        <v>0.98</v>
      </c>
      <c r="M61" s="42">
        <f t="shared" si="1"/>
        <v>1</v>
      </c>
      <c r="N61" s="43">
        <f>(VLOOKUP(MONTH('Amortization Model 101'!$B61),Seasonality,2,TRUE))</f>
        <v>0.9</v>
      </c>
      <c r="O61" s="50">
        <f t="shared" si="11"/>
        <v>6.1073054781600874E-3</v>
      </c>
    </row>
    <row r="62" spans="2:15" ht="15" x14ac:dyDescent="0.25">
      <c r="B62" s="57">
        <f t="shared" si="5"/>
        <v>43831</v>
      </c>
      <c r="C62" s="36">
        <f t="shared" si="6"/>
        <v>7993838.0015389621</v>
      </c>
      <c r="D62" s="39">
        <f t="shared" si="14"/>
        <v>50655.112386995796</v>
      </c>
      <c r="E62" s="36">
        <f t="shared" si="8"/>
        <v>39969.190007694808</v>
      </c>
      <c r="F62" s="36">
        <f t="shared" si="12"/>
        <v>10685.922379300988</v>
      </c>
      <c r="G62" s="36">
        <f t="shared" si="9"/>
        <v>0</v>
      </c>
      <c r="H62" s="38">
        <f t="shared" si="13"/>
        <v>48213.820110192035</v>
      </c>
      <c r="I62" s="36">
        <f t="shared" si="10"/>
        <v>7934938.2590494696</v>
      </c>
      <c r="J62" s="2">
        <f t="shared" si="2"/>
        <v>49</v>
      </c>
      <c r="K62" s="44">
        <f t="shared" si="3"/>
        <v>6.9243826282994192E-3</v>
      </c>
      <c r="L62" s="41">
        <f t="shared" si="4"/>
        <v>0.98</v>
      </c>
      <c r="M62" s="42">
        <f t="shared" si="1"/>
        <v>1</v>
      </c>
      <c r="N62" s="43">
        <f>(VLOOKUP(MONTH('Amortization Model 101'!$B62),Seasonality,2,TRUE))</f>
        <v>0.89</v>
      </c>
      <c r="O62" s="50">
        <f t="shared" si="11"/>
        <v>6.0394465284027534E-3</v>
      </c>
    </row>
    <row r="63" spans="2:15" ht="15" x14ac:dyDescent="0.25">
      <c r="B63" s="57">
        <f t="shared" si="5"/>
        <v>43862</v>
      </c>
      <c r="C63" s="36">
        <f t="shared" si="6"/>
        <v>7934938.2590494696</v>
      </c>
      <c r="D63" s="39">
        <f t="shared" si="14"/>
        <v>50349.18354434432</v>
      </c>
      <c r="E63" s="36">
        <f t="shared" si="8"/>
        <v>39674.691295247343</v>
      </c>
      <c r="F63" s="36">
        <f t="shared" si="12"/>
        <v>10674.492249096977</v>
      </c>
      <c r="G63" s="36">
        <f t="shared" si="9"/>
        <v>0</v>
      </c>
      <c r="H63" s="38">
        <f t="shared" si="13"/>
        <v>48395.89951336541</v>
      </c>
      <c r="I63" s="36">
        <f t="shared" si="10"/>
        <v>7875867.8672870072</v>
      </c>
      <c r="J63" s="2">
        <f t="shared" si="2"/>
        <v>50</v>
      </c>
      <c r="K63" s="44">
        <f t="shared" si="3"/>
        <v>6.9243826282994192E-3</v>
      </c>
      <c r="L63" s="41">
        <f t="shared" si="4"/>
        <v>0.98</v>
      </c>
      <c r="M63" s="42">
        <f t="shared" si="1"/>
        <v>1</v>
      </c>
      <c r="N63" s="43">
        <f>(VLOOKUP(MONTH('Amortization Model 101'!$B63),Seasonality,2,TRUE))</f>
        <v>0.9</v>
      </c>
      <c r="O63" s="50">
        <f t="shared" si="11"/>
        <v>6.1073054781600874E-3</v>
      </c>
    </row>
    <row r="64" spans="2:15" ht="15" x14ac:dyDescent="0.25">
      <c r="B64" s="57">
        <f t="shared" si="5"/>
        <v>43891</v>
      </c>
      <c r="C64" s="36">
        <f t="shared" si="6"/>
        <v>7875867.8672870072</v>
      </c>
      <c r="D64" s="39">
        <f t="shared" si="14"/>
        <v>50041.685699863054</v>
      </c>
      <c r="E64" s="36">
        <f t="shared" si="8"/>
        <v>39379.339336435034</v>
      </c>
      <c r="F64" s="36">
        <f t="shared" si="12"/>
        <v>10662.34636342802</v>
      </c>
      <c r="G64" s="36">
        <f t="shared" si="9"/>
        <v>0</v>
      </c>
      <c r="H64" s="38">
        <f t="shared" si="13"/>
        <v>50703.835696168841</v>
      </c>
      <c r="I64" s="36">
        <f t="shared" si="10"/>
        <v>7814501.6852274099</v>
      </c>
      <c r="J64" s="2">
        <f t="shared" si="2"/>
        <v>51</v>
      </c>
      <c r="K64" s="44">
        <f t="shared" si="3"/>
        <v>6.9243826282994192E-3</v>
      </c>
      <c r="L64" s="41">
        <f t="shared" si="4"/>
        <v>0.98</v>
      </c>
      <c r="M64" s="42">
        <f t="shared" si="1"/>
        <v>1</v>
      </c>
      <c r="N64" s="43">
        <f>(VLOOKUP(MONTH('Amortization Model 101'!$B64),Seasonality,2,TRUE))</f>
        <v>0.95</v>
      </c>
      <c r="O64" s="50">
        <f t="shared" si="11"/>
        <v>6.4466002269467585E-3</v>
      </c>
    </row>
    <row r="65" spans="2:15" ht="15" x14ac:dyDescent="0.25">
      <c r="B65" s="57">
        <f t="shared" si="5"/>
        <v>43922</v>
      </c>
      <c r="C65" s="36">
        <f t="shared" si="6"/>
        <v>7814501.6852274099</v>
      </c>
      <c r="D65" s="39">
        <f t="shared" si="14"/>
        <v>49719.086957473512</v>
      </c>
      <c r="E65" s="36">
        <f t="shared" si="8"/>
        <v>39072.50842613705</v>
      </c>
      <c r="F65" s="36">
        <f t="shared" si="12"/>
        <v>10646.578531336461</v>
      </c>
      <c r="G65" s="36">
        <f t="shared" si="9"/>
        <v>0</v>
      </c>
      <c r="H65" s="38">
        <f t="shared" si="13"/>
        <v>50837.895513485339</v>
      </c>
      <c r="I65" s="36">
        <f t="shared" si="10"/>
        <v>7753017.2111825887</v>
      </c>
      <c r="J65" s="2">
        <f t="shared" si="2"/>
        <v>52</v>
      </c>
      <c r="K65" s="44">
        <f t="shared" si="3"/>
        <v>6.9243826282994192E-3</v>
      </c>
      <c r="L65" s="41">
        <f t="shared" si="4"/>
        <v>0.98</v>
      </c>
      <c r="M65" s="42">
        <f t="shared" si="1"/>
        <v>1</v>
      </c>
      <c r="N65" s="43">
        <f>(VLOOKUP(MONTH('Amortization Model 101'!$B65),Seasonality,2,TRUE))</f>
        <v>0.96</v>
      </c>
      <c r="O65" s="50">
        <f t="shared" si="11"/>
        <v>6.5144591767040934E-3</v>
      </c>
    </row>
    <row r="66" spans="2:15" ht="15" x14ac:dyDescent="0.25">
      <c r="B66" s="57">
        <f t="shared" si="5"/>
        <v>43952</v>
      </c>
      <c r="C66" s="36">
        <f t="shared" si="6"/>
        <v>7753017.2111825887</v>
      </c>
      <c r="D66" s="39">
        <f t="shared" si="14"/>
        <v>49395.193995186055</v>
      </c>
      <c r="E66" s="36">
        <f t="shared" si="8"/>
        <v>38765.086055912943</v>
      </c>
      <c r="F66" s="36">
        <f t="shared" si="12"/>
        <v>10630.107939273112</v>
      </c>
      <c r="G66" s="36">
        <f t="shared" si="9"/>
        <v>0</v>
      </c>
      <c r="H66" s="38">
        <f t="shared" si="13"/>
        <v>55691.367288727051</v>
      </c>
      <c r="I66" s="36">
        <f t="shared" si="10"/>
        <v>7686695.7359545883</v>
      </c>
      <c r="J66" s="2">
        <f t="shared" si="2"/>
        <v>53</v>
      </c>
      <c r="K66" s="44">
        <f t="shared" si="3"/>
        <v>6.9243826282994192E-3</v>
      </c>
      <c r="L66" s="41">
        <f t="shared" si="4"/>
        <v>0.98</v>
      </c>
      <c r="M66" s="42">
        <f t="shared" si="1"/>
        <v>1</v>
      </c>
      <c r="N66" s="43">
        <f>(VLOOKUP(MONTH('Amortization Model 101'!$B66),Seasonality,2,TRUE))</f>
        <v>1.06</v>
      </c>
      <c r="O66" s="50">
        <f t="shared" si="11"/>
        <v>7.1930486742774365E-3</v>
      </c>
    </row>
    <row r="67" spans="2:15" ht="15" x14ac:dyDescent="0.25">
      <c r="B67" s="57">
        <f t="shared" si="5"/>
        <v>43983</v>
      </c>
      <c r="C67" s="36">
        <f t="shared" si="6"/>
        <v>7686695.7359545883</v>
      </c>
      <c r="D67" s="39">
        <f t="shared" si="14"/>
        <v>49039.891960503301</v>
      </c>
      <c r="E67" s="36">
        <f t="shared" si="8"/>
        <v>38433.478679772939</v>
      </c>
      <c r="F67" s="36">
        <f t="shared" si="12"/>
        <v>10606.413280730361</v>
      </c>
      <c r="G67" s="36">
        <f t="shared" si="9"/>
        <v>0</v>
      </c>
      <c r="H67" s="38">
        <f t="shared" si="13"/>
        <v>56777.158205134787</v>
      </c>
      <c r="I67" s="36">
        <f t="shared" si="10"/>
        <v>7619312.1644687233</v>
      </c>
      <c r="J67" s="2">
        <f t="shared" si="2"/>
        <v>54</v>
      </c>
      <c r="K67" s="44">
        <f t="shared" si="3"/>
        <v>6.9243826282994192E-3</v>
      </c>
      <c r="L67" s="41">
        <f t="shared" si="4"/>
        <v>0.98</v>
      </c>
      <c r="M67" s="42">
        <f t="shared" si="1"/>
        <v>1</v>
      </c>
      <c r="N67" s="43">
        <f>(VLOOKUP(MONTH('Amortization Model 101'!$B67),Seasonality,2,TRUE))</f>
        <v>1.0900000000000001</v>
      </c>
      <c r="O67" s="50">
        <f t="shared" si="11"/>
        <v>7.3966255235494395E-3</v>
      </c>
    </row>
    <row r="68" spans="2:15" ht="15" x14ac:dyDescent="0.25">
      <c r="B68" s="57">
        <f t="shared" ref="B68:B79" si="20">IF(C68&gt;0,EDATE(B67,1),"")</f>
        <v>44013</v>
      </c>
      <c r="C68" s="36">
        <f t="shared" ref="C68:C79" si="21">+I67</f>
        <v>7619312.1644687233</v>
      </c>
      <c r="D68" s="39">
        <f t="shared" si="14"/>
        <v>48677.162243956132</v>
      </c>
      <c r="E68" s="36">
        <f t="shared" ref="E68:E79" si="22">($F$7*C68)/12</f>
        <v>38096.560822343614</v>
      </c>
      <c r="F68" s="36">
        <f t="shared" ref="F68:F79" si="23">D68-E68-G68</f>
        <v>10580.601421612519</v>
      </c>
      <c r="G68" s="36">
        <f t="shared" si="9"/>
        <v>0</v>
      </c>
      <c r="H68" s="38">
        <f t="shared" si="13"/>
        <v>56795.258613924343</v>
      </c>
      <c r="I68" s="36">
        <f t="shared" ref="I68:I79" si="24">IF(J68&gt;$F$3,0,C68-F68-H68)</f>
        <v>7551936.3044331865</v>
      </c>
      <c r="J68" s="2">
        <f t="shared" si="2"/>
        <v>55</v>
      </c>
      <c r="K68" s="44">
        <f t="shared" si="3"/>
        <v>6.9243826282994192E-3</v>
      </c>
      <c r="L68" s="41">
        <f t="shared" si="4"/>
        <v>0.98</v>
      </c>
      <c r="M68" s="42">
        <f t="shared" si="1"/>
        <v>1</v>
      </c>
      <c r="N68" s="43">
        <f>(VLOOKUP(MONTH('Amortization Model 101'!$B68),Seasonality,2,TRUE))</f>
        <v>1.1000000000000001</v>
      </c>
      <c r="O68" s="50">
        <f t="shared" si="11"/>
        <v>7.4644844733067744E-3</v>
      </c>
    </row>
    <row r="69" spans="2:15" ht="15" x14ac:dyDescent="0.25">
      <c r="B69" s="57">
        <f t="shared" si="20"/>
        <v>44044</v>
      </c>
      <c r="C69" s="36">
        <f t="shared" si="21"/>
        <v>7551936.3044331865</v>
      </c>
      <c r="D69" s="39">
        <f t="shared" si="14"/>
        <v>48313.812322181489</v>
      </c>
      <c r="E69" s="36">
        <f t="shared" si="22"/>
        <v>37759.681522165927</v>
      </c>
      <c r="F69" s="36">
        <f t="shared" si="23"/>
        <v>10554.130800015562</v>
      </c>
      <c r="G69" s="36">
        <f t="shared" si="9"/>
        <v>0</v>
      </c>
      <c r="H69" s="38">
        <f t="shared" si="13"/>
        <v>58851.28151246444</v>
      </c>
      <c r="I69" s="36">
        <f t="shared" si="24"/>
        <v>7482530.8921207068</v>
      </c>
      <c r="J69" s="2">
        <f t="shared" si="2"/>
        <v>56</v>
      </c>
      <c r="K69" s="44">
        <f t="shared" si="3"/>
        <v>6.9243826282994192E-3</v>
      </c>
      <c r="L69" s="41">
        <f t="shared" si="4"/>
        <v>0.98</v>
      </c>
      <c r="M69" s="42">
        <f t="shared" si="1"/>
        <v>1</v>
      </c>
      <c r="N69" s="43">
        <f>(VLOOKUP(MONTH('Amortization Model 101'!$B69),Seasonality,2,TRUE))</f>
        <v>1.1499999999999999</v>
      </c>
      <c r="O69" s="50">
        <f t="shared" si="11"/>
        <v>7.8037792220934446E-3</v>
      </c>
    </row>
    <row r="70" spans="2:15" ht="15" x14ac:dyDescent="0.25">
      <c r="B70" s="57">
        <f t="shared" si="20"/>
        <v>44075</v>
      </c>
      <c r="C70" s="36">
        <f t="shared" si="21"/>
        <v>7482530.8921207068</v>
      </c>
      <c r="D70" s="39">
        <f t="shared" si="14"/>
        <v>47936.781997441532</v>
      </c>
      <c r="E70" s="36">
        <f t="shared" si="22"/>
        <v>37412.654460603531</v>
      </c>
      <c r="F70" s="36">
        <f t="shared" si="23"/>
        <v>10524.127536838001</v>
      </c>
      <c r="G70" s="36">
        <f t="shared" si="9"/>
        <v>0</v>
      </c>
      <c r="H70" s="38">
        <f t="shared" si="13"/>
        <v>56711.154991169351</v>
      </c>
      <c r="I70" s="36">
        <f t="shared" si="24"/>
        <v>7415295.6095926994</v>
      </c>
      <c r="J70" s="2">
        <f t="shared" si="2"/>
        <v>57</v>
      </c>
      <c r="K70" s="44">
        <f t="shared" si="3"/>
        <v>6.9243826282994192E-3</v>
      </c>
      <c r="L70" s="41">
        <f t="shared" si="4"/>
        <v>0.97</v>
      </c>
      <c r="M70" s="42">
        <f t="shared" si="1"/>
        <v>1</v>
      </c>
      <c r="N70" s="43">
        <f>(VLOOKUP(MONTH('Amortization Model 101'!$B70),Seasonality,2,TRUE))</f>
        <v>1.1299999999999999</v>
      </c>
      <c r="O70" s="50">
        <f t="shared" si="11"/>
        <v>7.5898157988789922E-3</v>
      </c>
    </row>
    <row r="71" spans="2:15" ht="15" x14ac:dyDescent="0.25">
      <c r="B71" s="57">
        <f t="shared" si="20"/>
        <v>44105</v>
      </c>
      <c r="C71" s="36">
        <f t="shared" si="21"/>
        <v>7415295.6095926994</v>
      </c>
      <c r="D71" s="39">
        <f t="shared" si="14"/>
        <v>47572.950652089938</v>
      </c>
      <c r="E71" s="36">
        <f t="shared" si="22"/>
        <v>37076.478047963494</v>
      </c>
      <c r="F71" s="36">
        <f t="shared" si="23"/>
        <v>10496.472604126444</v>
      </c>
      <c r="G71" s="36">
        <f t="shared" si="9"/>
        <v>0</v>
      </c>
      <c r="H71" s="38">
        <f t="shared" si="13"/>
        <v>50232.807161252931</v>
      </c>
      <c r="I71" s="36">
        <f t="shared" si="24"/>
        <v>7354566.3298273198</v>
      </c>
      <c r="J71" s="2">
        <f t="shared" si="2"/>
        <v>58</v>
      </c>
      <c r="K71" s="44">
        <f t="shared" si="3"/>
        <v>6.9243826282994192E-3</v>
      </c>
      <c r="L71" s="41">
        <f t="shared" si="4"/>
        <v>0.97</v>
      </c>
      <c r="M71" s="42">
        <f t="shared" si="1"/>
        <v>1</v>
      </c>
      <c r="N71" s="43">
        <f>(VLOOKUP(MONTH('Amortization Model 101'!$B71),Seasonality,2,TRUE))</f>
        <v>1.01</v>
      </c>
      <c r="O71" s="50">
        <f t="shared" si="11"/>
        <v>6.7838176609449404E-3</v>
      </c>
    </row>
    <row r="72" spans="2:15" ht="15" x14ac:dyDescent="0.25">
      <c r="B72" s="57">
        <f t="shared" si="20"/>
        <v>44136</v>
      </c>
      <c r="C72" s="36">
        <f t="shared" si="21"/>
        <v>7354566.3298273198</v>
      </c>
      <c r="D72" s="39">
        <f t="shared" si="14"/>
        <v>47250.224429273017</v>
      </c>
      <c r="E72" s="36">
        <f t="shared" si="22"/>
        <v>36772.831649136599</v>
      </c>
      <c r="F72" s="36">
        <f t="shared" si="23"/>
        <v>10477.392780136419</v>
      </c>
      <c r="G72" s="36">
        <f t="shared" si="9"/>
        <v>0</v>
      </c>
      <c r="H72" s="38">
        <f t="shared" si="13"/>
        <v>42421.807724588405</v>
      </c>
      <c r="I72" s="36">
        <f t="shared" si="24"/>
        <v>7301667.129322595</v>
      </c>
      <c r="J72" s="2">
        <f t="shared" si="2"/>
        <v>59</v>
      </c>
      <c r="K72" s="44">
        <f t="shared" si="3"/>
        <v>6.9243826282994192E-3</v>
      </c>
      <c r="L72" s="41">
        <f t="shared" si="4"/>
        <v>0.97</v>
      </c>
      <c r="M72" s="42">
        <f t="shared" si="1"/>
        <v>1</v>
      </c>
      <c r="N72" s="43">
        <f>(VLOOKUP(MONTH('Amortization Model 101'!$B72),Seasonality,2,TRUE))</f>
        <v>0.86</v>
      </c>
      <c r="O72" s="50">
        <f t="shared" si="11"/>
        <v>5.7763199885273748E-3</v>
      </c>
    </row>
    <row r="73" spans="2:15" ht="15" x14ac:dyDescent="0.25">
      <c r="B73" s="57">
        <f t="shared" si="20"/>
        <v>44166</v>
      </c>
      <c r="C73" s="36">
        <f t="shared" si="21"/>
        <v>7301667.129322595</v>
      </c>
      <c r="D73" s="39">
        <f t="shared" si="14"/>
        <v>46977.292013439808</v>
      </c>
      <c r="E73" s="36">
        <f t="shared" si="22"/>
        <v>36508.33564661297</v>
      </c>
      <c r="F73" s="36">
        <f t="shared" si="23"/>
        <v>10468.956366826838</v>
      </c>
      <c r="G73" s="36">
        <f t="shared" si="9"/>
        <v>0</v>
      </c>
      <c r="H73" s="40">
        <f t="shared" si="13"/>
        <v>44075.191130328858</v>
      </c>
      <c r="I73" s="36">
        <f t="shared" si="24"/>
        <v>7247122.9818254393</v>
      </c>
      <c r="J73" s="2">
        <f t="shared" si="2"/>
        <v>60</v>
      </c>
      <c r="K73" s="44">
        <f t="shared" si="3"/>
        <v>6.9243826282994192E-3</v>
      </c>
      <c r="L73" s="41">
        <f t="shared" si="4"/>
        <v>0.97</v>
      </c>
      <c r="M73" s="42">
        <f t="shared" si="1"/>
        <v>1</v>
      </c>
      <c r="N73" s="43">
        <f>(VLOOKUP(MONTH('Amortization Model 101'!$B73),Seasonality,2,TRUE))</f>
        <v>0.9</v>
      </c>
      <c r="O73" s="50">
        <f t="shared" si="11"/>
        <v>6.0449860345053929E-3</v>
      </c>
    </row>
    <row r="74" spans="2:15" ht="15" x14ac:dyDescent="0.25">
      <c r="B74" s="57">
        <f t="shared" si="20"/>
        <v>44197</v>
      </c>
      <c r="C74" s="36">
        <f t="shared" si="21"/>
        <v>7247122.9818254393</v>
      </c>
      <c r="D74" s="39">
        <f t="shared" si="14"/>
        <v>46693.314939279684</v>
      </c>
      <c r="E74" s="36">
        <f t="shared" si="22"/>
        <v>36235.614909127195</v>
      </c>
      <c r="F74" s="36">
        <f t="shared" si="23"/>
        <v>10457.700030152489</v>
      </c>
      <c r="G74" s="36">
        <f t="shared" si="9"/>
        <v>0</v>
      </c>
      <c r="H74" s="38">
        <f t="shared" si="13"/>
        <v>43259.479003010958</v>
      </c>
      <c r="I74" s="36">
        <f t="shared" si="24"/>
        <v>7193405.8027922753</v>
      </c>
      <c r="J74" s="2">
        <f t="shared" si="2"/>
        <v>61</v>
      </c>
      <c r="K74" s="44">
        <f t="shared" si="3"/>
        <v>6.9243826282994192E-3</v>
      </c>
      <c r="L74" s="41">
        <f t="shared" si="4"/>
        <v>0.97</v>
      </c>
      <c r="M74" s="42">
        <f t="shared" si="1"/>
        <v>1</v>
      </c>
      <c r="N74" s="43">
        <f>(VLOOKUP(MONTH('Amortization Model 101'!$B74),Seasonality,2,TRUE))</f>
        <v>0.89</v>
      </c>
      <c r="O74" s="50">
        <f t="shared" si="11"/>
        <v>5.9778195230108886E-3</v>
      </c>
    </row>
    <row r="75" spans="2:15" ht="15" x14ac:dyDescent="0.25">
      <c r="B75" s="57">
        <f t="shared" si="20"/>
        <v>44228</v>
      </c>
      <c r="C75" s="36">
        <f t="shared" si="21"/>
        <v>7193405.8027922753</v>
      </c>
      <c r="D75" s="39">
        <f t="shared" si="14"/>
        <v>46414.190729641552</v>
      </c>
      <c r="E75" s="36">
        <f t="shared" si="22"/>
        <v>35967.029013961372</v>
      </c>
      <c r="F75" s="36">
        <f t="shared" si="23"/>
        <v>10447.16171568018</v>
      </c>
      <c r="G75" s="36">
        <f t="shared" si="9"/>
        <v>0</v>
      </c>
      <c r="H75" s="38">
        <f t="shared" si="13"/>
        <v>43420.884671737855</v>
      </c>
      <c r="I75" s="36">
        <f t="shared" si="24"/>
        <v>7139537.7564048581</v>
      </c>
      <c r="J75" s="2">
        <f t="shared" si="2"/>
        <v>62</v>
      </c>
      <c r="K75" s="44">
        <f t="shared" si="3"/>
        <v>6.9243826282994192E-3</v>
      </c>
      <c r="L75" s="41">
        <f t="shared" si="4"/>
        <v>0.97</v>
      </c>
      <c r="M75" s="42">
        <f t="shared" si="1"/>
        <v>1</v>
      </c>
      <c r="N75" s="43">
        <f>(VLOOKUP(MONTH('Amortization Model 101'!$B75),Seasonality,2,TRUE))</f>
        <v>0.9</v>
      </c>
      <c r="O75" s="50">
        <f t="shared" si="11"/>
        <v>6.0449860345053929E-3</v>
      </c>
    </row>
    <row r="76" spans="2:15" ht="15" x14ac:dyDescent="0.25">
      <c r="B76" s="57">
        <f t="shared" si="20"/>
        <v>44256</v>
      </c>
      <c r="C76" s="36">
        <f t="shared" si="21"/>
        <v>7139537.7564048581</v>
      </c>
      <c r="D76" s="39">
        <f t="shared" si="14"/>
        <v>46133.617594878015</v>
      </c>
      <c r="E76" s="36">
        <f t="shared" si="22"/>
        <v>35697.688782024292</v>
      </c>
      <c r="F76" s="36">
        <f t="shared" si="23"/>
        <v>10435.928812853723</v>
      </c>
      <c r="G76" s="36">
        <f t="shared" si="9"/>
        <v>0</v>
      </c>
      <c r="H76" s="38">
        <f t="shared" si="13"/>
        <v>45489.505485602785</v>
      </c>
      <c r="I76" s="36">
        <f t="shared" si="24"/>
        <v>7083612.3221064014</v>
      </c>
      <c r="J76" s="2">
        <f t="shared" si="2"/>
        <v>63</v>
      </c>
      <c r="K76" s="44">
        <f t="shared" si="3"/>
        <v>6.9243826282994192E-3</v>
      </c>
      <c r="L76" s="41">
        <f t="shared" si="4"/>
        <v>0.97</v>
      </c>
      <c r="M76" s="42">
        <f t="shared" si="1"/>
        <v>1</v>
      </c>
      <c r="N76" s="43">
        <f>(VLOOKUP(MONTH('Amortization Model 101'!$B76),Seasonality,2,TRUE))</f>
        <v>0.95</v>
      </c>
      <c r="O76" s="50">
        <f t="shared" si="11"/>
        <v>6.3808185919779136E-3</v>
      </c>
    </row>
    <row r="77" spans="2:15" ht="15" x14ac:dyDescent="0.25">
      <c r="B77" s="57">
        <f t="shared" si="20"/>
        <v>44287</v>
      </c>
      <c r="C77" s="36">
        <f t="shared" si="21"/>
        <v>7083612.3221064014</v>
      </c>
      <c r="D77" s="39">
        <f t="shared" si="14"/>
        <v>45839.247350013407</v>
      </c>
      <c r="E77" s="36">
        <f t="shared" si="22"/>
        <v>35418.061610532008</v>
      </c>
      <c r="F77" s="36">
        <f t="shared" si="23"/>
        <v>10421.1857394814</v>
      </c>
      <c r="G77" s="36">
        <f t="shared" si="9"/>
        <v>0</v>
      </c>
      <c r="H77" s="38">
        <f t="shared" si="13"/>
        <v>45607.831081307049</v>
      </c>
      <c r="I77" s="36">
        <f t="shared" si="24"/>
        <v>7027583.3052856121</v>
      </c>
      <c r="J77" s="2">
        <f t="shared" si="2"/>
        <v>64</v>
      </c>
      <c r="K77" s="44">
        <f t="shared" si="3"/>
        <v>6.9243826282994192E-3</v>
      </c>
      <c r="L77" s="41">
        <f t="shared" si="4"/>
        <v>0.97</v>
      </c>
      <c r="M77" s="42">
        <f t="shared" si="1"/>
        <v>1</v>
      </c>
      <c r="N77" s="43">
        <f>(VLOOKUP(MONTH('Amortization Model 101'!$B77),Seasonality,2,TRUE))</f>
        <v>0.96</v>
      </c>
      <c r="O77" s="50">
        <f t="shared" si="11"/>
        <v>6.4479851034724188E-3</v>
      </c>
    </row>
    <row r="78" spans="2:15" ht="15" x14ac:dyDescent="0.25">
      <c r="B78" s="57">
        <f t="shared" si="20"/>
        <v>44317</v>
      </c>
      <c r="C78" s="36">
        <f t="shared" si="21"/>
        <v>7027583.3052856121</v>
      </c>
      <c r="D78" s="39">
        <f t="shared" si="14"/>
        <v>45543.676565946138</v>
      </c>
      <c r="E78" s="36">
        <f t="shared" si="22"/>
        <v>35137.91652642806</v>
      </c>
      <c r="F78" s="36">
        <f t="shared" si="23"/>
        <v>10405.760039518078</v>
      </c>
      <c r="G78" s="36">
        <f t="shared" si="9"/>
        <v>0</v>
      </c>
      <c r="H78" s="38">
        <f t="shared" si="13"/>
        <v>49959.849642685469</v>
      </c>
      <c r="I78" s="36">
        <f t="shared" si="24"/>
        <v>6967217.6956034089</v>
      </c>
      <c r="J78" s="2">
        <f t="shared" si="2"/>
        <v>65</v>
      </c>
      <c r="K78" s="44">
        <f t="shared" si="3"/>
        <v>6.9243826282994192E-3</v>
      </c>
      <c r="L78" s="41">
        <f t="shared" si="4"/>
        <v>0.97</v>
      </c>
      <c r="M78" s="42">
        <f t="shared" ref="M78:M141" si="25">MIN(J78/VLOOKUP($F$5-$F$8,Seasoning,2,TRUE),1)</f>
        <v>1</v>
      </c>
      <c r="N78" s="43">
        <f>(VLOOKUP(MONTH('Amortization Model 101'!$B78),Seasonality,2,TRUE))</f>
        <v>1.06</v>
      </c>
      <c r="O78" s="50">
        <f t="shared" si="11"/>
        <v>7.1196502184174629E-3</v>
      </c>
    </row>
    <row r="79" spans="2:15" ht="15" x14ac:dyDescent="0.25">
      <c r="B79" s="57">
        <f t="shared" si="20"/>
        <v>44348</v>
      </c>
      <c r="C79" s="36">
        <f t="shared" si="21"/>
        <v>6967217.6956034089</v>
      </c>
      <c r="D79" s="39">
        <f t="shared" si="14"/>
        <v>45219.42151913586</v>
      </c>
      <c r="E79" s="36">
        <f t="shared" si="22"/>
        <v>34836.088478017038</v>
      </c>
      <c r="F79" s="36">
        <f t="shared" si="23"/>
        <v>10383.333041118822</v>
      </c>
      <c r="G79" s="36">
        <f t="shared" si="9"/>
        <v>0</v>
      </c>
      <c r="H79" s="38">
        <f t="shared" si="13"/>
        <v>50932.026174445928</v>
      </c>
      <c r="I79" s="36">
        <f t="shared" si="24"/>
        <v>6905902.3363878448</v>
      </c>
      <c r="J79" s="2">
        <f t="shared" ref="J79:J142" si="26">+J78+1</f>
        <v>66</v>
      </c>
      <c r="K79" s="44">
        <f t="shared" ref="K79:K142" si="27">1-((1-VLOOKUP(K$12,CPR,2,TRUE)/100)^(1/12))</f>
        <v>6.9243826282994192E-3</v>
      </c>
      <c r="L79" s="41">
        <f t="shared" ref="L79:L142" si="28">VLOOKUP(ROUND(C79/$F$4,1),Burnout,2,FALSE)</f>
        <v>0.97</v>
      </c>
      <c r="M79" s="42">
        <f t="shared" si="25"/>
        <v>1</v>
      </c>
      <c r="N79" s="43">
        <f>(VLOOKUP(MONTH('Amortization Model 101'!$B79),Seasonality,2,TRUE))</f>
        <v>1.0900000000000001</v>
      </c>
      <c r="O79" s="50">
        <f t="shared" si="11"/>
        <v>7.3211497529009758E-3</v>
      </c>
    </row>
    <row r="80" spans="2:15" ht="15" x14ac:dyDescent="0.25">
      <c r="B80" s="57">
        <f t="shared" ref="B80:B143" si="29">IF(C80&gt;0,EDATE(B79,1),"")</f>
        <v>44378</v>
      </c>
      <c r="C80" s="36">
        <f t="shared" ref="C80:C143" si="30">+I79</f>
        <v>6905902.3363878448</v>
      </c>
      <c r="D80" s="39">
        <f t="shared" si="14"/>
        <v>44888.363362454715</v>
      </c>
      <c r="E80" s="36">
        <f t="shared" ref="E80:E143" si="31">($F$7*C80)/12</f>
        <v>34529.511681939221</v>
      </c>
      <c r="F80" s="36">
        <f t="shared" ref="F80:F143" si="32">D80-E80-G80</f>
        <v>10358.851680515494</v>
      </c>
      <c r="G80" s="36">
        <f t="shared" ref="G80:G143" si="33">($F$6*C80)/12</f>
        <v>0</v>
      </c>
      <c r="H80" s="38">
        <f t="shared" ref="H80:H143" si="34">+O80*(C80-F80)</f>
        <v>50946.456079909447</v>
      </c>
      <c r="I80" s="36">
        <f t="shared" ref="I80:I143" si="35">IF(J80&gt;$F$3,0,C80-F80-H80)</f>
        <v>6844597.0286274198</v>
      </c>
      <c r="J80" s="2">
        <f t="shared" si="26"/>
        <v>67</v>
      </c>
      <c r="K80" s="44">
        <f t="shared" si="27"/>
        <v>6.9243826282994192E-3</v>
      </c>
      <c r="L80" s="41">
        <f t="shared" si="28"/>
        <v>0.97</v>
      </c>
      <c r="M80" s="42">
        <f t="shared" si="25"/>
        <v>1</v>
      </c>
      <c r="N80" s="43">
        <f>(VLOOKUP(MONTH('Amortization Model 101'!$B80),Seasonality,2,TRUE))</f>
        <v>1.1000000000000001</v>
      </c>
      <c r="O80" s="50">
        <f t="shared" ref="O80:O143" si="36">PRODUCT(K80:N80)</f>
        <v>7.3883162643954801E-3</v>
      </c>
    </row>
    <row r="81" spans="2:15" ht="15" x14ac:dyDescent="0.25">
      <c r="B81" s="57">
        <f t="shared" si="29"/>
        <v>44409</v>
      </c>
      <c r="C81" s="36">
        <f t="shared" si="30"/>
        <v>6844597.0286274198</v>
      </c>
      <c r="D81" s="39">
        <f t="shared" si="14"/>
        <v>44556.713937341796</v>
      </c>
      <c r="E81" s="36">
        <f t="shared" si="31"/>
        <v>34222.985143137099</v>
      </c>
      <c r="F81" s="36">
        <f t="shared" si="32"/>
        <v>10333.728794204697</v>
      </c>
      <c r="G81" s="36">
        <f t="shared" si="33"/>
        <v>0</v>
      </c>
      <c r="H81" s="38">
        <f t="shared" si="34"/>
        <v>52788.86681574244</v>
      </c>
      <c r="I81" s="36">
        <f t="shared" si="35"/>
        <v>6781474.4330174727</v>
      </c>
      <c r="J81" s="2">
        <f t="shared" si="26"/>
        <v>68</v>
      </c>
      <c r="K81" s="44">
        <f t="shared" si="27"/>
        <v>6.9243826282994192E-3</v>
      </c>
      <c r="L81" s="41">
        <f t="shared" si="28"/>
        <v>0.97</v>
      </c>
      <c r="M81" s="42">
        <f t="shared" si="25"/>
        <v>1</v>
      </c>
      <c r="N81" s="43">
        <f>(VLOOKUP(MONTH('Amortization Model 101'!$B81),Seasonality,2,TRUE))</f>
        <v>1.1499999999999999</v>
      </c>
      <c r="O81" s="50">
        <f t="shared" si="36"/>
        <v>7.7241488218680009E-3</v>
      </c>
    </row>
    <row r="82" spans="2:15" ht="15" x14ac:dyDescent="0.25">
      <c r="B82" s="57">
        <f t="shared" si="29"/>
        <v>44440</v>
      </c>
      <c r="C82" s="36">
        <f t="shared" si="30"/>
        <v>6781474.4330174727</v>
      </c>
      <c r="D82" s="39">
        <f t="shared" si="14"/>
        <v>44212.55124787637</v>
      </c>
      <c r="E82" s="36">
        <f t="shared" si="31"/>
        <v>33907.372165087363</v>
      </c>
      <c r="F82" s="36">
        <f t="shared" si="32"/>
        <v>10305.179082789007</v>
      </c>
      <c r="G82" s="36">
        <f t="shared" si="33"/>
        <v>0</v>
      </c>
      <c r="H82" s="38">
        <f t="shared" si="34"/>
        <v>51391.927380397137</v>
      </c>
      <c r="I82" s="36">
        <f t="shared" si="35"/>
        <v>6719777.3265542863</v>
      </c>
      <c r="J82" s="2">
        <f t="shared" si="26"/>
        <v>69</v>
      </c>
      <c r="K82" s="44">
        <f t="shared" si="27"/>
        <v>6.9243826282994192E-3</v>
      </c>
      <c r="L82" s="41">
        <f t="shared" si="28"/>
        <v>0.97</v>
      </c>
      <c r="M82" s="42">
        <f t="shared" si="25"/>
        <v>1</v>
      </c>
      <c r="N82" s="43">
        <f>(VLOOKUP(MONTH('Amortization Model 101'!$B82),Seasonality,2,TRUE))</f>
        <v>1.1299999999999999</v>
      </c>
      <c r="O82" s="50">
        <f t="shared" si="36"/>
        <v>7.5898157988789922E-3</v>
      </c>
    </row>
    <row r="83" spans="2:15" ht="15" x14ac:dyDescent="0.25">
      <c r="B83" s="57">
        <f t="shared" si="29"/>
        <v>44470</v>
      </c>
      <c r="C83" s="36">
        <f t="shared" si="30"/>
        <v>6719777.3265542863</v>
      </c>
      <c r="D83" s="39">
        <f t="shared" ref="D83:D146" si="37">-PMT($F$5/12,$F$3-J82,$C83)</f>
        <v>43876.986127906486</v>
      </c>
      <c r="E83" s="36">
        <f t="shared" si="31"/>
        <v>33598.886632771428</v>
      </c>
      <c r="F83" s="36">
        <f t="shared" si="32"/>
        <v>10278.099495135059</v>
      </c>
      <c r="G83" s="36">
        <f t="shared" si="33"/>
        <v>0</v>
      </c>
      <c r="H83" s="38">
        <f t="shared" si="34"/>
        <v>45516.019352620293</v>
      </c>
      <c r="I83" s="36">
        <f t="shared" si="35"/>
        <v>6663983.2077065306</v>
      </c>
      <c r="J83" s="2">
        <f t="shared" si="26"/>
        <v>70</v>
      </c>
      <c r="K83" s="44">
        <f t="shared" si="27"/>
        <v>6.9243826282994192E-3</v>
      </c>
      <c r="L83" s="41">
        <f t="shared" si="28"/>
        <v>0.97</v>
      </c>
      <c r="M83" s="42">
        <f t="shared" si="25"/>
        <v>1</v>
      </c>
      <c r="N83" s="43">
        <f>(VLOOKUP(MONTH('Amortization Model 101'!$B83),Seasonality,2,TRUE))</f>
        <v>1.01</v>
      </c>
      <c r="O83" s="50">
        <f t="shared" si="36"/>
        <v>6.7838176609449404E-3</v>
      </c>
    </row>
    <row r="84" spans="2:15" ht="15" x14ac:dyDescent="0.25">
      <c r="B84" s="57">
        <f t="shared" si="29"/>
        <v>44501</v>
      </c>
      <c r="C84" s="36">
        <f t="shared" si="30"/>
        <v>6663983.2077065306</v>
      </c>
      <c r="D84" s="39">
        <f t="shared" si="37"/>
        <v>43579.332654502949</v>
      </c>
      <c r="E84" s="36">
        <f t="shared" si="31"/>
        <v>33319.916038532654</v>
      </c>
      <c r="F84" s="36">
        <f t="shared" si="32"/>
        <v>10259.416615970295</v>
      </c>
      <c r="G84" s="36">
        <f t="shared" si="33"/>
        <v>0</v>
      </c>
      <c r="H84" s="38">
        <f t="shared" si="34"/>
        <v>38434.037732616547</v>
      </c>
      <c r="I84" s="36">
        <f t="shared" si="35"/>
        <v>6615289.7533579431</v>
      </c>
      <c r="J84" s="2">
        <f t="shared" si="26"/>
        <v>71</v>
      </c>
      <c r="K84" s="44">
        <f t="shared" si="27"/>
        <v>6.9243826282994192E-3</v>
      </c>
      <c r="L84" s="41">
        <f t="shared" si="28"/>
        <v>0.97</v>
      </c>
      <c r="M84" s="42">
        <f t="shared" si="25"/>
        <v>1</v>
      </c>
      <c r="N84" s="43">
        <f>(VLOOKUP(MONTH('Amortization Model 101'!$B84),Seasonality,2,TRUE))</f>
        <v>0.86</v>
      </c>
      <c r="O84" s="50">
        <f t="shared" si="36"/>
        <v>5.7763199885273748E-3</v>
      </c>
    </row>
    <row r="85" spans="2:15" ht="15" x14ac:dyDescent="0.25">
      <c r="B85" s="57">
        <f t="shared" si="29"/>
        <v>44531</v>
      </c>
      <c r="C85" s="36">
        <f t="shared" si="30"/>
        <v>6615289.7533579431</v>
      </c>
      <c r="D85" s="39">
        <f t="shared" si="37"/>
        <v>43327.604484204072</v>
      </c>
      <c r="E85" s="36">
        <f t="shared" si="31"/>
        <v>33076.448766789712</v>
      </c>
      <c r="F85" s="36">
        <f t="shared" si="32"/>
        <v>10251.15571741436</v>
      </c>
      <c r="G85" s="36">
        <f t="shared" si="33"/>
        <v>0</v>
      </c>
      <c r="H85" s="40">
        <f t="shared" si="34"/>
        <v>39927.366080106076</v>
      </c>
      <c r="I85" s="36">
        <f t="shared" si="35"/>
        <v>6565111.2315604221</v>
      </c>
      <c r="J85" s="2">
        <f t="shared" si="26"/>
        <v>72</v>
      </c>
      <c r="K85" s="44">
        <f t="shared" si="27"/>
        <v>6.9243826282994192E-3</v>
      </c>
      <c r="L85" s="41">
        <f t="shared" si="28"/>
        <v>0.97</v>
      </c>
      <c r="M85" s="42">
        <f t="shared" si="25"/>
        <v>1</v>
      </c>
      <c r="N85" s="43">
        <f>(VLOOKUP(MONTH('Amortization Model 101'!$B85),Seasonality,2,TRUE))</f>
        <v>0.9</v>
      </c>
      <c r="O85" s="50">
        <f t="shared" si="36"/>
        <v>6.0449860345053929E-3</v>
      </c>
    </row>
    <row r="86" spans="2:15" ht="15" x14ac:dyDescent="0.25">
      <c r="B86" s="57">
        <f t="shared" si="29"/>
        <v>44562</v>
      </c>
      <c r="C86" s="36">
        <f t="shared" si="30"/>
        <v>6565111.2315604221</v>
      </c>
      <c r="D86" s="39">
        <f t="shared" si="37"/>
        <v>43065.689720188471</v>
      </c>
      <c r="E86" s="36">
        <f t="shared" si="31"/>
        <v>32825.556157802108</v>
      </c>
      <c r="F86" s="36">
        <f t="shared" si="32"/>
        <v>10240.133562386363</v>
      </c>
      <c r="G86" s="36">
        <f t="shared" si="33"/>
        <v>0</v>
      </c>
      <c r="H86" s="38">
        <f t="shared" si="34"/>
        <v>39183.836420432483</v>
      </c>
      <c r="I86" s="36">
        <f t="shared" si="35"/>
        <v>6515687.2615776034</v>
      </c>
      <c r="J86" s="2">
        <f t="shared" si="26"/>
        <v>73</v>
      </c>
      <c r="K86" s="44">
        <f t="shared" si="27"/>
        <v>6.9243826282994192E-3</v>
      </c>
      <c r="L86" s="41">
        <f t="shared" si="28"/>
        <v>0.97</v>
      </c>
      <c r="M86" s="42">
        <f t="shared" si="25"/>
        <v>1</v>
      </c>
      <c r="N86" s="43">
        <f>(VLOOKUP(MONTH('Amortization Model 101'!$B86),Seasonality,2,TRUE))</f>
        <v>0.89</v>
      </c>
      <c r="O86" s="50">
        <f t="shared" si="36"/>
        <v>5.9778195230108886E-3</v>
      </c>
    </row>
    <row r="87" spans="2:15" ht="15" x14ac:dyDescent="0.25">
      <c r="B87" s="57">
        <f t="shared" si="29"/>
        <v>44593</v>
      </c>
      <c r="C87" s="36">
        <f t="shared" si="30"/>
        <v>6515687.2615776034</v>
      </c>
      <c r="D87" s="39">
        <f t="shared" si="37"/>
        <v>42808.250799407208</v>
      </c>
      <c r="E87" s="36">
        <f t="shared" si="31"/>
        <v>32578.436307888016</v>
      </c>
      <c r="F87" s="36">
        <f t="shared" si="32"/>
        <v>10229.814491519192</v>
      </c>
      <c r="G87" s="36">
        <f t="shared" si="33"/>
        <v>0</v>
      </c>
      <c r="H87" s="38">
        <f t="shared" si="34"/>
        <v>39325.399415704487</v>
      </c>
      <c r="I87" s="36">
        <f t="shared" si="35"/>
        <v>6466132.0476703802</v>
      </c>
      <c r="J87" s="2">
        <f t="shared" si="26"/>
        <v>74</v>
      </c>
      <c r="K87" s="44">
        <f t="shared" si="27"/>
        <v>6.9243826282994192E-3</v>
      </c>
      <c r="L87" s="41">
        <f t="shared" si="28"/>
        <v>0.97</v>
      </c>
      <c r="M87" s="42">
        <f t="shared" si="25"/>
        <v>1</v>
      </c>
      <c r="N87" s="43">
        <f>(VLOOKUP(MONTH('Amortization Model 101'!$B87),Seasonality,2,TRUE))</f>
        <v>0.9</v>
      </c>
      <c r="O87" s="50">
        <f t="shared" si="36"/>
        <v>6.0449860345053929E-3</v>
      </c>
    </row>
    <row r="88" spans="2:15" ht="15" x14ac:dyDescent="0.25">
      <c r="B88" s="57">
        <f t="shared" si="29"/>
        <v>44621</v>
      </c>
      <c r="C88" s="36">
        <f t="shared" si="30"/>
        <v>6466132.0476703802</v>
      </c>
      <c r="D88" s="39">
        <f t="shared" si="37"/>
        <v>42549.475521163185</v>
      </c>
      <c r="E88" s="36">
        <f t="shared" si="31"/>
        <v>32330.660238351902</v>
      </c>
      <c r="F88" s="36">
        <f t="shared" si="32"/>
        <v>10218.815282811283</v>
      </c>
      <c r="G88" s="36">
        <f t="shared" si="33"/>
        <v>0</v>
      </c>
      <c r="H88" s="38">
        <f t="shared" si="34"/>
        <v>40769.330653771387</v>
      </c>
      <c r="I88" s="36">
        <f t="shared" si="35"/>
        <v>6415143.901733797</v>
      </c>
      <c r="J88" s="2">
        <f t="shared" si="26"/>
        <v>75</v>
      </c>
      <c r="K88" s="44">
        <f t="shared" si="27"/>
        <v>6.9243826282994192E-3</v>
      </c>
      <c r="L88" s="41">
        <f t="shared" si="28"/>
        <v>0.96</v>
      </c>
      <c r="M88" s="42">
        <f t="shared" si="25"/>
        <v>1</v>
      </c>
      <c r="N88" s="43">
        <f>(VLOOKUP(MONTH('Amortization Model 101'!$B88),Seasonality,2,TRUE))</f>
        <v>0.95</v>
      </c>
      <c r="O88" s="50">
        <f t="shared" si="36"/>
        <v>6.3150369570090705E-3</v>
      </c>
    </row>
    <row r="89" spans="2:15" ht="15" x14ac:dyDescent="0.25">
      <c r="B89" s="57">
        <f t="shared" si="29"/>
        <v>44652</v>
      </c>
      <c r="C89" s="36">
        <f t="shared" si="30"/>
        <v>6415143.901733797</v>
      </c>
      <c r="D89" s="39">
        <f t="shared" si="37"/>
        <v>42280.774010745678</v>
      </c>
      <c r="E89" s="36">
        <f t="shared" si="31"/>
        <v>32075.719508668986</v>
      </c>
      <c r="F89" s="36">
        <f t="shared" si="32"/>
        <v>10205.054502076691</v>
      </c>
      <c r="G89" s="36">
        <f t="shared" si="33"/>
        <v>0</v>
      </c>
      <c r="H89" s="38">
        <f t="shared" si="34"/>
        <v>40873.187901626661</v>
      </c>
      <c r="I89" s="36">
        <f t="shared" si="35"/>
        <v>6364065.6593300942</v>
      </c>
      <c r="J89" s="2">
        <f t="shared" si="26"/>
        <v>76</v>
      </c>
      <c r="K89" s="44">
        <f t="shared" si="27"/>
        <v>6.9243826282994192E-3</v>
      </c>
      <c r="L89" s="41">
        <f t="shared" si="28"/>
        <v>0.96</v>
      </c>
      <c r="M89" s="42">
        <f t="shared" si="25"/>
        <v>1</v>
      </c>
      <c r="N89" s="43">
        <f>(VLOOKUP(MONTH('Amortization Model 101'!$B89),Seasonality,2,TRUE))</f>
        <v>0.96</v>
      </c>
      <c r="O89" s="50">
        <f t="shared" si="36"/>
        <v>6.3815110302407442E-3</v>
      </c>
    </row>
    <row r="90" spans="2:15" ht="15" x14ac:dyDescent="0.25">
      <c r="B90" s="57">
        <f t="shared" si="29"/>
        <v>44682</v>
      </c>
      <c r="C90" s="36">
        <f t="shared" si="30"/>
        <v>6364065.6593300942</v>
      </c>
      <c r="D90" s="39">
        <f t="shared" si="37"/>
        <v>42010.958785028997</v>
      </c>
      <c r="E90" s="36">
        <f t="shared" si="31"/>
        <v>31820.328296650467</v>
      </c>
      <c r="F90" s="36">
        <f t="shared" si="32"/>
        <v>10190.630488378531</v>
      </c>
      <c r="G90" s="36">
        <f t="shared" si="33"/>
        <v>0</v>
      </c>
      <c r="H90" s="38">
        <f t="shared" si="34"/>
        <v>44771.003121045957</v>
      </c>
      <c r="I90" s="36">
        <f t="shared" si="35"/>
        <v>6309104.025720669</v>
      </c>
      <c r="J90" s="2">
        <f t="shared" si="26"/>
        <v>77</v>
      </c>
      <c r="K90" s="44">
        <f t="shared" si="27"/>
        <v>6.9243826282994192E-3</v>
      </c>
      <c r="L90" s="41">
        <f t="shared" si="28"/>
        <v>0.96</v>
      </c>
      <c r="M90" s="42">
        <f t="shared" si="25"/>
        <v>1</v>
      </c>
      <c r="N90" s="43">
        <f>(VLOOKUP(MONTH('Amortization Model 101'!$B90),Seasonality,2,TRUE))</f>
        <v>1.06</v>
      </c>
      <c r="O90" s="50">
        <f t="shared" si="36"/>
        <v>7.0462517625574893E-3</v>
      </c>
    </row>
    <row r="91" spans="2:15" ht="15" x14ac:dyDescent="0.25">
      <c r="B91" s="57">
        <f t="shared" si="29"/>
        <v>44713</v>
      </c>
      <c r="C91" s="36">
        <f t="shared" si="30"/>
        <v>6309104.025720669</v>
      </c>
      <c r="D91" s="39">
        <f t="shared" si="37"/>
        <v>41714.938992643249</v>
      </c>
      <c r="E91" s="36">
        <f t="shared" si="31"/>
        <v>31545.520128603344</v>
      </c>
      <c r="F91" s="36">
        <f t="shared" si="32"/>
        <v>10169.418864039904</v>
      </c>
      <c r="G91" s="36">
        <f t="shared" si="33"/>
        <v>0</v>
      </c>
      <c r="H91" s="38">
        <f t="shared" si="34"/>
        <v>45640.02659681104</v>
      </c>
      <c r="I91" s="36">
        <f t="shared" si="35"/>
        <v>6253294.5802598186</v>
      </c>
      <c r="J91" s="2">
        <f t="shared" si="26"/>
        <v>78</v>
      </c>
      <c r="K91" s="44">
        <f t="shared" si="27"/>
        <v>6.9243826282994192E-3</v>
      </c>
      <c r="L91" s="41">
        <f t="shared" si="28"/>
        <v>0.96</v>
      </c>
      <c r="M91" s="42">
        <f t="shared" si="25"/>
        <v>1</v>
      </c>
      <c r="N91" s="43">
        <f>(VLOOKUP(MONTH('Amortization Model 101'!$B91),Seasonality,2,TRUE))</f>
        <v>1.0900000000000001</v>
      </c>
      <c r="O91" s="50">
        <f t="shared" si="36"/>
        <v>7.2456739822525131E-3</v>
      </c>
    </row>
    <row r="92" spans="2:15" ht="15" x14ac:dyDescent="0.25">
      <c r="B92" s="57">
        <f t="shared" si="29"/>
        <v>44743</v>
      </c>
      <c r="C92" s="36">
        <f t="shared" si="30"/>
        <v>6253294.5802598186</v>
      </c>
      <c r="D92" s="39">
        <f t="shared" si="37"/>
        <v>41412.686144513013</v>
      </c>
      <c r="E92" s="36">
        <f t="shared" si="31"/>
        <v>31266.47290129909</v>
      </c>
      <c r="F92" s="36">
        <f t="shared" si="32"/>
        <v>10146.213243213922</v>
      </c>
      <c r="G92" s="36">
        <f t="shared" si="33"/>
        <v>0</v>
      </c>
      <c r="H92" s="38">
        <f t="shared" si="34"/>
        <v>45650.825191979748</v>
      </c>
      <c r="I92" s="36">
        <f t="shared" si="35"/>
        <v>6197497.5418246258</v>
      </c>
      <c r="J92" s="2">
        <f t="shared" si="26"/>
        <v>79</v>
      </c>
      <c r="K92" s="44">
        <f t="shared" si="27"/>
        <v>6.9243826282994192E-3</v>
      </c>
      <c r="L92" s="41">
        <f t="shared" si="28"/>
        <v>0.96</v>
      </c>
      <c r="M92" s="42">
        <f t="shared" si="25"/>
        <v>1</v>
      </c>
      <c r="N92" s="43">
        <f>(VLOOKUP(MONTH('Amortization Model 101'!$B92),Seasonality,2,TRUE))</f>
        <v>1.1000000000000001</v>
      </c>
      <c r="O92" s="50">
        <f t="shared" si="36"/>
        <v>7.3121480554841876E-3</v>
      </c>
    </row>
    <row r="93" spans="2:15" ht="15" x14ac:dyDescent="0.25">
      <c r="B93" s="57">
        <f t="shared" si="29"/>
        <v>44774</v>
      </c>
      <c r="C93" s="36">
        <f t="shared" si="30"/>
        <v>6197497.5418246258</v>
      </c>
      <c r="D93" s="39">
        <f t="shared" si="37"/>
        <v>41109.870452049043</v>
      </c>
      <c r="E93" s="36">
        <f t="shared" si="31"/>
        <v>30987.487709123128</v>
      </c>
      <c r="F93" s="36">
        <f t="shared" si="32"/>
        <v>10122.382742925914</v>
      </c>
      <c r="G93" s="36">
        <f t="shared" si="33"/>
        <v>0</v>
      </c>
      <c r="H93" s="38">
        <f t="shared" si="34"/>
        <v>47299.503385213611</v>
      </c>
      <c r="I93" s="36">
        <f t="shared" si="35"/>
        <v>6140075.6556964871</v>
      </c>
      <c r="J93" s="2">
        <f t="shared" si="26"/>
        <v>80</v>
      </c>
      <c r="K93" s="44">
        <f t="shared" si="27"/>
        <v>6.9243826282994192E-3</v>
      </c>
      <c r="L93" s="41">
        <f t="shared" si="28"/>
        <v>0.96</v>
      </c>
      <c r="M93" s="42">
        <f t="shared" si="25"/>
        <v>1</v>
      </c>
      <c r="N93" s="43">
        <f>(VLOOKUP(MONTH('Amortization Model 101'!$B93),Seasonality,2,TRUE))</f>
        <v>1.1499999999999999</v>
      </c>
      <c r="O93" s="50">
        <f t="shared" si="36"/>
        <v>7.644518421642558E-3</v>
      </c>
    </row>
    <row r="94" spans="2:15" ht="15" x14ac:dyDescent="0.25">
      <c r="B94" s="57">
        <f t="shared" si="29"/>
        <v>44805</v>
      </c>
      <c r="C94" s="36">
        <f t="shared" si="30"/>
        <v>6140075.6556964871</v>
      </c>
      <c r="D94" s="39">
        <f t="shared" si="37"/>
        <v>40795.605290067018</v>
      </c>
      <c r="E94" s="36">
        <f t="shared" si="31"/>
        <v>30700.378278482433</v>
      </c>
      <c r="F94" s="36">
        <f t="shared" si="32"/>
        <v>10095.227011584586</v>
      </c>
      <c r="G94" s="36">
        <f t="shared" si="33"/>
        <v>0</v>
      </c>
      <c r="H94" s="38">
        <f t="shared" si="34"/>
        <v>46045.778775539824</v>
      </c>
      <c r="I94" s="36">
        <f t="shared" si="35"/>
        <v>6083934.6499093622</v>
      </c>
      <c r="J94" s="2">
        <f t="shared" si="26"/>
        <v>81</v>
      </c>
      <c r="K94" s="44">
        <f t="shared" si="27"/>
        <v>6.9243826282994192E-3</v>
      </c>
      <c r="L94" s="41">
        <f t="shared" si="28"/>
        <v>0.96</v>
      </c>
      <c r="M94" s="42">
        <f t="shared" si="25"/>
        <v>1</v>
      </c>
      <c r="N94" s="43">
        <f>(VLOOKUP(MONTH('Amortization Model 101'!$B94),Seasonality,2,TRUE))</f>
        <v>1.1299999999999999</v>
      </c>
      <c r="O94" s="50">
        <f t="shared" si="36"/>
        <v>7.5115702751792097E-3</v>
      </c>
    </row>
    <row r="95" spans="2:15" ht="15" x14ac:dyDescent="0.25">
      <c r="B95" s="57">
        <f t="shared" si="29"/>
        <v>44835</v>
      </c>
      <c r="C95" s="36">
        <f t="shared" si="30"/>
        <v>6083934.6499093622</v>
      </c>
      <c r="D95" s="39">
        <f t="shared" si="37"/>
        <v>40489.166234012198</v>
      </c>
      <c r="E95" s="36">
        <f t="shared" si="31"/>
        <v>30419.673249546813</v>
      </c>
      <c r="F95" s="36">
        <f t="shared" si="32"/>
        <v>10069.492984465385</v>
      </c>
      <c r="G95" s="36">
        <f t="shared" si="33"/>
        <v>0</v>
      </c>
      <c r="H95" s="38">
        <f t="shared" si="34"/>
        <v>40779.210281314867</v>
      </c>
      <c r="I95" s="36">
        <f t="shared" si="35"/>
        <v>6033085.9466435816</v>
      </c>
      <c r="J95" s="2">
        <f t="shared" si="26"/>
        <v>82</v>
      </c>
      <c r="K95" s="44">
        <f t="shared" si="27"/>
        <v>6.9243826282994192E-3</v>
      </c>
      <c r="L95" s="41">
        <f t="shared" si="28"/>
        <v>0.96</v>
      </c>
      <c r="M95" s="42">
        <f t="shared" si="25"/>
        <v>1</v>
      </c>
      <c r="N95" s="43">
        <f>(VLOOKUP(MONTH('Amortization Model 101'!$B95),Seasonality,2,TRUE))</f>
        <v>1.01</v>
      </c>
      <c r="O95" s="50">
        <f t="shared" si="36"/>
        <v>6.7138813963991172E-3</v>
      </c>
    </row>
    <row r="96" spans="2:15" ht="15" x14ac:dyDescent="0.25">
      <c r="B96" s="57">
        <f t="shared" si="29"/>
        <v>44866</v>
      </c>
      <c r="C96" s="36">
        <f t="shared" si="30"/>
        <v>6033085.9466435816</v>
      </c>
      <c r="D96" s="39">
        <f t="shared" si="37"/>
        <v>40217.326774077956</v>
      </c>
      <c r="E96" s="36">
        <f t="shared" si="31"/>
        <v>30165.429733217909</v>
      </c>
      <c r="F96" s="36">
        <f t="shared" si="32"/>
        <v>10051.897040860047</v>
      </c>
      <c r="G96" s="36">
        <f t="shared" si="33"/>
        <v>0</v>
      </c>
      <c r="H96" s="38">
        <f t="shared" si="34"/>
        <v>34432.302158153754</v>
      </c>
      <c r="I96" s="36">
        <f t="shared" si="35"/>
        <v>5988601.7474445682</v>
      </c>
      <c r="J96" s="2">
        <f t="shared" si="26"/>
        <v>83</v>
      </c>
      <c r="K96" s="44">
        <f t="shared" si="27"/>
        <v>6.9243826282994192E-3</v>
      </c>
      <c r="L96" s="41">
        <f t="shared" si="28"/>
        <v>0.96</v>
      </c>
      <c r="M96" s="42">
        <f t="shared" si="25"/>
        <v>1</v>
      </c>
      <c r="N96" s="43">
        <f>(VLOOKUP(MONTH('Amortization Model 101'!$B96),Seasonality,2,TRUE))</f>
        <v>0.86</v>
      </c>
      <c r="O96" s="50">
        <f t="shared" si="36"/>
        <v>5.7167702979240009E-3</v>
      </c>
    </row>
    <row r="97" spans="2:15" ht="15" x14ac:dyDescent="0.25">
      <c r="B97" s="57">
        <f t="shared" si="29"/>
        <v>44896</v>
      </c>
      <c r="C97" s="36">
        <f t="shared" si="30"/>
        <v>5988601.7474445682</v>
      </c>
      <c r="D97" s="39">
        <f t="shared" si="37"/>
        <v>39987.413554914005</v>
      </c>
      <c r="E97" s="36">
        <f t="shared" si="31"/>
        <v>29943.008737222841</v>
      </c>
      <c r="F97" s="36">
        <f t="shared" si="32"/>
        <v>10044.404817691164</v>
      </c>
      <c r="G97" s="36">
        <f t="shared" si="33"/>
        <v>0</v>
      </c>
      <c r="H97" s="40">
        <f t="shared" si="34"/>
        <v>35767.71527521895</v>
      </c>
      <c r="I97" s="36">
        <f t="shared" si="35"/>
        <v>5942789.6273516584</v>
      </c>
      <c r="J97" s="2">
        <f t="shared" si="26"/>
        <v>84</v>
      </c>
      <c r="K97" s="44">
        <f t="shared" si="27"/>
        <v>6.9243826282994192E-3</v>
      </c>
      <c r="L97" s="41">
        <f t="shared" si="28"/>
        <v>0.96</v>
      </c>
      <c r="M97" s="42">
        <f t="shared" si="25"/>
        <v>1</v>
      </c>
      <c r="N97" s="43">
        <f>(VLOOKUP(MONTH('Amortization Model 101'!$B97),Seasonality,2,TRUE))</f>
        <v>0.9</v>
      </c>
      <c r="O97" s="50">
        <f t="shared" si="36"/>
        <v>5.9826665908506984E-3</v>
      </c>
    </row>
    <row r="98" spans="2:15" ht="15" x14ac:dyDescent="0.25">
      <c r="B98" s="57">
        <f t="shared" si="29"/>
        <v>44927</v>
      </c>
      <c r="C98" s="36">
        <f t="shared" si="30"/>
        <v>5942789.6273516584</v>
      </c>
      <c r="D98" s="39">
        <f t="shared" si="37"/>
        <v>39748.182191784486</v>
      </c>
      <c r="E98" s="36">
        <f t="shared" si="31"/>
        <v>29713.948136758292</v>
      </c>
      <c r="F98" s="36">
        <f t="shared" si="32"/>
        <v>10034.234055026194</v>
      </c>
      <c r="G98" s="36">
        <f t="shared" si="33"/>
        <v>0</v>
      </c>
      <c r="H98" s="38">
        <f t="shared" si="34"/>
        <v>35099.323066685443</v>
      </c>
      <c r="I98" s="36">
        <f t="shared" si="35"/>
        <v>5897656.0702299466</v>
      </c>
      <c r="J98" s="2">
        <f t="shared" si="26"/>
        <v>85</v>
      </c>
      <c r="K98" s="44">
        <f t="shared" si="27"/>
        <v>6.9243826282994192E-3</v>
      </c>
      <c r="L98" s="41">
        <f t="shared" si="28"/>
        <v>0.96</v>
      </c>
      <c r="M98" s="42">
        <f t="shared" si="25"/>
        <v>1</v>
      </c>
      <c r="N98" s="43">
        <f>(VLOOKUP(MONTH('Amortization Model 101'!$B98),Seasonality,2,TRUE))</f>
        <v>0.89</v>
      </c>
      <c r="O98" s="50">
        <f t="shared" si="36"/>
        <v>5.9161925176190238E-3</v>
      </c>
    </row>
    <row r="99" spans="2:15" ht="15" x14ac:dyDescent="0.25">
      <c r="B99" s="57">
        <f t="shared" si="29"/>
        <v>44958</v>
      </c>
      <c r="C99" s="36">
        <f t="shared" si="30"/>
        <v>5897656.0702299466</v>
      </c>
      <c r="D99" s="39">
        <f t="shared" si="37"/>
        <v>39513.024293712493</v>
      </c>
      <c r="E99" s="36">
        <f t="shared" si="31"/>
        <v>29488.280351149733</v>
      </c>
      <c r="F99" s="36">
        <f t="shared" si="32"/>
        <v>10024.74394256276</v>
      </c>
      <c r="G99" s="36">
        <f t="shared" si="33"/>
        <v>0</v>
      </c>
      <c r="H99" s="38">
        <f t="shared" si="34"/>
        <v>35223.735235025524</v>
      </c>
      <c r="I99" s="36">
        <f t="shared" si="35"/>
        <v>5852407.591052359</v>
      </c>
      <c r="J99" s="2">
        <f t="shared" si="26"/>
        <v>86</v>
      </c>
      <c r="K99" s="44">
        <f t="shared" si="27"/>
        <v>6.9243826282994192E-3</v>
      </c>
      <c r="L99" s="41">
        <f t="shared" si="28"/>
        <v>0.96</v>
      </c>
      <c r="M99" s="42">
        <f t="shared" si="25"/>
        <v>1</v>
      </c>
      <c r="N99" s="43">
        <f>(VLOOKUP(MONTH('Amortization Model 101'!$B99),Seasonality,2,TRUE))</f>
        <v>0.9</v>
      </c>
      <c r="O99" s="50">
        <f t="shared" si="36"/>
        <v>5.9826665908506984E-3</v>
      </c>
    </row>
    <row r="100" spans="2:15" ht="15" x14ac:dyDescent="0.25">
      <c r="B100" s="57">
        <f t="shared" si="29"/>
        <v>44986</v>
      </c>
      <c r="C100" s="36">
        <f t="shared" si="30"/>
        <v>5852407.591052359</v>
      </c>
      <c r="D100" s="39">
        <f t="shared" si="37"/>
        <v>39276.63104336703</v>
      </c>
      <c r="E100" s="36">
        <f t="shared" si="31"/>
        <v>29262.037955261796</v>
      </c>
      <c r="F100" s="36">
        <f t="shared" si="32"/>
        <v>10014.593088105234</v>
      </c>
      <c r="G100" s="36">
        <f t="shared" si="33"/>
        <v>0</v>
      </c>
      <c r="H100" s="38">
        <f t="shared" si="34"/>
        <v>36894.927699515283</v>
      </c>
      <c r="I100" s="36">
        <f t="shared" si="35"/>
        <v>5805498.0702647381</v>
      </c>
      <c r="J100" s="2">
        <f t="shared" si="26"/>
        <v>87</v>
      </c>
      <c r="K100" s="44">
        <f t="shared" si="27"/>
        <v>6.9243826282994192E-3</v>
      </c>
      <c r="L100" s="41">
        <f t="shared" si="28"/>
        <v>0.96</v>
      </c>
      <c r="M100" s="42">
        <f t="shared" si="25"/>
        <v>1</v>
      </c>
      <c r="N100" s="43">
        <f>(VLOOKUP(MONTH('Amortization Model 101'!$B100),Seasonality,2,TRUE))</f>
        <v>0.95</v>
      </c>
      <c r="O100" s="50">
        <f t="shared" si="36"/>
        <v>6.3150369570090705E-3</v>
      </c>
    </row>
    <row r="101" spans="2:15" ht="15" x14ac:dyDescent="0.25">
      <c r="B101" s="57">
        <f t="shared" si="29"/>
        <v>45017</v>
      </c>
      <c r="C101" s="36">
        <f t="shared" si="30"/>
        <v>5805498.0702647381</v>
      </c>
      <c r="D101" s="39">
        <f t="shared" si="37"/>
        <v>39028.597666781359</v>
      </c>
      <c r="E101" s="36">
        <f t="shared" si="31"/>
        <v>29027.49035132369</v>
      </c>
      <c r="F101" s="36">
        <f t="shared" si="32"/>
        <v>10001.10731545767</v>
      </c>
      <c r="G101" s="36">
        <f t="shared" si="33"/>
        <v>0</v>
      </c>
      <c r="H101" s="38">
        <f t="shared" si="34"/>
        <v>36984.027794787566</v>
      </c>
      <c r="I101" s="36">
        <f t="shared" si="35"/>
        <v>5758512.935154493</v>
      </c>
      <c r="J101" s="2">
        <f t="shared" si="26"/>
        <v>88</v>
      </c>
      <c r="K101" s="44">
        <f t="shared" si="27"/>
        <v>6.9243826282994192E-3</v>
      </c>
      <c r="L101" s="41">
        <f t="shared" si="28"/>
        <v>0.96</v>
      </c>
      <c r="M101" s="42">
        <f t="shared" si="25"/>
        <v>1</v>
      </c>
      <c r="N101" s="43">
        <f>(VLOOKUP(MONTH('Amortization Model 101'!$B101),Seasonality,2,TRUE))</f>
        <v>0.96</v>
      </c>
      <c r="O101" s="50">
        <f t="shared" si="36"/>
        <v>6.3815110302407442E-3</v>
      </c>
    </row>
    <row r="102" spans="2:15" ht="15" x14ac:dyDescent="0.25">
      <c r="B102" s="57">
        <f t="shared" si="29"/>
        <v>45047</v>
      </c>
      <c r="C102" s="36">
        <f t="shared" si="30"/>
        <v>5758512.935154493</v>
      </c>
      <c r="D102" s="39">
        <f t="shared" si="37"/>
        <v>38779.536240275971</v>
      </c>
      <c r="E102" s="36">
        <f t="shared" si="31"/>
        <v>28792.564675772464</v>
      </c>
      <c r="F102" s="36">
        <f t="shared" si="32"/>
        <v>9986.9715645035067</v>
      </c>
      <c r="G102" s="36">
        <f t="shared" si="33"/>
        <v>0</v>
      </c>
      <c r="H102" s="38">
        <f t="shared" si="34"/>
        <v>40505.561203053454</v>
      </c>
      <c r="I102" s="36">
        <f t="shared" si="35"/>
        <v>5708020.4023869364</v>
      </c>
      <c r="J102" s="2">
        <f t="shared" si="26"/>
        <v>89</v>
      </c>
      <c r="K102" s="44">
        <f t="shared" si="27"/>
        <v>6.9243826282994192E-3</v>
      </c>
      <c r="L102" s="41">
        <f t="shared" si="28"/>
        <v>0.96</v>
      </c>
      <c r="M102" s="42">
        <f t="shared" si="25"/>
        <v>1</v>
      </c>
      <c r="N102" s="43">
        <f>(VLOOKUP(MONTH('Amortization Model 101'!$B102),Seasonality,2,TRUE))</f>
        <v>1.06</v>
      </c>
      <c r="O102" s="50">
        <f t="shared" si="36"/>
        <v>7.0462517625574893E-3</v>
      </c>
    </row>
    <row r="103" spans="2:15" ht="15" x14ac:dyDescent="0.25">
      <c r="B103" s="57">
        <f t="shared" si="29"/>
        <v>45078</v>
      </c>
      <c r="C103" s="36">
        <f t="shared" si="30"/>
        <v>5708020.4023869364</v>
      </c>
      <c r="D103" s="39">
        <f t="shared" si="37"/>
        <v>38506.285864691767</v>
      </c>
      <c r="E103" s="36">
        <f t="shared" si="31"/>
        <v>28540.102011934679</v>
      </c>
      <c r="F103" s="36">
        <f t="shared" si="32"/>
        <v>9966.1838527570872</v>
      </c>
      <c r="G103" s="36">
        <f t="shared" si="33"/>
        <v>0</v>
      </c>
      <c r="H103" s="38">
        <f t="shared" si="34"/>
        <v>41286.243200697274</v>
      </c>
      <c r="I103" s="36">
        <f t="shared" si="35"/>
        <v>5656767.975333482</v>
      </c>
      <c r="J103" s="2">
        <f t="shared" si="26"/>
        <v>90</v>
      </c>
      <c r="K103" s="44">
        <f t="shared" si="27"/>
        <v>6.9243826282994192E-3</v>
      </c>
      <c r="L103" s="41">
        <f t="shared" si="28"/>
        <v>0.96</v>
      </c>
      <c r="M103" s="42">
        <f t="shared" si="25"/>
        <v>1</v>
      </c>
      <c r="N103" s="43">
        <f>(VLOOKUP(MONTH('Amortization Model 101'!$B103),Seasonality,2,TRUE))</f>
        <v>1.0900000000000001</v>
      </c>
      <c r="O103" s="50">
        <f t="shared" si="36"/>
        <v>7.2456739822525131E-3</v>
      </c>
    </row>
    <row r="104" spans="2:15" ht="15" x14ac:dyDescent="0.25">
      <c r="B104" s="57">
        <f t="shared" si="29"/>
        <v>45108</v>
      </c>
      <c r="C104" s="36">
        <f t="shared" si="30"/>
        <v>5656767.975333482</v>
      </c>
      <c r="D104" s="39">
        <f t="shared" si="37"/>
        <v>38227.281871048792</v>
      </c>
      <c r="E104" s="36">
        <f t="shared" si="31"/>
        <v>28283.839876667407</v>
      </c>
      <c r="F104" s="36">
        <f t="shared" si="32"/>
        <v>9943.4419943813846</v>
      </c>
      <c r="G104" s="36">
        <f t="shared" si="33"/>
        <v>0</v>
      </c>
      <c r="H104" s="38">
        <f t="shared" si="34"/>
        <v>41290.417031115911</v>
      </c>
      <c r="I104" s="36">
        <f t="shared" si="35"/>
        <v>5605534.116307985</v>
      </c>
      <c r="J104" s="2">
        <f t="shared" si="26"/>
        <v>91</v>
      </c>
      <c r="K104" s="44">
        <f t="shared" si="27"/>
        <v>6.9243826282994192E-3</v>
      </c>
      <c r="L104" s="41">
        <f t="shared" si="28"/>
        <v>0.96</v>
      </c>
      <c r="M104" s="42">
        <f t="shared" si="25"/>
        <v>1</v>
      </c>
      <c r="N104" s="43">
        <f>(VLOOKUP(MONTH('Amortization Model 101'!$B104),Seasonality,2,TRUE))</f>
        <v>1.1000000000000001</v>
      </c>
      <c r="O104" s="50">
        <f t="shared" si="36"/>
        <v>7.3121480554841876E-3</v>
      </c>
    </row>
    <row r="105" spans="2:15" ht="15" x14ac:dyDescent="0.25">
      <c r="B105" s="57">
        <f t="shared" si="29"/>
        <v>45139</v>
      </c>
      <c r="C105" s="36">
        <f t="shared" si="30"/>
        <v>5605534.116307985</v>
      </c>
      <c r="D105" s="39">
        <f t="shared" si="37"/>
        <v>37947.758326248957</v>
      </c>
      <c r="E105" s="36">
        <f t="shared" si="31"/>
        <v>28027.670581539922</v>
      </c>
      <c r="F105" s="36">
        <f t="shared" si="32"/>
        <v>9920.0877447090352</v>
      </c>
      <c r="G105" s="36">
        <f t="shared" si="33"/>
        <v>0</v>
      </c>
      <c r="H105" s="38">
        <f t="shared" si="34"/>
        <v>42775.77452175349</v>
      </c>
      <c r="I105" s="36">
        <f t="shared" si="35"/>
        <v>5552838.2540415227</v>
      </c>
      <c r="J105" s="2">
        <f t="shared" si="26"/>
        <v>92</v>
      </c>
      <c r="K105" s="44">
        <f t="shared" si="27"/>
        <v>6.9243826282994192E-3</v>
      </c>
      <c r="L105" s="41">
        <f t="shared" si="28"/>
        <v>0.96</v>
      </c>
      <c r="M105" s="42">
        <f t="shared" si="25"/>
        <v>1</v>
      </c>
      <c r="N105" s="43">
        <f>(VLOOKUP(MONTH('Amortization Model 101'!$B105),Seasonality,2,TRUE))</f>
        <v>1.1499999999999999</v>
      </c>
      <c r="O105" s="50">
        <f t="shared" si="36"/>
        <v>7.644518421642558E-3</v>
      </c>
    </row>
    <row r="106" spans="2:15" ht="15" x14ac:dyDescent="0.25">
      <c r="B106" s="57">
        <f t="shared" si="29"/>
        <v>45170</v>
      </c>
      <c r="C106" s="36">
        <f t="shared" si="30"/>
        <v>5552838.2540415227</v>
      </c>
      <c r="D106" s="39">
        <f t="shared" si="37"/>
        <v>37657.66598866391</v>
      </c>
      <c r="E106" s="36">
        <f t="shared" si="31"/>
        <v>27764.191270207612</v>
      </c>
      <c r="F106" s="36">
        <f t="shared" si="32"/>
        <v>9893.4747184562984</v>
      </c>
      <c r="G106" s="36">
        <f t="shared" si="33"/>
        <v>0</v>
      </c>
      <c r="H106" s="38">
        <f t="shared" si="34"/>
        <v>41636.219241322928</v>
      </c>
      <c r="I106" s="36">
        <f t="shared" si="35"/>
        <v>5501308.5600817436</v>
      </c>
      <c r="J106" s="2">
        <f t="shared" si="26"/>
        <v>93</v>
      </c>
      <c r="K106" s="44">
        <f t="shared" si="27"/>
        <v>6.9243826282994192E-3</v>
      </c>
      <c r="L106" s="41">
        <f t="shared" si="28"/>
        <v>0.96</v>
      </c>
      <c r="M106" s="42">
        <f t="shared" si="25"/>
        <v>1</v>
      </c>
      <c r="N106" s="43">
        <f>(VLOOKUP(MONTH('Amortization Model 101'!$B106),Seasonality,2,TRUE))</f>
        <v>1.1299999999999999</v>
      </c>
      <c r="O106" s="50">
        <f t="shared" si="36"/>
        <v>7.5115702751792097E-3</v>
      </c>
    </row>
    <row r="107" spans="2:15" ht="15" x14ac:dyDescent="0.25">
      <c r="B107" s="57">
        <f t="shared" si="29"/>
        <v>45200</v>
      </c>
      <c r="C107" s="36">
        <f t="shared" si="30"/>
        <v>5501308.5600817436</v>
      </c>
      <c r="D107" s="39">
        <f t="shared" si="37"/>
        <v>37374.797784190836</v>
      </c>
      <c r="E107" s="36">
        <f t="shared" si="31"/>
        <v>27506.542800408715</v>
      </c>
      <c r="F107" s="36">
        <f t="shared" si="32"/>
        <v>9868.2549837821207</v>
      </c>
      <c r="G107" s="36">
        <f t="shared" si="33"/>
        <v>0</v>
      </c>
      <c r="H107" s="38">
        <f t="shared" si="34"/>
        <v>36868.878903833494</v>
      </c>
      <c r="I107" s="36">
        <f t="shared" si="35"/>
        <v>5454571.4261941286</v>
      </c>
      <c r="J107" s="2">
        <f t="shared" si="26"/>
        <v>94</v>
      </c>
      <c r="K107" s="44">
        <f t="shared" si="27"/>
        <v>6.9243826282994192E-3</v>
      </c>
      <c r="L107" s="41">
        <f t="shared" si="28"/>
        <v>0.96</v>
      </c>
      <c r="M107" s="42">
        <f t="shared" si="25"/>
        <v>1</v>
      </c>
      <c r="N107" s="43">
        <f>(VLOOKUP(MONTH('Amortization Model 101'!$B107),Seasonality,2,TRUE))</f>
        <v>1.01</v>
      </c>
      <c r="O107" s="50">
        <f t="shared" si="36"/>
        <v>6.7138813963991172E-3</v>
      </c>
    </row>
    <row r="108" spans="2:15" ht="15" x14ac:dyDescent="0.25">
      <c r="B108" s="57">
        <f t="shared" si="29"/>
        <v>45231</v>
      </c>
      <c r="C108" s="36">
        <f t="shared" si="30"/>
        <v>5454571.4261941286</v>
      </c>
      <c r="D108" s="39">
        <f t="shared" si="37"/>
        <v>37123.867824653382</v>
      </c>
      <c r="E108" s="36">
        <f t="shared" si="31"/>
        <v>27272.857130970642</v>
      </c>
      <c r="F108" s="36">
        <f t="shared" si="32"/>
        <v>9851.0106936827397</v>
      </c>
      <c r="G108" s="36">
        <f t="shared" si="33"/>
        <v>0</v>
      </c>
      <c r="H108" s="38">
        <f t="shared" si="34"/>
        <v>30801.984535668442</v>
      </c>
      <c r="I108" s="36">
        <f t="shared" si="35"/>
        <v>5413918.4309647782</v>
      </c>
      <c r="J108" s="2">
        <f t="shared" si="26"/>
        <v>95</v>
      </c>
      <c r="K108" s="44">
        <f t="shared" si="27"/>
        <v>6.9243826282994192E-3</v>
      </c>
      <c r="L108" s="41">
        <f t="shared" si="28"/>
        <v>0.95</v>
      </c>
      <c r="M108" s="42">
        <f t="shared" si="25"/>
        <v>1</v>
      </c>
      <c r="N108" s="43">
        <f>(VLOOKUP(MONTH('Amortization Model 101'!$B108),Seasonality,2,TRUE))</f>
        <v>0.86</v>
      </c>
      <c r="O108" s="50">
        <f t="shared" si="36"/>
        <v>5.6572206073206253E-3</v>
      </c>
    </row>
    <row r="109" spans="2:15" ht="15" x14ac:dyDescent="0.25">
      <c r="B109" s="57">
        <f t="shared" si="29"/>
        <v>45261</v>
      </c>
      <c r="C109" s="36">
        <f t="shared" si="30"/>
        <v>5413918.4309647782</v>
      </c>
      <c r="D109" s="39">
        <f t="shared" si="37"/>
        <v>36913.849914572311</v>
      </c>
      <c r="E109" s="36">
        <f t="shared" si="31"/>
        <v>27069.592154823888</v>
      </c>
      <c r="F109" s="36">
        <f t="shared" si="32"/>
        <v>9844.2577597484233</v>
      </c>
      <c r="G109" s="36">
        <f t="shared" si="33"/>
        <v>0</v>
      </c>
      <c r="H109" s="40">
        <f t="shared" si="34"/>
        <v>31993.995114570003</v>
      </c>
      <c r="I109" s="36">
        <f t="shared" si="35"/>
        <v>5372080.1780904606</v>
      </c>
      <c r="J109" s="2">
        <f t="shared" si="26"/>
        <v>96</v>
      </c>
      <c r="K109" s="44">
        <f t="shared" si="27"/>
        <v>6.9243826282994192E-3</v>
      </c>
      <c r="L109" s="41">
        <f t="shared" si="28"/>
        <v>0.95</v>
      </c>
      <c r="M109" s="42">
        <f t="shared" si="25"/>
        <v>1</v>
      </c>
      <c r="N109" s="43">
        <f>(VLOOKUP(MONTH('Amortization Model 101'!$B109),Seasonality,2,TRUE))</f>
        <v>0.9</v>
      </c>
      <c r="O109" s="50">
        <f t="shared" si="36"/>
        <v>5.9203471471960039E-3</v>
      </c>
    </row>
    <row r="110" spans="2:15" ht="15" x14ac:dyDescent="0.25">
      <c r="B110" s="57">
        <f t="shared" si="29"/>
        <v>45292</v>
      </c>
      <c r="C110" s="36">
        <f t="shared" si="30"/>
        <v>5372080.1780904606</v>
      </c>
      <c r="D110" s="39">
        <f t="shared" si="37"/>
        <v>36695.30710853856</v>
      </c>
      <c r="E110" s="36">
        <f t="shared" si="31"/>
        <v>26860.400890452303</v>
      </c>
      <c r="F110" s="36">
        <f t="shared" si="32"/>
        <v>9834.9062180862566</v>
      </c>
      <c r="G110" s="36">
        <f t="shared" si="33"/>
        <v>0</v>
      </c>
      <c r="H110" s="38">
        <f t="shared" si="34"/>
        <v>31393.616236807149</v>
      </c>
      <c r="I110" s="36">
        <f t="shared" si="35"/>
        <v>5330851.6556355674</v>
      </c>
      <c r="J110" s="2">
        <f t="shared" si="26"/>
        <v>97</v>
      </c>
      <c r="K110" s="44">
        <f t="shared" si="27"/>
        <v>6.9243826282994192E-3</v>
      </c>
      <c r="L110" s="41">
        <f t="shared" si="28"/>
        <v>0.95</v>
      </c>
      <c r="M110" s="42">
        <f t="shared" si="25"/>
        <v>1</v>
      </c>
      <c r="N110" s="43">
        <f>(VLOOKUP(MONTH('Amortization Model 101'!$B110),Seasonality,2,TRUE))</f>
        <v>0.89</v>
      </c>
      <c r="O110" s="50">
        <f t="shared" si="36"/>
        <v>5.8545655122271591E-3</v>
      </c>
    </row>
    <row r="111" spans="2:15" ht="15" x14ac:dyDescent="0.25">
      <c r="B111" s="57">
        <f t="shared" si="29"/>
        <v>45323</v>
      </c>
      <c r="C111" s="36">
        <f t="shared" si="30"/>
        <v>5330851.6556355674</v>
      </c>
      <c r="D111" s="39">
        <f t="shared" si="37"/>
        <v>36480.472029080323</v>
      </c>
      <c r="E111" s="36">
        <f t="shared" si="31"/>
        <v>26654.258278177836</v>
      </c>
      <c r="F111" s="36">
        <f t="shared" si="32"/>
        <v>9826.2137509024869</v>
      </c>
      <c r="G111" s="36">
        <f t="shared" si="33"/>
        <v>0</v>
      </c>
      <c r="H111" s="38">
        <f t="shared" si="34"/>
        <v>31502.317795019233</v>
      </c>
      <c r="I111" s="36">
        <f t="shared" si="35"/>
        <v>5289523.1240896452</v>
      </c>
      <c r="J111" s="2">
        <f t="shared" si="26"/>
        <v>98</v>
      </c>
      <c r="K111" s="44">
        <f t="shared" si="27"/>
        <v>6.9243826282994192E-3</v>
      </c>
      <c r="L111" s="41">
        <f t="shared" si="28"/>
        <v>0.95</v>
      </c>
      <c r="M111" s="42">
        <f t="shared" si="25"/>
        <v>1</v>
      </c>
      <c r="N111" s="43">
        <f>(VLOOKUP(MONTH('Amortization Model 101'!$B111),Seasonality,2,TRUE))</f>
        <v>0.9</v>
      </c>
      <c r="O111" s="50">
        <f t="shared" si="36"/>
        <v>5.9203471471960039E-3</v>
      </c>
    </row>
    <row r="112" spans="2:15" ht="15" x14ac:dyDescent="0.25">
      <c r="B112" s="57">
        <f t="shared" si="29"/>
        <v>45352</v>
      </c>
      <c r="C112" s="36">
        <f t="shared" si="30"/>
        <v>5289523.1240896452</v>
      </c>
      <c r="D112" s="39">
        <f t="shared" si="37"/>
        <v>36264.494970574589</v>
      </c>
      <c r="E112" s="36">
        <f t="shared" si="31"/>
        <v>26447.615620448225</v>
      </c>
      <c r="F112" s="36">
        <f t="shared" si="32"/>
        <v>9816.8793501263644</v>
      </c>
      <c r="G112" s="36">
        <f t="shared" si="33"/>
        <v>0</v>
      </c>
      <c r="H112" s="38">
        <f t="shared" si="34"/>
        <v>32994.23234874745</v>
      </c>
      <c r="I112" s="36">
        <f t="shared" si="35"/>
        <v>5246712.0123907709</v>
      </c>
      <c r="J112" s="2">
        <f t="shared" si="26"/>
        <v>99</v>
      </c>
      <c r="K112" s="44">
        <f t="shared" si="27"/>
        <v>6.9243826282994192E-3</v>
      </c>
      <c r="L112" s="41">
        <f t="shared" si="28"/>
        <v>0.95</v>
      </c>
      <c r="M112" s="42">
        <f t="shared" si="25"/>
        <v>1</v>
      </c>
      <c r="N112" s="43">
        <f>(VLOOKUP(MONTH('Amortization Model 101'!$B112),Seasonality,2,TRUE))</f>
        <v>0.95</v>
      </c>
      <c r="O112" s="50">
        <f t="shared" si="36"/>
        <v>6.2492553220402257E-3</v>
      </c>
    </row>
    <row r="113" spans="2:15" ht="15" x14ac:dyDescent="0.25">
      <c r="B113" s="57">
        <f t="shared" si="29"/>
        <v>45383</v>
      </c>
      <c r="C113" s="36">
        <f t="shared" si="30"/>
        <v>5246712.0123907709</v>
      </c>
      <c r="D113" s="39">
        <f t="shared" si="37"/>
        <v>36037.868882378621</v>
      </c>
      <c r="E113" s="36">
        <f t="shared" si="31"/>
        <v>26233.560061953856</v>
      </c>
      <c r="F113" s="36">
        <f t="shared" si="32"/>
        <v>9804.3088204247651</v>
      </c>
      <c r="G113" s="36">
        <f t="shared" si="33"/>
        <v>0</v>
      </c>
      <c r="H113" s="38">
        <f t="shared" si="34"/>
        <v>33071.265688492233</v>
      </c>
      <c r="I113" s="36">
        <f t="shared" si="35"/>
        <v>5203836.4378818544</v>
      </c>
      <c r="J113" s="2">
        <f t="shared" si="26"/>
        <v>100</v>
      </c>
      <c r="K113" s="44">
        <f t="shared" si="27"/>
        <v>6.9243826282994192E-3</v>
      </c>
      <c r="L113" s="41">
        <f t="shared" si="28"/>
        <v>0.95</v>
      </c>
      <c r="M113" s="42">
        <f t="shared" si="25"/>
        <v>1</v>
      </c>
      <c r="N113" s="43">
        <f>(VLOOKUP(MONTH('Amortization Model 101'!$B113),Seasonality,2,TRUE))</f>
        <v>0.96</v>
      </c>
      <c r="O113" s="50">
        <f t="shared" si="36"/>
        <v>6.3150369570090696E-3</v>
      </c>
    </row>
    <row r="114" spans="2:15" ht="15" x14ac:dyDescent="0.25">
      <c r="B114" s="57">
        <f t="shared" si="29"/>
        <v>45413</v>
      </c>
      <c r="C114" s="36">
        <f t="shared" si="30"/>
        <v>5203836.4378818544</v>
      </c>
      <c r="D114" s="39">
        <f t="shared" si="37"/>
        <v>35810.288408534558</v>
      </c>
      <c r="E114" s="36">
        <f t="shared" si="31"/>
        <v>26019.182189409272</v>
      </c>
      <c r="F114" s="36">
        <f t="shared" si="32"/>
        <v>9791.1062191252859</v>
      </c>
      <c r="G114" s="36">
        <f t="shared" si="33"/>
        <v>0</v>
      </c>
      <c r="H114" s="38">
        <f t="shared" si="34"/>
        <v>36217.316166021257</v>
      </c>
      <c r="I114" s="36">
        <f t="shared" si="35"/>
        <v>5157828.0154967085</v>
      </c>
      <c r="J114" s="2">
        <f t="shared" si="26"/>
        <v>101</v>
      </c>
      <c r="K114" s="44">
        <f t="shared" si="27"/>
        <v>6.9243826282994192E-3</v>
      </c>
      <c r="L114" s="41">
        <f t="shared" si="28"/>
        <v>0.95</v>
      </c>
      <c r="M114" s="42">
        <f t="shared" si="25"/>
        <v>1</v>
      </c>
      <c r="N114" s="43">
        <f>(VLOOKUP(MONTH('Amortization Model 101'!$B114),Seasonality,2,TRUE))</f>
        <v>1.06</v>
      </c>
      <c r="O114" s="50">
        <f t="shared" si="36"/>
        <v>6.9728533066975157E-3</v>
      </c>
    </row>
    <row r="115" spans="2:15" ht="15" x14ac:dyDescent="0.25">
      <c r="B115" s="57">
        <f t="shared" si="29"/>
        <v>45444</v>
      </c>
      <c r="C115" s="36">
        <f t="shared" si="30"/>
        <v>5157828.0154967085</v>
      </c>
      <c r="D115" s="39">
        <f t="shared" si="37"/>
        <v>35560.588520591322</v>
      </c>
      <c r="E115" s="36">
        <f t="shared" si="31"/>
        <v>25789.140077483538</v>
      </c>
      <c r="F115" s="36">
        <f t="shared" si="32"/>
        <v>9771.4484431077835</v>
      </c>
      <c r="G115" s="36">
        <f t="shared" si="33"/>
        <v>0</v>
      </c>
      <c r="H115" s="38">
        <f t="shared" si="34"/>
        <v>36912.585990324209</v>
      </c>
      <c r="I115" s="36">
        <f t="shared" si="35"/>
        <v>5111143.9810632756</v>
      </c>
      <c r="J115" s="2">
        <f t="shared" si="26"/>
        <v>102</v>
      </c>
      <c r="K115" s="44">
        <f t="shared" si="27"/>
        <v>6.9243826282994192E-3</v>
      </c>
      <c r="L115" s="41">
        <f t="shared" si="28"/>
        <v>0.95</v>
      </c>
      <c r="M115" s="42">
        <f t="shared" si="25"/>
        <v>1</v>
      </c>
      <c r="N115" s="43">
        <f>(VLOOKUP(MONTH('Amortization Model 101'!$B115),Seasonality,2,TRUE))</f>
        <v>1.0900000000000001</v>
      </c>
      <c r="O115" s="50">
        <f t="shared" si="36"/>
        <v>7.1701982116040494E-3</v>
      </c>
    </row>
    <row r="116" spans="2:15" ht="15" x14ac:dyDescent="0.25">
      <c r="B116" s="57">
        <f t="shared" si="29"/>
        <v>45474</v>
      </c>
      <c r="C116" s="36">
        <f t="shared" si="30"/>
        <v>5111143.9810632756</v>
      </c>
      <c r="D116" s="39">
        <f t="shared" si="37"/>
        <v>35305.612052377379</v>
      </c>
      <c r="E116" s="36">
        <f t="shared" si="31"/>
        <v>25555.719905316379</v>
      </c>
      <c r="F116" s="36">
        <f t="shared" si="32"/>
        <v>9749.8921470610003</v>
      </c>
      <c r="G116" s="36">
        <f t="shared" si="33"/>
        <v>0</v>
      </c>
      <c r="H116" s="38">
        <f t="shared" si="34"/>
        <v>36913.584816823815</v>
      </c>
      <c r="I116" s="36">
        <f t="shared" si="35"/>
        <v>5064480.5040993905</v>
      </c>
      <c r="J116" s="2">
        <f t="shared" si="26"/>
        <v>103</v>
      </c>
      <c r="K116" s="44">
        <f t="shared" si="27"/>
        <v>6.9243826282994192E-3</v>
      </c>
      <c r="L116" s="41">
        <f t="shared" si="28"/>
        <v>0.95</v>
      </c>
      <c r="M116" s="42">
        <f t="shared" si="25"/>
        <v>1</v>
      </c>
      <c r="N116" s="43">
        <f>(VLOOKUP(MONTH('Amortization Model 101'!$B116),Seasonality,2,TRUE))</f>
        <v>1.1000000000000001</v>
      </c>
      <c r="O116" s="50">
        <f t="shared" si="36"/>
        <v>7.2359798465728934E-3</v>
      </c>
    </row>
    <row r="117" spans="2:15" ht="15" x14ac:dyDescent="0.25">
      <c r="B117" s="57">
        <f t="shared" si="29"/>
        <v>45505</v>
      </c>
      <c r="C117" s="36">
        <f t="shared" si="30"/>
        <v>5064480.5040993905</v>
      </c>
      <c r="D117" s="39">
        <f t="shared" si="37"/>
        <v>35050.14135509546</v>
      </c>
      <c r="E117" s="36">
        <f t="shared" si="31"/>
        <v>25322.402520496951</v>
      </c>
      <c r="F117" s="36">
        <f t="shared" si="32"/>
        <v>9727.7388345985091</v>
      </c>
      <c r="G117" s="36">
        <f t="shared" si="33"/>
        <v>0</v>
      </c>
      <c r="H117" s="38">
        <f t="shared" si="34"/>
        <v>38238.638645176667</v>
      </c>
      <c r="I117" s="36">
        <f t="shared" si="35"/>
        <v>5016514.1266196156</v>
      </c>
      <c r="J117" s="2">
        <f t="shared" si="26"/>
        <v>104</v>
      </c>
      <c r="K117" s="44">
        <f t="shared" si="27"/>
        <v>6.9243826282994192E-3</v>
      </c>
      <c r="L117" s="41">
        <f t="shared" si="28"/>
        <v>0.95</v>
      </c>
      <c r="M117" s="42">
        <f t="shared" si="25"/>
        <v>1</v>
      </c>
      <c r="N117" s="43">
        <f>(VLOOKUP(MONTH('Amortization Model 101'!$B117),Seasonality,2,TRUE))</f>
        <v>1.1499999999999999</v>
      </c>
      <c r="O117" s="50">
        <f t="shared" si="36"/>
        <v>7.5648880214171151E-3</v>
      </c>
    </row>
    <row r="118" spans="2:15" ht="15" x14ac:dyDescent="0.25">
      <c r="B118" s="57">
        <f t="shared" si="29"/>
        <v>45536</v>
      </c>
      <c r="C118" s="36">
        <f t="shared" si="30"/>
        <v>5016514.1266196156</v>
      </c>
      <c r="D118" s="39">
        <f t="shared" si="37"/>
        <v>34784.990960609321</v>
      </c>
      <c r="E118" s="36">
        <f t="shared" si="31"/>
        <v>25082.570633098076</v>
      </c>
      <c r="F118" s="36">
        <f t="shared" si="32"/>
        <v>9702.420327511245</v>
      </c>
      <c r="G118" s="36">
        <f t="shared" si="33"/>
        <v>0</v>
      </c>
      <c r="H118" s="38">
        <f t="shared" si="34"/>
        <v>37217.257382378033</v>
      </c>
      <c r="I118" s="36">
        <f t="shared" si="35"/>
        <v>4969594.448909726</v>
      </c>
      <c r="J118" s="2">
        <f t="shared" si="26"/>
        <v>105</v>
      </c>
      <c r="K118" s="44">
        <f t="shared" si="27"/>
        <v>6.9243826282994192E-3</v>
      </c>
      <c r="L118" s="41">
        <f t="shared" si="28"/>
        <v>0.95</v>
      </c>
      <c r="M118" s="42">
        <f t="shared" si="25"/>
        <v>1</v>
      </c>
      <c r="N118" s="43">
        <f>(VLOOKUP(MONTH('Amortization Model 101'!$B118),Seasonality,2,TRUE))</f>
        <v>1.1299999999999999</v>
      </c>
      <c r="O118" s="50">
        <f t="shared" si="36"/>
        <v>7.4333247514794254E-3</v>
      </c>
    </row>
    <row r="119" spans="2:15" ht="15" x14ac:dyDescent="0.25">
      <c r="B119" s="57">
        <f t="shared" si="29"/>
        <v>45566</v>
      </c>
      <c r="C119" s="36">
        <f t="shared" si="30"/>
        <v>4969594.448909726</v>
      </c>
      <c r="D119" s="39">
        <f t="shared" si="37"/>
        <v>34526.422826321832</v>
      </c>
      <c r="E119" s="36">
        <f t="shared" si="31"/>
        <v>24847.97224454863</v>
      </c>
      <c r="F119" s="36">
        <f t="shared" si="32"/>
        <v>9678.4505817732024</v>
      </c>
      <c r="G119" s="36">
        <f t="shared" si="33"/>
        <v>0</v>
      </c>
      <c r="H119" s="38">
        <f t="shared" si="34"/>
        <v>32953.409751492269</v>
      </c>
      <c r="I119" s="36">
        <f t="shared" si="35"/>
        <v>4926962.5885764603</v>
      </c>
      <c r="J119" s="2">
        <f t="shared" si="26"/>
        <v>106</v>
      </c>
      <c r="K119" s="44">
        <f t="shared" si="27"/>
        <v>6.9243826282994192E-3</v>
      </c>
      <c r="L119" s="41">
        <f t="shared" si="28"/>
        <v>0.95</v>
      </c>
      <c r="M119" s="42">
        <f t="shared" si="25"/>
        <v>1</v>
      </c>
      <c r="N119" s="43">
        <f>(VLOOKUP(MONTH('Amortization Model 101'!$B119),Seasonality,2,TRUE))</f>
        <v>1.01</v>
      </c>
      <c r="O119" s="50">
        <f t="shared" si="36"/>
        <v>6.6439451318532931E-3</v>
      </c>
    </row>
    <row r="120" spans="2:15" ht="15" x14ac:dyDescent="0.25">
      <c r="B120" s="57">
        <f t="shared" si="29"/>
        <v>45597</v>
      </c>
      <c r="C120" s="36">
        <f t="shared" si="30"/>
        <v>4926962.5885764603</v>
      </c>
      <c r="D120" s="39">
        <f t="shared" si="37"/>
        <v>34297.031167464585</v>
      </c>
      <c r="E120" s="36">
        <f t="shared" si="31"/>
        <v>24634.812942882301</v>
      </c>
      <c r="F120" s="36">
        <f t="shared" si="32"/>
        <v>9662.2182245822842</v>
      </c>
      <c r="G120" s="36">
        <f t="shared" si="33"/>
        <v>0</v>
      </c>
      <c r="H120" s="38">
        <f t="shared" si="34"/>
        <v>27818.252987539989</v>
      </c>
      <c r="I120" s="36">
        <f t="shared" si="35"/>
        <v>4889482.1173643377</v>
      </c>
      <c r="J120" s="2">
        <f t="shared" si="26"/>
        <v>107</v>
      </c>
      <c r="K120" s="44">
        <f t="shared" si="27"/>
        <v>6.9243826282994192E-3</v>
      </c>
      <c r="L120" s="41">
        <f t="shared" si="28"/>
        <v>0.95</v>
      </c>
      <c r="M120" s="42">
        <f t="shared" si="25"/>
        <v>1</v>
      </c>
      <c r="N120" s="43">
        <f>(VLOOKUP(MONTH('Amortization Model 101'!$B120),Seasonality,2,TRUE))</f>
        <v>0.86</v>
      </c>
      <c r="O120" s="50">
        <f t="shared" si="36"/>
        <v>5.6572206073206253E-3</v>
      </c>
    </row>
    <row r="121" spans="2:15" ht="15" x14ac:dyDescent="0.25">
      <c r="B121" s="57">
        <f t="shared" si="29"/>
        <v>45627</v>
      </c>
      <c r="C121" s="36">
        <f t="shared" si="30"/>
        <v>4889482.1173643377</v>
      </c>
      <c r="D121" s="39">
        <f t="shared" si="37"/>
        <v>34103.005295974079</v>
      </c>
      <c r="E121" s="36">
        <f t="shared" si="31"/>
        <v>24447.410586821687</v>
      </c>
      <c r="F121" s="36">
        <f t="shared" si="32"/>
        <v>9655.5947091523922</v>
      </c>
      <c r="G121" s="36">
        <f t="shared" si="33"/>
        <v>0</v>
      </c>
      <c r="H121" s="40">
        <f t="shared" si="34"/>
        <v>28890.267032213022</v>
      </c>
      <c r="I121" s="36">
        <f t="shared" si="35"/>
        <v>4850936.2556229727</v>
      </c>
      <c r="J121" s="2">
        <f t="shared" si="26"/>
        <v>108</v>
      </c>
      <c r="K121" s="44">
        <f t="shared" si="27"/>
        <v>6.9243826282994192E-3</v>
      </c>
      <c r="L121" s="41">
        <f t="shared" si="28"/>
        <v>0.95</v>
      </c>
      <c r="M121" s="42">
        <f t="shared" si="25"/>
        <v>1</v>
      </c>
      <c r="N121" s="43">
        <f>(VLOOKUP(MONTH('Amortization Model 101'!$B121),Seasonality,2,TRUE))</f>
        <v>0.9</v>
      </c>
      <c r="O121" s="50">
        <f t="shared" si="36"/>
        <v>5.9203471471960039E-3</v>
      </c>
    </row>
    <row r="122" spans="2:15" ht="15" x14ac:dyDescent="0.25">
      <c r="B122" s="57">
        <f t="shared" si="29"/>
        <v>45658</v>
      </c>
      <c r="C122" s="36">
        <f t="shared" si="30"/>
        <v>4850936.2556229727</v>
      </c>
      <c r="D122" s="39">
        <f t="shared" si="37"/>
        <v>33901.103665859249</v>
      </c>
      <c r="E122" s="36">
        <f t="shared" si="31"/>
        <v>24254.681278114862</v>
      </c>
      <c r="F122" s="36">
        <f t="shared" si="32"/>
        <v>9646.4223877443874</v>
      </c>
      <c r="G122" s="36">
        <f t="shared" si="33"/>
        <v>0</v>
      </c>
      <c r="H122" s="38">
        <f t="shared" si="34"/>
        <v>28343.648492354943</v>
      </c>
      <c r="I122" s="36">
        <f t="shared" si="35"/>
        <v>4812946.1847428735</v>
      </c>
      <c r="J122" s="2">
        <f t="shared" si="26"/>
        <v>109</v>
      </c>
      <c r="K122" s="44">
        <f t="shared" si="27"/>
        <v>6.9243826282994192E-3</v>
      </c>
      <c r="L122" s="41">
        <f t="shared" si="28"/>
        <v>0.95</v>
      </c>
      <c r="M122" s="42">
        <f t="shared" si="25"/>
        <v>1</v>
      </c>
      <c r="N122" s="43">
        <f>(VLOOKUP(MONTH('Amortization Model 101'!$B122),Seasonality,2,TRUE))</f>
        <v>0.89</v>
      </c>
      <c r="O122" s="50">
        <f t="shared" si="36"/>
        <v>5.8545655122271591E-3</v>
      </c>
    </row>
    <row r="123" spans="2:15" ht="15" x14ac:dyDescent="0.25">
      <c r="B123" s="57">
        <f t="shared" si="29"/>
        <v>45689</v>
      </c>
      <c r="C123" s="36">
        <f t="shared" si="30"/>
        <v>4812946.1847428735</v>
      </c>
      <c r="D123" s="39">
        <f t="shared" si="37"/>
        <v>33702.627433510679</v>
      </c>
      <c r="E123" s="36">
        <f t="shared" si="31"/>
        <v>24064.730923714367</v>
      </c>
      <c r="F123" s="36">
        <f t="shared" si="32"/>
        <v>9637.8965097963119</v>
      </c>
      <c r="G123" s="36">
        <f t="shared" si="33"/>
        <v>0</v>
      </c>
      <c r="H123" s="38">
        <f t="shared" si="34"/>
        <v>28437.25252134362</v>
      </c>
      <c r="I123" s="36">
        <f t="shared" si="35"/>
        <v>4774871.0357117336</v>
      </c>
      <c r="J123" s="2">
        <f t="shared" si="26"/>
        <v>110</v>
      </c>
      <c r="K123" s="44">
        <f t="shared" si="27"/>
        <v>6.9243826282994192E-3</v>
      </c>
      <c r="L123" s="41">
        <f t="shared" si="28"/>
        <v>0.95</v>
      </c>
      <c r="M123" s="42">
        <f t="shared" si="25"/>
        <v>1</v>
      </c>
      <c r="N123" s="43">
        <f>(VLOOKUP(MONTH('Amortization Model 101'!$B123),Seasonality,2,TRUE))</f>
        <v>0.9</v>
      </c>
      <c r="O123" s="50">
        <f t="shared" si="36"/>
        <v>5.9203471471960039E-3</v>
      </c>
    </row>
    <row r="124" spans="2:15" ht="15" x14ac:dyDescent="0.25">
      <c r="B124" s="57">
        <f t="shared" si="29"/>
        <v>45717</v>
      </c>
      <c r="C124" s="36">
        <f t="shared" si="30"/>
        <v>4774871.0357117336</v>
      </c>
      <c r="D124" s="39">
        <f t="shared" si="37"/>
        <v>33503.096179331689</v>
      </c>
      <c r="E124" s="36">
        <f t="shared" si="31"/>
        <v>23874.355178558664</v>
      </c>
      <c r="F124" s="36">
        <f t="shared" si="32"/>
        <v>9628.741000773025</v>
      </c>
      <c r="G124" s="36">
        <f t="shared" si="33"/>
        <v>0</v>
      </c>
      <c r="H124" s="38">
        <f t="shared" si="34"/>
        <v>29779.215771033647</v>
      </c>
      <c r="I124" s="36">
        <f t="shared" si="35"/>
        <v>4735463.0789399268</v>
      </c>
      <c r="J124" s="2">
        <f t="shared" si="26"/>
        <v>111</v>
      </c>
      <c r="K124" s="44">
        <f t="shared" si="27"/>
        <v>6.9243826282994192E-3</v>
      </c>
      <c r="L124" s="41">
        <f t="shared" si="28"/>
        <v>0.95</v>
      </c>
      <c r="M124" s="42">
        <f t="shared" si="25"/>
        <v>1</v>
      </c>
      <c r="N124" s="43">
        <f>(VLOOKUP(MONTH('Amortization Model 101'!$B124),Seasonality,2,TRUE))</f>
        <v>0.95</v>
      </c>
      <c r="O124" s="50">
        <f t="shared" si="36"/>
        <v>6.2492553220402257E-3</v>
      </c>
    </row>
    <row r="125" spans="2:15" ht="15" x14ac:dyDescent="0.25">
      <c r="B125" s="57">
        <f t="shared" si="29"/>
        <v>45748</v>
      </c>
      <c r="C125" s="36">
        <f t="shared" si="30"/>
        <v>4735463.0789399268</v>
      </c>
      <c r="D125" s="39">
        <f t="shared" si="37"/>
        <v>33293.72677722817</v>
      </c>
      <c r="E125" s="36">
        <f t="shared" si="31"/>
        <v>23677.315394699632</v>
      </c>
      <c r="F125" s="36">
        <f t="shared" si="32"/>
        <v>9616.4113825285385</v>
      </c>
      <c r="G125" s="36">
        <f t="shared" si="33"/>
        <v>0</v>
      </c>
      <c r="H125" s="38">
        <f t="shared" si="34"/>
        <v>29843.89635878312</v>
      </c>
      <c r="I125" s="36">
        <f t="shared" si="35"/>
        <v>4696002.7711986145</v>
      </c>
      <c r="J125" s="2">
        <f t="shared" si="26"/>
        <v>112</v>
      </c>
      <c r="K125" s="44">
        <f t="shared" si="27"/>
        <v>6.9243826282994192E-3</v>
      </c>
      <c r="L125" s="41">
        <f t="shared" si="28"/>
        <v>0.95</v>
      </c>
      <c r="M125" s="42">
        <f t="shared" si="25"/>
        <v>1</v>
      </c>
      <c r="N125" s="43">
        <f>(VLOOKUP(MONTH('Amortization Model 101'!$B125),Seasonality,2,TRUE))</f>
        <v>0.96</v>
      </c>
      <c r="O125" s="50">
        <f t="shared" si="36"/>
        <v>6.3150369570090696E-3</v>
      </c>
    </row>
    <row r="126" spans="2:15" ht="15" x14ac:dyDescent="0.25">
      <c r="B126" s="57">
        <f t="shared" si="29"/>
        <v>45778</v>
      </c>
      <c r="C126" s="36">
        <f t="shared" si="30"/>
        <v>4696002.7711986145</v>
      </c>
      <c r="D126" s="39">
        <f t="shared" si="37"/>
        <v>33083.475662193399</v>
      </c>
      <c r="E126" s="36">
        <f t="shared" si="31"/>
        <v>23480.013855993075</v>
      </c>
      <c r="F126" s="36">
        <f t="shared" si="32"/>
        <v>9603.4618062003246</v>
      </c>
      <c r="G126" s="36">
        <f t="shared" si="33"/>
        <v>0</v>
      </c>
      <c r="H126" s="38">
        <f t="shared" si="34"/>
        <v>32677.574921001848</v>
      </c>
      <c r="I126" s="36">
        <f t="shared" si="35"/>
        <v>4653721.7344714124</v>
      </c>
      <c r="J126" s="2">
        <f t="shared" si="26"/>
        <v>113</v>
      </c>
      <c r="K126" s="44">
        <f t="shared" si="27"/>
        <v>6.9243826282994192E-3</v>
      </c>
      <c r="L126" s="41">
        <f t="shared" si="28"/>
        <v>0.95</v>
      </c>
      <c r="M126" s="42">
        <f t="shared" si="25"/>
        <v>1</v>
      </c>
      <c r="N126" s="43">
        <f>(VLOOKUP(MONTH('Amortization Model 101'!$B126),Seasonality,2,TRUE))</f>
        <v>1.06</v>
      </c>
      <c r="O126" s="50">
        <f t="shared" si="36"/>
        <v>6.9728533066975157E-3</v>
      </c>
    </row>
    <row r="127" spans="2:15" ht="15" x14ac:dyDescent="0.25">
      <c r="B127" s="57">
        <f t="shared" si="29"/>
        <v>45809</v>
      </c>
      <c r="C127" s="36">
        <f t="shared" si="30"/>
        <v>4653721.7344714124</v>
      </c>
      <c r="D127" s="39">
        <f t="shared" si="37"/>
        <v>32852.78943952523</v>
      </c>
      <c r="E127" s="36">
        <f t="shared" si="31"/>
        <v>23268.608672357062</v>
      </c>
      <c r="F127" s="36">
        <f t="shared" si="32"/>
        <v>9584.1807671681672</v>
      </c>
      <c r="G127" s="36">
        <f t="shared" si="33"/>
        <v>0</v>
      </c>
      <c r="H127" s="38">
        <f t="shared" si="34"/>
        <v>33299.386782013375</v>
      </c>
      <c r="I127" s="36">
        <f t="shared" si="35"/>
        <v>4610838.1669222303</v>
      </c>
      <c r="J127" s="2">
        <f t="shared" si="26"/>
        <v>114</v>
      </c>
      <c r="K127" s="44">
        <f t="shared" si="27"/>
        <v>6.9243826282994192E-3</v>
      </c>
      <c r="L127" s="41">
        <f t="shared" si="28"/>
        <v>0.95</v>
      </c>
      <c r="M127" s="42">
        <f t="shared" si="25"/>
        <v>1</v>
      </c>
      <c r="N127" s="43">
        <f>(VLOOKUP(MONTH('Amortization Model 101'!$B127),Seasonality,2,TRUE))</f>
        <v>1.0900000000000001</v>
      </c>
      <c r="O127" s="50">
        <f t="shared" si="36"/>
        <v>7.1701982116040494E-3</v>
      </c>
    </row>
    <row r="128" spans="2:15" ht="15" x14ac:dyDescent="0.25">
      <c r="B128" s="57">
        <f t="shared" si="29"/>
        <v>45839</v>
      </c>
      <c r="C128" s="36">
        <f t="shared" si="30"/>
        <v>4610838.1669222303</v>
      </c>
      <c r="D128" s="39">
        <f t="shared" si="37"/>
        <v>32617.228427439743</v>
      </c>
      <c r="E128" s="36">
        <f t="shared" si="31"/>
        <v>23054.190834611149</v>
      </c>
      <c r="F128" s="36">
        <f t="shared" si="32"/>
        <v>9563.0375928285939</v>
      </c>
      <c r="G128" s="36">
        <f t="shared" si="33"/>
        <v>0</v>
      </c>
      <c r="H128" s="38">
        <f t="shared" si="34"/>
        <v>33294.734104364637</v>
      </c>
      <c r="I128" s="36">
        <f t="shared" si="35"/>
        <v>4567980.3952250378</v>
      </c>
      <c r="J128" s="2">
        <f t="shared" si="26"/>
        <v>115</v>
      </c>
      <c r="K128" s="44">
        <f t="shared" si="27"/>
        <v>6.9243826282994192E-3</v>
      </c>
      <c r="L128" s="41">
        <f t="shared" si="28"/>
        <v>0.95</v>
      </c>
      <c r="M128" s="42">
        <f t="shared" si="25"/>
        <v>1</v>
      </c>
      <c r="N128" s="43">
        <f>(VLOOKUP(MONTH('Amortization Model 101'!$B128),Seasonality,2,TRUE))</f>
        <v>1.1000000000000001</v>
      </c>
      <c r="O128" s="50">
        <f t="shared" si="36"/>
        <v>7.2359798465728934E-3</v>
      </c>
    </row>
    <row r="129" spans="2:15" ht="15" x14ac:dyDescent="0.25">
      <c r="B129" s="57">
        <f t="shared" si="29"/>
        <v>45870</v>
      </c>
      <c r="C129" s="36">
        <f t="shared" si="30"/>
        <v>4567980.3952250378</v>
      </c>
      <c r="D129" s="39">
        <f t="shared" si="37"/>
        <v>32381.210819887729</v>
      </c>
      <c r="E129" s="36">
        <f t="shared" si="31"/>
        <v>22839.901976125188</v>
      </c>
      <c r="F129" s="36">
        <f t="shared" si="32"/>
        <v>9541.3088437625411</v>
      </c>
      <c r="G129" s="36">
        <f t="shared" si="33"/>
        <v>0</v>
      </c>
      <c r="H129" s="38">
        <f t="shared" si="34"/>
        <v>34484.08124092529</v>
      </c>
      <c r="I129" s="36">
        <f t="shared" si="35"/>
        <v>4523955.0051403502</v>
      </c>
      <c r="J129" s="2">
        <f t="shared" si="26"/>
        <v>116</v>
      </c>
      <c r="K129" s="44">
        <f t="shared" si="27"/>
        <v>6.9243826282994192E-3</v>
      </c>
      <c r="L129" s="41">
        <f t="shared" si="28"/>
        <v>0.95</v>
      </c>
      <c r="M129" s="42">
        <f t="shared" si="25"/>
        <v>1</v>
      </c>
      <c r="N129" s="43">
        <f>(VLOOKUP(MONTH('Amortization Model 101'!$B129),Seasonality,2,TRUE))</f>
        <v>1.1499999999999999</v>
      </c>
      <c r="O129" s="50">
        <f t="shared" si="36"/>
        <v>7.5648880214171151E-3</v>
      </c>
    </row>
    <row r="130" spans="2:15" ht="15" x14ac:dyDescent="0.25">
      <c r="B130" s="57">
        <f t="shared" si="29"/>
        <v>45901</v>
      </c>
      <c r="C130" s="36">
        <f t="shared" si="30"/>
        <v>4523955.0051403502</v>
      </c>
      <c r="D130" s="39">
        <f t="shared" si="37"/>
        <v>32136.250586037375</v>
      </c>
      <c r="E130" s="36">
        <f t="shared" si="31"/>
        <v>22619.775025701751</v>
      </c>
      <c r="F130" s="36">
        <f t="shared" si="32"/>
        <v>9516.4755603356243</v>
      </c>
      <c r="G130" s="36">
        <f t="shared" si="33"/>
        <v>0</v>
      </c>
      <c r="H130" s="38">
        <f t="shared" si="34"/>
        <v>33557.287660959504</v>
      </c>
      <c r="I130" s="36">
        <f t="shared" si="35"/>
        <v>4480881.2419190556</v>
      </c>
      <c r="J130" s="2">
        <f t="shared" si="26"/>
        <v>117</v>
      </c>
      <c r="K130" s="44">
        <f t="shared" si="27"/>
        <v>6.9243826282994192E-3</v>
      </c>
      <c r="L130" s="41">
        <f t="shared" si="28"/>
        <v>0.95</v>
      </c>
      <c r="M130" s="42">
        <f t="shared" si="25"/>
        <v>1</v>
      </c>
      <c r="N130" s="43">
        <f>(VLOOKUP(MONTH('Amortization Model 101'!$B130),Seasonality,2,TRUE))</f>
        <v>1.1299999999999999</v>
      </c>
      <c r="O130" s="50">
        <f t="shared" si="36"/>
        <v>7.4333247514794254E-3</v>
      </c>
    </row>
    <row r="131" spans="2:15" ht="15" x14ac:dyDescent="0.25">
      <c r="B131" s="57">
        <f t="shared" si="29"/>
        <v>45931</v>
      </c>
      <c r="C131" s="36">
        <f t="shared" si="30"/>
        <v>4480881.2419190556</v>
      </c>
      <c r="D131" s="39">
        <f t="shared" si="37"/>
        <v>31897.371399136442</v>
      </c>
      <c r="E131" s="36">
        <f t="shared" si="31"/>
        <v>22404.40620959528</v>
      </c>
      <c r="F131" s="36">
        <f t="shared" si="32"/>
        <v>9492.9651895411625</v>
      </c>
      <c r="G131" s="36">
        <f t="shared" si="33"/>
        <v>0</v>
      </c>
      <c r="H131" s="38">
        <f t="shared" si="34"/>
        <v>28144.097406760684</v>
      </c>
      <c r="I131" s="36">
        <f t="shared" si="35"/>
        <v>4443244.179322754</v>
      </c>
      <c r="J131" s="2">
        <f t="shared" si="26"/>
        <v>118</v>
      </c>
      <c r="K131" s="44">
        <f t="shared" si="27"/>
        <v>6.9243826282994192E-3</v>
      </c>
      <c r="L131" s="41">
        <f t="shared" si="28"/>
        <v>0.9</v>
      </c>
      <c r="M131" s="42">
        <f t="shared" si="25"/>
        <v>1</v>
      </c>
      <c r="N131" s="43">
        <f>(VLOOKUP(MONTH('Amortization Model 101'!$B131),Seasonality,2,TRUE))</f>
        <v>1.01</v>
      </c>
      <c r="O131" s="50">
        <f t="shared" si="36"/>
        <v>6.2942638091241718E-3</v>
      </c>
    </row>
    <row r="132" spans="2:15" ht="15" x14ac:dyDescent="0.25">
      <c r="B132" s="57">
        <f t="shared" si="29"/>
        <v>45962</v>
      </c>
      <c r="C132" s="36">
        <f t="shared" si="30"/>
        <v>4443244.179322754</v>
      </c>
      <c r="D132" s="39">
        <f t="shared" si="37"/>
        <v>31696.600928732663</v>
      </c>
      <c r="E132" s="36">
        <f t="shared" si="31"/>
        <v>22216.22089661377</v>
      </c>
      <c r="F132" s="36">
        <f t="shared" si="32"/>
        <v>9480.3800321188937</v>
      </c>
      <c r="G132" s="36">
        <f t="shared" si="33"/>
        <v>0</v>
      </c>
      <c r="H132" s="38">
        <f t="shared" si="34"/>
        <v>23762.633621058158</v>
      </c>
      <c r="I132" s="36">
        <f t="shared" si="35"/>
        <v>4410001.1656695763</v>
      </c>
      <c r="J132" s="2">
        <f t="shared" si="26"/>
        <v>119</v>
      </c>
      <c r="K132" s="44">
        <f t="shared" si="27"/>
        <v>6.9243826282994192E-3</v>
      </c>
      <c r="L132" s="41">
        <f t="shared" si="28"/>
        <v>0.9</v>
      </c>
      <c r="M132" s="42">
        <f t="shared" si="25"/>
        <v>1</v>
      </c>
      <c r="N132" s="43">
        <f>(VLOOKUP(MONTH('Amortization Model 101'!$B132),Seasonality,2,TRUE))</f>
        <v>0.86</v>
      </c>
      <c r="O132" s="50">
        <f t="shared" si="36"/>
        <v>5.35947215430375E-3</v>
      </c>
    </row>
    <row r="133" spans="2:15" ht="15" x14ac:dyDescent="0.25">
      <c r="B133" s="57">
        <f t="shared" si="29"/>
        <v>45992</v>
      </c>
      <c r="C133" s="36">
        <f t="shared" si="30"/>
        <v>4410001.1656695763</v>
      </c>
      <c r="D133" s="39">
        <f t="shared" si="37"/>
        <v>31526.723878669047</v>
      </c>
      <c r="E133" s="36">
        <f t="shared" si="31"/>
        <v>22050.005828347883</v>
      </c>
      <c r="F133" s="36">
        <f t="shared" si="32"/>
        <v>9476.7180503211639</v>
      </c>
      <c r="G133" s="36">
        <f t="shared" si="33"/>
        <v>0</v>
      </c>
      <c r="H133" s="40">
        <f t="shared" si="34"/>
        <v>24681.441182806349</v>
      </c>
      <c r="I133" s="36">
        <f t="shared" si="35"/>
        <v>4375843.0064364485</v>
      </c>
      <c r="J133" s="2">
        <f t="shared" si="26"/>
        <v>120</v>
      </c>
      <c r="K133" s="44">
        <f t="shared" si="27"/>
        <v>6.9243826282994192E-3</v>
      </c>
      <c r="L133" s="41">
        <f t="shared" si="28"/>
        <v>0.9</v>
      </c>
      <c r="M133" s="42">
        <f t="shared" si="25"/>
        <v>1</v>
      </c>
      <c r="N133" s="43">
        <f>(VLOOKUP(MONTH('Amortization Model 101'!$B133),Seasonality,2,TRUE))</f>
        <v>0.9</v>
      </c>
      <c r="O133" s="50">
        <f t="shared" si="36"/>
        <v>5.6087499289225297E-3</v>
      </c>
    </row>
    <row r="134" spans="2:15" ht="15" x14ac:dyDescent="0.25">
      <c r="B134" s="57">
        <f t="shared" si="29"/>
        <v>46023</v>
      </c>
      <c r="C134" s="36">
        <f t="shared" si="30"/>
        <v>4375843.0064364485</v>
      </c>
      <c r="D134" s="39">
        <f t="shared" si="37"/>
        <v>31349.8983683554</v>
      </c>
      <c r="E134" s="36">
        <f t="shared" si="31"/>
        <v>21879.215032182241</v>
      </c>
      <c r="F134" s="36">
        <f t="shared" si="32"/>
        <v>9470.6833361731588</v>
      </c>
      <c r="G134" s="36">
        <f t="shared" si="33"/>
        <v>0</v>
      </c>
      <c r="H134" s="38">
        <f t="shared" si="34"/>
        <v>24217.780562873104</v>
      </c>
      <c r="I134" s="36">
        <f t="shared" si="35"/>
        <v>4342154.5425374024</v>
      </c>
      <c r="J134" s="2">
        <f t="shared" si="26"/>
        <v>121</v>
      </c>
      <c r="K134" s="44">
        <f t="shared" si="27"/>
        <v>6.9243826282994192E-3</v>
      </c>
      <c r="L134" s="41">
        <f t="shared" si="28"/>
        <v>0.9</v>
      </c>
      <c r="M134" s="42">
        <f t="shared" si="25"/>
        <v>1</v>
      </c>
      <c r="N134" s="43">
        <f>(VLOOKUP(MONTH('Amortization Model 101'!$B134),Seasonality,2,TRUE))</f>
        <v>0.89</v>
      </c>
      <c r="O134" s="50">
        <f t="shared" si="36"/>
        <v>5.5464304852678352E-3</v>
      </c>
    </row>
    <row r="135" spans="2:15" ht="15" x14ac:dyDescent="0.25">
      <c r="B135" s="57">
        <f t="shared" si="29"/>
        <v>46054</v>
      </c>
      <c r="C135" s="36">
        <f t="shared" si="30"/>
        <v>4342154.5425374024</v>
      </c>
      <c r="D135" s="39">
        <f t="shared" si="37"/>
        <v>31176.018336335106</v>
      </c>
      <c r="E135" s="36">
        <f t="shared" si="31"/>
        <v>21710.772712687012</v>
      </c>
      <c r="F135" s="36">
        <f t="shared" si="32"/>
        <v>9465.2456236480939</v>
      </c>
      <c r="G135" s="36">
        <f t="shared" si="33"/>
        <v>0</v>
      </c>
      <c r="H135" s="38">
        <f t="shared" si="34"/>
        <v>24300.970786108424</v>
      </c>
      <c r="I135" s="36">
        <f t="shared" si="35"/>
        <v>4308388.3261276456</v>
      </c>
      <c r="J135" s="2">
        <f t="shared" si="26"/>
        <v>122</v>
      </c>
      <c r="K135" s="44">
        <f t="shared" si="27"/>
        <v>6.9243826282994192E-3</v>
      </c>
      <c r="L135" s="41">
        <f t="shared" si="28"/>
        <v>0.9</v>
      </c>
      <c r="M135" s="42">
        <f t="shared" si="25"/>
        <v>1</v>
      </c>
      <c r="N135" s="43">
        <f>(VLOOKUP(MONTH('Amortization Model 101'!$B135),Seasonality,2,TRUE))</f>
        <v>0.9</v>
      </c>
      <c r="O135" s="50">
        <f t="shared" si="36"/>
        <v>5.6087499289225297E-3</v>
      </c>
    </row>
    <row r="136" spans="2:15" ht="15" x14ac:dyDescent="0.25">
      <c r="B136" s="57">
        <f t="shared" si="29"/>
        <v>46082</v>
      </c>
      <c r="C136" s="36">
        <f t="shared" si="30"/>
        <v>4308388.3261276456</v>
      </c>
      <c r="D136" s="39">
        <f t="shared" si="37"/>
        <v>31001.159845707094</v>
      </c>
      <c r="E136" s="36">
        <f t="shared" si="31"/>
        <v>21541.941630638226</v>
      </c>
      <c r="F136" s="36">
        <f t="shared" si="32"/>
        <v>9459.2182150688677</v>
      </c>
      <c r="G136" s="36">
        <f t="shared" si="33"/>
        <v>0</v>
      </c>
      <c r="H136" s="38">
        <f t="shared" si="34"/>
        <v>25451.152680028081</v>
      </c>
      <c r="I136" s="36">
        <f t="shared" si="35"/>
        <v>4273477.9552325485</v>
      </c>
      <c r="J136" s="2">
        <f t="shared" si="26"/>
        <v>123</v>
      </c>
      <c r="K136" s="44">
        <f t="shared" si="27"/>
        <v>6.9243826282994192E-3</v>
      </c>
      <c r="L136" s="41">
        <f t="shared" si="28"/>
        <v>0.9</v>
      </c>
      <c r="M136" s="42">
        <f t="shared" si="25"/>
        <v>1</v>
      </c>
      <c r="N136" s="43">
        <f>(VLOOKUP(MONTH('Amortization Model 101'!$B136),Seasonality,2,TRUE))</f>
        <v>0.95</v>
      </c>
      <c r="O136" s="50">
        <f t="shared" si="36"/>
        <v>5.9203471471960031E-3</v>
      </c>
    </row>
    <row r="137" spans="2:15" ht="15" x14ac:dyDescent="0.25">
      <c r="B137" s="57">
        <f t="shared" si="29"/>
        <v>46113</v>
      </c>
      <c r="C137" s="36">
        <f t="shared" si="30"/>
        <v>4273477.9552325485</v>
      </c>
      <c r="D137" s="39">
        <f t="shared" si="37"/>
        <v>30817.622217454795</v>
      </c>
      <c r="E137" s="36">
        <f t="shared" si="31"/>
        <v>21367.389776162741</v>
      </c>
      <c r="F137" s="36">
        <f t="shared" si="32"/>
        <v>9450.2324412920534</v>
      </c>
      <c r="G137" s="36">
        <f t="shared" si="33"/>
        <v>0</v>
      </c>
      <c r="H137" s="38">
        <f t="shared" si="34"/>
        <v>25510.256199604428</v>
      </c>
      <c r="I137" s="36">
        <f t="shared" si="35"/>
        <v>4238517.4665916516</v>
      </c>
      <c r="J137" s="2">
        <f t="shared" si="26"/>
        <v>124</v>
      </c>
      <c r="K137" s="44">
        <f t="shared" si="27"/>
        <v>6.9243826282994192E-3</v>
      </c>
      <c r="L137" s="41">
        <f t="shared" si="28"/>
        <v>0.9</v>
      </c>
      <c r="M137" s="42">
        <f t="shared" si="25"/>
        <v>1</v>
      </c>
      <c r="N137" s="43">
        <f>(VLOOKUP(MONTH('Amortization Model 101'!$B137),Seasonality,2,TRUE))</f>
        <v>0.96</v>
      </c>
      <c r="O137" s="50">
        <f t="shared" si="36"/>
        <v>5.9826665908506976E-3</v>
      </c>
    </row>
    <row r="138" spans="2:15" ht="15" x14ac:dyDescent="0.25">
      <c r="B138" s="57">
        <f t="shared" si="29"/>
        <v>46143</v>
      </c>
      <c r="C138" s="36">
        <f t="shared" si="30"/>
        <v>4238517.4665916516</v>
      </c>
      <c r="D138" s="39">
        <f t="shared" si="37"/>
        <v>30633.250658604964</v>
      </c>
      <c r="E138" s="36">
        <f t="shared" si="31"/>
        <v>21192.587332958257</v>
      </c>
      <c r="F138" s="36">
        <f t="shared" si="32"/>
        <v>9440.6633256467067</v>
      </c>
      <c r="G138" s="36">
        <f t="shared" si="33"/>
        <v>0</v>
      </c>
      <c r="H138" s="38">
        <f t="shared" si="34"/>
        <v>27936.69363656632</v>
      </c>
      <c r="I138" s="36">
        <f t="shared" si="35"/>
        <v>4201140.1096294383</v>
      </c>
      <c r="J138" s="2">
        <f t="shared" si="26"/>
        <v>125</v>
      </c>
      <c r="K138" s="44">
        <f t="shared" si="27"/>
        <v>6.9243826282994192E-3</v>
      </c>
      <c r="L138" s="41">
        <f t="shared" si="28"/>
        <v>0.9</v>
      </c>
      <c r="M138" s="42">
        <f t="shared" si="25"/>
        <v>1</v>
      </c>
      <c r="N138" s="43">
        <f>(VLOOKUP(MONTH('Amortization Model 101'!$B138),Seasonality,2,TRUE))</f>
        <v>1.06</v>
      </c>
      <c r="O138" s="50">
        <f t="shared" si="36"/>
        <v>6.605861027397646E-3</v>
      </c>
    </row>
    <row r="139" spans="2:15" ht="15" x14ac:dyDescent="0.25">
      <c r="B139" s="57">
        <f t="shared" si="29"/>
        <v>46174</v>
      </c>
      <c r="C139" s="36">
        <f t="shared" si="30"/>
        <v>4201140.1096294383</v>
      </c>
      <c r="D139" s="39">
        <f t="shared" si="37"/>
        <v>30430.891661936785</v>
      </c>
      <c r="E139" s="36">
        <f t="shared" si="31"/>
        <v>21005.70054814719</v>
      </c>
      <c r="F139" s="36">
        <f t="shared" si="32"/>
        <v>9425.191113789595</v>
      </c>
      <c r="G139" s="36">
        <f t="shared" si="33"/>
        <v>0</v>
      </c>
      <c r="H139" s="38">
        <f t="shared" si="34"/>
        <v>28473.562243226763</v>
      </c>
      <c r="I139" s="36">
        <f t="shared" si="35"/>
        <v>4163241.3562724218</v>
      </c>
      <c r="J139" s="2">
        <f t="shared" si="26"/>
        <v>126</v>
      </c>
      <c r="K139" s="44">
        <f t="shared" si="27"/>
        <v>6.9243826282994192E-3</v>
      </c>
      <c r="L139" s="41">
        <f t="shared" si="28"/>
        <v>0.9</v>
      </c>
      <c r="M139" s="42">
        <f t="shared" si="25"/>
        <v>1</v>
      </c>
      <c r="N139" s="43">
        <f>(VLOOKUP(MONTH('Amortization Model 101'!$B139),Seasonality,2,TRUE))</f>
        <v>1.0900000000000001</v>
      </c>
      <c r="O139" s="50">
        <f t="shared" si="36"/>
        <v>6.7928193583617303E-3</v>
      </c>
    </row>
    <row r="140" spans="2:15" ht="15" x14ac:dyDescent="0.25">
      <c r="B140" s="57">
        <f t="shared" si="29"/>
        <v>46204</v>
      </c>
      <c r="C140" s="36">
        <f t="shared" si="30"/>
        <v>4163241.3562724218</v>
      </c>
      <c r="D140" s="39">
        <f t="shared" si="37"/>
        <v>30224.180111963367</v>
      </c>
      <c r="E140" s="36">
        <f t="shared" si="31"/>
        <v>20816.206781362107</v>
      </c>
      <c r="F140" s="36">
        <f t="shared" si="32"/>
        <v>9407.9733306012604</v>
      </c>
      <c r="G140" s="36">
        <f t="shared" si="33"/>
        <v>0</v>
      </c>
      <c r="H140" s="38">
        <f t="shared" si="34"/>
        <v>28475.104400515629</v>
      </c>
      <c r="I140" s="36">
        <f t="shared" si="35"/>
        <v>4125358.2785413051</v>
      </c>
      <c r="J140" s="2">
        <f t="shared" si="26"/>
        <v>127</v>
      </c>
      <c r="K140" s="44">
        <f t="shared" si="27"/>
        <v>6.9243826282994192E-3</v>
      </c>
      <c r="L140" s="41">
        <f t="shared" si="28"/>
        <v>0.9</v>
      </c>
      <c r="M140" s="42">
        <f t="shared" si="25"/>
        <v>1</v>
      </c>
      <c r="N140" s="43">
        <f>(VLOOKUP(MONTH('Amortization Model 101'!$B140),Seasonality,2,TRUE))</f>
        <v>1.1000000000000001</v>
      </c>
      <c r="O140" s="50">
        <f t="shared" si="36"/>
        <v>6.8551388020164257E-3</v>
      </c>
    </row>
    <row r="141" spans="2:15" ht="15" x14ac:dyDescent="0.25">
      <c r="B141" s="57">
        <f t="shared" si="29"/>
        <v>46235</v>
      </c>
      <c r="C141" s="36">
        <f t="shared" si="30"/>
        <v>4125358.2785413051</v>
      </c>
      <c r="D141" s="39">
        <f t="shared" si="37"/>
        <v>30016.98916211872</v>
      </c>
      <c r="E141" s="36">
        <f t="shared" si="31"/>
        <v>20626.791392706524</v>
      </c>
      <c r="F141" s="36">
        <f t="shared" si="32"/>
        <v>9390.1977694121961</v>
      </c>
      <c r="G141" s="36">
        <f t="shared" si="33"/>
        <v>0</v>
      </c>
      <c r="H141" s="38">
        <f t="shared" si="34"/>
        <v>29498.056702831404</v>
      </c>
      <c r="I141" s="36">
        <f t="shared" si="35"/>
        <v>4086470.0240690615</v>
      </c>
      <c r="J141" s="2">
        <f t="shared" si="26"/>
        <v>128</v>
      </c>
      <c r="K141" s="44">
        <f t="shared" si="27"/>
        <v>6.9243826282994192E-3</v>
      </c>
      <c r="L141" s="41">
        <f t="shared" si="28"/>
        <v>0.9</v>
      </c>
      <c r="M141" s="42">
        <f t="shared" si="25"/>
        <v>1</v>
      </c>
      <c r="N141" s="43">
        <f>(VLOOKUP(MONTH('Amortization Model 101'!$B141),Seasonality,2,TRUE))</f>
        <v>1.1499999999999999</v>
      </c>
      <c r="O141" s="50">
        <f t="shared" si="36"/>
        <v>7.1667360202898982E-3</v>
      </c>
    </row>
    <row r="142" spans="2:15" ht="15" x14ac:dyDescent="0.25">
      <c r="B142" s="57">
        <f t="shared" si="29"/>
        <v>46266</v>
      </c>
      <c r="C142" s="36">
        <f t="shared" si="30"/>
        <v>4086470.0240690615</v>
      </c>
      <c r="D142" s="39">
        <f t="shared" si="37"/>
        <v>29801.865324669914</v>
      </c>
      <c r="E142" s="36">
        <f t="shared" si="31"/>
        <v>20432.350120345309</v>
      </c>
      <c r="F142" s="36">
        <f t="shared" si="32"/>
        <v>9369.5152043246053</v>
      </c>
      <c r="G142" s="36">
        <f t="shared" si="33"/>
        <v>0</v>
      </c>
      <c r="H142" s="38">
        <f t="shared" si="34"/>
        <v>28711.337804349736</v>
      </c>
      <c r="I142" s="36">
        <f t="shared" si="35"/>
        <v>4048389.1710603875</v>
      </c>
      <c r="J142" s="2">
        <f t="shared" si="26"/>
        <v>129</v>
      </c>
      <c r="K142" s="44">
        <f t="shared" si="27"/>
        <v>6.9243826282994192E-3</v>
      </c>
      <c r="L142" s="41">
        <f t="shared" si="28"/>
        <v>0.9</v>
      </c>
      <c r="M142" s="42">
        <f t="shared" ref="M142:M205" si="38">MIN(J142/VLOOKUP($F$5-$F$8,Seasoning,2,TRUE),1)</f>
        <v>1</v>
      </c>
      <c r="N142" s="43">
        <f>(VLOOKUP(MONTH('Amortization Model 101'!$B142),Seasonality,2,TRUE))</f>
        <v>1.1299999999999999</v>
      </c>
      <c r="O142" s="50">
        <f t="shared" si="36"/>
        <v>7.0420971329805083E-3</v>
      </c>
    </row>
    <row r="143" spans="2:15" ht="15" x14ac:dyDescent="0.25">
      <c r="B143" s="57">
        <f t="shared" si="29"/>
        <v>46296</v>
      </c>
      <c r="C143" s="36">
        <f t="shared" si="30"/>
        <v>4048389.1710603875</v>
      </c>
      <c r="D143" s="39">
        <f t="shared" si="37"/>
        <v>29591.997694309583</v>
      </c>
      <c r="E143" s="36">
        <f t="shared" si="31"/>
        <v>20241.945855301936</v>
      </c>
      <c r="F143" s="36">
        <f t="shared" si="32"/>
        <v>9350.0518390076468</v>
      </c>
      <c r="G143" s="36">
        <f t="shared" si="33"/>
        <v>0</v>
      </c>
      <c r="H143" s="38">
        <f t="shared" si="34"/>
        <v>25422.777751751903</v>
      </c>
      <c r="I143" s="36">
        <f t="shared" si="35"/>
        <v>4013616.3414696283</v>
      </c>
      <c r="J143" s="2">
        <f t="shared" ref="J143:J206" si="39">+J142+1</f>
        <v>130</v>
      </c>
      <c r="K143" s="44">
        <f t="shared" ref="K143:K206" si="40">1-((1-VLOOKUP(K$12,CPR,2,TRUE)/100)^(1/12))</f>
        <v>6.9243826282994192E-3</v>
      </c>
      <c r="L143" s="41">
        <f t="shared" ref="L143:L206" si="41">VLOOKUP(ROUND(C143/$F$4,1),Burnout,2,FALSE)</f>
        <v>0.9</v>
      </c>
      <c r="M143" s="42">
        <f t="shared" si="38"/>
        <v>1</v>
      </c>
      <c r="N143" s="43">
        <f>(VLOOKUP(MONTH('Amortization Model 101'!$B143),Seasonality,2,TRUE))</f>
        <v>1.01</v>
      </c>
      <c r="O143" s="50">
        <f t="shared" si="36"/>
        <v>6.2942638091241718E-3</v>
      </c>
    </row>
    <row r="144" spans="2:15" ht="15" x14ac:dyDescent="0.25">
      <c r="B144" s="57">
        <f t="shared" ref="B144:B207" si="42">IF(C144&gt;0,EDATE(B143,1),"")</f>
        <v>46327</v>
      </c>
      <c r="C144" s="36">
        <f t="shared" ref="C144:C207" si="43">+I143</f>
        <v>4013616.3414696283</v>
      </c>
      <c r="D144" s="39">
        <f t="shared" si="37"/>
        <v>29405.737854182607</v>
      </c>
      <c r="E144" s="36">
        <f t="shared" ref="E144:E207" si="44">($F$7*C144)/12</f>
        <v>20068.081707348141</v>
      </c>
      <c r="F144" s="36">
        <f t="shared" ref="F144:F207" si="45">D144-E144-G144</f>
        <v>9337.6561468344662</v>
      </c>
      <c r="G144" s="36">
        <f t="shared" ref="G144:G207" si="46">($F$6*C144)/12</f>
        <v>0</v>
      </c>
      <c r="H144" s="38">
        <f t="shared" ref="H144:H207" si="47">+O144*(C144-F144)</f>
        <v>21460.82011205954</v>
      </c>
      <c r="I144" s="36">
        <f t="shared" ref="I144:I207" si="48">IF(J144&gt;$F$3,0,C144-F144-H144)</f>
        <v>3982817.8652107343</v>
      </c>
      <c r="J144" s="2">
        <f t="shared" si="39"/>
        <v>131</v>
      </c>
      <c r="K144" s="44">
        <f t="shared" si="40"/>
        <v>6.9243826282994192E-3</v>
      </c>
      <c r="L144" s="41">
        <f t="shared" si="41"/>
        <v>0.9</v>
      </c>
      <c r="M144" s="42">
        <f t="shared" si="38"/>
        <v>1</v>
      </c>
      <c r="N144" s="43">
        <f>(VLOOKUP(MONTH('Amortization Model 101'!$B144),Seasonality,2,TRUE))</f>
        <v>0.86</v>
      </c>
      <c r="O144" s="50">
        <f t="shared" ref="O144:O207" si="49">PRODUCT(K144:N144)</f>
        <v>5.35947215430375E-3</v>
      </c>
    </row>
    <row r="145" spans="2:15" ht="15" x14ac:dyDescent="0.25">
      <c r="B145" s="57">
        <f t="shared" si="42"/>
        <v>46357</v>
      </c>
      <c r="C145" s="36">
        <f t="shared" si="43"/>
        <v>3982817.8652107343</v>
      </c>
      <c r="D145" s="39">
        <f t="shared" si="37"/>
        <v>29248.138620976359</v>
      </c>
      <c r="E145" s="36">
        <f t="shared" si="44"/>
        <v>19914.089326053672</v>
      </c>
      <c r="F145" s="36">
        <f t="shared" si="45"/>
        <v>9334.0492949226864</v>
      </c>
      <c r="G145" s="36">
        <f t="shared" si="46"/>
        <v>0</v>
      </c>
      <c r="H145" s="40">
        <f t="shared" si="47"/>
        <v>22286.27707009263</v>
      </c>
      <c r="I145" s="36">
        <f t="shared" si="48"/>
        <v>3951197.5388457193</v>
      </c>
      <c r="J145" s="2">
        <f t="shared" si="39"/>
        <v>132</v>
      </c>
      <c r="K145" s="44">
        <f t="shared" si="40"/>
        <v>6.9243826282994192E-3</v>
      </c>
      <c r="L145" s="41">
        <f t="shared" si="41"/>
        <v>0.9</v>
      </c>
      <c r="M145" s="42">
        <f t="shared" si="38"/>
        <v>1</v>
      </c>
      <c r="N145" s="43">
        <f>(VLOOKUP(MONTH('Amortization Model 101'!$B145),Seasonality,2,TRUE))</f>
        <v>0.9</v>
      </c>
      <c r="O145" s="50">
        <f t="shared" si="49"/>
        <v>5.6087499289225297E-3</v>
      </c>
    </row>
    <row r="146" spans="2:15" ht="15" x14ac:dyDescent="0.25">
      <c r="B146" s="57">
        <f t="shared" si="42"/>
        <v>46388</v>
      </c>
      <c r="C146" s="36">
        <f t="shared" si="43"/>
        <v>3951197.5388457193</v>
      </c>
      <c r="D146" s="39">
        <f t="shared" si="37"/>
        <v>29084.093125564847</v>
      </c>
      <c r="E146" s="36">
        <f t="shared" si="44"/>
        <v>19755.987694228596</v>
      </c>
      <c r="F146" s="36">
        <f t="shared" si="45"/>
        <v>9328.1054313362511</v>
      </c>
      <c r="G146" s="36">
        <f t="shared" si="46"/>
        <v>0</v>
      </c>
      <c r="H146" s="38">
        <f t="shared" si="47"/>
        <v>21863.304794434982</v>
      </c>
      <c r="I146" s="36">
        <f t="shared" si="48"/>
        <v>3920006.1286199479</v>
      </c>
      <c r="J146" s="2">
        <f t="shared" si="39"/>
        <v>133</v>
      </c>
      <c r="K146" s="44">
        <f t="shared" si="40"/>
        <v>6.9243826282994192E-3</v>
      </c>
      <c r="L146" s="41">
        <f t="shared" si="41"/>
        <v>0.9</v>
      </c>
      <c r="M146" s="42">
        <f t="shared" si="38"/>
        <v>1</v>
      </c>
      <c r="N146" s="43">
        <f>(VLOOKUP(MONTH('Amortization Model 101'!$B146),Seasonality,2,TRUE))</f>
        <v>0.89</v>
      </c>
      <c r="O146" s="50">
        <f t="shared" si="49"/>
        <v>5.5464304852678352E-3</v>
      </c>
    </row>
    <row r="147" spans="2:15" ht="15" x14ac:dyDescent="0.25">
      <c r="B147" s="57">
        <f t="shared" si="42"/>
        <v>46419</v>
      </c>
      <c r="C147" s="36">
        <f t="shared" si="43"/>
        <v>3920006.1286199479</v>
      </c>
      <c r="D147" s="39">
        <f t="shared" ref="D147:D210" si="50">-PMT($F$5/12,$F$3-J146,$C147)</f>
        <v>28922.780224816841</v>
      </c>
      <c r="E147" s="36">
        <f t="shared" si="44"/>
        <v>19600.030643099741</v>
      </c>
      <c r="F147" s="36">
        <f t="shared" si="45"/>
        <v>9322.7495817171002</v>
      </c>
      <c r="G147" s="36">
        <f t="shared" si="46"/>
        <v>0</v>
      </c>
      <c r="H147" s="38">
        <f t="shared" si="47"/>
        <v>21934.045124219196</v>
      </c>
      <c r="I147" s="36">
        <f t="shared" si="48"/>
        <v>3888749.3339140117</v>
      </c>
      <c r="J147" s="2">
        <f t="shared" si="39"/>
        <v>134</v>
      </c>
      <c r="K147" s="44">
        <f t="shared" si="40"/>
        <v>6.9243826282994192E-3</v>
      </c>
      <c r="L147" s="41">
        <f t="shared" si="41"/>
        <v>0.9</v>
      </c>
      <c r="M147" s="42">
        <f t="shared" si="38"/>
        <v>1</v>
      </c>
      <c r="N147" s="43">
        <f>(VLOOKUP(MONTH('Amortization Model 101'!$B147),Seasonality,2,TRUE))</f>
        <v>0.9</v>
      </c>
      <c r="O147" s="50">
        <f t="shared" si="49"/>
        <v>5.6087499289225297E-3</v>
      </c>
    </row>
    <row r="148" spans="2:15" ht="15" x14ac:dyDescent="0.25">
      <c r="B148" s="57">
        <f t="shared" si="42"/>
        <v>46447</v>
      </c>
      <c r="C148" s="36">
        <f t="shared" si="43"/>
        <v>3888749.3339140117</v>
      </c>
      <c r="D148" s="39">
        <f t="shared" si="50"/>
        <v>28760.559583286657</v>
      </c>
      <c r="E148" s="36">
        <f t="shared" si="44"/>
        <v>19443.746669570057</v>
      </c>
      <c r="F148" s="36">
        <f t="shared" si="45"/>
        <v>9316.8129137165997</v>
      </c>
      <c r="G148" s="36">
        <f t="shared" si="46"/>
        <v>0</v>
      </c>
      <c r="H148" s="38">
        <f t="shared" si="47"/>
        <v>22967.587258443495</v>
      </c>
      <c r="I148" s="36">
        <f t="shared" si="48"/>
        <v>3856464.9337418512</v>
      </c>
      <c r="J148" s="2">
        <f t="shared" si="39"/>
        <v>135</v>
      </c>
      <c r="K148" s="44">
        <f t="shared" si="40"/>
        <v>6.9243826282994192E-3</v>
      </c>
      <c r="L148" s="41">
        <f t="shared" si="41"/>
        <v>0.9</v>
      </c>
      <c r="M148" s="42">
        <f t="shared" si="38"/>
        <v>1</v>
      </c>
      <c r="N148" s="43">
        <f>(VLOOKUP(MONTH('Amortization Model 101'!$B148),Seasonality,2,TRUE))</f>
        <v>0.95</v>
      </c>
      <c r="O148" s="50">
        <f t="shared" si="49"/>
        <v>5.9203471471960031E-3</v>
      </c>
    </row>
    <row r="149" spans="2:15" ht="15" x14ac:dyDescent="0.25">
      <c r="B149" s="57">
        <f t="shared" si="42"/>
        <v>46478</v>
      </c>
      <c r="C149" s="36">
        <f t="shared" si="43"/>
        <v>3856464.9337418512</v>
      </c>
      <c r="D149" s="39">
        <f t="shared" si="50"/>
        <v>28590.287086405984</v>
      </c>
      <c r="E149" s="36">
        <f t="shared" si="44"/>
        <v>19282.324668709258</v>
      </c>
      <c r="F149" s="36">
        <f t="shared" si="45"/>
        <v>9307.9624176967263</v>
      </c>
      <c r="G149" s="36">
        <f t="shared" si="46"/>
        <v>0</v>
      </c>
      <c r="H149" s="38">
        <f t="shared" si="47"/>
        <v>23016.257482099376</v>
      </c>
      <c r="I149" s="36">
        <f t="shared" si="48"/>
        <v>3824140.7138420553</v>
      </c>
      <c r="J149" s="2">
        <f t="shared" si="39"/>
        <v>136</v>
      </c>
      <c r="K149" s="44">
        <f t="shared" si="40"/>
        <v>6.9243826282994192E-3</v>
      </c>
      <c r="L149" s="41">
        <f t="shared" si="41"/>
        <v>0.9</v>
      </c>
      <c r="M149" s="42">
        <f t="shared" si="38"/>
        <v>1</v>
      </c>
      <c r="N149" s="43">
        <f>(VLOOKUP(MONTH('Amortization Model 101'!$B149),Seasonality,2,TRUE))</f>
        <v>0.96</v>
      </c>
      <c r="O149" s="50">
        <f t="shared" si="49"/>
        <v>5.9826665908506976E-3</v>
      </c>
    </row>
    <row r="150" spans="2:15" ht="15" x14ac:dyDescent="0.25">
      <c r="B150" s="57">
        <f t="shared" si="42"/>
        <v>46508</v>
      </c>
      <c r="C150" s="36">
        <f t="shared" si="43"/>
        <v>3824140.7138420553</v>
      </c>
      <c r="D150" s="39">
        <f t="shared" si="50"/>
        <v>28419.24093103132</v>
      </c>
      <c r="E150" s="36">
        <f t="shared" si="44"/>
        <v>19120.703569210276</v>
      </c>
      <c r="F150" s="36">
        <f t="shared" si="45"/>
        <v>9298.5373618210433</v>
      </c>
      <c r="G150" s="36">
        <f t="shared" si="46"/>
        <v>0</v>
      </c>
      <c r="H150" s="38">
        <f t="shared" si="47"/>
        <v>25200.317259283591</v>
      </c>
      <c r="I150" s="36">
        <f t="shared" si="48"/>
        <v>3789641.8592209504</v>
      </c>
      <c r="J150" s="2">
        <f t="shared" si="39"/>
        <v>137</v>
      </c>
      <c r="K150" s="44">
        <f t="shared" si="40"/>
        <v>6.9243826282994192E-3</v>
      </c>
      <c r="L150" s="41">
        <f t="shared" si="41"/>
        <v>0.9</v>
      </c>
      <c r="M150" s="42">
        <f t="shared" si="38"/>
        <v>1</v>
      </c>
      <c r="N150" s="43">
        <f>(VLOOKUP(MONTH('Amortization Model 101'!$B150),Seasonality,2,TRUE))</f>
        <v>1.06</v>
      </c>
      <c r="O150" s="50">
        <f t="shared" si="49"/>
        <v>6.605861027397646E-3</v>
      </c>
    </row>
    <row r="151" spans="2:15" ht="15" x14ac:dyDescent="0.25">
      <c r="B151" s="57">
        <f t="shared" si="42"/>
        <v>46539</v>
      </c>
      <c r="C151" s="36">
        <f t="shared" si="43"/>
        <v>3789641.8592209504</v>
      </c>
      <c r="D151" s="39">
        <f t="shared" si="50"/>
        <v>28231.507374936784</v>
      </c>
      <c r="E151" s="36">
        <f t="shared" si="44"/>
        <v>18948.209296104749</v>
      </c>
      <c r="F151" s="36">
        <f t="shared" si="45"/>
        <v>9283.2980788320347</v>
      </c>
      <c r="G151" s="36">
        <f t="shared" si="46"/>
        <v>0</v>
      </c>
      <c r="H151" s="38">
        <f t="shared" si="47"/>
        <v>25679.292815674678</v>
      </c>
      <c r="I151" s="36">
        <f t="shared" si="48"/>
        <v>3754679.2683264436</v>
      </c>
      <c r="J151" s="2">
        <f t="shared" si="39"/>
        <v>138</v>
      </c>
      <c r="K151" s="44">
        <f t="shared" si="40"/>
        <v>6.9243826282994192E-3</v>
      </c>
      <c r="L151" s="41">
        <f t="shared" si="41"/>
        <v>0.9</v>
      </c>
      <c r="M151" s="42">
        <f t="shared" si="38"/>
        <v>1</v>
      </c>
      <c r="N151" s="43">
        <f>(VLOOKUP(MONTH('Amortization Model 101'!$B151),Seasonality,2,TRUE))</f>
        <v>1.0900000000000001</v>
      </c>
      <c r="O151" s="50">
        <f t="shared" si="49"/>
        <v>6.7928193583617303E-3</v>
      </c>
    </row>
    <row r="152" spans="2:15" ht="15" x14ac:dyDescent="0.25">
      <c r="B152" s="57">
        <f t="shared" si="42"/>
        <v>46569</v>
      </c>
      <c r="C152" s="36">
        <f t="shared" si="43"/>
        <v>3754679.2683264436</v>
      </c>
      <c r="D152" s="39">
        <f t="shared" si="50"/>
        <v>28039.735845124593</v>
      </c>
      <c r="E152" s="36">
        <f t="shared" si="44"/>
        <v>18773.396341632219</v>
      </c>
      <c r="F152" s="36">
        <f t="shared" si="45"/>
        <v>9266.3395034923742</v>
      </c>
      <c r="G152" s="36">
        <f t="shared" si="46"/>
        <v>0</v>
      </c>
      <c r="H152" s="38">
        <f t="shared" si="47"/>
        <v>25675.325497948201</v>
      </c>
      <c r="I152" s="36">
        <f t="shared" si="48"/>
        <v>3719737.6033250033</v>
      </c>
      <c r="J152" s="2">
        <f t="shared" si="39"/>
        <v>139</v>
      </c>
      <c r="K152" s="44">
        <f t="shared" si="40"/>
        <v>6.9243826282994192E-3</v>
      </c>
      <c r="L152" s="41">
        <f t="shared" si="41"/>
        <v>0.9</v>
      </c>
      <c r="M152" s="42">
        <f t="shared" si="38"/>
        <v>1</v>
      </c>
      <c r="N152" s="43">
        <f>(VLOOKUP(MONTH('Amortization Model 101'!$B152),Seasonality,2,TRUE))</f>
        <v>1.1000000000000001</v>
      </c>
      <c r="O152" s="50">
        <f t="shared" si="49"/>
        <v>6.8551388020164257E-3</v>
      </c>
    </row>
    <row r="153" spans="2:15" ht="15" x14ac:dyDescent="0.25">
      <c r="B153" s="57">
        <f t="shared" si="42"/>
        <v>46600</v>
      </c>
      <c r="C153" s="36">
        <f t="shared" si="43"/>
        <v>3719737.6033250033</v>
      </c>
      <c r="D153" s="39">
        <f t="shared" si="50"/>
        <v>27847.519563934384</v>
      </c>
      <c r="E153" s="36">
        <f t="shared" si="44"/>
        <v>18598.688016625016</v>
      </c>
      <c r="F153" s="36">
        <f t="shared" si="45"/>
        <v>9248.831547309368</v>
      </c>
      <c r="G153" s="36">
        <f t="shared" si="46"/>
        <v>0</v>
      </c>
      <c r="H153" s="38">
        <f t="shared" si="47"/>
        <v>26592.093533580424</v>
      </c>
      <c r="I153" s="36">
        <f t="shared" si="48"/>
        <v>3683896.6782441139</v>
      </c>
      <c r="J153" s="2">
        <f t="shared" si="39"/>
        <v>140</v>
      </c>
      <c r="K153" s="44">
        <f t="shared" si="40"/>
        <v>6.9243826282994192E-3</v>
      </c>
      <c r="L153" s="41">
        <f t="shared" si="41"/>
        <v>0.9</v>
      </c>
      <c r="M153" s="42">
        <f t="shared" si="38"/>
        <v>1</v>
      </c>
      <c r="N153" s="43">
        <f>(VLOOKUP(MONTH('Amortization Model 101'!$B153),Seasonality,2,TRUE))</f>
        <v>1.1499999999999999</v>
      </c>
      <c r="O153" s="50">
        <f t="shared" si="49"/>
        <v>7.1667360202898982E-3</v>
      </c>
    </row>
    <row r="154" spans="2:15" ht="15" x14ac:dyDescent="0.25">
      <c r="B154" s="57">
        <f t="shared" si="42"/>
        <v>46631</v>
      </c>
      <c r="C154" s="36">
        <f t="shared" si="43"/>
        <v>3683896.6782441139</v>
      </c>
      <c r="D154" s="39">
        <f t="shared" si="50"/>
        <v>27647.943742399806</v>
      </c>
      <c r="E154" s="36">
        <f t="shared" si="44"/>
        <v>18419.483391220569</v>
      </c>
      <c r="F154" s="36">
        <f t="shared" si="45"/>
        <v>9228.4603511792375</v>
      </c>
      <c r="G154" s="36">
        <f t="shared" si="46"/>
        <v>0</v>
      </c>
      <c r="H154" s="38">
        <f t="shared" si="47"/>
        <v>25877.370521878427</v>
      </c>
      <c r="I154" s="36">
        <f t="shared" si="48"/>
        <v>3648790.8473710562</v>
      </c>
      <c r="J154" s="2">
        <f t="shared" si="39"/>
        <v>141</v>
      </c>
      <c r="K154" s="44">
        <f t="shared" si="40"/>
        <v>6.9243826282994192E-3</v>
      </c>
      <c r="L154" s="41">
        <f t="shared" si="41"/>
        <v>0.9</v>
      </c>
      <c r="M154" s="42">
        <f t="shared" si="38"/>
        <v>1</v>
      </c>
      <c r="N154" s="43">
        <f>(VLOOKUP(MONTH('Amortization Model 101'!$B154),Seasonality,2,TRUE))</f>
        <v>1.1299999999999999</v>
      </c>
      <c r="O154" s="50">
        <f t="shared" si="49"/>
        <v>7.0420971329805083E-3</v>
      </c>
    </row>
    <row r="155" spans="2:15" ht="15" x14ac:dyDescent="0.25">
      <c r="B155" s="57">
        <f t="shared" si="42"/>
        <v>46661</v>
      </c>
      <c r="C155" s="36">
        <f t="shared" si="43"/>
        <v>3648790.8473710562</v>
      </c>
      <c r="D155" s="39">
        <f t="shared" si="50"/>
        <v>27453.244237038649</v>
      </c>
      <c r="E155" s="36">
        <f t="shared" si="44"/>
        <v>18243.954236855279</v>
      </c>
      <c r="F155" s="36">
        <f t="shared" si="45"/>
        <v>9209.2900001833696</v>
      </c>
      <c r="G155" s="36">
        <f t="shared" si="46"/>
        <v>0</v>
      </c>
      <c r="H155" s="38">
        <f t="shared" si="47"/>
        <v>22908.486476915274</v>
      </c>
      <c r="I155" s="36">
        <f t="shared" si="48"/>
        <v>3616673.0708939573</v>
      </c>
      <c r="J155" s="2">
        <f t="shared" si="39"/>
        <v>142</v>
      </c>
      <c r="K155" s="44">
        <f t="shared" si="40"/>
        <v>6.9243826282994192E-3</v>
      </c>
      <c r="L155" s="41">
        <f t="shared" si="41"/>
        <v>0.9</v>
      </c>
      <c r="M155" s="42">
        <f t="shared" si="38"/>
        <v>1</v>
      </c>
      <c r="N155" s="43">
        <f>(VLOOKUP(MONTH('Amortization Model 101'!$B155),Seasonality,2,TRUE))</f>
        <v>1.01</v>
      </c>
      <c r="O155" s="50">
        <f t="shared" si="49"/>
        <v>6.2942638091241718E-3</v>
      </c>
    </row>
    <row r="156" spans="2:15" ht="15" x14ac:dyDescent="0.25">
      <c r="B156" s="57">
        <f t="shared" si="42"/>
        <v>46692</v>
      </c>
      <c r="C156" s="36">
        <f t="shared" si="43"/>
        <v>3616673.0708939573</v>
      </c>
      <c r="D156" s="39">
        <f t="shared" si="50"/>
        <v>27280.44627539441</v>
      </c>
      <c r="E156" s="36">
        <f t="shared" si="44"/>
        <v>18083.365354469785</v>
      </c>
      <c r="F156" s="36">
        <f t="shared" si="45"/>
        <v>9197.0809209246254</v>
      </c>
      <c r="G156" s="36">
        <f t="shared" si="46"/>
        <v>0</v>
      </c>
      <c r="H156" s="38">
        <f t="shared" si="47"/>
        <v>19334.167115579825</v>
      </c>
      <c r="I156" s="36">
        <f t="shared" si="48"/>
        <v>3588141.822857453</v>
      </c>
      <c r="J156" s="2">
        <f t="shared" si="39"/>
        <v>143</v>
      </c>
      <c r="K156" s="44">
        <f t="shared" si="40"/>
        <v>6.9243826282994192E-3</v>
      </c>
      <c r="L156" s="41">
        <f t="shared" si="41"/>
        <v>0.9</v>
      </c>
      <c r="M156" s="42">
        <f t="shared" si="38"/>
        <v>1</v>
      </c>
      <c r="N156" s="43">
        <f>(VLOOKUP(MONTH('Amortization Model 101'!$B156),Seasonality,2,TRUE))</f>
        <v>0.86</v>
      </c>
      <c r="O156" s="50">
        <f t="shared" si="49"/>
        <v>5.35947215430375E-3</v>
      </c>
    </row>
    <row r="157" spans="2:15" ht="15" x14ac:dyDescent="0.25">
      <c r="B157" s="57">
        <f t="shared" si="42"/>
        <v>46722</v>
      </c>
      <c r="C157" s="36">
        <f t="shared" si="43"/>
        <v>3588141.822857453</v>
      </c>
      <c r="D157" s="39">
        <f t="shared" si="50"/>
        <v>27134.23748322446</v>
      </c>
      <c r="E157" s="36">
        <f t="shared" si="44"/>
        <v>17940.709114287263</v>
      </c>
      <c r="F157" s="36">
        <f t="shared" si="45"/>
        <v>9193.5283689371972</v>
      </c>
      <c r="G157" s="36">
        <f t="shared" si="46"/>
        <v>0</v>
      </c>
      <c r="H157" s="40">
        <f t="shared" si="47"/>
        <v>20073.42599232987</v>
      </c>
      <c r="I157" s="36">
        <f t="shared" si="48"/>
        <v>3558874.8684961856</v>
      </c>
      <c r="J157" s="2">
        <f t="shared" si="39"/>
        <v>144</v>
      </c>
      <c r="K157" s="44">
        <f t="shared" si="40"/>
        <v>6.9243826282994192E-3</v>
      </c>
      <c r="L157" s="41">
        <f t="shared" si="41"/>
        <v>0.9</v>
      </c>
      <c r="M157" s="42">
        <f t="shared" si="38"/>
        <v>1</v>
      </c>
      <c r="N157" s="43">
        <f>(VLOOKUP(MONTH('Amortization Model 101'!$B157),Seasonality,2,TRUE))</f>
        <v>0.9</v>
      </c>
      <c r="O157" s="50">
        <f t="shared" si="49"/>
        <v>5.6087499289225297E-3</v>
      </c>
    </row>
    <row r="158" spans="2:15" ht="15" x14ac:dyDescent="0.25">
      <c r="B158" s="57">
        <f t="shared" si="42"/>
        <v>46753</v>
      </c>
      <c r="C158" s="36">
        <f t="shared" si="43"/>
        <v>3558874.8684961856</v>
      </c>
      <c r="D158" s="39">
        <f t="shared" si="50"/>
        <v>26982.048330669051</v>
      </c>
      <c r="E158" s="36">
        <f t="shared" si="44"/>
        <v>17794.374342480925</v>
      </c>
      <c r="F158" s="36">
        <f t="shared" si="45"/>
        <v>9187.6739881881258</v>
      </c>
      <c r="G158" s="36">
        <f t="shared" si="46"/>
        <v>0</v>
      </c>
      <c r="H158" s="38">
        <f t="shared" si="47"/>
        <v>19688.093268784014</v>
      </c>
      <c r="I158" s="36">
        <f t="shared" si="48"/>
        <v>3529999.1012392133</v>
      </c>
      <c r="J158" s="2">
        <f t="shared" si="39"/>
        <v>145</v>
      </c>
      <c r="K158" s="44">
        <f t="shared" si="40"/>
        <v>6.9243826282994192E-3</v>
      </c>
      <c r="L158" s="41">
        <f t="shared" si="41"/>
        <v>0.9</v>
      </c>
      <c r="M158" s="42">
        <f t="shared" si="38"/>
        <v>1</v>
      </c>
      <c r="N158" s="43">
        <f>(VLOOKUP(MONTH('Amortization Model 101'!$B158),Seasonality,2,TRUE))</f>
        <v>0.89</v>
      </c>
      <c r="O158" s="50">
        <f t="shared" si="49"/>
        <v>5.5464304852678352E-3</v>
      </c>
    </row>
    <row r="159" spans="2:15" ht="15" x14ac:dyDescent="0.25">
      <c r="B159" s="57">
        <f t="shared" si="42"/>
        <v>46784</v>
      </c>
      <c r="C159" s="36">
        <f t="shared" si="43"/>
        <v>3529999.1012392133</v>
      </c>
      <c r="D159" s="39">
        <f t="shared" si="50"/>
        <v>26832.394275252853</v>
      </c>
      <c r="E159" s="36">
        <f t="shared" si="44"/>
        <v>17649.995506196065</v>
      </c>
      <c r="F159" s="36">
        <f t="shared" si="45"/>
        <v>9182.3987690567883</v>
      </c>
      <c r="G159" s="36">
        <f t="shared" si="46"/>
        <v>0</v>
      </c>
      <c r="H159" s="38">
        <f t="shared" si="47"/>
        <v>19747.380429728746</v>
      </c>
      <c r="I159" s="36">
        <f t="shared" si="48"/>
        <v>3501069.3220404275</v>
      </c>
      <c r="J159" s="2">
        <f t="shared" si="39"/>
        <v>146</v>
      </c>
      <c r="K159" s="44">
        <f t="shared" si="40"/>
        <v>6.9243826282994192E-3</v>
      </c>
      <c r="L159" s="41">
        <f t="shared" si="41"/>
        <v>0.9</v>
      </c>
      <c r="M159" s="42">
        <f t="shared" si="38"/>
        <v>1</v>
      </c>
      <c r="N159" s="43">
        <f>(VLOOKUP(MONTH('Amortization Model 101'!$B159),Seasonality,2,TRUE))</f>
        <v>0.9</v>
      </c>
      <c r="O159" s="50">
        <f t="shared" si="49"/>
        <v>5.6087499289225297E-3</v>
      </c>
    </row>
    <row r="160" spans="2:15" ht="15" x14ac:dyDescent="0.25">
      <c r="B160" s="57">
        <f t="shared" si="42"/>
        <v>46813</v>
      </c>
      <c r="C160" s="36">
        <f t="shared" si="43"/>
        <v>3501069.3220404275</v>
      </c>
      <c r="D160" s="39">
        <f t="shared" si="50"/>
        <v>26681.898085768709</v>
      </c>
      <c r="E160" s="36">
        <f t="shared" si="44"/>
        <v>17505.346610202138</v>
      </c>
      <c r="F160" s="36">
        <f t="shared" si="45"/>
        <v>9176.5514755665718</v>
      </c>
      <c r="G160" s="36">
        <f t="shared" si="46"/>
        <v>0</v>
      </c>
      <c r="H160" s="38">
        <f t="shared" si="47"/>
        <v>20673.217402528022</v>
      </c>
      <c r="I160" s="36">
        <f t="shared" si="48"/>
        <v>3471219.5531623331</v>
      </c>
      <c r="J160" s="2">
        <f t="shared" si="39"/>
        <v>147</v>
      </c>
      <c r="K160" s="44">
        <f t="shared" si="40"/>
        <v>6.9243826282994192E-3</v>
      </c>
      <c r="L160" s="41">
        <f t="shared" si="41"/>
        <v>0.9</v>
      </c>
      <c r="M160" s="42">
        <f t="shared" si="38"/>
        <v>1</v>
      </c>
      <c r="N160" s="43">
        <f>(VLOOKUP(MONTH('Amortization Model 101'!$B160),Seasonality,2,TRUE))</f>
        <v>0.95</v>
      </c>
      <c r="O160" s="50">
        <f t="shared" si="49"/>
        <v>5.9203471471960031E-3</v>
      </c>
    </row>
    <row r="161" spans="2:15" ht="15" x14ac:dyDescent="0.25">
      <c r="B161" s="57">
        <f t="shared" si="42"/>
        <v>46844</v>
      </c>
      <c r="C161" s="36">
        <f t="shared" si="43"/>
        <v>3471219.5531623331</v>
      </c>
      <c r="D161" s="39">
        <f t="shared" si="50"/>
        <v>26523.931986554857</v>
      </c>
      <c r="E161" s="36">
        <f t="shared" si="44"/>
        <v>17356.097765811664</v>
      </c>
      <c r="F161" s="36">
        <f t="shared" si="45"/>
        <v>9167.8342207431924</v>
      </c>
      <c r="G161" s="36">
        <f t="shared" si="46"/>
        <v>0</v>
      </c>
      <c r="H161" s="38">
        <f t="shared" si="47"/>
        <v>13808.200769806052</v>
      </c>
      <c r="I161" s="36">
        <f t="shared" si="48"/>
        <v>3448243.5181717835</v>
      </c>
      <c r="J161" s="2">
        <f t="shared" si="39"/>
        <v>148</v>
      </c>
      <c r="K161" s="44">
        <f t="shared" si="40"/>
        <v>6.9243826282994192E-3</v>
      </c>
      <c r="L161" s="41">
        <f t="shared" si="41"/>
        <v>0.6</v>
      </c>
      <c r="M161" s="42">
        <f t="shared" si="38"/>
        <v>1</v>
      </c>
      <c r="N161" s="43">
        <f>(VLOOKUP(MONTH('Amortization Model 101'!$B161),Seasonality,2,TRUE))</f>
        <v>0.96</v>
      </c>
      <c r="O161" s="50">
        <f t="shared" si="49"/>
        <v>3.988444393900465E-3</v>
      </c>
    </row>
    <row r="162" spans="2:15" ht="15" x14ac:dyDescent="0.25">
      <c r="B162" s="57">
        <f t="shared" si="42"/>
        <v>46874</v>
      </c>
      <c r="C162" s="36">
        <f t="shared" si="43"/>
        <v>3448243.5181717835</v>
      </c>
      <c r="D162" s="39">
        <f t="shared" si="50"/>
        <v>26418.142758718877</v>
      </c>
      <c r="E162" s="36">
        <f t="shared" si="44"/>
        <v>17241.217590858916</v>
      </c>
      <c r="F162" s="36">
        <f t="shared" si="45"/>
        <v>9176.9251678599612</v>
      </c>
      <c r="G162" s="36">
        <f t="shared" si="46"/>
        <v>0</v>
      </c>
      <c r="H162" s="38">
        <f t="shared" si="47"/>
        <v>15145.330651566548</v>
      </c>
      <c r="I162" s="36">
        <f t="shared" si="48"/>
        <v>3423921.2623523572</v>
      </c>
      <c r="J162" s="2">
        <f t="shared" si="39"/>
        <v>149</v>
      </c>
      <c r="K162" s="44">
        <f t="shared" si="40"/>
        <v>6.9243826282994192E-3</v>
      </c>
      <c r="L162" s="41">
        <f t="shared" si="41"/>
        <v>0.6</v>
      </c>
      <c r="M162" s="42">
        <f t="shared" si="38"/>
        <v>1</v>
      </c>
      <c r="N162" s="43">
        <f>(VLOOKUP(MONTH('Amortization Model 101'!$B162),Seasonality,2,TRUE))</f>
        <v>1.06</v>
      </c>
      <c r="O162" s="50">
        <f t="shared" si="49"/>
        <v>4.4039073515984312E-3</v>
      </c>
    </row>
    <row r="163" spans="2:15" ht="15" x14ac:dyDescent="0.25">
      <c r="B163" s="57">
        <f t="shared" si="42"/>
        <v>46905</v>
      </c>
      <c r="C163" s="36">
        <f t="shared" si="43"/>
        <v>3423921.2623523572</v>
      </c>
      <c r="D163" s="39">
        <f t="shared" si="50"/>
        <v>26301.799705608184</v>
      </c>
      <c r="E163" s="36">
        <f t="shared" si="44"/>
        <v>17119.606311761785</v>
      </c>
      <c r="F163" s="36">
        <f t="shared" si="45"/>
        <v>9182.193393846399</v>
      </c>
      <c r="G163" s="36">
        <f t="shared" si="46"/>
        <v>0</v>
      </c>
      <c r="H163" s="38">
        <f t="shared" si="47"/>
        <v>15463.803767583655</v>
      </c>
      <c r="I163" s="36">
        <f t="shared" si="48"/>
        <v>3399275.2651909268</v>
      </c>
      <c r="J163" s="2">
        <f t="shared" si="39"/>
        <v>150</v>
      </c>
      <c r="K163" s="44">
        <f t="shared" si="40"/>
        <v>6.9243826282994192E-3</v>
      </c>
      <c r="L163" s="41">
        <f t="shared" si="41"/>
        <v>0.6</v>
      </c>
      <c r="M163" s="42">
        <f t="shared" si="38"/>
        <v>1</v>
      </c>
      <c r="N163" s="43">
        <f>(VLOOKUP(MONTH('Amortization Model 101'!$B163),Seasonality,2,TRUE))</f>
        <v>1.0900000000000001</v>
      </c>
      <c r="O163" s="50">
        <f t="shared" si="49"/>
        <v>4.5285462389078202E-3</v>
      </c>
    </row>
    <row r="164" spans="2:15" ht="15" x14ac:dyDescent="0.25">
      <c r="B164" s="57">
        <f t="shared" si="42"/>
        <v>46935</v>
      </c>
      <c r="C164" s="36">
        <f t="shared" si="43"/>
        <v>3399275.2651909268</v>
      </c>
      <c r="D164" s="39">
        <f t="shared" si="50"/>
        <v>26182.69078947484</v>
      </c>
      <c r="E164" s="36">
        <f t="shared" si="44"/>
        <v>16996.376325954636</v>
      </c>
      <c r="F164" s="36">
        <f t="shared" si="45"/>
        <v>9186.3144635202043</v>
      </c>
      <c r="G164" s="36">
        <f t="shared" si="46"/>
        <v>0</v>
      </c>
      <c r="H164" s="38">
        <f t="shared" si="47"/>
        <v>15493.020205612396</v>
      </c>
      <c r="I164" s="36">
        <f t="shared" si="48"/>
        <v>3374595.9305217941</v>
      </c>
      <c r="J164" s="2">
        <f t="shared" si="39"/>
        <v>151</v>
      </c>
      <c r="K164" s="44">
        <f t="shared" si="40"/>
        <v>6.9243826282994192E-3</v>
      </c>
      <c r="L164" s="41">
        <f t="shared" si="41"/>
        <v>0.6</v>
      </c>
      <c r="M164" s="42">
        <f t="shared" si="38"/>
        <v>1</v>
      </c>
      <c r="N164" s="43">
        <f>(VLOOKUP(MONTH('Amortization Model 101'!$B164),Seasonality,2,TRUE))</f>
        <v>1.1000000000000001</v>
      </c>
      <c r="O164" s="50">
        <f t="shared" si="49"/>
        <v>4.5700925346776168E-3</v>
      </c>
    </row>
    <row r="165" spans="2:15" ht="15" x14ac:dyDescent="0.25">
      <c r="B165" s="57">
        <f t="shared" si="42"/>
        <v>46966</v>
      </c>
      <c r="C165" s="36">
        <f t="shared" si="43"/>
        <v>3374595.9305217941</v>
      </c>
      <c r="D165" s="39">
        <f t="shared" si="50"/>
        <v>26063.033469760088</v>
      </c>
      <c r="E165" s="36">
        <f t="shared" si="44"/>
        <v>16872.97965260897</v>
      </c>
      <c r="F165" s="36">
        <f t="shared" si="45"/>
        <v>9190.053817151118</v>
      </c>
      <c r="G165" s="36">
        <f t="shared" si="46"/>
        <v>0</v>
      </c>
      <c r="H165" s="38">
        <f t="shared" si="47"/>
        <v>16079.31701298298</v>
      </c>
      <c r="I165" s="36">
        <f t="shared" si="48"/>
        <v>3349326.5596916601</v>
      </c>
      <c r="J165" s="2">
        <f t="shared" si="39"/>
        <v>152</v>
      </c>
      <c r="K165" s="44">
        <f t="shared" si="40"/>
        <v>6.9243826282994192E-3</v>
      </c>
      <c r="L165" s="41">
        <f t="shared" si="41"/>
        <v>0.6</v>
      </c>
      <c r="M165" s="42">
        <f t="shared" si="38"/>
        <v>1</v>
      </c>
      <c r="N165" s="43">
        <f>(VLOOKUP(MONTH('Amortization Model 101'!$B165),Seasonality,2,TRUE))</f>
        <v>1.1499999999999999</v>
      </c>
      <c r="O165" s="50">
        <f t="shared" si="49"/>
        <v>4.7778240135265991E-3</v>
      </c>
    </row>
    <row r="166" spans="2:15" ht="15" x14ac:dyDescent="0.25">
      <c r="B166" s="57">
        <f t="shared" si="42"/>
        <v>46997</v>
      </c>
      <c r="C166" s="36">
        <f t="shared" si="43"/>
        <v>3349326.5596916601</v>
      </c>
      <c r="D166" s="39">
        <f t="shared" si="50"/>
        <v>25938.508882582923</v>
      </c>
      <c r="E166" s="36">
        <f t="shared" si="44"/>
        <v>16746.6327984583</v>
      </c>
      <c r="F166" s="36">
        <f t="shared" si="45"/>
        <v>9191.8760841246221</v>
      </c>
      <c r="G166" s="36">
        <f t="shared" si="46"/>
        <v>0</v>
      </c>
      <c r="H166" s="38">
        <f t="shared" si="47"/>
        <v>15681.035252800923</v>
      </c>
      <c r="I166" s="36">
        <f t="shared" si="48"/>
        <v>3324453.6483547343</v>
      </c>
      <c r="J166" s="2">
        <f t="shared" si="39"/>
        <v>153</v>
      </c>
      <c r="K166" s="44">
        <f t="shared" si="40"/>
        <v>6.9243826282994192E-3</v>
      </c>
      <c r="L166" s="41">
        <f t="shared" si="41"/>
        <v>0.6</v>
      </c>
      <c r="M166" s="42">
        <f t="shared" si="38"/>
        <v>1</v>
      </c>
      <c r="N166" s="43">
        <f>(VLOOKUP(MONTH('Amortization Model 101'!$B166),Seasonality,2,TRUE))</f>
        <v>1.1299999999999999</v>
      </c>
      <c r="O166" s="50">
        <f t="shared" si="49"/>
        <v>4.6947314219870058E-3</v>
      </c>
    </row>
    <row r="167" spans="2:15" ht="15" x14ac:dyDescent="0.25">
      <c r="B167" s="57">
        <f t="shared" si="42"/>
        <v>47027</v>
      </c>
      <c r="C167" s="36">
        <f t="shared" si="43"/>
        <v>3324453.6483547343</v>
      </c>
      <c r="D167" s="39">
        <f t="shared" si="50"/>
        <v>25816.734549892368</v>
      </c>
      <c r="E167" s="36">
        <f t="shared" si="44"/>
        <v>16622.268241773669</v>
      </c>
      <c r="F167" s="36">
        <f t="shared" si="45"/>
        <v>9194.4663081186991</v>
      </c>
      <c r="G167" s="36">
        <f t="shared" si="46"/>
        <v>0</v>
      </c>
      <c r="H167" s="38">
        <f t="shared" si="47"/>
        <v>13911.410591615078</v>
      </c>
      <c r="I167" s="36">
        <f t="shared" si="48"/>
        <v>3301347.7714550006</v>
      </c>
      <c r="J167" s="2">
        <f t="shared" si="39"/>
        <v>154</v>
      </c>
      <c r="K167" s="44">
        <f t="shared" si="40"/>
        <v>6.9243826282994192E-3</v>
      </c>
      <c r="L167" s="41">
        <f t="shared" si="41"/>
        <v>0.6</v>
      </c>
      <c r="M167" s="42">
        <f t="shared" si="38"/>
        <v>1</v>
      </c>
      <c r="N167" s="43">
        <f>(VLOOKUP(MONTH('Amortization Model 101'!$B167),Seasonality,2,TRUE))</f>
        <v>1.01</v>
      </c>
      <c r="O167" s="50">
        <f t="shared" si="49"/>
        <v>4.1961758727494481E-3</v>
      </c>
    </row>
    <row r="168" spans="2:15" ht="15" x14ac:dyDescent="0.25">
      <c r="B168" s="57">
        <f t="shared" si="42"/>
        <v>47058</v>
      </c>
      <c r="C168" s="36">
        <f t="shared" si="43"/>
        <v>3301347.7714550006</v>
      </c>
      <c r="D168" s="39">
        <f t="shared" si="50"/>
        <v>25708.402991260933</v>
      </c>
      <c r="E168" s="36">
        <f t="shared" si="44"/>
        <v>16506.738857275002</v>
      </c>
      <c r="F168" s="36">
        <f t="shared" si="45"/>
        <v>9201.6641339859307</v>
      </c>
      <c r="G168" s="36">
        <f t="shared" si="46"/>
        <v>0</v>
      </c>
      <c r="H168" s="38">
        <f t="shared" si="47"/>
        <v>11762.776926724309</v>
      </c>
      <c r="I168" s="36">
        <f t="shared" si="48"/>
        <v>3280383.3303942904</v>
      </c>
      <c r="J168" s="2">
        <f t="shared" si="39"/>
        <v>155</v>
      </c>
      <c r="K168" s="44">
        <f t="shared" si="40"/>
        <v>6.9243826282994192E-3</v>
      </c>
      <c r="L168" s="41">
        <f t="shared" si="41"/>
        <v>0.6</v>
      </c>
      <c r="M168" s="42">
        <f t="shared" si="38"/>
        <v>1</v>
      </c>
      <c r="N168" s="43">
        <f>(VLOOKUP(MONTH('Amortization Model 101'!$B168),Seasonality,2,TRUE))</f>
        <v>0.86</v>
      </c>
      <c r="O168" s="50">
        <f t="shared" si="49"/>
        <v>3.5729814362025001E-3</v>
      </c>
    </row>
    <row r="169" spans="2:15" ht="15" x14ac:dyDescent="0.25">
      <c r="B169" s="57">
        <f t="shared" si="42"/>
        <v>47088</v>
      </c>
      <c r="C169" s="36">
        <f t="shared" si="43"/>
        <v>3280383.3303942904</v>
      </c>
      <c r="D169" s="39">
        <f t="shared" si="50"/>
        <v>25616.547344618746</v>
      </c>
      <c r="E169" s="36">
        <f t="shared" si="44"/>
        <v>16401.916651971453</v>
      </c>
      <c r="F169" s="36">
        <f t="shared" si="45"/>
        <v>9214.6306926472935</v>
      </c>
      <c r="G169" s="36">
        <f t="shared" si="46"/>
        <v>0</v>
      </c>
      <c r="H169" s="40">
        <f t="shared" si="47"/>
        <v>12231.444807963464</v>
      </c>
      <c r="I169" s="36">
        <f t="shared" si="48"/>
        <v>3258937.2548936796</v>
      </c>
      <c r="J169" s="2">
        <f t="shared" si="39"/>
        <v>156</v>
      </c>
      <c r="K169" s="44">
        <f t="shared" si="40"/>
        <v>6.9243826282994192E-3</v>
      </c>
      <c r="L169" s="41">
        <f t="shared" si="41"/>
        <v>0.6</v>
      </c>
      <c r="M169" s="42">
        <f t="shared" si="38"/>
        <v>1</v>
      </c>
      <c r="N169" s="43">
        <f>(VLOOKUP(MONTH('Amortization Model 101'!$B169),Seasonality,2,TRUE))</f>
        <v>0.9</v>
      </c>
      <c r="O169" s="50">
        <f t="shared" si="49"/>
        <v>3.7391666192816866E-3</v>
      </c>
    </row>
    <row r="170" spans="2:15" ht="15" x14ac:dyDescent="0.25">
      <c r="B170" s="57">
        <f t="shared" si="42"/>
        <v>47119</v>
      </c>
      <c r="C170" s="36">
        <f t="shared" si="43"/>
        <v>3258937.2548936796</v>
      </c>
      <c r="D170" s="39">
        <f t="shared" si="50"/>
        <v>25520.762805886498</v>
      </c>
      <c r="E170" s="36">
        <f t="shared" si="44"/>
        <v>16294.686274468397</v>
      </c>
      <c r="F170" s="36">
        <f t="shared" si="45"/>
        <v>9226.0765314181008</v>
      </c>
      <c r="G170" s="36">
        <f t="shared" si="46"/>
        <v>0</v>
      </c>
      <c r="H170" s="38">
        <f t="shared" si="47"/>
        <v>12016.19809865607</v>
      </c>
      <c r="I170" s="36">
        <f t="shared" si="48"/>
        <v>3237694.9802636052</v>
      </c>
      <c r="J170" s="2">
        <f t="shared" si="39"/>
        <v>157</v>
      </c>
      <c r="K170" s="44">
        <f t="shared" si="40"/>
        <v>6.9243826282994192E-3</v>
      </c>
      <c r="L170" s="41">
        <f t="shared" si="41"/>
        <v>0.6</v>
      </c>
      <c r="M170" s="42">
        <f t="shared" si="38"/>
        <v>1</v>
      </c>
      <c r="N170" s="43">
        <f>(VLOOKUP(MONTH('Amortization Model 101'!$B170),Seasonality,2,TRUE))</f>
        <v>0.89</v>
      </c>
      <c r="O170" s="50">
        <f t="shared" si="49"/>
        <v>3.69762032351189E-3</v>
      </c>
    </row>
    <row r="171" spans="2:15" ht="15" x14ac:dyDescent="0.25">
      <c r="B171" s="57">
        <f t="shared" si="42"/>
        <v>47150</v>
      </c>
      <c r="C171" s="36">
        <f t="shared" si="43"/>
        <v>3237694.9802636052</v>
      </c>
      <c r="D171" s="39">
        <f t="shared" si="50"/>
        <v>25426.396714663926</v>
      </c>
      <c r="E171" s="36">
        <f t="shared" si="44"/>
        <v>16188.474901318026</v>
      </c>
      <c r="F171" s="36">
        <f t="shared" si="45"/>
        <v>9237.9218133458999</v>
      </c>
      <c r="G171" s="36">
        <f t="shared" si="46"/>
        <v>0</v>
      </c>
      <c r="H171" s="38">
        <f t="shared" si="47"/>
        <v>12071.738864741554</v>
      </c>
      <c r="I171" s="36">
        <f t="shared" si="48"/>
        <v>3216385.3195855175</v>
      </c>
      <c r="J171" s="2">
        <f t="shared" si="39"/>
        <v>158</v>
      </c>
      <c r="K171" s="44">
        <f t="shared" si="40"/>
        <v>6.9243826282994192E-3</v>
      </c>
      <c r="L171" s="41">
        <f t="shared" si="41"/>
        <v>0.6</v>
      </c>
      <c r="M171" s="42">
        <f t="shared" si="38"/>
        <v>1</v>
      </c>
      <c r="N171" s="43">
        <f>(VLOOKUP(MONTH('Amortization Model 101'!$B171),Seasonality,2,TRUE))</f>
        <v>0.9</v>
      </c>
      <c r="O171" s="50">
        <f t="shared" si="49"/>
        <v>3.7391666192816866E-3</v>
      </c>
    </row>
    <row r="172" spans="2:15" ht="15" x14ac:dyDescent="0.25">
      <c r="B172" s="57">
        <f t="shared" si="42"/>
        <v>47178</v>
      </c>
      <c r="C172" s="36">
        <f t="shared" si="43"/>
        <v>3216385.3195855175</v>
      </c>
      <c r="D172" s="39">
        <f t="shared" si="50"/>
        <v>25331.323180819832</v>
      </c>
      <c r="E172" s="36">
        <f t="shared" si="44"/>
        <v>16081.926597927588</v>
      </c>
      <c r="F172" s="36">
        <f t="shared" si="45"/>
        <v>9249.3965828922446</v>
      </c>
      <c r="G172" s="36">
        <f t="shared" si="46"/>
        <v>0</v>
      </c>
      <c r="H172" s="38">
        <f t="shared" si="47"/>
        <v>12658.238674945607</v>
      </c>
      <c r="I172" s="36">
        <f t="shared" si="48"/>
        <v>3194477.6843276797</v>
      </c>
      <c r="J172" s="2">
        <f t="shared" si="39"/>
        <v>159</v>
      </c>
      <c r="K172" s="44">
        <f t="shared" si="40"/>
        <v>6.9243826282994192E-3</v>
      </c>
      <c r="L172" s="41">
        <f t="shared" si="41"/>
        <v>0.6</v>
      </c>
      <c r="M172" s="42">
        <f t="shared" si="38"/>
        <v>1</v>
      </c>
      <c r="N172" s="43">
        <f>(VLOOKUP(MONTH('Amortization Model 101'!$B172),Seasonality,2,TRUE))</f>
        <v>0.95</v>
      </c>
      <c r="O172" s="50">
        <f t="shared" si="49"/>
        <v>3.9468980981306684E-3</v>
      </c>
    </row>
    <row r="173" spans="2:15" ht="15" x14ac:dyDescent="0.25">
      <c r="B173" s="57">
        <f t="shared" si="42"/>
        <v>47209</v>
      </c>
      <c r="C173" s="36">
        <f t="shared" si="43"/>
        <v>3194477.6843276797</v>
      </c>
      <c r="D173" s="39">
        <f t="shared" si="50"/>
        <v>25231.343029534328</v>
      </c>
      <c r="E173" s="36">
        <f t="shared" si="44"/>
        <v>15972.388421638398</v>
      </c>
      <c r="F173" s="36">
        <f t="shared" si="45"/>
        <v>9258.9546078959302</v>
      </c>
      <c r="G173" s="36">
        <f t="shared" si="46"/>
        <v>0</v>
      </c>
      <c r="H173" s="38">
        <f t="shared" si="47"/>
        <v>12704.067785897632</v>
      </c>
      <c r="I173" s="36">
        <f t="shared" si="48"/>
        <v>3172514.6619338859</v>
      </c>
      <c r="J173" s="2">
        <f t="shared" si="39"/>
        <v>160</v>
      </c>
      <c r="K173" s="44">
        <f t="shared" si="40"/>
        <v>6.9243826282994192E-3</v>
      </c>
      <c r="L173" s="41">
        <f t="shared" si="41"/>
        <v>0.6</v>
      </c>
      <c r="M173" s="42">
        <f t="shared" si="38"/>
        <v>1</v>
      </c>
      <c r="N173" s="43">
        <f>(VLOOKUP(MONTH('Amortization Model 101'!$B173),Seasonality,2,TRUE))</f>
        <v>0.96</v>
      </c>
      <c r="O173" s="50">
        <f t="shared" si="49"/>
        <v>3.988444393900465E-3</v>
      </c>
    </row>
    <row r="174" spans="2:15" ht="15" x14ac:dyDescent="0.25">
      <c r="B174" s="57">
        <f t="shared" si="42"/>
        <v>47239</v>
      </c>
      <c r="C174" s="36">
        <f t="shared" si="43"/>
        <v>3172514.6619338859</v>
      </c>
      <c r="D174" s="39">
        <f t="shared" si="50"/>
        <v>25130.709220877598</v>
      </c>
      <c r="E174" s="36">
        <f t="shared" si="44"/>
        <v>15862.573309669429</v>
      </c>
      <c r="F174" s="36">
        <f t="shared" si="45"/>
        <v>9268.1359112081682</v>
      </c>
      <c r="G174" s="36">
        <f t="shared" si="46"/>
        <v>0</v>
      </c>
      <c r="H174" s="38">
        <f t="shared" si="47"/>
        <v>13930.644630869469</v>
      </c>
      <c r="I174" s="36">
        <f t="shared" si="48"/>
        <v>3149315.8813918084</v>
      </c>
      <c r="J174" s="2">
        <f t="shared" si="39"/>
        <v>161</v>
      </c>
      <c r="K174" s="44">
        <f t="shared" si="40"/>
        <v>6.9243826282994192E-3</v>
      </c>
      <c r="L174" s="41">
        <f t="shared" si="41"/>
        <v>0.6</v>
      </c>
      <c r="M174" s="42">
        <f t="shared" si="38"/>
        <v>1</v>
      </c>
      <c r="N174" s="43">
        <f>(VLOOKUP(MONTH('Amortization Model 101'!$B174),Seasonality,2,TRUE))</f>
        <v>1.06</v>
      </c>
      <c r="O174" s="50">
        <f t="shared" si="49"/>
        <v>4.4039073515984312E-3</v>
      </c>
    </row>
    <row r="175" spans="2:15" ht="15" x14ac:dyDescent="0.25">
      <c r="B175" s="57">
        <f t="shared" si="42"/>
        <v>47270</v>
      </c>
      <c r="C175" s="36">
        <f t="shared" si="43"/>
        <v>3149315.8813918084</v>
      </c>
      <c r="D175" s="39">
        <f t="shared" si="50"/>
        <v>25020.035905788896</v>
      </c>
      <c r="E175" s="36">
        <f t="shared" si="44"/>
        <v>15746.579406959041</v>
      </c>
      <c r="F175" s="36">
        <f t="shared" si="45"/>
        <v>9273.4564988298553</v>
      </c>
      <c r="G175" s="36">
        <f t="shared" si="46"/>
        <v>0</v>
      </c>
      <c r="H175" s="38">
        <f t="shared" si="47"/>
        <v>14219.82731326009</v>
      </c>
      <c r="I175" s="36">
        <f t="shared" si="48"/>
        <v>3125822.5975797186</v>
      </c>
      <c r="J175" s="2">
        <f t="shared" si="39"/>
        <v>162</v>
      </c>
      <c r="K175" s="44">
        <f t="shared" si="40"/>
        <v>6.9243826282994192E-3</v>
      </c>
      <c r="L175" s="41">
        <f t="shared" si="41"/>
        <v>0.6</v>
      </c>
      <c r="M175" s="42">
        <f t="shared" si="38"/>
        <v>1</v>
      </c>
      <c r="N175" s="43">
        <f>(VLOOKUP(MONTH('Amortization Model 101'!$B175),Seasonality,2,TRUE))</f>
        <v>1.0900000000000001</v>
      </c>
      <c r="O175" s="50">
        <f t="shared" si="49"/>
        <v>4.5285462389078202E-3</v>
      </c>
    </row>
    <row r="176" spans="2:15" ht="15" x14ac:dyDescent="0.25">
      <c r="B176" s="57">
        <f t="shared" si="42"/>
        <v>47300</v>
      </c>
      <c r="C176" s="36">
        <f t="shared" si="43"/>
        <v>3125822.5975797186</v>
      </c>
      <c r="D176" s="39">
        <f t="shared" si="50"/>
        <v>24906.731516290401</v>
      </c>
      <c r="E176" s="36">
        <f t="shared" si="44"/>
        <v>15629.112987898594</v>
      </c>
      <c r="F176" s="36">
        <f t="shared" si="45"/>
        <v>9277.6185283918076</v>
      </c>
      <c r="G176" s="36">
        <f t="shared" si="46"/>
        <v>0</v>
      </c>
      <c r="H176" s="38">
        <f t="shared" si="47"/>
        <v>14242.898942749478</v>
      </c>
      <c r="I176" s="36">
        <f t="shared" si="48"/>
        <v>3102302.0801085774</v>
      </c>
      <c r="J176" s="2">
        <f t="shared" si="39"/>
        <v>163</v>
      </c>
      <c r="K176" s="44">
        <f t="shared" si="40"/>
        <v>6.9243826282994192E-3</v>
      </c>
      <c r="L176" s="41">
        <f t="shared" si="41"/>
        <v>0.6</v>
      </c>
      <c r="M176" s="42">
        <f t="shared" si="38"/>
        <v>1</v>
      </c>
      <c r="N176" s="43">
        <f>(VLOOKUP(MONTH('Amortization Model 101'!$B176),Seasonality,2,TRUE))</f>
        <v>1.1000000000000001</v>
      </c>
      <c r="O176" s="50">
        <f t="shared" si="49"/>
        <v>4.5700925346776168E-3</v>
      </c>
    </row>
    <row r="177" spans="2:15" ht="15" x14ac:dyDescent="0.25">
      <c r="B177" s="57">
        <f t="shared" si="42"/>
        <v>47331</v>
      </c>
      <c r="C177" s="36">
        <f t="shared" si="43"/>
        <v>3102302.0801085774</v>
      </c>
      <c r="D177" s="39">
        <f t="shared" si="50"/>
        <v>24792.90544852458</v>
      </c>
      <c r="E177" s="36">
        <f t="shared" si="44"/>
        <v>15511.510400542888</v>
      </c>
      <c r="F177" s="36">
        <f t="shared" si="45"/>
        <v>9281.3950479816922</v>
      </c>
      <c r="G177" s="36">
        <f t="shared" si="46"/>
        <v>0</v>
      </c>
      <c r="H177" s="38">
        <f t="shared" si="47"/>
        <v>14777.908503417006</v>
      </c>
      <c r="I177" s="36">
        <f t="shared" si="48"/>
        <v>3078242.7765571787</v>
      </c>
      <c r="J177" s="2">
        <f t="shared" si="39"/>
        <v>164</v>
      </c>
      <c r="K177" s="44">
        <f t="shared" si="40"/>
        <v>6.9243826282994192E-3</v>
      </c>
      <c r="L177" s="41">
        <f t="shared" si="41"/>
        <v>0.6</v>
      </c>
      <c r="M177" s="42">
        <f t="shared" si="38"/>
        <v>1</v>
      </c>
      <c r="N177" s="43">
        <f>(VLOOKUP(MONTH('Amortization Model 101'!$B177),Seasonality,2,TRUE))</f>
        <v>1.1499999999999999</v>
      </c>
      <c r="O177" s="50">
        <f t="shared" si="49"/>
        <v>4.7778240135265991E-3</v>
      </c>
    </row>
    <row r="178" spans="2:15" ht="15" x14ac:dyDescent="0.25">
      <c r="B178" s="57">
        <f t="shared" si="42"/>
        <v>47362</v>
      </c>
      <c r="C178" s="36">
        <f t="shared" si="43"/>
        <v>3078242.7765571787</v>
      </c>
      <c r="D178" s="39">
        <f t="shared" si="50"/>
        <v>24674.449309507527</v>
      </c>
      <c r="E178" s="36">
        <f t="shared" si="44"/>
        <v>15391.213882785893</v>
      </c>
      <c r="F178" s="36">
        <f t="shared" si="45"/>
        <v>9283.2354267216342</v>
      </c>
      <c r="G178" s="36">
        <f t="shared" si="46"/>
        <v>0</v>
      </c>
      <c r="H178" s="38">
        <f t="shared" si="47"/>
        <v>14407.94079055198</v>
      </c>
      <c r="I178" s="36">
        <f t="shared" si="48"/>
        <v>3054551.6003399049</v>
      </c>
      <c r="J178" s="2">
        <f t="shared" si="39"/>
        <v>165</v>
      </c>
      <c r="K178" s="44">
        <f t="shared" si="40"/>
        <v>6.9243826282994192E-3</v>
      </c>
      <c r="L178" s="41">
        <f t="shared" si="41"/>
        <v>0.6</v>
      </c>
      <c r="M178" s="42">
        <f t="shared" si="38"/>
        <v>1</v>
      </c>
      <c r="N178" s="43">
        <f>(VLOOKUP(MONTH('Amortization Model 101'!$B178),Seasonality,2,TRUE))</f>
        <v>1.1299999999999999</v>
      </c>
      <c r="O178" s="50">
        <f t="shared" si="49"/>
        <v>4.6947314219870058E-3</v>
      </c>
    </row>
    <row r="179" spans="2:15" ht="15" x14ac:dyDescent="0.25">
      <c r="B179" s="57">
        <f t="shared" si="42"/>
        <v>47392</v>
      </c>
      <c r="C179" s="36">
        <f t="shared" si="43"/>
        <v>3054551.6003399049</v>
      </c>
      <c r="D179" s="39">
        <f t="shared" si="50"/>
        <v>24558.609397013952</v>
      </c>
      <c r="E179" s="36">
        <f t="shared" si="44"/>
        <v>15272.758001699525</v>
      </c>
      <c r="F179" s="36">
        <f t="shared" si="45"/>
        <v>9285.8513953144266</v>
      </c>
      <c r="G179" s="36">
        <f t="shared" si="46"/>
        <v>0</v>
      </c>
      <c r="H179" s="38">
        <f t="shared" si="47"/>
        <v>12778.470661831569</v>
      </c>
      <c r="I179" s="36">
        <f t="shared" si="48"/>
        <v>3032487.2782827588</v>
      </c>
      <c r="J179" s="2">
        <f t="shared" si="39"/>
        <v>166</v>
      </c>
      <c r="K179" s="44">
        <f t="shared" si="40"/>
        <v>6.9243826282994192E-3</v>
      </c>
      <c r="L179" s="41">
        <f t="shared" si="41"/>
        <v>0.6</v>
      </c>
      <c r="M179" s="42">
        <f t="shared" si="38"/>
        <v>1</v>
      </c>
      <c r="N179" s="43">
        <f>(VLOOKUP(MONTH('Amortization Model 101'!$B179),Seasonality,2,TRUE))</f>
        <v>1.01</v>
      </c>
      <c r="O179" s="50">
        <f t="shared" si="49"/>
        <v>4.1961758727494481E-3</v>
      </c>
    </row>
    <row r="180" spans="2:15" ht="15" x14ac:dyDescent="0.25">
      <c r="B180" s="57">
        <f t="shared" si="42"/>
        <v>47423</v>
      </c>
      <c r="C180" s="36">
        <f t="shared" si="43"/>
        <v>3032487.2782827588</v>
      </c>
      <c r="D180" s="39">
        <f t="shared" si="50"/>
        <v>24455.557152793921</v>
      </c>
      <c r="E180" s="36">
        <f t="shared" si="44"/>
        <v>15162.436391413794</v>
      </c>
      <c r="F180" s="36">
        <f t="shared" si="45"/>
        <v>9293.1207613801271</v>
      </c>
      <c r="G180" s="36">
        <f t="shared" si="46"/>
        <v>0</v>
      </c>
      <c r="H180" s="38">
        <f t="shared" si="47"/>
        <v>10801.816602859742</v>
      </c>
      <c r="I180" s="36">
        <f t="shared" si="48"/>
        <v>3012392.3409185191</v>
      </c>
      <c r="J180" s="2">
        <f t="shared" si="39"/>
        <v>167</v>
      </c>
      <c r="K180" s="44">
        <f t="shared" si="40"/>
        <v>6.9243826282994192E-3</v>
      </c>
      <c r="L180" s="41">
        <f t="shared" si="41"/>
        <v>0.6</v>
      </c>
      <c r="M180" s="42">
        <f t="shared" si="38"/>
        <v>1</v>
      </c>
      <c r="N180" s="43">
        <f>(VLOOKUP(MONTH('Amortization Model 101'!$B180),Seasonality,2,TRUE))</f>
        <v>0.86</v>
      </c>
      <c r="O180" s="50">
        <f t="shared" si="49"/>
        <v>3.5729814362025001E-3</v>
      </c>
    </row>
    <row r="181" spans="2:15" ht="15" x14ac:dyDescent="0.25">
      <c r="B181" s="57">
        <f t="shared" si="42"/>
        <v>47453</v>
      </c>
      <c r="C181" s="36">
        <f t="shared" si="43"/>
        <v>3012392.3409185191</v>
      </c>
      <c r="D181" s="39">
        <f t="shared" si="50"/>
        <v>24368.177901075007</v>
      </c>
      <c r="E181" s="36">
        <f t="shared" si="44"/>
        <v>15061.961704592593</v>
      </c>
      <c r="F181" s="36">
        <f t="shared" si="45"/>
        <v>9306.2161964824136</v>
      </c>
      <c r="G181" s="36">
        <f t="shared" si="46"/>
        <v>0</v>
      </c>
      <c r="H181" s="40">
        <f t="shared" si="47"/>
        <v>11229.039392388639</v>
      </c>
      <c r="I181" s="36">
        <f t="shared" si="48"/>
        <v>2991857.0853296481</v>
      </c>
      <c r="J181" s="2">
        <f t="shared" si="39"/>
        <v>168</v>
      </c>
      <c r="K181" s="44">
        <f t="shared" si="40"/>
        <v>6.9243826282994192E-3</v>
      </c>
      <c r="L181" s="41">
        <f t="shared" si="41"/>
        <v>0.6</v>
      </c>
      <c r="M181" s="42">
        <f t="shared" si="38"/>
        <v>1</v>
      </c>
      <c r="N181" s="43">
        <f>(VLOOKUP(MONTH('Amortization Model 101'!$B181),Seasonality,2,TRUE))</f>
        <v>0.9</v>
      </c>
      <c r="O181" s="50">
        <f t="shared" si="49"/>
        <v>3.7391666192816866E-3</v>
      </c>
    </row>
    <row r="182" spans="2:15" ht="15" x14ac:dyDescent="0.25">
      <c r="B182" s="57">
        <f t="shared" si="42"/>
        <v>47484</v>
      </c>
      <c r="C182" s="36">
        <f t="shared" si="43"/>
        <v>2991857.0853296481</v>
      </c>
      <c r="D182" s="39">
        <f t="shared" si="50"/>
        <v>24277.061223694585</v>
      </c>
      <c r="E182" s="36">
        <f t="shared" si="44"/>
        <v>14959.285426648239</v>
      </c>
      <c r="F182" s="36">
        <f t="shared" si="45"/>
        <v>9317.7757970463463</v>
      </c>
      <c r="G182" s="36">
        <f t="shared" si="46"/>
        <v>0</v>
      </c>
      <c r="H182" s="38">
        <f t="shared" si="47"/>
        <v>11028.297966600869</v>
      </c>
      <c r="I182" s="36">
        <f t="shared" si="48"/>
        <v>2971511.011566001</v>
      </c>
      <c r="J182" s="2">
        <f t="shared" si="39"/>
        <v>169</v>
      </c>
      <c r="K182" s="44">
        <f t="shared" si="40"/>
        <v>6.9243826282994192E-3</v>
      </c>
      <c r="L182" s="41">
        <f t="shared" si="41"/>
        <v>0.6</v>
      </c>
      <c r="M182" s="42">
        <f t="shared" si="38"/>
        <v>1</v>
      </c>
      <c r="N182" s="43">
        <f>(VLOOKUP(MONTH('Amortization Model 101'!$B182),Seasonality,2,TRUE))</f>
        <v>0.89</v>
      </c>
      <c r="O182" s="50">
        <f t="shared" si="49"/>
        <v>3.69762032351189E-3</v>
      </c>
    </row>
    <row r="183" spans="2:15" ht="15" x14ac:dyDescent="0.25">
      <c r="B183" s="57">
        <f t="shared" si="42"/>
        <v>47515</v>
      </c>
      <c r="C183" s="36">
        <f t="shared" si="43"/>
        <v>2971511.011566001</v>
      </c>
      <c r="D183" s="39">
        <f t="shared" si="50"/>
        <v>24187.293868718712</v>
      </c>
      <c r="E183" s="36">
        <f t="shared" si="44"/>
        <v>14857.555057830004</v>
      </c>
      <c r="F183" s="36">
        <f t="shared" si="45"/>
        <v>9329.738810888708</v>
      </c>
      <c r="G183" s="36">
        <f t="shared" si="46"/>
        <v>0</v>
      </c>
      <c r="H183" s="38">
        <f t="shared" si="47"/>
        <v>11076.089335347258</v>
      </c>
      <c r="I183" s="36">
        <f t="shared" si="48"/>
        <v>2951105.1834197654</v>
      </c>
      <c r="J183" s="2">
        <f t="shared" si="39"/>
        <v>170</v>
      </c>
      <c r="K183" s="44">
        <f t="shared" si="40"/>
        <v>6.9243826282994192E-3</v>
      </c>
      <c r="L183" s="41">
        <f t="shared" si="41"/>
        <v>0.6</v>
      </c>
      <c r="M183" s="42">
        <f t="shared" si="38"/>
        <v>1</v>
      </c>
      <c r="N183" s="43">
        <f>(VLOOKUP(MONTH('Amortization Model 101'!$B183),Seasonality,2,TRUE))</f>
        <v>0.9</v>
      </c>
      <c r="O183" s="50">
        <f t="shared" si="49"/>
        <v>3.7391666192816866E-3</v>
      </c>
    </row>
    <row r="184" spans="2:15" ht="15" x14ac:dyDescent="0.25">
      <c r="B184" s="57">
        <f t="shared" si="42"/>
        <v>47543</v>
      </c>
      <c r="C184" s="36">
        <f t="shared" si="43"/>
        <v>2951105.1834197654</v>
      </c>
      <c r="D184" s="39">
        <f t="shared" si="50"/>
        <v>24096.853546874041</v>
      </c>
      <c r="E184" s="36">
        <f t="shared" si="44"/>
        <v>14755.525917098827</v>
      </c>
      <c r="F184" s="36">
        <f t="shared" si="45"/>
        <v>9341.3276297752145</v>
      </c>
      <c r="G184" s="36">
        <f t="shared" si="46"/>
        <v>0</v>
      </c>
      <c r="H184" s="38">
        <f t="shared" si="47"/>
        <v>11610.842167567054</v>
      </c>
      <c r="I184" s="36">
        <f t="shared" si="48"/>
        <v>2930153.0136224232</v>
      </c>
      <c r="J184" s="2">
        <f t="shared" si="39"/>
        <v>171</v>
      </c>
      <c r="K184" s="44">
        <f t="shared" si="40"/>
        <v>6.9243826282994192E-3</v>
      </c>
      <c r="L184" s="41">
        <f t="shared" si="41"/>
        <v>0.6</v>
      </c>
      <c r="M184" s="42">
        <f t="shared" si="38"/>
        <v>1</v>
      </c>
      <c r="N184" s="43">
        <f>(VLOOKUP(MONTH('Amortization Model 101'!$B184),Seasonality,2,TRUE))</f>
        <v>0.95</v>
      </c>
      <c r="O184" s="50">
        <f t="shared" si="49"/>
        <v>3.9468980981306684E-3</v>
      </c>
    </row>
    <row r="185" spans="2:15" ht="15" x14ac:dyDescent="0.25">
      <c r="B185" s="57">
        <f t="shared" si="42"/>
        <v>47574</v>
      </c>
      <c r="C185" s="36">
        <f t="shared" si="43"/>
        <v>2930153.0136224232</v>
      </c>
      <c r="D185" s="39">
        <f t="shared" si="50"/>
        <v>24001.745721438954</v>
      </c>
      <c r="E185" s="36">
        <f t="shared" si="44"/>
        <v>14650.765068112116</v>
      </c>
      <c r="F185" s="36">
        <f t="shared" si="45"/>
        <v>9350.9806533268384</v>
      </c>
      <c r="G185" s="36">
        <f t="shared" si="46"/>
        <v>0</v>
      </c>
      <c r="H185" s="38">
        <f t="shared" si="47"/>
        <v>11649.456494088674</v>
      </c>
      <c r="I185" s="36">
        <f t="shared" si="48"/>
        <v>2909152.5764750075</v>
      </c>
      <c r="J185" s="2">
        <f t="shared" si="39"/>
        <v>172</v>
      </c>
      <c r="K185" s="44">
        <f t="shared" si="40"/>
        <v>6.9243826282994192E-3</v>
      </c>
      <c r="L185" s="41">
        <f t="shared" si="41"/>
        <v>0.6</v>
      </c>
      <c r="M185" s="42">
        <f t="shared" si="38"/>
        <v>1</v>
      </c>
      <c r="N185" s="43">
        <f>(VLOOKUP(MONTH('Amortization Model 101'!$B185),Seasonality,2,TRUE))</f>
        <v>0.96</v>
      </c>
      <c r="O185" s="50">
        <f t="shared" si="49"/>
        <v>3.988444393900465E-3</v>
      </c>
    </row>
    <row r="186" spans="2:15" ht="15" x14ac:dyDescent="0.25">
      <c r="B186" s="57">
        <f t="shared" si="42"/>
        <v>47604</v>
      </c>
      <c r="C186" s="36">
        <f t="shared" si="43"/>
        <v>2909152.5764750075</v>
      </c>
      <c r="D186" s="39">
        <f t="shared" si="50"/>
        <v>23906.016093272454</v>
      </c>
      <c r="E186" s="36">
        <f t="shared" si="44"/>
        <v>14545.762882375036</v>
      </c>
      <c r="F186" s="36">
        <f t="shared" si="45"/>
        <v>9360.2532108974174</v>
      </c>
      <c r="G186" s="36">
        <f t="shared" si="46"/>
        <v>0</v>
      </c>
      <c r="H186" s="38">
        <f t="shared" si="47"/>
        <v>12770.416730531508</v>
      </c>
      <c r="I186" s="36">
        <f t="shared" si="48"/>
        <v>2887021.9065335784</v>
      </c>
      <c r="J186" s="2">
        <f t="shared" si="39"/>
        <v>173</v>
      </c>
      <c r="K186" s="44">
        <f t="shared" si="40"/>
        <v>6.9243826282994192E-3</v>
      </c>
      <c r="L186" s="41">
        <f t="shared" si="41"/>
        <v>0.6</v>
      </c>
      <c r="M186" s="42">
        <f t="shared" si="38"/>
        <v>1</v>
      </c>
      <c r="N186" s="43">
        <f>(VLOOKUP(MONTH('Amortization Model 101'!$B186),Seasonality,2,TRUE))</f>
        <v>1.06</v>
      </c>
      <c r="O186" s="50">
        <f t="shared" si="49"/>
        <v>4.4039073515984312E-3</v>
      </c>
    </row>
    <row r="187" spans="2:15" ht="15" x14ac:dyDescent="0.25">
      <c r="B187" s="57">
        <f t="shared" si="42"/>
        <v>47635</v>
      </c>
      <c r="C187" s="36">
        <f t="shared" si="43"/>
        <v>2887021.9065335784</v>
      </c>
      <c r="D187" s="39">
        <f t="shared" si="50"/>
        <v>23800.736213251861</v>
      </c>
      <c r="E187" s="36">
        <f t="shared" si="44"/>
        <v>14435.109532667891</v>
      </c>
      <c r="F187" s="36">
        <f t="shared" si="45"/>
        <v>9365.6266805839696</v>
      </c>
      <c r="G187" s="36">
        <f t="shared" si="46"/>
        <v>0</v>
      </c>
      <c r="H187" s="38">
        <f t="shared" si="47"/>
        <v>13031.599522997747</v>
      </c>
      <c r="I187" s="36">
        <f t="shared" si="48"/>
        <v>2864624.6803299966</v>
      </c>
      <c r="J187" s="2">
        <f t="shared" si="39"/>
        <v>174</v>
      </c>
      <c r="K187" s="44">
        <f t="shared" si="40"/>
        <v>6.9243826282994192E-3</v>
      </c>
      <c r="L187" s="41">
        <f t="shared" si="41"/>
        <v>0.6</v>
      </c>
      <c r="M187" s="42">
        <f t="shared" si="38"/>
        <v>1</v>
      </c>
      <c r="N187" s="43">
        <f>(VLOOKUP(MONTH('Amortization Model 101'!$B187),Seasonality,2,TRUE))</f>
        <v>1.0900000000000001</v>
      </c>
      <c r="O187" s="50">
        <f t="shared" si="49"/>
        <v>4.5285462389078202E-3</v>
      </c>
    </row>
    <row r="188" spans="2:15" ht="15" x14ac:dyDescent="0.25">
      <c r="B188" s="57">
        <f t="shared" si="42"/>
        <v>47665</v>
      </c>
      <c r="C188" s="36">
        <f t="shared" si="43"/>
        <v>2864624.6803299966</v>
      </c>
      <c r="D188" s="39">
        <f t="shared" si="50"/>
        <v>23692.953478790103</v>
      </c>
      <c r="E188" s="36">
        <f t="shared" si="44"/>
        <v>14323.123401649982</v>
      </c>
      <c r="F188" s="36">
        <f t="shared" si="45"/>
        <v>9369.8300771401209</v>
      </c>
      <c r="G188" s="36">
        <f t="shared" si="46"/>
        <v>0</v>
      </c>
      <c r="H188" s="38">
        <f t="shared" si="47"/>
        <v>13048.778875742637</v>
      </c>
      <c r="I188" s="36">
        <f t="shared" si="48"/>
        <v>2842206.0713771139</v>
      </c>
      <c r="J188" s="2">
        <f t="shared" si="39"/>
        <v>175</v>
      </c>
      <c r="K188" s="44">
        <f t="shared" si="40"/>
        <v>6.9243826282994192E-3</v>
      </c>
      <c r="L188" s="41">
        <f t="shared" si="41"/>
        <v>0.6</v>
      </c>
      <c r="M188" s="42">
        <f t="shared" si="38"/>
        <v>1</v>
      </c>
      <c r="N188" s="43">
        <f>(VLOOKUP(MONTH('Amortization Model 101'!$B188),Seasonality,2,TRUE))</f>
        <v>1.1000000000000001</v>
      </c>
      <c r="O188" s="50">
        <f t="shared" si="49"/>
        <v>4.5700925346776168E-3</v>
      </c>
    </row>
    <row r="189" spans="2:15" ht="15" x14ac:dyDescent="0.25">
      <c r="B189" s="57">
        <f t="shared" si="42"/>
        <v>47696</v>
      </c>
      <c r="C189" s="36">
        <f t="shared" si="43"/>
        <v>2842206.0713771139</v>
      </c>
      <c r="D189" s="39">
        <f t="shared" si="50"/>
        <v>23584.674488972221</v>
      </c>
      <c r="E189" s="36">
        <f t="shared" si="44"/>
        <v>14211.030356885569</v>
      </c>
      <c r="F189" s="36">
        <f t="shared" si="45"/>
        <v>9373.6441320866525</v>
      </c>
      <c r="G189" s="36">
        <f t="shared" si="46"/>
        <v>0</v>
      </c>
      <c r="H189" s="38">
        <f t="shared" si="47"/>
        <v>13534.774797188134</v>
      </c>
      <c r="I189" s="36">
        <f t="shared" si="48"/>
        <v>2819297.6524478393</v>
      </c>
      <c r="J189" s="2">
        <f t="shared" si="39"/>
        <v>176</v>
      </c>
      <c r="K189" s="44">
        <f t="shared" si="40"/>
        <v>6.9243826282994192E-3</v>
      </c>
      <c r="L189" s="41">
        <f t="shared" si="41"/>
        <v>0.6</v>
      </c>
      <c r="M189" s="42">
        <f t="shared" si="38"/>
        <v>1</v>
      </c>
      <c r="N189" s="43">
        <f>(VLOOKUP(MONTH('Amortization Model 101'!$B189),Seasonality,2,TRUE))</f>
        <v>1.1499999999999999</v>
      </c>
      <c r="O189" s="50">
        <f t="shared" si="49"/>
        <v>4.7778240135265991E-3</v>
      </c>
    </row>
    <row r="190" spans="2:15" ht="15" x14ac:dyDescent="0.25">
      <c r="B190" s="57">
        <f t="shared" si="42"/>
        <v>47727</v>
      </c>
      <c r="C190" s="36">
        <f t="shared" si="43"/>
        <v>2819297.6524478393</v>
      </c>
      <c r="D190" s="39">
        <f t="shared" si="50"/>
        <v>23471.9910648476</v>
      </c>
      <c r="E190" s="36">
        <f t="shared" si="44"/>
        <v>14096.488262239196</v>
      </c>
      <c r="F190" s="36">
        <f t="shared" si="45"/>
        <v>9375.5028026084037</v>
      </c>
      <c r="G190" s="36">
        <f t="shared" si="46"/>
        <v>0</v>
      </c>
      <c r="H190" s="38">
        <f t="shared" si="47"/>
        <v>13191.829809276738</v>
      </c>
      <c r="I190" s="36">
        <f t="shared" si="48"/>
        <v>2796730.3198359539</v>
      </c>
      <c r="J190" s="2">
        <f t="shared" si="39"/>
        <v>177</v>
      </c>
      <c r="K190" s="44">
        <f t="shared" si="40"/>
        <v>6.9243826282994192E-3</v>
      </c>
      <c r="L190" s="41">
        <f t="shared" si="41"/>
        <v>0.6</v>
      </c>
      <c r="M190" s="42">
        <f t="shared" si="38"/>
        <v>1</v>
      </c>
      <c r="N190" s="43">
        <f>(VLOOKUP(MONTH('Amortization Model 101'!$B190),Seasonality,2,TRUE))</f>
        <v>1.1299999999999999</v>
      </c>
      <c r="O190" s="50">
        <f t="shared" si="49"/>
        <v>4.6947314219870058E-3</v>
      </c>
    </row>
    <row r="191" spans="2:15" ht="15" x14ac:dyDescent="0.25">
      <c r="B191" s="57">
        <f t="shared" si="42"/>
        <v>47757</v>
      </c>
      <c r="C191" s="36">
        <f t="shared" si="43"/>
        <v>2796730.3198359539</v>
      </c>
      <c r="D191" s="39">
        <f t="shared" si="50"/>
        <v>23361.796370858858</v>
      </c>
      <c r="E191" s="36">
        <f t="shared" si="44"/>
        <v>13983.65159917977</v>
      </c>
      <c r="F191" s="36">
        <f t="shared" si="45"/>
        <v>9378.1447716790881</v>
      </c>
      <c r="G191" s="36">
        <f t="shared" si="46"/>
        <v>0</v>
      </c>
      <c r="H191" s="38">
        <f t="shared" si="47"/>
        <v>11696.219945860405</v>
      </c>
      <c r="I191" s="36">
        <f t="shared" si="48"/>
        <v>2775655.955118414</v>
      </c>
      <c r="J191" s="2">
        <f t="shared" si="39"/>
        <v>178</v>
      </c>
      <c r="K191" s="44">
        <f t="shared" si="40"/>
        <v>6.9243826282994192E-3</v>
      </c>
      <c r="L191" s="41">
        <f t="shared" si="41"/>
        <v>0.6</v>
      </c>
      <c r="M191" s="42">
        <f t="shared" si="38"/>
        <v>1</v>
      </c>
      <c r="N191" s="43">
        <f>(VLOOKUP(MONTH('Amortization Model 101'!$B191),Seasonality,2,TRUE))</f>
        <v>1.01</v>
      </c>
      <c r="O191" s="50">
        <f t="shared" si="49"/>
        <v>4.1961758727494481E-3</v>
      </c>
    </row>
    <row r="192" spans="2:15" ht="15" x14ac:dyDescent="0.25">
      <c r="B192" s="57">
        <f t="shared" si="42"/>
        <v>47788</v>
      </c>
      <c r="C192" s="36">
        <f t="shared" si="43"/>
        <v>2775655.955118414</v>
      </c>
      <c r="D192" s="39">
        <f t="shared" si="50"/>
        <v>23263.76616458338</v>
      </c>
      <c r="E192" s="36">
        <f t="shared" si="44"/>
        <v>13878.279775592069</v>
      </c>
      <c r="F192" s="36">
        <f t="shared" si="45"/>
        <v>9385.4863889913104</v>
      </c>
      <c r="G192" s="36">
        <f t="shared" si="46"/>
        <v>0</v>
      </c>
      <c r="H192" s="38">
        <f t="shared" si="47"/>
        <v>9883.8330322854163</v>
      </c>
      <c r="I192" s="36">
        <f t="shared" si="48"/>
        <v>2756386.6356971376</v>
      </c>
      <c r="J192" s="2">
        <f t="shared" si="39"/>
        <v>179</v>
      </c>
      <c r="K192" s="44">
        <f t="shared" si="40"/>
        <v>6.9243826282994192E-3</v>
      </c>
      <c r="L192" s="41">
        <f t="shared" si="41"/>
        <v>0.6</v>
      </c>
      <c r="M192" s="42">
        <f t="shared" si="38"/>
        <v>1</v>
      </c>
      <c r="N192" s="43">
        <f>(VLOOKUP(MONTH('Amortization Model 101'!$B192),Seasonality,2,TRUE))</f>
        <v>0.86</v>
      </c>
      <c r="O192" s="50">
        <f t="shared" si="49"/>
        <v>3.5729814362025001E-3</v>
      </c>
    </row>
    <row r="193" spans="2:15" ht="15" x14ac:dyDescent="0.25">
      <c r="B193" s="57">
        <f t="shared" si="42"/>
        <v>47818</v>
      </c>
      <c r="C193" s="36">
        <f t="shared" si="43"/>
        <v>2756386.6356971376</v>
      </c>
      <c r="D193" s="39">
        <f t="shared" si="50"/>
        <v>23180.645159941163</v>
      </c>
      <c r="E193" s="36">
        <f t="shared" si="44"/>
        <v>13781.933178485686</v>
      </c>
      <c r="F193" s="36">
        <f t="shared" si="45"/>
        <v>9398.7119814554771</v>
      </c>
      <c r="G193" s="36">
        <f t="shared" si="46"/>
        <v>0</v>
      </c>
      <c r="H193" s="40">
        <f t="shared" si="47"/>
        <v>10271.445547927588</v>
      </c>
      <c r="I193" s="36">
        <f t="shared" si="48"/>
        <v>2736716.4781677546</v>
      </c>
      <c r="J193" s="2">
        <f t="shared" si="39"/>
        <v>180</v>
      </c>
      <c r="K193" s="44">
        <f t="shared" si="40"/>
        <v>6.9243826282994192E-3</v>
      </c>
      <c r="L193" s="41">
        <f t="shared" si="41"/>
        <v>0.6</v>
      </c>
      <c r="M193" s="42">
        <f t="shared" si="38"/>
        <v>1</v>
      </c>
      <c r="N193" s="43">
        <f>(VLOOKUP(MONTH('Amortization Model 101'!$B193),Seasonality,2,TRUE))</f>
        <v>0.9</v>
      </c>
      <c r="O193" s="50">
        <f t="shared" si="49"/>
        <v>3.7391666192816866E-3</v>
      </c>
    </row>
    <row r="194" spans="2:15" ht="15" x14ac:dyDescent="0.25">
      <c r="B194" s="57">
        <f t="shared" si="42"/>
        <v>47849</v>
      </c>
      <c r="C194" s="36">
        <f t="shared" si="43"/>
        <v>2736716.4781677546</v>
      </c>
      <c r="D194" s="39">
        <f t="shared" si="50"/>
        <v>23093.968865345698</v>
      </c>
      <c r="E194" s="36">
        <f t="shared" si="44"/>
        <v>13683.582390838774</v>
      </c>
      <c r="F194" s="36">
        <f t="shared" si="45"/>
        <v>9410.3864745069241</v>
      </c>
      <c r="G194" s="36">
        <f t="shared" si="46"/>
        <v>0</v>
      </c>
      <c r="H194" s="38">
        <f t="shared" si="47"/>
        <v>10084.542433082735</v>
      </c>
      <c r="I194" s="36">
        <f t="shared" si="48"/>
        <v>2717221.5492601651</v>
      </c>
      <c r="J194" s="2">
        <f t="shared" si="39"/>
        <v>181</v>
      </c>
      <c r="K194" s="44">
        <f t="shared" si="40"/>
        <v>6.9243826282994192E-3</v>
      </c>
      <c r="L194" s="41">
        <f t="shared" si="41"/>
        <v>0.6</v>
      </c>
      <c r="M194" s="42">
        <f t="shared" si="38"/>
        <v>1</v>
      </c>
      <c r="N194" s="43">
        <f>(VLOOKUP(MONTH('Amortization Model 101'!$B194),Seasonality,2,TRUE))</f>
        <v>0.89</v>
      </c>
      <c r="O194" s="50">
        <f t="shared" si="49"/>
        <v>3.69762032351189E-3</v>
      </c>
    </row>
    <row r="195" spans="2:15" ht="15" x14ac:dyDescent="0.25">
      <c r="B195" s="57">
        <f t="shared" si="42"/>
        <v>47880</v>
      </c>
      <c r="C195" s="36">
        <f t="shared" si="43"/>
        <v>2717221.5492601651</v>
      </c>
      <c r="D195" s="39">
        <f t="shared" si="50"/>
        <v>23008.576136718646</v>
      </c>
      <c r="E195" s="36">
        <f t="shared" si="44"/>
        <v>13586.107746300826</v>
      </c>
      <c r="F195" s="36">
        <f t="shared" si="45"/>
        <v>9422.46839041782</v>
      </c>
      <c r="G195" s="36">
        <f t="shared" si="46"/>
        <v>0</v>
      </c>
      <c r="H195" s="38">
        <f t="shared" si="47"/>
        <v>10124.911934909791</v>
      </c>
      <c r="I195" s="36">
        <f t="shared" si="48"/>
        <v>2697674.1689348374</v>
      </c>
      <c r="J195" s="2">
        <f t="shared" si="39"/>
        <v>182</v>
      </c>
      <c r="K195" s="44">
        <f t="shared" si="40"/>
        <v>6.9243826282994192E-3</v>
      </c>
      <c r="L195" s="41">
        <f t="shared" si="41"/>
        <v>0.6</v>
      </c>
      <c r="M195" s="42">
        <f t="shared" si="38"/>
        <v>1</v>
      </c>
      <c r="N195" s="43">
        <f>(VLOOKUP(MONTH('Amortization Model 101'!$B195),Seasonality,2,TRUE))</f>
        <v>0.9</v>
      </c>
      <c r="O195" s="50">
        <f t="shared" si="49"/>
        <v>3.7391666192816866E-3</v>
      </c>
    </row>
    <row r="196" spans="2:15" ht="15" x14ac:dyDescent="0.25">
      <c r="B196" s="57">
        <f t="shared" si="42"/>
        <v>47908</v>
      </c>
      <c r="C196" s="36">
        <f t="shared" si="43"/>
        <v>2697674.1689348374</v>
      </c>
      <c r="D196" s="39">
        <f t="shared" si="50"/>
        <v>22922.543236871028</v>
      </c>
      <c r="E196" s="36">
        <f t="shared" si="44"/>
        <v>13488.370844674188</v>
      </c>
      <c r="F196" s="36">
        <f t="shared" si="45"/>
        <v>9434.1723921968405</v>
      </c>
      <c r="G196" s="36">
        <f t="shared" si="46"/>
        <v>0</v>
      </c>
      <c r="H196" s="38">
        <f t="shared" si="47"/>
        <v>10610.209329672942</v>
      </c>
      <c r="I196" s="36">
        <f t="shared" si="48"/>
        <v>2677629.7872129674</v>
      </c>
      <c r="J196" s="2">
        <f t="shared" si="39"/>
        <v>183</v>
      </c>
      <c r="K196" s="44">
        <f t="shared" si="40"/>
        <v>6.9243826282994192E-3</v>
      </c>
      <c r="L196" s="41">
        <f t="shared" si="41"/>
        <v>0.6</v>
      </c>
      <c r="M196" s="42">
        <f t="shared" si="38"/>
        <v>1</v>
      </c>
      <c r="N196" s="43">
        <f>(VLOOKUP(MONTH('Amortization Model 101'!$B196),Seasonality,2,TRUE))</f>
        <v>0.95</v>
      </c>
      <c r="O196" s="50">
        <f t="shared" si="49"/>
        <v>3.9468980981306684E-3</v>
      </c>
    </row>
    <row r="197" spans="2:15" ht="15" x14ac:dyDescent="0.25">
      <c r="B197" s="57">
        <f t="shared" si="42"/>
        <v>47939</v>
      </c>
      <c r="C197" s="36">
        <f t="shared" si="43"/>
        <v>2677629.7872129674</v>
      </c>
      <c r="D197" s="39">
        <f t="shared" si="50"/>
        <v>22832.070294565103</v>
      </c>
      <c r="E197" s="36">
        <f t="shared" si="44"/>
        <v>13388.148936064836</v>
      </c>
      <c r="F197" s="36">
        <f t="shared" si="45"/>
        <v>9443.9213585002672</v>
      </c>
      <c r="G197" s="36">
        <f t="shared" si="46"/>
        <v>0</v>
      </c>
      <c r="H197" s="38">
        <f t="shared" si="47"/>
        <v>10641.910958551709</v>
      </c>
      <c r="I197" s="36">
        <f t="shared" si="48"/>
        <v>2657543.9548959155</v>
      </c>
      <c r="J197" s="2">
        <f t="shared" si="39"/>
        <v>184</v>
      </c>
      <c r="K197" s="44">
        <f t="shared" si="40"/>
        <v>6.9243826282994192E-3</v>
      </c>
      <c r="L197" s="41">
        <f t="shared" si="41"/>
        <v>0.6</v>
      </c>
      <c r="M197" s="42">
        <f t="shared" si="38"/>
        <v>1</v>
      </c>
      <c r="N197" s="43">
        <f>(VLOOKUP(MONTH('Amortization Model 101'!$B197),Seasonality,2,TRUE))</f>
        <v>0.96</v>
      </c>
      <c r="O197" s="50">
        <f t="shared" si="49"/>
        <v>3.988444393900465E-3</v>
      </c>
    </row>
    <row r="198" spans="2:15" ht="15" x14ac:dyDescent="0.25">
      <c r="B198" s="57">
        <f t="shared" si="42"/>
        <v>47969</v>
      </c>
      <c r="C198" s="36">
        <f t="shared" si="43"/>
        <v>2657543.9548959155</v>
      </c>
      <c r="D198" s="39">
        <f t="shared" si="50"/>
        <v>22741.005851797603</v>
      </c>
      <c r="E198" s="36">
        <f t="shared" si="44"/>
        <v>13287.719774479578</v>
      </c>
      <c r="F198" s="36">
        <f t="shared" si="45"/>
        <v>9453.2860773180255</v>
      </c>
      <c r="G198" s="36">
        <f t="shared" si="46"/>
        <v>0</v>
      </c>
      <c r="H198" s="38">
        <f t="shared" si="47"/>
        <v>11661.945964109427</v>
      </c>
      <c r="I198" s="36">
        <f t="shared" si="48"/>
        <v>2636428.7228544876</v>
      </c>
      <c r="J198" s="2">
        <f t="shared" si="39"/>
        <v>185</v>
      </c>
      <c r="K198" s="44">
        <f t="shared" si="40"/>
        <v>6.9243826282994192E-3</v>
      </c>
      <c r="L198" s="41">
        <f t="shared" si="41"/>
        <v>0.6</v>
      </c>
      <c r="M198" s="42">
        <f t="shared" si="38"/>
        <v>1</v>
      </c>
      <c r="N198" s="43">
        <f>(VLOOKUP(MONTH('Amortization Model 101'!$B198),Seasonality,2,TRUE))</f>
        <v>1.06</v>
      </c>
      <c r="O198" s="50">
        <f t="shared" si="49"/>
        <v>4.4039073515984312E-3</v>
      </c>
    </row>
    <row r="199" spans="2:15" ht="15" x14ac:dyDescent="0.25">
      <c r="B199" s="57">
        <f t="shared" si="42"/>
        <v>48000</v>
      </c>
      <c r="C199" s="36">
        <f t="shared" si="43"/>
        <v>2636428.7228544876</v>
      </c>
      <c r="D199" s="39">
        <f t="shared" si="50"/>
        <v>22640.856568944124</v>
      </c>
      <c r="E199" s="36">
        <f t="shared" si="44"/>
        <v>13182.143614272436</v>
      </c>
      <c r="F199" s="36">
        <f t="shared" si="45"/>
        <v>9458.7129546716878</v>
      </c>
      <c r="G199" s="36">
        <f t="shared" si="46"/>
        <v>0</v>
      </c>
      <c r="H199" s="38">
        <f t="shared" si="47"/>
        <v>11896.35515805545</v>
      </c>
      <c r="I199" s="36">
        <f t="shared" si="48"/>
        <v>2615073.6547417603</v>
      </c>
      <c r="J199" s="2">
        <f t="shared" si="39"/>
        <v>186</v>
      </c>
      <c r="K199" s="44">
        <f t="shared" si="40"/>
        <v>6.9243826282994192E-3</v>
      </c>
      <c r="L199" s="41">
        <f t="shared" si="41"/>
        <v>0.6</v>
      </c>
      <c r="M199" s="42">
        <f t="shared" si="38"/>
        <v>1</v>
      </c>
      <c r="N199" s="43">
        <f>(VLOOKUP(MONTH('Amortization Model 101'!$B199),Seasonality,2,TRUE))</f>
        <v>1.0900000000000001</v>
      </c>
      <c r="O199" s="50">
        <f t="shared" si="49"/>
        <v>4.5285462389078202E-3</v>
      </c>
    </row>
    <row r="200" spans="2:15" ht="15" x14ac:dyDescent="0.25">
      <c r="B200" s="57">
        <f t="shared" si="42"/>
        <v>48030</v>
      </c>
      <c r="C200" s="36">
        <f t="shared" si="43"/>
        <v>2615073.6547417603</v>
      </c>
      <c r="D200" s="39">
        <f t="shared" si="50"/>
        <v>22538.326403083178</v>
      </c>
      <c r="E200" s="36">
        <f t="shared" si="44"/>
        <v>13075.368273708802</v>
      </c>
      <c r="F200" s="36">
        <f t="shared" si="45"/>
        <v>9462.9581293743759</v>
      </c>
      <c r="G200" s="36">
        <f t="shared" si="46"/>
        <v>0</v>
      </c>
      <c r="H200" s="38">
        <f t="shared" si="47"/>
        <v>11907.88199286441</v>
      </c>
      <c r="I200" s="36">
        <f t="shared" si="48"/>
        <v>2593702.8146195216</v>
      </c>
      <c r="J200" s="2">
        <f t="shared" si="39"/>
        <v>187</v>
      </c>
      <c r="K200" s="44">
        <f t="shared" si="40"/>
        <v>6.9243826282994192E-3</v>
      </c>
      <c r="L200" s="41">
        <f t="shared" si="41"/>
        <v>0.6</v>
      </c>
      <c r="M200" s="42">
        <f t="shared" si="38"/>
        <v>1</v>
      </c>
      <c r="N200" s="43">
        <f>(VLOOKUP(MONTH('Amortization Model 101'!$B200),Seasonality,2,TRUE))</f>
        <v>1.1000000000000001</v>
      </c>
      <c r="O200" s="50">
        <f t="shared" si="49"/>
        <v>4.5700925346776168E-3</v>
      </c>
    </row>
    <row r="201" spans="2:15" ht="15" x14ac:dyDescent="0.25">
      <c r="B201" s="57">
        <f t="shared" si="42"/>
        <v>48061</v>
      </c>
      <c r="C201" s="36">
        <f t="shared" si="43"/>
        <v>2593702.8146195216</v>
      </c>
      <c r="D201" s="39">
        <f t="shared" si="50"/>
        <v>22435.324165844322</v>
      </c>
      <c r="E201" s="36">
        <f t="shared" si="44"/>
        <v>12968.514073097607</v>
      </c>
      <c r="F201" s="36">
        <f t="shared" si="45"/>
        <v>9466.8100927467149</v>
      </c>
      <c r="G201" s="36">
        <f t="shared" si="46"/>
        <v>0</v>
      </c>
      <c r="H201" s="38">
        <f t="shared" si="47"/>
        <v>12347.024839048057</v>
      </c>
      <c r="I201" s="36">
        <f t="shared" si="48"/>
        <v>2571888.9796877266</v>
      </c>
      <c r="J201" s="2">
        <f t="shared" si="39"/>
        <v>188</v>
      </c>
      <c r="K201" s="44">
        <f t="shared" si="40"/>
        <v>6.9243826282994192E-3</v>
      </c>
      <c r="L201" s="41">
        <f t="shared" si="41"/>
        <v>0.6</v>
      </c>
      <c r="M201" s="42">
        <f t="shared" si="38"/>
        <v>1</v>
      </c>
      <c r="N201" s="43">
        <f>(VLOOKUP(MONTH('Amortization Model 101'!$B201),Seasonality,2,TRUE))</f>
        <v>1.1499999999999999</v>
      </c>
      <c r="O201" s="50">
        <f t="shared" si="49"/>
        <v>4.7778240135265991E-3</v>
      </c>
    </row>
    <row r="202" spans="2:15" ht="15" x14ac:dyDescent="0.25">
      <c r="B202" s="57">
        <f t="shared" si="42"/>
        <v>48092</v>
      </c>
      <c r="C202" s="36">
        <f t="shared" si="43"/>
        <v>2571888.9796877266</v>
      </c>
      <c r="D202" s="39">
        <f t="shared" si="50"/>
        <v>22328.13213529349</v>
      </c>
      <c r="E202" s="36">
        <f t="shared" si="44"/>
        <v>12859.444898438633</v>
      </c>
      <c r="F202" s="36">
        <f t="shared" si="45"/>
        <v>9468.6872368548575</v>
      </c>
      <c r="G202" s="36">
        <f t="shared" si="46"/>
        <v>0</v>
      </c>
      <c r="H202" s="38">
        <f t="shared" si="47"/>
        <v>12029.875063306241</v>
      </c>
      <c r="I202" s="36">
        <f t="shared" si="48"/>
        <v>2550390.4173875656</v>
      </c>
      <c r="J202" s="2">
        <f t="shared" si="39"/>
        <v>189</v>
      </c>
      <c r="K202" s="44">
        <f t="shared" si="40"/>
        <v>6.9243826282994192E-3</v>
      </c>
      <c r="L202" s="41">
        <f t="shared" si="41"/>
        <v>0.6</v>
      </c>
      <c r="M202" s="42">
        <f t="shared" si="38"/>
        <v>1</v>
      </c>
      <c r="N202" s="43">
        <f>(VLOOKUP(MONTH('Amortization Model 101'!$B202),Seasonality,2,TRUE))</f>
        <v>1.1299999999999999</v>
      </c>
      <c r="O202" s="50">
        <f t="shared" si="49"/>
        <v>4.6947314219870058E-3</v>
      </c>
    </row>
    <row r="203" spans="2:15" ht="15" x14ac:dyDescent="0.25">
      <c r="B203" s="57">
        <f t="shared" si="42"/>
        <v>48122</v>
      </c>
      <c r="C203" s="36">
        <f t="shared" si="43"/>
        <v>2550390.4173875656</v>
      </c>
      <c r="D203" s="39">
        <f t="shared" si="50"/>
        <v>22223.307551763653</v>
      </c>
      <c r="E203" s="36">
        <f t="shared" si="44"/>
        <v>12751.952086937827</v>
      </c>
      <c r="F203" s="36">
        <f t="shared" si="45"/>
        <v>9471.3554648258269</v>
      </c>
      <c r="G203" s="36">
        <f t="shared" si="46"/>
        <v>0</v>
      </c>
      <c r="H203" s="38">
        <f t="shared" si="47"/>
        <v>10662.143262249361</v>
      </c>
      <c r="I203" s="36">
        <f t="shared" si="48"/>
        <v>2530256.9186604903</v>
      </c>
      <c r="J203" s="2">
        <f t="shared" si="39"/>
        <v>190</v>
      </c>
      <c r="K203" s="44">
        <f t="shared" si="40"/>
        <v>6.9243826282994192E-3</v>
      </c>
      <c r="L203" s="41">
        <f t="shared" si="41"/>
        <v>0.6</v>
      </c>
      <c r="M203" s="42">
        <f t="shared" si="38"/>
        <v>1</v>
      </c>
      <c r="N203" s="43">
        <f>(VLOOKUP(MONTH('Amortization Model 101'!$B203),Seasonality,2,TRUE))</f>
        <v>1.01</v>
      </c>
      <c r="O203" s="50">
        <f t="shared" si="49"/>
        <v>4.1961758727494481E-3</v>
      </c>
    </row>
    <row r="204" spans="2:15" ht="15" x14ac:dyDescent="0.25">
      <c r="B204" s="57">
        <f t="shared" si="42"/>
        <v>48153</v>
      </c>
      <c r="C204" s="36">
        <f t="shared" si="43"/>
        <v>2530256.9186604903</v>
      </c>
      <c r="D204" s="39">
        <f t="shared" si="50"/>
        <v>22130.054644802251</v>
      </c>
      <c r="E204" s="36">
        <f t="shared" si="44"/>
        <v>12651.284593302451</v>
      </c>
      <c r="F204" s="36">
        <f t="shared" si="45"/>
        <v>9478.7700514997996</v>
      </c>
      <c r="G204" s="36">
        <f t="shared" si="46"/>
        <v>0</v>
      </c>
      <c r="H204" s="38">
        <f t="shared" si="47"/>
        <v>9006.6935297648306</v>
      </c>
      <c r="I204" s="36">
        <f t="shared" si="48"/>
        <v>2511771.4550792258</v>
      </c>
      <c r="J204" s="2">
        <f t="shared" si="39"/>
        <v>191</v>
      </c>
      <c r="K204" s="44">
        <f t="shared" si="40"/>
        <v>6.9243826282994192E-3</v>
      </c>
      <c r="L204" s="41">
        <f t="shared" si="41"/>
        <v>0.6</v>
      </c>
      <c r="M204" s="42">
        <f t="shared" si="38"/>
        <v>1</v>
      </c>
      <c r="N204" s="43">
        <f>(VLOOKUP(MONTH('Amortization Model 101'!$B204),Seasonality,2,TRUE))</f>
        <v>0.86</v>
      </c>
      <c r="O204" s="50">
        <f t="shared" si="49"/>
        <v>3.5729814362025001E-3</v>
      </c>
    </row>
    <row r="205" spans="2:15" ht="15" x14ac:dyDescent="0.25">
      <c r="B205" s="57">
        <f t="shared" si="42"/>
        <v>48183</v>
      </c>
      <c r="C205" s="36">
        <f t="shared" si="43"/>
        <v>2511771.4550792258</v>
      </c>
      <c r="D205" s="39">
        <f t="shared" si="50"/>
        <v>22050.98437037423</v>
      </c>
      <c r="E205" s="36">
        <f t="shared" si="44"/>
        <v>12558.857275396129</v>
      </c>
      <c r="F205" s="36">
        <f t="shared" si="45"/>
        <v>9492.127094978101</v>
      </c>
      <c r="G205" s="36">
        <f t="shared" si="46"/>
        <v>0</v>
      </c>
      <c r="H205" s="40">
        <f t="shared" si="47"/>
        <v>9356.4393353173109</v>
      </c>
      <c r="I205" s="36">
        <f t="shared" si="48"/>
        <v>2492922.8886489305</v>
      </c>
      <c r="J205" s="2">
        <f t="shared" si="39"/>
        <v>192</v>
      </c>
      <c r="K205" s="44">
        <f t="shared" si="40"/>
        <v>6.9243826282994192E-3</v>
      </c>
      <c r="L205" s="41">
        <f t="shared" si="41"/>
        <v>0.6</v>
      </c>
      <c r="M205" s="42">
        <f t="shared" si="38"/>
        <v>1</v>
      </c>
      <c r="N205" s="43">
        <f>(VLOOKUP(MONTH('Amortization Model 101'!$B205),Seasonality,2,TRUE))</f>
        <v>0.9</v>
      </c>
      <c r="O205" s="50">
        <f t="shared" si="49"/>
        <v>3.7391666192816866E-3</v>
      </c>
    </row>
    <row r="206" spans="2:15" ht="15" x14ac:dyDescent="0.25">
      <c r="B206" s="57">
        <f t="shared" si="42"/>
        <v>48214</v>
      </c>
      <c r="C206" s="36">
        <f t="shared" si="43"/>
        <v>2492922.8886489305</v>
      </c>
      <c r="D206" s="39">
        <f t="shared" si="50"/>
        <v>21968.53206569422</v>
      </c>
      <c r="E206" s="36">
        <f t="shared" si="44"/>
        <v>12464.614443244653</v>
      </c>
      <c r="F206" s="36">
        <f t="shared" si="45"/>
        <v>9503.9176224495677</v>
      </c>
      <c r="G206" s="36">
        <f t="shared" si="46"/>
        <v>0</v>
      </c>
      <c r="H206" s="38">
        <f t="shared" si="47"/>
        <v>7652.2837158854181</v>
      </c>
      <c r="I206" s="36">
        <f t="shared" si="48"/>
        <v>2475766.6873105955</v>
      </c>
      <c r="J206" s="2">
        <f t="shared" si="39"/>
        <v>193</v>
      </c>
      <c r="K206" s="44">
        <f t="shared" si="40"/>
        <v>6.9243826282994192E-3</v>
      </c>
      <c r="L206" s="41">
        <f t="shared" si="41"/>
        <v>0.5</v>
      </c>
      <c r="M206" s="42">
        <f t="shared" ref="M206:M269" si="51">MIN(J206/VLOOKUP($F$5-$F$8,Seasoning,2,TRUE),1)</f>
        <v>1</v>
      </c>
      <c r="N206" s="43">
        <f>(VLOOKUP(MONTH('Amortization Model 101'!$B206),Seasonality,2,TRUE))</f>
        <v>0.89</v>
      </c>
      <c r="O206" s="50">
        <f t="shared" si="49"/>
        <v>3.0813502695932415E-3</v>
      </c>
    </row>
    <row r="207" spans="2:15" ht="15" x14ac:dyDescent="0.25">
      <c r="B207" s="57">
        <f t="shared" si="42"/>
        <v>48245</v>
      </c>
      <c r="C207" s="36">
        <f t="shared" si="43"/>
        <v>2475766.6873105955</v>
      </c>
      <c r="D207" s="39">
        <f t="shared" si="50"/>
        <v>21900.839323491029</v>
      </c>
      <c r="E207" s="36">
        <f t="shared" si="44"/>
        <v>12378.833436552975</v>
      </c>
      <c r="F207" s="36">
        <f t="shared" si="45"/>
        <v>9522.0058869380537</v>
      </c>
      <c r="G207" s="36">
        <f t="shared" si="46"/>
        <v>0</v>
      </c>
      <c r="H207" s="38">
        <f t="shared" si="47"/>
        <v>7684.749823133614</v>
      </c>
      <c r="I207" s="36">
        <f t="shared" si="48"/>
        <v>2458559.9316005241</v>
      </c>
      <c r="J207" s="2">
        <f t="shared" ref="J207:J270" si="52">+J206+1</f>
        <v>194</v>
      </c>
      <c r="K207" s="44">
        <f t="shared" ref="K207:K270" si="53">1-((1-VLOOKUP(K$12,CPR,2,TRUE)/100)^(1/12))</f>
        <v>6.9243826282994192E-3</v>
      </c>
      <c r="L207" s="41">
        <f t="shared" ref="L207:L270" si="54">VLOOKUP(ROUND(C207/$F$4,1),Burnout,2,FALSE)</f>
        <v>0.5</v>
      </c>
      <c r="M207" s="42">
        <f t="shared" si="51"/>
        <v>1</v>
      </c>
      <c r="N207" s="43">
        <f>(VLOOKUP(MONTH('Amortization Model 101'!$B207),Seasonality,2,TRUE))</f>
        <v>0.9</v>
      </c>
      <c r="O207" s="50">
        <f t="shared" si="49"/>
        <v>3.1159721827347386E-3</v>
      </c>
    </row>
    <row r="208" spans="2:15" ht="15" x14ac:dyDescent="0.25">
      <c r="B208" s="57">
        <f t="shared" ref="B208:B271" si="55">IF(C208&gt;0,EDATE(B207,1),"")</f>
        <v>48274</v>
      </c>
      <c r="C208" s="36">
        <f t="shared" ref="C208:C271" si="56">+I207</f>
        <v>2458559.9316005241</v>
      </c>
      <c r="D208" s="39">
        <f t="shared" si="50"/>
        <v>21832.596917380492</v>
      </c>
      <c r="E208" s="36">
        <f t="shared" ref="E208:E271" si="57">($F$7*C208)/12</f>
        <v>12292.799658002621</v>
      </c>
      <c r="F208" s="36">
        <f t="shared" ref="F208:F271" si="58">D208-E208-G208</f>
        <v>9539.7972593778704</v>
      </c>
      <c r="G208" s="36">
        <f t="shared" ref="G208:G271" si="59">($F$6*C208)/12</f>
        <v>0</v>
      </c>
      <c r="H208" s="38">
        <f t="shared" ref="H208:H271" si="60">+O208*(C208-F208)</f>
        <v>8055.027425428988</v>
      </c>
      <c r="I208" s="36">
        <f t="shared" ref="I208:I271" si="61">IF(J208&gt;$F$3,0,C208-F208-H208)</f>
        <v>2440965.1069157175</v>
      </c>
      <c r="J208" s="2">
        <f t="shared" si="52"/>
        <v>195</v>
      </c>
      <c r="K208" s="44">
        <f t="shared" si="53"/>
        <v>6.9243826282994192E-3</v>
      </c>
      <c r="L208" s="41">
        <f t="shared" si="54"/>
        <v>0.5</v>
      </c>
      <c r="M208" s="42">
        <f t="shared" si="51"/>
        <v>1</v>
      </c>
      <c r="N208" s="43">
        <f>(VLOOKUP(MONTH('Amortization Model 101'!$B208),Seasonality,2,TRUE))</f>
        <v>0.95</v>
      </c>
      <c r="O208" s="50">
        <f t="shared" ref="O208:O271" si="62">PRODUCT(K208:N208)</f>
        <v>3.2890817484422241E-3</v>
      </c>
    </row>
    <row r="209" spans="2:15" ht="15" x14ac:dyDescent="0.25">
      <c r="B209" s="57">
        <f t="shared" si="55"/>
        <v>48305</v>
      </c>
      <c r="C209" s="36">
        <f t="shared" si="56"/>
        <v>2440965.1069157175</v>
      </c>
      <c r="D209" s="39">
        <f t="shared" si="50"/>
        <v>21760.787721338442</v>
      </c>
      <c r="E209" s="36">
        <f t="shared" si="57"/>
        <v>12204.825534578587</v>
      </c>
      <c r="F209" s="36">
        <f t="shared" si="58"/>
        <v>9555.9621867598544</v>
      </c>
      <c r="G209" s="36">
        <f t="shared" si="59"/>
        <v>0</v>
      </c>
      <c r="H209" s="38">
        <f t="shared" si="60"/>
        <v>8081.2834771437811</v>
      </c>
      <c r="I209" s="36">
        <f t="shared" si="61"/>
        <v>2423327.8612518138</v>
      </c>
      <c r="J209" s="2">
        <f t="shared" si="52"/>
        <v>196</v>
      </c>
      <c r="K209" s="44">
        <f t="shared" si="53"/>
        <v>6.9243826282994192E-3</v>
      </c>
      <c r="L209" s="41">
        <f t="shared" si="54"/>
        <v>0.5</v>
      </c>
      <c r="M209" s="42">
        <f t="shared" si="51"/>
        <v>1</v>
      </c>
      <c r="N209" s="43">
        <f>(VLOOKUP(MONTH('Amortization Model 101'!$B209),Seasonality,2,TRUE))</f>
        <v>0.96</v>
      </c>
      <c r="O209" s="50">
        <f t="shared" si="62"/>
        <v>3.3237036615837213E-3</v>
      </c>
    </row>
    <row r="210" spans="2:15" ht="15" x14ac:dyDescent="0.25">
      <c r="B210" s="57">
        <f t="shared" si="55"/>
        <v>48335</v>
      </c>
      <c r="C210" s="36">
        <f t="shared" si="56"/>
        <v>2423327.8612518138</v>
      </c>
      <c r="D210" s="39">
        <f t="shared" si="50"/>
        <v>21688.46131151008</v>
      </c>
      <c r="E210" s="36">
        <f t="shared" si="57"/>
        <v>12116.639306259067</v>
      </c>
      <c r="F210" s="36">
        <f t="shared" si="58"/>
        <v>9571.8220052510133</v>
      </c>
      <c r="G210" s="36">
        <f t="shared" si="59"/>
        <v>0</v>
      </c>
      <c r="H210" s="38">
        <f t="shared" si="60"/>
        <v>8858.2983051692063</v>
      </c>
      <c r="I210" s="36">
        <f t="shared" si="61"/>
        <v>2404897.7409413937</v>
      </c>
      <c r="J210" s="2">
        <f t="shared" si="52"/>
        <v>197</v>
      </c>
      <c r="K210" s="44">
        <f t="shared" si="53"/>
        <v>6.9243826282994192E-3</v>
      </c>
      <c r="L210" s="41">
        <f t="shared" si="54"/>
        <v>0.5</v>
      </c>
      <c r="M210" s="42">
        <f t="shared" si="51"/>
        <v>1</v>
      </c>
      <c r="N210" s="43">
        <f>(VLOOKUP(MONTH('Amortization Model 101'!$B210),Seasonality,2,TRUE))</f>
        <v>1.06</v>
      </c>
      <c r="O210" s="50">
        <f t="shared" si="62"/>
        <v>3.6699227929986923E-3</v>
      </c>
    </row>
    <row r="211" spans="2:15" ht="15" x14ac:dyDescent="0.25">
      <c r="B211" s="57">
        <f t="shared" si="55"/>
        <v>48366</v>
      </c>
      <c r="C211" s="36">
        <f t="shared" si="56"/>
        <v>2404897.7409413937</v>
      </c>
      <c r="D211" s="39">
        <f t="shared" ref="D211:D274" si="63">-PMT($F$5/12,$F$3-J210,$C211)</f>
        <v>21608.86633299791</v>
      </c>
      <c r="E211" s="36">
        <f t="shared" si="57"/>
        <v>12024.488704706966</v>
      </c>
      <c r="F211" s="36">
        <f t="shared" si="58"/>
        <v>9584.3776282909439</v>
      </c>
      <c r="G211" s="36">
        <f t="shared" si="59"/>
        <v>0</v>
      </c>
      <c r="H211" s="38">
        <f t="shared" si="60"/>
        <v>9039.4061020309946</v>
      </c>
      <c r="I211" s="36">
        <f t="shared" si="61"/>
        <v>2386273.9572110716</v>
      </c>
      <c r="J211" s="2">
        <f t="shared" si="52"/>
        <v>198</v>
      </c>
      <c r="K211" s="44">
        <f t="shared" si="53"/>
        <v>6.9243826282994192E-3</v>
      </c>
      <c r="L211" s="41">
        <f t="shared" si="54"/>
        <v>0.5</v>
      </c>
      <c r="M211" s="42">
        <f t="shared" si="51"/>
        <v>1</v>
      </c>
      <c r="N211" s="43">
        <f>(VLOOKUP(MONTH('Amortization Model 101'!$B211),Seasonality,2,TRUE))</f>
        <v>1.0900000000000001</v>
      </c>
      <c r="O211" s="50">
        <f t="shared" si="62"/>
        <v>3.7737885324231838E-3</v>
      </c>
    </row>
    <row r="212" spans="2:15" ht="15" x14ac:dyDescent="0.25">
      <c r="B212" s="57">
        <f t="shared" si="55"/>
        <v>48396</v>
      </c>
      <c r="C212" s="36">
        <f t="shared" si="56"/>
        <v>2386273.9572110716</v>
      </c>
      <c r="D212" s="39">
        <f t="shared" si="63"/>
        <v>21527.319041031766</v>
      </c>
      <c r="E212" s="36">
        <f t="shared" si="57"/>
        <v>11931.369786055358</v>
      </c>
      <c r="F212" s="36">
        <f t="shared" si="58"/>
        <v>9595.9492549764072</v>
      </c>
      <c r="G212" s="36">
        <f t="shared" si="59"/>
        <v>0</v>
      </c>
      <c r="H212" s="38">
        <f t="shared" si="60"/>
        <v>9051.3653512438505</v>
      </c>
      <c r="I212" s="36">
        <f t="shared" si="61"/>
        <v>2367626.6426048512</v>
      </c>
      <c r="J212" s="2">
        <f t="shared" si="52"/>
        <v>199</v>
      </c>
      <c r="K212" s="44">
        <f t="shared" si="53"/>
        <v>6.9243826282994192E-3</v>
      </c>
      <c r="L212" s="41">
        <f t="shared" si="54"/>
        <v>0.5</v>
      </c>
      <c r="M212" s="42">
        <f t="shared" si="51"/>
        <v>1</v>
      </c>
      <c r="N212" s="43">
        <f>(VLOOKUP(MONTH('Amortization Model 101'!$B212),Seasonality,2,TRUE))</f>
        <v>1.1000000000000001</v>
      </c>
      <c r="O212" s="50">
        <f t="shared" si="62"/>
        <v>3.808410445564681E-3</v>
      </c>
    </row>
    <row r="213" spans="2:15" ht="15" x14ac:dyDescent="0.25">
      <c r="B213" s="57">
        <f t="shared" si="55"/>
        <v>48427</v>
      </c>
      <c r="C213" s="36">
        <f t="shared" si="56"/>
        <v>2367626.6426048512</v>
      </c>
      <c r="D213" s="39">
        <f t="shared" si="63"/>
        <v>21445.334174330896</v>
      </c>
      <c r="E213" s="36">
        <f t="shared" si="57"/>
        <v>11838.133213024254</v>
      </c>
      <c r="F213" s="36">
        <f t="shared" si="58"/>
        <v>9607.2009613066421</v>
      </c>
      <c r="G213" s="36">
        <f t="shared" si="59"/>
        <v>0</v>
      </c>
      <c r="H213" s="38">
        <f t="shared" si="60"/>
        <v>9388.5015938725919</v>
      </c>
      <c r="I213" s="36">
        <f t="shared" si="61"/>
        <v>2348630.940049672</v>
      </c>
      <c r="J213" s="2">
        <f t="shared" si="52"/>
        <v>200</v>
      </c>
      <c r="K213" s="44">
        <f t="shared" si="53"/>
        <v>6.9243826282994192E-3</v>
      </c>
      <c r="L213" s="41">
        <f t="shared" si="54"/>
        <v>0.5</v>
      </c>
      <c r="M213" s="42">
        <f t="shared" si="51"/>
        <v>1</v>
      </c>
      <c r="N213" s="43">
        <f>(VLOOKUP(MONTH('Amortization Model 101'!$B213),Seasonality,2,TRUE))</f>
        <v>1.1499999999999999</v>
      </c>
      <c r="O213" s="50">
        <f t="shared" si="62"/>
        <v>3.981520011272166E-3</v>
      </c>
    </row>
    <row r="214" spans="2:15" ht="15" x14ac:dyDescent="0.25">
      <c r="B214" s="57">
        <f t="shared" si="55"/>
        <v>48458</v>
      </c>
      <c r="C214" s="36">
        <f t="shared" si="56"/>
        <v>2348630.940049672</v>
      </c>
      <c r="D214" s="39">
        <f t="shared" si="63"/>
        <v>21359.949147167383</v>
      </c>
      <c r="E214" s="36">
        <f t="shared" si="57"/>
        <v>11743.154700248358</v>
      </c>
      <c r="F214" s="36">
        <f t="shared" si="58"/>
        <v>9616.7944469190243</v>
      </c>
      <c r="G214" s="36">
        <f t="shared" si="59"/>
        <v>0</v>
      </c>
      <c r="H214" s="38">
        <f t="shared" si="60"/>
        <v>9150.8693381944449</v>
      </c>
      <c r="I214" s="36">
        <f t="shared" si="61"/>
        <v>2329863.2762645585</v>
      </c>
      <c r="J214" s="2">
        <f t="shared" si="52"/>
        <v>201</v>
      </c>
      <c r="K214" s="44">
        <f t="shared" si="53"/>
        <v>6.9243826282994192E-3</v>
      </c>
      <c r="L214" s="41">
        <f t="shared" si="54"/>
        <v>0.5</v>
      </c>
      <c r="M214" s="42">
        <f t="shared" si="51"/>
        <v>1</v>
      </c>
      <c r="N214" s="43">
        <f>(VLOOKUP(MONTH('Amortization Model 101'!$B214),Seasonality,2,TRUE))</f>
        <v>1.1299999999999999</v>
      </c>
      <c r="O214" s="50">
        <f t="shared" si="62"/>
        <v>3.9122761849891717E-3</v>
      </c>
    </row>
    <row r="215" spans="2:15" ht="15" x14ac:dyDescent="0.25">
      <c r="B215" s="57">
        <f t="shared" si="55"/>
        <v>48488</v>
      </c>
      <c r="C215" s="36">
        <f t="shared" si="56"/>
        <v>2329863.2762645585</v>
      </c>
      <c r="D215" s="39">
        <f t="shared" si="63"/>
        <v>21276.383126806337</v>
      </c>
      <c r="E215" s="36">
        <f t="shared" si="57"/>
        <v>11649.316381322793</v>
      </c>
      <c r="F215" s="36">
        <f t="shared" si="58"/>
        <v>9627.0667454835439</v>
      </c>
      <c r="G215" s="36">
        <f t="shared" si="59"/>
        <v>0</v>
      </c>
      <c r="H215" s="38">
        <f t="shared" si="60"/>
        <v>8113.4326678863144</v>
      </c>
      <c r="I215" s="36">
        <f t="shared" si="61"/>
        <v>2312122.7768511889</v>
      </c>
      <c r="J215" s="2">
        <f t="shared" si="52"/>
        <v>202</v>
      </c>
      <c r="K215" s="44">
        <f t="shared" si="53"/>
        <v>6.9243826282994192E-3</v>
      </c>
      <c r="L215" s="41">
        <f t="shared" si="54"/>
        <v>0.5</v>
      </c>
      <c r="M215" s="42">
        <f t="shared" si="51"/>
        <v>1</v>
      </c>
      <c r="N215" s="43">
        <f>(VLOOKUP(MONTH('Amortization Model 101'!$B215),Seasonality,2,TRUE))</f>
        <v>1.01</v>
      </c>
      <c r="O215" s="50">
        <f t="shared" si="62"/>
        <v>3.4968132272912068E-3</v>
      </c>
    </row>
    <row r="216" spans="2:15" ht="15" x14ac:dyDescent="0.25">
      <c r="B216" s="57">
        <f t="shared" si="55"/>
        <v>48519</v>
      </c>
      <c r="C216" s="36">
        <f t="shared" si="56"/>
        <v>2312122.7768511889</v>
      </c>
      <c r="D216" s="39">
        <f t="shared" si="63"/>
        <v>21201.983588859606</v>
      </c>
      <c r="E216" s="36">
        <f t="shared" si="57"/>
        <v>11560.613884255945</v>
      </c>
      <c r="F216" s="36">
        <f t="shared" si="58"/>
        <v>9641.3697046036614</v>
      </c>
      <c r="G216" s="36">
        <f t="shared" si="59"/>
        <v>0</v>
      </c>
      <c r="H216" s="38">
        <f t="shared" si="60"/>
        <v>6855.6027707801331</v>
      </c>
      <c r="I216" s="36">
        <f t="shared" si="61"/>
        <v>2295625.804375805</v>
      </c>
      <c r="J216" s="2">
        <f t="shared" si="52"/>
        <v>203</v>
      </c>
      <c r="K216" s="44">
        <f t="shared" si="53"/>
        <v>6.9243826282994192E-3</v>
      </c>
      <c r="L216" s="41">
        <f t="shared" si="54"/>
        <v>0.5</v>
      </c>
      <c r="M216" s="42">
        <f t="shared" si="51"/>
        <v>1</v>
      </c>
      <c r="N216" s="43">
        <f>(VLOOKUP(MONTH('Amortization Model 101'!$B216),Seasonality,2,TRUE))</f>
        <v>0.86</v>
      </c>
      <c r="O216" s="50">
        <f t="shared" si="62"/>
        <v>2.9774845301687503E-3</v>
      </c>
    </row>
    <row r="217" spans="2:15" ht="15" x14ac:dyDescent="0.25">
      <c r="B217" s="57">
        <f t="shared" si="55"/>
        <v>48549</v>
      </c>
      <c r="C217" s="36">
        <f t="shared" si="56"/>
        <v>2295625.804375805</v>
      </c>
      <c r="D217" s="39">
        <f t="shared" si="63"/>
        <v>21138.855010714884</v>
      </c>
      <c r="E217" s="36">
        <f t="shared" si="57"/>
        <v>11478.129021879024</v>
      </c>
      <c r="F217" s="36">
        <f t="shared" si="58"/>
        <v>9660.7259888358603</v>
      </c>
      <c r="G217" s="36">
        <f t="shared" si="59"/>
        <v>0</v>
      </c>
      <c r="H217" s="40">
        <f t="shared" si="60"/>
        <v>7123.0035949568319</v>
      </c>
      <c r="I217" s="36">
        <f t="shared" si="61"/>
        <v>2278842.0747920121</v>
      </c>
      <c r="J217" s="2">
        <f t="shared" si="52"/>
        <v>204</v>
      </c>
      <c r="K217" s="44">
        <f t="shared" si="53"/>
        <v>6.9243826282994192E-3</v>
      </c>
      <c r="L217" s="41">
        <f t="shared" si="54"/>
        <v>0.5</v>
      </c>
      <c r="M217" s="42">
        <f t="shared" si="51"/>
        <v>1</v>
      </c>
      <c r="N217" s="43">
        <f>(VLOOKUP(MONTH('Amortization Model 101'!$B217),Seasonality,2,TRUE))</f>
        <v>0.9</v>
      </c>
      <c r="O217" s="50">
        <f t="shared" si="62"/>
        <v>3.1159721827347386E-3</v>
      </c>
    </row>
    <row r="218" spans="2:15" ht="15" x14ac:dyDescent="0.25">
      <c r="B218" s="57">
        <f t="shared" si="55"/>
        <v>48580</v>
      </c>
      <c r="C218" s="36">
        <f t="shared" si="56"/>
        <v>2278842.0747920121</v>
      </c>
      <c r="D218" s="39">
        <f t="shared" si="63"/>
        <v>21072.986926526632</v>
      </c>
      <c r="E218" s="36">
        <f t="shared" si="57"/>
        <v>11394.210373960059</v>
      </c>
      <c r="F218" s="36">
        <f t="shared" si="58"/>
        <v>9678.7765525665727</v>
      </c>
      <c r="G218" s="36">
        <f t="shared" si="59"/>
        <v>0</v>
      </c>
      <c r="H218" s="38">
        <f t="shared" si="60"/>
        <v>6992.0869407812033</v>
      </c>
      <c r="I218" s="36">
        <f t="shared" si="61"/>
        <v>2262171.2112986641</v>
      </c>
      <c r="J218" s="2">
        <f t="shared" si="52"/>
        <v>205</v>
      </c>
      <c r="K218" s="44">
        <f t="shared" si="53"/>
        <v>6.9243826282994192E-3</v>
      </c>
      <c r="L218" s="41">
        <f t="shared" si="54"/>
        <v>0.5</v>
      </c>
      <c r="M218" s="42">
        <f t="shared" si="51"/>
        <v>1</v>
      </c>
      <c r="N218" s="43">
        <f>(VLOOKUP(MONTH('Amortization Model 101'!$B218),Seasonality,2,TRUE))</f>
        <v>0.89</v>
      </c>
      <c r="O218" s="50">
        <f t="shared" si="62"/>
        <v>3.0813502695932415E-3</v>
      </c>
    </row>
    <row r="219" spans="2:15" ht="15" x14ac:dyDescent="0.25">
      <c r="B219" s="57">
        <f t="shared" si="55"/>
        <v>48611</v>
      </c>
      <c r="C219" s="36">
        <f t="shared" si="56"/>
        <v>2262171.2112986641</v>
      </c>
      <c r="D219" s="39">
        <f t="shared" si="63"/>
        <v>21008.053672579445</v>
      </c>
      <c r="E219" s="36">
        <f t="shared" si="57"/>
        <v>11310.85605649332</v>
      </c>
      <c r="F219" s="36">
        <f t="shared" si="58"/>
        <v>9697.197616086125</v>
      </c>
      <c r="G219" s="36">
        <f t="shared" si="59"/>
        <v>0</v>
      </c>
      <c r="H219" s="38">
        <f t="shared" si="60"/>
        <v>7018.6463689677794</v>
      </c>
      <c r="I219" s="36">
        <f t="shared" si="61"/>
        <v>2245455.3673136099</v>
      </c>
      <c r="J219" s="2">
        <f t="shared" si="52"/>
        <v>206</v>
      </c>
      <c r="K219" s="44">
        <f t="shared" si="53"/>
        <v>6.9243826282994192E-3</v>
      </c>
      <c r="L219" s="41">
        <f t="shared" si="54"/>
        <v>0.5</v>
      </c>
      <c r="M219" s="42">
        <f t="shared" si="51"/>
        <v>1</v>
      </c>
      <c r="N219" s="43">
        <f>(VLOOKUP(MONTH('Amortization Model 101'!$B219),Seasonality,2,TRUE))</f>
        <v>0.9</v>
      </c>
      <c r="O219" s="50">
        <f t="shared" si="62"/>
        <v>3.1159721827347386E-3</v>
      </c>
    </row>
    <row r="220" spans="2:15" ht="15" x14ac:dyDescent="0.25">
      <c r="B220" s="57">
        <f t="shared" si="55"/>
        <v>48639</v>
      </c>
      <c r="C220" s="36">
        <f t="shared" si="56"/>
        <v>2245455.3673136099</v>
      </c>
      <c r="D220" s="39">
        <f t="shared" si="63"/>
        <v>20942.593161722289</v>
      </c>
      <c r="E220" s="36">
        <f t="shared" si="57"/>
        <v>11227.276836568048</v>
      </c>
      <c r="F220" s="36">
        <f t="shared" si="58"/>
        <v>9715.316325154241</v>
      </c>
      <c r="G220" s="36">
        <f t="shared" si="59"/>
        <v>0</v>
      </c>
      <c r="H220" s="38">
        <f t="shared" si="60"/>
        <v>7353.5317959674176</v>
      </c>
      <c r="I220" s="36">
        <f t="shared" si="61"/>
        <v>2228386.5191924884</v>
      </c>
      <c r="J220" s="2">
        <f t="shared" si="52"/>
        <v>207</v>
      </c>
      <c r="K220" s="44">
        <f t="shared" si="53"/>
        <v>6.9243826282994192E-3</v>
      </c>
      <c r="L220" s="41">
        <f t="shared" si="54"/>
        <v>0.5</v>
      </c>
      <c r="M220" s="42">
        <f t="shared" si="51"/>
        <v>1</v>
      </c>
      <c r="N220" s="43">
        <f>(VLOOKUP(MONTH('Amortization Model 101'!$B220),Seasonality,2,TRUE))</f>
        <v>0.95</v>
      </c>
      <c r="O220" s="50">
        <f t="shared" si="62"/>
        <v>3.2890817484422241E-3</v>
      </c>
    </row>
    <row r="221" spans="2:15" ht="15" x14ac:dyDescent="0.25">
      <c r="B221" s="57">
        <f t="shared" si="55"/>
        <v>48670</v>
      </c>
      <c r="C221" s="36">
        <f t="shared" si="56"/>
        <v>2228386.5191924884</v>
      </c>
      <c r="D221" s="39">
        <f t="shared" si="63"/>
        <v>20873.711260789016</v>
      </c>
      <c r="E221" s="36">
        <f t="shared" si="57"/>
        <v>11141.932595962442</v>
      </c>
      <c r="F221" s="36">
        <f t="shared" si="58"/>
        <v>9731.7786648265737</v>
      </c>
      <c r="G221" s="36">
        <f t="shared" si="59"/>
        <v>0</v>
      </c>
      <c r="H221" s="38">
        <f t="shared" si="60"/>
        <v>7374.1508848818712</v>
      </c>
      <c r="I221" s="36">
        <f t="shared" si="61"/>
        <v>2211280.5896427799</v>
      </c>
      <c r="J221" s="2">
        <f t="shared" si="52"/>
        <v>208</v>
      </c>
      <c r="K221" s="44">
        <f t="shared" si="53"/>
        <v>6.9243826282994192E-3</v>
      </c>
      <c r="L221" s="41">
        <f t="shared" si="54"/>
        <v>0.5</v>
      </c>
      <c r="M221" s="42">
        <f t="shared" si="51"/>
        <v>1</v>
      </c>
      <c r="N221" s="43">
        <f>(VLOOKUP(MONTH('Amortization Model 101'!$B221),Seasonality,2,TRUE))</f>
        <v>0.96</v>
      </c>
      <c r="O221" s="50">
        <f t="shared" si="62"/>
        <v>3.3237036615837213E-3</v>
      </c>
    </row>
    <row r="222" spans="2:15" ht="15" x14ac:dyDescent="0.25">
      <c r="B222" s="57">
        <f t="shared" si="55"/>
        <v>48700</v>
      </c>
      <c r="C222" s="36">
        <f t="shared" si="56"/>
        <v>2211280.5896427799</v>
      </c>
      <c r="D222" s="39">
        <f t="shared" si="63"/>
        <v>20804.333230240689</v>
      </c>
      <c r="E222" s="36">
        <f t="shared" si="57"/>
        <v>11056.402948213899</v>
      </c>
      <c r="F222" s="36">
        <f t="shared" si="58"/>
        <v>9747.9302820267894</v>
      </c>
      <c r="G222" s="36">
        <f t="shared" si="59"/>
        <v>0</v>
      </c>
      <c r="H222" s="38">
        <f t="shared" si="60"/>
        <v>8079.4548861190533</v>
      </c>
      <c r="I222" s="36">
        <f t="shared" si="61"/>
        <v>2193453.204474634</v>
      </c>
      <c r="J222" s="2">
        <f t="shared" si="52"/>
        <v>209</v>
      </c>
      <c r="K222" s="44">
        <f t="shared" si="53"/>
        <v>6.9243826282994192E-3</v>
      </c>
      <c r="L222" s="41">
        <f t="shared" si="54"/>
        <v>0.5</v>
      </c>
      <c r="M222" s="42">
        <f t="shared" si="51"/>
        <v>1</v>
      </c>
      <c r="N222" s="43">
        <f>(VLOOKUP(MONTH('Amortization Model 101'!$B222),Seasonality,2,TRUE))</f>
        <v>1.06</v>
      </c>
      <c r="O222" s="50">
        <f t="shared" si="62"/>
        <v>3.6699227929986923E-3</v>
      </c>
    </row>
    <row r="223" spans="2:15" ht="15" x14ac:dyDescent="0.25">
      <c r="B223" s="57">
        <f t="shared" si="55"/>
        <v>48731</v>
      </c>
      <c r="C223" s="36">
        <f t="shared" si="56"/>
        <v>2193453.204474634</v>
      </c>
      <c r="D223" s="39">
        <f t="shared" si="63"/>
        <v>20727.982933525887</v>
      </c>
      <c r="E223" s="36">
        <f t="shared" si="57"/>
        <v>10967.266022373171</v>
      </c>
      <c r="F223" s="36">
        <f t="shared" si="58"/>
        <v>9760.7169111527164</v>
      </c>
      <c r="G223" s="36">
        <f t="shared" si="59"/>
        <v>0</v>
      </c>
      <c r="H223" s="38">
        <f t="shared" si="60"/>
        <v>8240.7936679057202</v>
      </c>
      <c r="I223" s="36">
        <f t="shared" si="61"/>
        <v>2175451.6938955756</v>
      </c>
      <c r="J223" s="2">
        <f t="shared" si="52"/>
        <v>210</v>
      </c>
      <c r="K223" s="44">
        <f t="shared" si="53"/>
        <v>6.9243826282994192E-3</v>
      </c>
      <c r="L223" s="41">
        <f t="shared" si="54"/>
        <v>0.5</v>
      </c>
      <c r="M223" s="42">
        <f t="shared" si="51"/>
        <v>1</v>
      </c>
      <c r="N223" s="43">
        <f>(VLOOKUP(MONTH('Amortization Model 101'!$B223),Seasonality,2,TRUE))</f>
        <v>1.0900000000000001</v>
      </c>
      <c r="O223" s="50">
        <f t="shared" si="62"/>
        <v>3.7737885324231838E-3</v>
      </c>
    </row>
    <row r="224" spans="2:15" ht="15" x14ac:dyDescent="0.25">
      <c r="B224" s="57">
        <f t="shared" si="55"/>
        <v>48761</v>
      </c>
      <c r="C224" s="36">
        <f t="shared" si="56"/>
        <v>2175451.6938955756</v>
      </c>
      <c r="D224" s="39">
        <f t="shared" si="63"/>
        <v>20649.759909231085</v>
      </c>
      <c r="E224" s="36">
        <f t="shared" si="57"/>
        <v>10877.258469477878</v>
      </c>
      <c r="F224" s="36">
        <f t="shared" si="58"/>
        <v>9772.5014397532068</v>
      </c>
      <c r="G224" s="36">
        <f t="shared" si="59"/>
        <v>0</v>
      </c>
      <c r="H224" s="38">
        <f t="shared" si="60"/>
        <v>8247.7952582908383</v>
      </c>
      <c r="I224" s="36">
        <f t="shared" si="61"/>
        <v>2157431.3971975315</v>
      </c>
      <c r="J224" s="2">
        <f t="shared" si="52"/>
        <v>211</v>
      </c>
      <c r="K224" s="44">
        <f t="shared" si="53"/>
        <v>6.9243826282994192E-3</v>
      </c>
      <c r="L224" s="41">
        <f t="shared" si="54"/>
        <v>0.5</v>
      </c>
      <c r="M224" s="42">
        <f t="shared" si="51"/>
        <v>1</v>
      </c>
      <c r="N224" s="43">
        <f>(VLOOKUP(MONTH('Amortization Model 101'!$B224),Seasonality,2,TRUE))</f>
        <v>1.1000000000000001</v>
      </c>
      <c r="O224" s="50">
        <f t="shared" si="62"/>
        <v>3.808410445564681E-3</v>
      </c>
    </row>
    <row r="225" spans="2:15" ht="15" x14ac:dyDescent="0.25">
      <c r="B225" s="57">
        <f t="shared" si="55"/>
        <v>48792</v>
      </c>
      <c r="C225" s="36">
        <f t="shared" si="56"/>
        <v>2157431.3971975315</v>
      </c>
      <c r="D225" s="39">
        <f t="shared" si="63"/>
        <v>20571.117147894369</v>
      </c>
      <c r="E225" s="36">
        <f t="shared" si="57"/>
        <v>10787.156985987656</v>
      </c>
      <c r="F225" s="36">
        <f t="shared" si="58"/>
        <v>9783.9601619067125</v>
      </c>
      <c r="G225" s="36">
        <f t="shared" si="59"/>
        <v>0</v>
      </c>
      <c r="H225" s="38">
        <f t="shared" si="60"/>
        <v>8550.9012477147189</v>
      </c>
      <c r="I225" s="36">
        <f t="shared" si="61"/>
        <v>2139096.5357879102</v>
      </c>
      <c r="J225" s="2">
        <f t="shared" si="52"/>
        <v>212</v>
      </c>
      <c r="K225" s="44">
        <f t="shared" si="53"/>
        <v>6.9243826282994192E-3</v>
      </c>
      <c r="L225" s="41">
        <f t="shared" si="54"/>
        <v>0.5</v>
      </c>
      <c r="M225" s="42">
        <f t="shared" si="51"/>
        <v>1</v>
      </c>
      <c r="N225" s="43">
        <f>(VLOOKUP(MONTH('Amortization Model 101'!$B225),Seasonality,2,TRUE))</f>
        <v>1.1499999999999999</v>
      </c>
      <c r="O225" s="50">
        <f t="shared" si="62"/>
        <v>3.981520011272166E-3</v>
      </c>
    </row>
    <row r="226" spans="2:15" ht="15" x14ac:dyDescent="0.25">
      <c r="B226" s="57">
        <f t="shared" si="55"/>
        <v>48823</v>
      </c>
      <c r="C226" s="36">
        <f t="shared" si="56"/>
        <v>2139096.5357879102</v>
      </c>
      <c r="D226" s="39">
        <f t="shared" si="63"/>
        <v>20489.212833315803</v>
      </c>
      <c r="E226" s="36">
        <f t="shared" si="57"/>
        <v>10695.48267893955</v>
      </c>
      <c r="F226" s="36">
        <f t="shared" si="58"/>
        <v>9793.7301543762533</v>
      </c>
      <c r="G226" s="36">
        <f t="shared" si="59"/>
        <v>0</v>
      </c>
      <c r="H226" s="38">
        <f t="shared" si="60"/>
        <v>8330.4206571107006</v>
      </c>
      <c r="I226" s="36">
        <f t="shared" si="61"/>
        <v>2120972.3849764229</v>
      </c>
      <c r="J226" s="2">
        <f t="shared" si="52"/>
        <v>213</v>
      </c>
      <c r="K226" s="44">
        <f t="shared" si="53"/>
        <v>6.9243826282994192E-3</v>
      </c>
      <c r="L226" s="41">
        <f t="shared" si="54"/>
        <v>0.5</v>
      </c>
      <c r="M226" s="42">
        <f t="shared" si="51"/>
        <v>1</v>
      </c>
      <c r="N226" s="43">
        <f>(VLOOKUP(MONTH('Amortization Model 101'!$B226),Seasonality,2,TRUE))</f>
        <v>1.1299999999999999</v>
      </c>
      <c r="O226" s="50">
        <f t="shared" si="62"/>
        <v>3.9122761849891717E-3</v>
      </c>
    </row>
    <row r="227" spans="2:15" ht="15" x14ac:dyDescent="0.25">
      <c r="B227" s="57">
        <f t="shared" si="55"/>
        <v>48853</v>
      </c>
      <c r="C227" s="36">
        <f t="shared" si="56"/>
        <v>2120972.3849764229</v>
      </c>
      <c r="D227" s="39">
        <f t="shared" si="63"/>
        <v>20409.053373898842</v>
      </c>
      <c r="E227" s="36">
        <f t="shared" si="57"/>
        <v>10604.861924882114</v>
      </c>
      <c r="F227" s="36">
        <f t="shared" si="58"/>
        <v>9804.1914490167273</v>
      </c>
      <c r="G227" s="36">
        <f t="shared" si="59"/>
        <v>0</v>
      </c>
      <c r="H227" s="38">
        <f t="shared" si="60"/>
        <v>7382.3608641631163</v>
      </c>
      <c r="I227" s="36">
        <f t="shared" si="61"/>
        <v>2103785.8326632432</v>
      </c>
      <c r="J227" s="2">
        <f t="shared" si="52"/>
        <v>214</v>
      </c>
      <c r="K227" s="44">
        <f t="shared" si="53"/>
        <v>6.9243826282994192E-3</v>
      </c>
      <c r="L227" s="41">
        <f t="shared" si="54"/>
        <v>0.5</v>
      </c>
      <c r="M227" s="42">
        <f t="shared" si="51"/>
        <v>1</v>
      </c>
      <c r="N227" s="43">
        <f>(VLOOKUP(MONTH('Amortization Model 101'!$B227),Seasonality,2,TRUE))</f>
        <v>1.01</v>
      </c>
      <c r="O227" s="50">
        <f t="shared" si="62"/>
        <v>3.4968132272912068E-3</v>
      </c>
    </row>
    <row r="228" spans="2:15" ht="15" x14ac:dyDescent="0.25">
      <c r="B228" s="57">
        <f t="shared" si="55"/>
        <v>48884</v>
      </c>
      <c r="C228" s="36">
        <f t="shared" si="56"/>
        <v>2103785.8326632432</v>
      </c>
      <c r="D228" s="39">
        <f t="shared" si="63"/>
        <v>20337.686726104504</v>
      </c>
      <c r="E228" s="36">
        <f t="shared" si="57"/>
        <v>10518.929163316216</v>
      </c>
      <c r="F228" s="36">
        <f t="shared" si="58"/>
        <v>9818.7575627882889</v>
      </c>
      <c r="G228" s="36">
        <f t="shared" si="59"/>
        <v>0</v>
      </c>
      <c r="H228" s="38">
        <f t="shared" si="60"/>
        <v>6234.7545727943107</v>
      </c>
      <c r="I228" s="36">
        <f t="shared" si="61"/>
        <v>2087732.3205276607</v>
      </c>
      <c r="J228" s="2">
        <f t="shared" si="52"/>
        <v>215</v>
      </c>
      <c r="K228" s="44">
        <f t="shared" si="53"/>
        <v>6.9243826282994192E-3</v>
      </c>
      <c r="L228" s="41">
        <f t="shared" si="54"/>
        <v>0.5</v>
      </c>
      <c r="M228" s="42">
        <f t="shared" si="51"/>
        <v>1</v>
      </c>
      <c r="N228" s="43">
        <f>(VLOOKUP(MONTH('Amortization Model 101'!$B228),Seasonality,2,TRUE))</f>
        <v>0.86</v>
      </c>
      <c r="O228" s="50">
        <f t="shared" si="62"/>
        <v>2.9774845301687503E-3</v>
      </c>
    </row>
    <row r="229" spans="2:15" ht="15" x14ac:dyDescent="0.25">
      <c r="B229" s="57">
        <f t="shared" si="55"/>
        <v>48914</v>
      </c>
      <c r="C229" s="36">
        <f t="shared" si="56"/>
        <v>2087732.3205276607</v>
      </c>
      <c r="D229" s="39">
        <f t="shared" si="63"/>
        <v>20277.131578498105</v>
      </c>
      <c r="E229" s="36">
        <f t="shared" si="57"/>
        <v>10438.661602638304</v>
      </c>
      <c r="F229" s="36">
        <f t="shared" si="58"/>
        <v>9838.4699758598017</v>
      </c>
      <c r="G229" s="36">
        <f t="shared" si="59"/>
        <v>0</v>
      </c>
      <c r="H229" s="40">
        <f t="shared" si="60"/>
        <v>6474.6594369949853</v>
      </c>
      <c r="I229" s="36">
        <f t="shared" si="61"/>
        <v>2071419.1911148059</v>
      </c>
      <c r="J229" s="2">
        <f t="shared" si="52"/>
        <v>216</v>
      </c>
      <c r="K229" s="44">
        <f t="shared" si="53"/>
        <v>6.9243826282994192E-3</v>
      </c>
      <c r="L229" s="41">
        <f t="shared" si="54"/>
        <v>0.5</v>
      </c>
      <c r="M229" s="42">
        <f t="shared" si="51"/>
        <v>1</v>
      </c>
      <c r="N229" s="43">
        <f>(VLOOKUP(MONTH('Amortization Model 101'!$B229),Seasonality,2,TRUE))</f>
        <v>0.9</v>
      </c>
      <c r="O229" s="50">
        <f t="shared" si="62"/>
        <v>3.1159721827347386E-3</v>
      </c>
    </row>
    <row r="230" spans="2:15" ht="15" x14ac:dyDescent="0.25">
      <c r="B230" s="57">
        <f t="shared" si="55"/>
        <v>48945</v>
      </c>
      <c r="C230" s="36">
        <f t="shared" si="56"/>
        <v>2071419.1911148059</v>
      </c>
      <c r="D230" s="39">
        <f t="shared" si="63"/>
        <v>20213.948600553853</v>
      </c>
      <c r="E230" s="36">
        <f t="shared" si="57"/>
        <v>10357.095955574028</v>
      </c>
      <c r="F230" s="36">
        <f t="shared" si="58"/>
        <v>9856.8526449798246</v>
      </c>
      <c r="G230" s="36">
        <f t="shared" si="59"/>
        <v>0</v>
      </c>
      <c r="H230" s="38">
        <f t="shared" si="60"/>
        <v>6352.3956674272722</v>
      </c>
      <c r="I230" s="36">
        <f t="shared" si="61"/>
        <v>2055209.9428023989</v>
      </c>
      <c r="J230" s="2">
        <f t="shared" si="52"/>
        <v>217</v>
      </c>
      <c r="K230" s="44">
        <f t="shared" si="53"/>
        <v>6.9243826282994192E-3</v>
      </c>
      <c r="L230" s="41">
        <f t="shared" si="54"/>
        <v>0.5</v>
      </c>
      <c r="M230" s="42">
        <f t="shared" si="51"/>
        <v>1</v>
      </c>
      <c r="N230" s="43">
        <f>(VLOOKUP(MONTH('Amortization Model 101'!$B230),Seasonality,2,TRUE))</f>
        <v>0.89</v>
      </c>
      <c r="O230" s="50">
        <f t="shared" si="62"/>
        <v>3.0813502695932415E-3</v>
      </c>
    </row>
    <row r="231" spans="2:15" ht="15" x14ac:dyDescent="0.25">
      <c r="B231" s="57">
        <f t="shared" si="55"/>
        <v>48976</v>
      </c>
      <c r="C231" s="36">
        <f t="shared" si="56"/>
        <v>2055209.9428023989</v>
      </c>
      <c r="D231" s="39">
        <f t="shared" si="63"/>
        <v>20151.662344583998</v>
      </c>
      <c r="E231" s="36">
        <f t="shared" si="57"/>
        <v>10276.049714011993</v>
      </c>
      <c r="F231" s="36">
        <f t="shared" si="58"/>
        <v>9875.6126305720045</v>
      </c>
      <c r="G231" s="36">
        <f t="shared" si="59"/>
        <v>0</v>
      </c>
      <c r="H231" s="38">
        <f t="shared" si="60"/>
        <v>6373.2048772078024</v>
      </c>
      <c r="I231" s="36">
        <f t="shared" si="61"/>
        <v>2038961.1252946192</v>
      </c>
      <c r="J231" s="2">
        <f t="shared" si="52"/>
        <v>218</v>
      </c>
      <c r="K231" s="44">
        <f t="shared" si="53"/>
        <v>6.9243826282994192E-3</v>
      </c>
      <c r="L231" s="41">
        <f t="shared" si="54"/>
        <v>0.5</v>
      </c>
      <c r="M231" s="42">
        <f t="shared" si="51"/>
        <v>1</v>
      </c>
      <c r="N231" s="43">
        <f>(VLOOKUP(MONTH('Amortization Model 101'!$B231),Seasonality,2,TRUE))</f>
        <v>0.9</v>
      </c>
      <c r="O231" s="50">
        <f t="shared" si="62"/>
        <v>3.1159721827347386E-3</v>
      </c>
    </row>
    <row r="232" spans="2:15" ht="15" x14ac:dyDescent="0.25">
      <c r="B232" s="57">
        <f t="shared" si="55"/>
        <v>49004</v>
      </c>
      <c r="C232" s="36">
        <f t="shared" si="56"/>
        <v>2038961.1252946192</v>
      </c>
      <c r="D232" s="39">
        <f t="shared" si="63"/>
        <v>20088.870325282409</v>
      </c>
      <c r="E232" s="36">
        <f t="shared" si="57"/>
        <v>10194.805626473097</v>
      </c>
      <c r="F232" s="36">
        <f t="shared" si="58"/>
        <v>9894.0646988093122</v>
      </c>
      <c r="G232" s="36">
        <f t="shared" si="59"/>
        <v>0</v>
      </c>
      <c r="H232" s="38">
        <f t="shared" si="60"/>
        <v>6673.7674353709908</v>
      </c>
      <c r="I232" s="36">
        <f t="shared" si="61"/>
        <v>2022393.293160439</v>
      </c>
      <c r="J232" s="2">
        <f t="shared" si="52"/>
        <v>219</v>
      </c>
      <c r="K232" s="44">
        <f t="shared" si="53"/>
        <v>6.9243826282994192E-3</v>
      </c>
      <c r="L232" s="41">
        <f t="shared" si="54"/>
        <v>0.5</v>
      </c>
      <c r="M232" s="42">
        <f t="shared" si="51"/>
        <v>1</v>
      </c>
      <c r="N232" s="43">
        <f>(VLOOKUP(MONTH('Amortization Model 101'!$B232),Seasonality,2,TRUE))</f>
        <v>0.95</v>
      </c>
      <c r="O232" s="50">
        <f t="shared" si="62"/>
        <v>3.2890817484422241E-3</v>
      </c>
    </row>
    <row r="233" spans="2:15" ht="15" x14ac:dyDescent="0.25">
      <c r="B233" s="57">
        <f t="shared" si="55"/>
        <v>49035</v>
      </c>
      <c r="C233" s="36">
        <f t="shared" si="56"/>
        <v>2022393.293160439</v>
      </c>
      <c r="D233" s="39">
        <f t="shared" si="63"/>
        <v>20022.796388548701</v>
      </c>
      <c r="E233" s="36">
        <f t="shared" si="57"/>
        <v>10111.966465802196</v>
      </c>
      <c r="F233" s="36">
        <f t="shared" si="58"/>
        <v>9910.829922746505</v>
      </c>
      <c r="G233" s="36">
        <f t="shared" si="59"/>
        <v>0</v>
      </c>
      <c r="H233" s="38">
        <f t="shared" si="60"/>
        <v>6688.8953319361453</v>
      </c>
      <c r="I233" s="36">
        <f t="shared" si="61"/>
        <v>2005793.5679057564</v>
      </c>
      <c r="J233" s="2">
        <f t="shared" si="52"/>
        <v>220</v>
      </c>
      <c r="K233" s="44">
        <f t="shared" si="53"/>
        <v>6.9243826282994192E-3</v>
      </c>
      <c r="L233" s="41">
        <f t="shared" si="54"/>
        <v>0.5</v>
      </c>
      <c r="M233" s="42">
        <f t="shared" si="51"/>
        <v>1</v>
      </c>
      <c r="N233" s="43">
        <f>(VLOOKUP(MONTH('Amortization Model 101'!$B233),Seasonality,2,TRUE))</f>
        <v>0.96</v>
      </c>
      <c r="O233" s="50">
        <f t="shared" si="62"/>
        <v>3.3237036615837213E-3</v>
      </c>
    </row>
    <row r="234" spans="2:15" ht="15" x14ac:dyDescent="0.25">
      <c r="B234" s="57">
        <f t="shared" si="55"/>
        <v>49065</v>
      </c>
      <c r="C234" s="36">
        <f t="shared" si="56"/>
        <v>2005793.5679057564</v>
      </c>
      <c r="D234" s="39">
        <f t="shared" si="63"/>
        <v>19956.246546876937</v>
      </c>
      <c r="E234" s="36">
        <f t="shared" si="57"/>
        <v>10028.967839528783</v>
      </c>
      <c r="F234" s="36">
        <f t="shared" si="58"/>
        <v>9927.2787073481541</v>
      </c>
      <c r="G234" s="36">
        <f t="shared" si="59"/>
        <v>0</v>
      </c>
      <c r="H234" s="38">
        <f t="shared" si="60"/>
        <v>7324.6751865069582</v>
      </c>
      <c r="I234" s="36">
        <f t="shared" si="61"/>
        <v>1988541.6140119014</v>
      </c>
      <c r="J234" s="2">
        <f t="shared" si="52"/>
        <v>221</v>
      </c>
      <c r="K234" s="44">
        <f t="shared" si="53"/>
        <v>6.9243826282994192E-3</v>
      </c>
      <c r="L234" s="41">
        <f t="shared" si="54"/>
        <v>0.5</v>
      </c>
      <c r="M234" s="42">
        <f t="shared" si="51"/>
        <v>1</v>
      </c>
      <c r="N234" s="43">
        <f>(VLOOKUP(MONTH('Amortization Model 101'!$B234),Seasonality,2,TRUE))</f>
        <v>1.06</v>
      </c>
      <c r="O234" s="50">
        <f t="shared" si="62"/>
        <v>3.6699227929986923E-3</v>
      </c>
    </row>
    <row r="235" spans="2:15" ht="15" x14ac:dyDescent="0.25">
      <c r="B235" s="57">
        <f t="shared" si="55"/>
        <v>49096</v>
      </c>
      <c r="C235" s="36">
        <f t="shared" si="56"/>
        <v>1988541.6140119014</v>
      </c>
      <c r="D235" s="39">
        <f t="shared" si="63"/>
        <v>19883.008662811855</v>
      </c>
      <c r="E235" s="36">
        <f t="shared" si="57"/>
        <v>9942.708070059507</v>
      </c>
      <c r="F235" s="36">
        <f t="shared" si="58"/>
        <v>9940.3005927523482</v>
      </c>
      <c r="G235" s="36">
        <f t="shared" si="59"/>
        <v>0</v>
      </c>
      <c r="H235" s="38">
        <f t="shared" si="60"/>
        <v>7466.8229468186346</v>
      </c>
      <c r="I235" s="36">
        <f t="shared" si="61"/>
        <v>1971134.4904723305</v>
      </c>
      <c r="J235" s="2">
        <f t="shared" si="52"/>
        <v>222</v>
      </c>
      <c r="K235" s="44">
        <f t="shared" si="53"/>
        <v>6.9243826282994192E-3</v>
      </c>
      <c r="L235" s="41">
        <f t="shared" si="54"/>
        <v>0.5</v>
      </c>
      <c r="M235" s="42">
        <f t="shared" si="51"/>
        <v>1</v>
      </c>
      <c r="N235" s="43">
        <f>(VLOOKUP(MONTH('Amortization Model 101'!$B235),Seasonality,2,TRUE))</f>
        <v>1.0900000000000001</v>
      </c>
      <c r="O235" s="50">
        <f t="shared" si="62"/>
        <v>3.7737885324231838E-3</v>
      </c>
    </row>
    <row r="236" spans="2:15" ht="15" x14ac:dyDescent="0.25">
      <c r="B236" s="57">
        <f t="shared" si="55"/>
        <v>49126</v>
      </c>
      <c r="C236" s="36">
        <f t="shared" si="56"/>
        <v>1971134.4904723305</v>
      </c>
      <c r="D236" s="39">
        <f t="shared" si="63"/>
        <v>19807.97439273007</v>
      </c>
      <c r="E236" s="36">
        <f t="shared" si="57"/>
        <v>9855.6724523616522</v>
      </c>
      <c r="F236" s="36">
        <f t="shared" si="58"/>
        <v>9952.3019403684175</v>
      </c>
      <c r="G236" s="36">
        <f t="shared" si="59"/>
        <v>0</v>
      </c>
      <c r="H236" s="38">
        <f t="shared" si="60"/>
        <v>7468.9867324605257</v>
      </c>
      <c r="I236" s="36">
        <f t="shared" si="61"/>
        <v>1953713.2017995014</v>
      </c>
      <c r="J236" s="2">
        <f t="shared" si="52"/>
        <v>223</v>
      </c>
      <c r="K236" s="44">
        <f t="shared" si="53"/>
        <v>6.9243826282994192E-3</v>
      </c>
      <c r="L236" s="41">
        <f t="shared" si="54"/>
        <v>0.5</v>
      </c>
      <c r="M236" s="42">
        <f t="shared" si="51"/>
        <v>1</v>
      </c>
      <c r="N236" s="43">
        <f>(VLOOKUP(MONTH('Amortization Model 101'!$B236),Seasonality,2,TRUE))</f>
        <v>1.1000000000000001</v>
      </c>
      <c r="O236" s="50">
        <f t="shared" si="62"/>
        <v>3.808410445564681E-3</v>
      </c>
    </row>
    <row r="237" spans="2:15" ht="15" x14ac:dyDescent="0.25">
      <c r="B237" s="57">
        <f t="shared" si="55"/>
        <v>49157</v>
      </c>
      <c r="C237" s="36">
        <f t="shared" si="56"/>
        <v>1953713.2017995014</v>
      </c>
      <c r="D237" s="39">
        <f t="shared" si="63"/>
        <v>19732.537496147317</v>
      </c>
      <c r="E237" s="36">
        <f t="shared" si="57"/>
        <v>9768.5660089975063</v>
      </c>
      <c r="F237" s="36">
        <f t="shared" si="58"/>
        <v>9963.9714871498109</v>
      </c>
      <c r="G237" s="36">
        <f t="shared" si="59"/>
        <v>0</v>
      </c>
      <c r="H237" s="38">
        <f t="shared" si="60"/>
        <v>7739.0764573834986</v>
      </c>
      <c r="I237" s="36">
        <f t="shared" si="61"/>
        <v>1936010.153854968</v>
      </c>
      <c r="J237" s="2">
        <f t="shared" si="52"/>
        <v>224</v>
      </c>
      <c r="K237" s="44">
        <f t="shared" si="53"/>
        <v>6.9243826282994192E-3</v>
      </c>
      <c r="L237" s="41">
        <f t="shared" si="54"/>
        <v>0.5</v>
      </c>
      <c r="M237" s="42">
        <f t="shared" si="51"/>
        <v>1</v>
      </c>
      <c r="N237" s="43">
        <f>(VLOOKUP(MONTH('Amortization Model 101'!$B237),Seasonality,2,TRUE))</f>
        <v>1.1499999999999999</v>
      </c>
      <c r="O237" s="50">
        <f t="shared" si="62"/>
        <v>3.981520011272166E-3</v>
      </c>
    </row>
    <row r="238" spans="2:15" ht="15" x14ac:dyDescent="0.25">
      <c r="B238" s="57">
        <f t="shared" si="55"/>
        <v>49188</v>
      </c>
      <c r="C238" s="36">
        <f t="shared" si="56"/>
        <v>1936010.153854968</v>
      </c>
      <c r="D238" s="39">
        <f t="shared" si="63"/>
        <v>19653.97200323323</v>
      </c>
      <c r="E238" s="36">
        <f t="shared" si="57"/>
        <v>9680.0507692748397</v>
      </c>
      <c r="F238" s="36">
        <f t="shared" si="58"/>
        <v>9973.9212339583901</v>
      </c>
      <c r="G238" s="36">
        <f t="shared" si="59"/>
        <v>0</v>
      </c>
      <c r="H238" s="38">
        <f t="shared" si="60"/>
        <v>7535.1856843094411</v>
      </c>
      <c r="I238" s="36">
        <f t="shared" si="61"/>
        <v>1918501.0469367004</v>
      </c>
      <c r="J238" s="2">
        <f t="shared" si="52"/>
        <v>225</v>
      </c>
      <c r="K238" s="44">
        <f t="shared" si="53"/>
        <v>6.9243826282994192E-3</v>
      </c>
      <c r="L238" s="41">
        <f t="shared" si="54"/>
        <v>0.5</v>
      </c>
      <c r="M238" s="42">
        <f t="shared" si="51"/>
        <v>1</v>
      </c>
      <c r="N238" s="43">
        <f>(VLOOKUP(MONTH('Amortization Model 101'!$B238),Seasonality,2,TRUE))</f>
        <v>1.1299999999999999</v>
      </c>
      <c r="O238" s="50">
        <f t="shared" si="62"/>
        <v>3.9122761849891717E-3</v>
      </c>
    </row>
    <row r="239" spans="2:15" ht="15" x14ac:dyDescent="0.25">
      <c r="B239" s="57">
        <f t="shared" si="55"/>
        <v>49218</v>
      </c>
      <c r="C239" s="36">
        <f t="shared" si="56"/>
        <v>1918501.0469367004</v>
      </c>
      <c r="D239" s="39">
        <f t="shared" si="63"/>
        <v>19577.080236624533</v>
      </c>
      <c r="E239" s="36">
        <f t="shared" si="57"/>
        <v>9592.5052346835018</v>
      </c>
      <c r="F239" s="36">
        <f t="shared" si="58"/>
        <v>9984.5750019410316</v>
      </c>
      <c r="G239" s="36">
        <f t="shared" si="59"/>
        <v>0</v>
      </c>
      <c r="H239" s="38">
        <f t="shared" si="60"/>
        <v>6673.7256435646132</v>
      </c>
      <c r="I239" s="36">
        <f t="shared" si="61"/>
        <v>1901842.7462911946</v>
      </c>
      <c r="J239" s="2">
        <f t="shared" si="52"/>
        <v>226</v>
      </c>
      <c r="K239" s="44">
        <f t="shared" si="53"/>
        <v>6.9243826282994192E-3</v>
      </c>
      <c r="L239" s="41">
        <f t="shared" si="54"/>
        <v>0.5</v>
      </c>
      <c r="M239" s="42">
        <f t="shared" si="51"/>
        <v>1</v>
      </c>
      <c r="N239" s="43">
        <f>(VLOOKUP(MONTH('Amortization Model 101'!$B239),Seasonality,2,TRUE))</f>
        <v>1.01</v>
      </c>
      <c r="O239" s="50">
        <f t="shared" si="62"/>
        <v>3.4968132272912068E-3</v>
      </c>
    </row>
    <row r="240" spans="2:15" ht="15" x14ac:dyDescent="0.25">
      <c r="B240" s="57">
        <f t="shared" si="55"/>
        <v>49249</v>
      </c>
      <c r="C240" s="36">
        <f t="shared" si="56"/>
        <v>1901842.7462911946</v>
      </c>
      <c r="D240" s="39">
        <f t="shared" si="63"/>
        <v>19508.622843501358</v>
      </c>
      <c r="E240" s="36">
        <f t="shared" si="57"/>
        <v>9509.2137314559714</v>
      </c>
      <c r="F240" s="36">
        <f t="shared" si="58"/>
        <v>9999.4091120453868</v>
      </c>
      <c r="G240" s="36">
        <f t="shared" si="59"/>
        <v>0</v>
      </c>
      <c r="H240" s="38">
        <f t="shared" si="60"/>
        <v>5632.9342699537401</v>
      </c>
      <c r="I240" s="36">
        <f t="shared" si="61"/>
        <v>1886210.4029091955</v>
      </c>
      <c r="J240" s="2">
        <f t="shared" si="52"/>
        <v>227</v>
      </c>
      <c r="K240" s="44">
        <f t="shared" si="53"/>
        <v>6.9243826282994192E-3</v>
      </c>
      <c r="L240" s="41">
        <f t="shared" si="54"/>
        <v>0.5</v>
      </c>
      <c r="M240" s="42">
        <f t="shared" si="51"/>
        <v>1</v>
      </c>
      <c r="N240" s="43">
        <f>(VLOOKUP(MONTH('Amortization Model 101'!$B240),Seasonality,2,TRUE))</f>
        <v>0.86</v>
      </c>
      <c r="O240" s="50">
        <f t="shared" si="62"/>
        <v>2.9774845301687503E-3</v>
      </c>
    </row>
    <row r="241" spans="2:15" ht="15" x14ac:dyDescent="0.25">
      <c r="B241" s="57">
        <f t="shared" si="55"/>
        <v>49279</v>
      </c>
      <c r="C241" s="36">
        <f t="shared" si="56"/>
        <v>1886210.4029091955</v>
      </c>
      <c r="D241" s="39">
        <f t="shared" si="63"/>
        <v>19450.536220779937</v>
      </c>
      <c r="E241" s="36">
        <f t="shared" si="57"/>
        <v>9431.0520145459777</v>
      </c>
      <c r="F241" s="36">
        <f t="shared" si="58"/>
        <v>10019.484206233959</v>
      </c>
      <c r="G241" s="36">
        <f t="shared" si="59"/>
        <v>0</v>
      </c>
      <c r="H241" s="40">
        <f t="shared" si="60"/>
        <v>5846.1587121779621</v>
      </c>
      <c r="I241" s="36">
        <f t="shared" si="61"/>
        <v>1870344.7599907836</v>
      </c>
      <c r="J241" s="2">
        <f t="shared" si="52"/>
        <v>228</v>
      </c>
      <c r="K241" s="44">
        <f t="shared" si="53"/>
        <v>6.9243826282994192E-3</v>
      </c>
      <c r="L241" s="41">
        <f t="shared" si="54"/>
        <v>0.5</v>
      </c>
      <c r="M241" s="42">
        <f t="shared" si="51"/>
        <v>1</v>
      </c>
      <c r="N241" s="43">
        <f>(VLOOKUP(MONTH('Amortization Model 101'!$B241),Seasonality,2,TRUE))</f>
        <v>0.9</v>
      </c>
      <c r="O241" s="50">
        <f t="shared" si="62"/>
        <v>3.1159721827347386E-3</v>
      </c>
    </row>
    <row r="242" spans="2:15" ht="15" x14ac:dyDescent="0.25">
      <c r="B242" s="57">
        <f t="shared" si="55"/>
        <v>49310</v>
      </c>
      <c r="C242" s="36">
        <f t="shared" si="56"/>
        <v>1870344.7599907836</v>
      </c>
      <c r="D242" s="39">
        <f t="shared" si="63"/>
        <v>19389.928890976717</v>
      </c>
      <c r="E242" s="36">
        <f t="shared" si="57"/>
        <v>9351.7237999539175</v>
      </c>
      <c r="F242" s="36">
        <f t="shared" si="58"/>
        <v>10038.205091022799</v>
      </c>
      <c r="G242" s="36">
        <f t="shared" si="59"/>
        <v>0</v>
      </c>
      <c r="H242" s="38">
        <f t="shared" si="60"/>
        <v>5732.2561044664517</v>
      </c>
      <c r="I242" s="36">
        <f t="shared" si="61"/>
        <v>1854574.2987952942</v>
      </c>
      <c r="J242" s="2">
        <f t="shared" si="52"/>
        <v>229</v>
      </c>
      <c r="K242" s="44">
        <f t="shared" si="53"/>
        <v>6.9243826282994192E-3</v>
      </c>
      <c r="L242" s="41">
        <f t="shared" si="54"/>
        <v>0.5</v>
      </c>
      <c r="M242" s="42">
        <f t="shared" si="51"/>
        <v>1</v>
      </c>
      <c r="N242" s="43">
        <f>(VLOOKUP(MONTH('Amortization Model 101'!$B242),Seasonality,2,TRUE))</f>
        <v>0.89</v>
      </c>
      <c r="O242" s="50">
        <f t="shared" si="62"/>
        <v>3.0813502695932415E-3</v>
      </c>
    </row>
    <row r="243" spans="2:15" ht="15" x14ac:dyDescent="0.25">
      <c r="B243" s="57">
        <f t="shared" si="55"/>
        <v>49341</v>
      </c>
      <c r="C243" s="36">
        <f t="shared" si="56"/>
        <v>1854574.2987952942</v>
      </c>
      <c r="D243" s="39">
        <f t="shared" si="63"/>
        <v>19330.181728361109</v>
      </c>
      <c r="E243" s="36">
        <f t="shared" si="57"/>
        <v>9272.8714939764704</v>
      </c>
      <c r="F243" s="36">
        <f t="shared" si="58"/>
        <v>10057.310234384639</v>
      </c>
      <c r="G243" s="36">
        <f t="shared" si="59"/>
        <v>0</v>
      </c>
      <c r="H243" s="38">
        <f t="shared" si="60"/>
        <v>5747.4636269374441</v>
      </c>
      <c r="I243" s="36">
        <f t="shared" si="61"/>
        <v>1838769.5249339722</v>
      </c>
      <c r="J243" s="2">
        <f t="shared" si="52"/>
        <v>230</v>
      </c>
      <c r="K243" s="44">
        <f t="shared" si="53"/>
        <v>6.9243826282994192E-3</v>
      </c>
      <c r="L243" s="41">
        <f t="shared" si="54"/>
        <v>0.5</v>
      </c>
      <c r="M243" s="42">
        <f t="shared" si="51"/>
        <v>1</v>
      </c>
      <c r="N243" s="43">
        <f>(VLOOKUP(MONTH('Amortization Model 101'!$B243),Seasonality,2,TRUE))</f>
        <v>0.9</v>
      </c>
      <c r="O243" s="50">
        <f t="shared" si="62"/>
        <v>3.1159721827347386E-3</v>
      </c>
    </row>
    <row r="244" spans="2:15" ht="15" x14ac:dyDescent="0.25">
      <c r="B244" s="57">
        <f t="shared" si="55"/>
        <v>49369</v>
      </c>
      <c r="C244" s="36">
        <f t="shared" si="56"/>
        <v>1838769.5249339722</v>
      </c>
      <c r="D244" s="39">
        <f t="shared" si="63"/>
        <v>19269.94941980833</v>
      </c>
      <c r="E244" s="36">
        <f t="shared" si="57"/>
        <v>9193.847624669861</v>
      </c>
      <c r="F244" s="36">
        <f t="shared" si="58"/>
        <v>10076.101795138469</v>
      </c>
      <c r="G244" s="36">
        <f t="shared" si="59"/>
        <v>0</v>
      </c>
      <c r="H244" s="38">
        <f t="shared" si="60"/>
        <v>6014.7221615422704</v>
      </c>
      <c r="I244" s="36">
        <f t="shared" si="61"/>
        <v>1822678.7009772914</v>
      </c>
      <c r="J244" s="2">
        <f t="shared" si="52"/>
        <v>231</v>
      </c>
      <c r="K244" s="44">
        <f t="shared" si="53"/>
        <v>6.9243826282994192E-3</v>
      </c>
      <c r="L244" s="41">
        <f t="shared" si="54"/>
        <v>0.5</v>
      </c>
      <c r="M244" s="42">
        <f t="shared" si="51"/>
        <v>1</v>
      </c>
      <c r="N244" s="43">
        <f>(VLOOKUP(MONTH('Amortization Model 101'!$B244),Seasonality,2,TRUE))</f>
        <v>0.95</v>
      </c>
      <c r="O244" s="50">
        <f t="shared" si="62"/>
        <v>3.2890817484422241E-3</v>
      </c>
    </row>
    <row r="245" spans="2:15" ht="15" x14ac:dyDescent="0.25">
      <c r="B245" s="57">
        <f t="shared" si="55"/>
        <v>49400</v>
      </c>
      <c r="C245" s="36">
        <f t="shared" si="56"/>
        <v>1822678.7009772914</v>
      </c>
      <c r="D245" s="39">
        <f t="shared" si="63"/>
        <v>19206.568980878234</v>
      </c>
      <c r="E245" s="36">
        <f t="shared" si="57"/>
        <v>9113.3935048864569</v>
      </c>
      <c r="F245" s="36">
        <f t="shared" si="58"/>
        <v>10093.175475991777</v>
      </c>
      <c r="G245" s="36">
        <f t="shared" si="59"/>
        <v>0</v>
      </c>
      <c r="H245" s="38">
        <f t="shared" si="60"/>
        <v>6024.4971480423237</v>
      </c>
      <c r="I245" s="36">
        <f t="shared" si="61"/>
        <v>1806561.0283532573</v>
      </c>
      <c r="J245" s="2">
        <f t="shared" si="52"/>
        <v>232</v>
      </c>
      <c r="K245" s="44">
        <f t="shared" si="53"/>
        <v>6.9243826282994192E-3</v>
      </c>
      <c r="L245" s="41">
        <f t="shared" si="54"/>
        <v>0.5</v>
      </c>
      <c r="M245" s="42">
        <f t="shared" si="51"/>
        <v>1</v>
      </c>
      <c r="N245" s="43">
        <f>(VLOOKUP(MONTH('Amortization Model 101'!$B245),Seasonality,2,TRUE))</f>
        <v>0.96</v>
      </c>
      <c r="O245" s="50">
        <f t="shared" si="62"/>
        <v>3.3237036615837213E-3</v>
      </c>
    </row>
    <row r="246" spans="2:15" ht="15" x14ac:dyDescent="0.25">
      <c r="B246" s="57">
        <f t="shared" si="55"/>
        <v>49430</v>
      </c>
      <c r="C246" s="36">
        <f t="shared" si="56"/>
        <v>1806561.0283532573</v>
      </c>
      <c r="D246" s="39">
        <f t="shared" si="63"/>
        <v>19142.732037230027</v>
      </c>
      <c r="E246" s="36">
        <f t="shared" si="57"/>
        <v>9032.8051417662864</v>
      </c>
      <c r="F246" s="36">
        <f t="shared" si="58"/>
        <v>10109.926895463741</v>
      </c>
      <c r="G246" s="36">
        <f t="shared" si="59"/>
        <v>0</v>
      </c>
      <c r="H246" s="38">
        <f t="shared" si="60"/>
        <v>6592.8368437475629</v>
      </c>
      <c r="I246" s="36">
        <f t="shared" si="61"/>
        <v>1789858.2646140459</v>
      </c>
      <c r="J246" s="2">
        <f t="shared" si="52"/>
        <v>233</v>
      </c>
      <c r="K246" s="44">
        <f t="shared" si="53"/>
        <v>6.9243826282994192E-3</v>
      </c>
      <c r="L246" s="41">
        <f t="shared" si="54"/>
        <v>0.5</v>
      </c>
      <c r="M246" s="42">
        <f t="shared" si="51"/>
        <v>1</v>
      </c>
      <c r="N246" s="43">
        <f>(VLOOKUP(MONTH('Amortization Model 101'!$B246),Seasonality,2,TRUE))</f>
        <v>1.06</v>
      </c>
      <c r="O246" s="50">
        <f t="shared" si="62"/>
        <v>3.6699227929986923E-3</v>
      </c>
    </row>
    <row r="247" spans="2:15" ht="15" x14ac:dyDescent="0.25">
      <c r="B247" s="57">
        <f t="shared" si="55"/>
        <v>49461</v>
      </c>
      <c r="C247" s="36">
        <f t="shared" si="56"/>
        <v>1789858.2646140459</v>
      </c>
      <c r="D247" s="39">
        <f t="shared" si="63"/>
        <v>19072.479688606334</v>
      </c>
      <c r="E247" s="36">
        <f t="shared" si="57"/>
        <v>8949.2913230702288</v>
      </c>
      <c r="F247" s="36">
        <f t="shared" si="58"/>
        <v>10123.188365536105</v>
      </c>
      <c r="G247" s="36">
        <f t="shared" si="59"/>
        <v>0</v>
      </c>
      <c r="H247" s="38">
        <f t="shared" si="60"/>
        <v>6716.3438214979269</v>
      </c>
      <c r="I247" s="36">
        <f t="shared" si="61"/>
        <v>1773018.7324270119</v>
      </c>
      <c r="J247" s="2">
        <f t="shared" si="52"/>
        <v>234</v>
      </c>
      <c r="K247" s="44">
        <f t="shared" si="53"/>
        <v>6.9243826282994192E-3</v>
      </c>
      <c r="L247" s="41">
        <f t="shared" si="54"/>
        <v>0.5</v>
      </c>
      <c r="M247" s="42">
        <f t="shared" si="51"/>
        <v>1</v>
      </c>
      <c r="N247" s="43">
        <f>(VLOOKUP(MONTH('Amortization Model 101'!$B247),Seasonality,2,TRUE))</f>
        <v>1.0900000000000001</v>
      </c>
      <c r="O247" s="50">
        <f t="shared" si="62"/>
        <v>3.7737885324231838E-3</v>
      </c>
    </row>
    <row r="248" spans="2:15" ht="15" x14ac:dyDescent="0.25">
      <c r="B248" s="57">
        <f t="shared" si="55"/>
        <v>49491</v>
      </c>
      <c r="C248" s="36">
        <f t="shared" si="56"/>
        <v>1773018.7324270119</v>
      </c>
      <c r="D248" s="39">
        <f t="shared" si="63"/>
        <v>19000.504183472593</v>
      </c>
      <c r="E248" s="36">
        <f t="shared" si="57"/>
        <v>8865.0936621350593</v>
      </c>
      <c r="F248" s="36">
        <f t="shared" si="58"/>
        <v>10135.410521337533</v>
      </c>
      <c r="G248" s="36">
        <f t="shared" si="59"/>
        <v>0</v>
      </c>
      <c r="H248" s="38">
        <f t="shared" si="60"/>
        <v>6713.783257457334</v>
      </c>
      <c r="I248" s="36">
        <f t="shared" si="61"/>
        <v>1756169.538648217</v>
      </c>
      <c r="J248" s="2">
        <f t="shared" si="52"/>
        <v>235</v>
      </c>
      <c r="K248" s="44">
        <f t="shared" si="53"/>
        <v>6.9243826282994192E-3</v>
      </c>
      <c r="L248" s="41">
        <f t="shared" si="54"/>
        <v>0.5</v>
      </c>
      <c r="M248" s="42">
        <f t="shared" si="51"/>
        <v>1</v>
      </c>
      <c r="N248" s="43">
        <f>(VLOOKUP(MONTH('Amortization Model 101'!$B248),Seasonality,2,TRUE))</f>
        <v>1.1000000000000001</v>
      </c>
      <c r="O248" s="50">
        <f t="shared" si="62"/>
        <v>3.808410445564681E-3</v>
      </c>
    </row>
    <row r="249" spans="2:15" ht="15" x14ac:dyDescent="0.25">
      <c r="B249" s="57">
        <f t="shared" si="55"/>
        <v>49522</v>
      </c>
      <c r="C249" s="36">
        <f t="shared" si="56"/>
        <v>1756169.538648217</v>
      </c>
      <c r="D249" s="39">
        <f t="shared" si="63"/>
        <v>18928.142464869259</v>
      </c>
      <c r="E249" s="36">
        <f t="shared" si="57"/>
        <v>8780.8476932410849</v>
      </c>
      <c r="F249" s="36">
        <f t="shared" si="58"/>
        <v>10147.294771628174</v>
      </c>
      <c r="G249" s="36">
        <f t="shared" si="59"/>
        <v>0</v>
      </c>
      <c r="H249" s="38">
        <f t="shared" si="60"/>
        <v>6951.822504120968</v>
      </c>
      <c r="I249" s="36">
        <f t="shared" si="61"/>
        <v>1739070.4213724679</v>
      </c>
      <c r="J249" s="2">
        <f t="shared" si="52"/>
        <v>236</v>
      </c>
      <c r="K249" s="44">
        <f t="shared" si="53"/>
        <v>6.9243826282994192E-3</v>
      </c>
      <c r="L249" s="41">
        <f t="shared" si="54"/>
        <v>0.5</v>
      </c>
      <c r="M249" s="42">
        <f t="shared" si="51"/>
        <v>1</v>
      </c>
      <c r="N249" s="43">
        <f>(VLOOKUP(MONTH('Amortization Model 101'!$B249),Seasonality,2,TRUE))</f>
        <v>1.1499999999999999</v>
      </c>
      <c r="O249" s="50">
        <f t="shared" si="62"/>
        <v>3.981520011272166E-3</v>
      </c>
    </row>
    <row r="250" spans="2:15" ht="15" x14ac:dyDescent="0.25">
      <c r="B250" s="57">
        <f t="shared" si="55"/>
        <v>49553</v>
      </c>
      <c r="C250" s="36">
        <f t="shared" si="56"/>
        <v>1739070.4213724679</v>
      </c>
      <c r="D250" s="39">
        <f t="shared" si="63"/>
        <v>18852.779686869173</v>
      </c>
      <c r="E250" s="36">
        <f t="shared" si="57"/>
        <v>8695.3521068623395</v>
      </c>
      <c r="F250" s="36">
        <f t="shared" si="58"/>
        <v>10157.427580006834</v>
      </c>
      <c r="G250" s="36">
        <f t="shared" si="59"/>
        <v>0</v>
      </c>
      <c r="H250" s="38">
        <f t="shared" si="60"/>
        <v>6763.9851315325768</v>
      </c>
      <c r="I250" s="36">
        <f t="shared" si="61"/>
        <v>1722149.0086609283</v>
      </c>
      <c r="J250" s="2">
        <f t="shared" si="52"/>
        <v>237</v>
      </c>
      <c r="K250" s="44">
        <f t="shared" si="53"/>
        <v>6.9243826282994192E-3</v>
      </c>
      <c r="L250" s="41">
        <f t="shared" si="54"/>
        <v>0.5</v>
      </c>
      <c r="M250" s="42">
        <f t="shared" si="51"/>
        <v>1</v>
      </c>
      <c r="N250" s="43">
        <f>(VLOOKUP(MONTH('Amortization Model 101'!$B250),Seasonality,2,TRUE))</f>
        <v>1.1299999999999999</v>
      </c>
      <c r="O250" s="50">
        <f t="shared" si="62"/>
        <v>3.9122761849891717E-3</v>
      </c>
    </row>
    <row r="251" spans="2:15" ht="15" x14ac:dyDescent="0.25">
      <c r="B251" s="57">
        <f t="shared" si="55"/>
        <v>49583</v>
      </c>
      <c r="C251" s="36">
        <f t="shared" si="56"/>
        <v>1722149.0086609283</v>
      </c>
      <c r="D251" s="39">
        <f t="shared" si="63"/>
        <v>18779.022405879386</v>
      </c>
      <c r="E251" s="36">
        <f t="shared" si="57"/>
        <v>8610.7450433046415</v>
      </c>
      <c r="F251" s="36">
        <f t="shared" si="58"/>
        <v>10168.277362574745</v>
      </c>
      <c r="G251" s="36">
        <f t="shared" si="59"/>
        <v>0</v>
      </c>
      <c r="H251" s="38">
        <f t="shared" si="60"/>
        <v>5986.4768660717555</v>
      </c>
      <c r="I251" s="36">
        <f t="shared" si="61"/>
        <v>1705994.2544322817</v>
      </c>
      <c r="J251" s="2">
        <f t="shared" si="52"/>
        <v>238</v>
      </c>
      <c r="K251" s="44">
        <f t="shared" si="53"/>
        <v>6.9243826282994192E-3</v>
      </c>
      <c r="L251" s="41">
        <f t="shared" si="54"/>
        <v>0.5</v>
      </c>
      <c r="M251" s="42">
        <f t="shared" si="51"/>
        <v>1</v>
      </c>
      <c r="N251" s="43">
        <f>(VLOOKUP(MONTH('Amortization Model 101'!$B251),Seasonality,2,TRUE))</f>
        <v>1.01</v>
      </c>
      <c r="O251" s="50">
        <f t="shared" si="62"/>
        <v>3.4968132272912068E-3</v>
      </c>
    </row>
    <row r="252" spans="2:15" ht="15" x14ac:dyDescent="0.25">
      <c r="B252" s="57">
        <f t="shared" si="55"/>
        <v>49614</v>
      </c>
      <c r="C252" s="36">
        <f t="shared" si="56"/>
        <v>1705994.2544322817</v>
      </c>
      <c r="D252" s="39">
        <f t="shared" si="63"/>
        <v>18713.355671934904</v>
      </c>
      <c r="E252" s="36">
        <f t="shared" si="57"/>
        <v>8529.9712721614087</v>
      </c>
      <c r="F252" s="36">
        <f t="shared" si="58"/>
        <v>10183.384399773495</v>
      </c>
      <c r="G252" s="36">
        <f t="shared" si="59"/>
        <v>0</v>
      </c>
      <c r="H252" s="38">
        <f t="shared" si="60"/>
        <v>5049.2506316138024</v>
      </c>
      <c r="I252" s="36">
        <f t="shared" si="61"/>
        <v>1690761.6194008943</v>
      </c>
      <c r="J252" s="2">
        <f t="shared" si="52"/>
        <v>239</v>
      </c>
      <c r="K252" s="44">
        <f t="shared" si="53"/>
        <v>6.9243826282994192E-3</v>
      </c>
      <c r="L252" s="41">
        <f t="shared" si="54"/>
        <v>0.5</v>
      </c>
      <c r="M252" s="42">
        <f t="shared" si="51"/>
        <v>1</v>
      </c>
      <c r="N252" s="43">
        <f>(VLOOKUP(MONTH('Amortization Model 101'!$B252),Seasonality,2,TRUE))</f>
        <v>0.86</v>
      </c>
      <c r="O252" s="50">
        <f t="shared" si="62"/>
        <v>2.9774845301687503E-3</v>
      </c>
    </row>
    <row r="253" spans="2:15" ht="15" x14ac:dyDescent="0.25">
      <c r="B253" s="57">
        <f t="shared" si="55"/>
        <v>49644</v>
      </c>
      <c r="C253" s="36">
        <f t="shared" si="56"/>
        <v>1690761.6194008943</v>
      </c>
      <c r="D253" s="39">
        <f t="shared" si="63"/>
        <v>18657.636944914171</v>
      </c>
      <c r="E253" s="36">
        <f t="shared" si="57"/>
        <v>8453.8080970044703</v>
      </c>
      <c r="F253" s="36">
        <f t="shared" si="58"/>
        <v>10203.828847909701</v>
      </c>
      <c r="G253" s="36">
        <f t="shared" si="59"/>
        <v>0</v>
      </c>
      <c r="H253" s="40">
        <f t="shared" si="60"/>
        <v>5236.5713268412528</v>
      </c>
      <c r="I253" s="36">
        <f t="shared" si="61"/>
        <v>1675321.2192261431</v>
      </c>
      <c r="J253" s="2">
        <f t="shared" si="52"/>
        <v>240</v>
      </c>
      <c r="K253" s="44">
        <f t="shared" si="53"/>
        <v>6.9243826282994192E-3</v>
      </c>
      <c r="L253" s="41">
        <f t="shared" si="54"/>
        <v>0.5</v>
      </c>
      <c r="M253" s="42">
        <f t="shared" si="51"/>
        <v>1</v>
      </c>
      <c r="N253" s="43">
        <f>(VLOOKUP(MONTH('Amortization Model 101'!$B253),Seasonality,2,TRUE))</f>
        <v>0.9</v>
      </c>
      <c r="O253" s="50">
        <f t="shared" si="62"/>
        <v>3.1159721827347386E-3</v>
      </c>
    </row>
    <row r="254" spans="2:15" ht="15" x14ac:dyDescent="0.25">
      <c r="B254" s="57">
        <f t="shared" si="55"/>
        <v>49675</v>
      </c>
      <c r="C254" s="36">
        <f t="shared" si="56"/>
        <v>1675321.2192261431</v>
      </c>
      <c r="D254" s="39">
        <f t="shared" si="63"/>
        <v>18599.500267198255</v>
      </c>
      <c r="E254" s="36">
        <f t="shared" si="57"/>
        <v>8376.6060961307157</v>
      </c>
      <c r="F254" s="36">
        <f t="shared" si="58"/>
        <v>10222.894171067539</v>
      </c>
      <c r="G254" s="36">
        <f t="shared" si="59"/>
        <v>0</v>
      </c>
      <c r="H254" s="38">
        <f t="shared" si="60"/>
        <v>5130.7511728077116</v>
      </c>
      <c r="I254" s="36">
        <f t="shared" si="61"/>
        <v>1659967.5738822678</v>
      </c>
      <c r="J254" s="2">
        <f t="shared" si="52"/>
        <v>241</v>
      </c>
      <c r="K254" s="44">
        <f t="shared" si="53"/>
        <v>6.9243826282994192E-3</v>
      </c>
      <c r="L254" s="41">
        <f t="shared" si="54"/>
        <v>0.5</v>
      </c>
      <c r="M254" s="42">
        <f t="shared" si="51"/>
        <v>1</v>
      </c>
      <c r="N254" s="43">
        <f>(VLOOKUP(MONTH('Amortization Model 101'!$B254),Seasonality,2,TRUE))</f>
        <v>0.89</v>
      </c>
      <c r="O254" s="50">
        <f t="shared" si="62"/>
        <v>3.0813502695932415E-3</v>
      </c>
    </row>
    <row r="255" spans="2:15" ht="15" x14ac:dyDescent="0.25">
      <c r="B255" s="57">
        <f t="shared" si="55"/>
        <v>49706</v>
      </c>
      <c r="C255" s="36">
        <f t="shared" si="56"/>
        <v>1659967.5738822678</v>
      </c>
      <c r="D255" s="39">
        <f t="shared" si="63"/>
        <v>18542.188692035619</v>
      </c>
      <c r="E255" s="36">
        <f t="shared" si="57"/>
        <v>8299.8378694113399</v>
      </c>
      <c r="F255" s="36">
        <f t="shared" si="58"/>
        <v>10242.350822624279</v>
      </c>
      <c r="G255" s="36">
        <f t="shared" si="59"/>
        <v>0</v>
      </c>
      <c r="H255" s="38">
        <f t="shared" si="60"/>
        <v>5140.4979042097111</v>
      </c>
      <c r="I255" s="36">
        <f t="shared" si="61"/>
        <v>1644584.7251554339</v>
      </c>
      <c r="J255" s="2">
        <f t="shared" si="52"/>
        <v>242</v>
      </c>
      <c r="K255" s="44">
        <f t="shared" si="53"/>
        <v>6.9243826282994192E-3</v>
      </c>
      <c r="L255" s="41">
        <f t="shared" si="54"/>
        <v>0.5</v>
      </c>
      <c r="M255" s="42">
        <f t="shared" si="51"/>
        <v>1</v>
      </c>
      <c r="N255" s="43">
        <f>(VLOOKUP(MONTH('Amortization Model 101'!$B255),Seasonality,2,TRUE))</f>
        <v>0.9</v>
      </c>
      <c r="O255" s="50">
        <f t="shared" si="62"/>
        <v>3.1159721827347386E-3</v>
      </c>
    </row>
    <row r="256" spans="2:15" ht="15" x14ac:dyDescent="0.25">
      <c r="B256" s="57">
        <f t="shared" si="55"/>
        <v>49735</v>
      </c>
      <c r="C256" s="36">
        <f t="shared" si="56"/>
        <v>1644584.7251554339</v>
      </c>
      <c r="D256" s="39">
        <f t="shared" si="63"/>
        <v>18484.411747864222</v>
      </c>
      <c r="E256" s="36">
        <f t="shared" si="57"/>
        <v>8222.9236257771681</v>
      </c>
      <c r="F256" s="36">
        <f t="shared" si="58"/>
        <v>10261.488122087054</v>
      </c>
      <c r="G256" s="36">
        <f t="shared" si="59"/>
        <v>0</v>
      </c>
      <c r="H256" s="38">
        <f t="shared" si="60"/>
        <v>5375.4227299813965</v>
      </c>
      <c r="I256" s="36">
        <f t="shared" si="61"/>
        <v>1628947.8143033655</v>
      </c>
      <c r="J256" s="2">
        <f t="shared" si="52"/>
        <v>243</v>
      </c>
      <c r="K256" s="44">
        <f t="shared" si="53"/>
        <v>6.9243826282994192E-3</v>
      </c>
      <c r="L256" s="41">
        <f t="shared" si="54"/>
        <v>0.5</v>
      </c>
      <c r="M256" s="42">
        <f t="shared" si="51"/>
        <v>1</v>
      </c>
      <c r="N256" s="43">
        <f>(VLOOKUP(MONTH('Amortization Model 101'!$B256),Seasonality,2,TRUE))</f>
        <v>0.95</v>
      </c>
      <c r="O256" s="50">
        <f t="shared" si="62"/>
        <v>3.2890817484422241E-3</v>
      </c>
    </row>
    <row r="257" spans="2:15" ht="15" x14ac:dyDescent="0.25">
      <c r="B257" s="57">
        <f t="shared" si="55"/>
        <v>49766</v>
      </c>
      <c r="C257" s="36">
        <f t="shared" si="56"/>
        <v>1628947.8143033655</v>
      </c>
      <c r="D257" s="39">
        <f t="shared" si="63"/>
        <v>18423.615006553635</v>
      </c>
      <c r="E257" s="36">
        <f t="shared" si="57"/>
        <v>8144.7390715168267</v>
      </c>
      <c r="F257" s="36">
        <f t="shared" si="58"/>
        <v>10278.875935036809</v>
      </c>
      <c r="G257" s="36">
        <f t="shared" si="59"/>
        <v>0</v>
      </c>
      <c r="H257" s="38">
        <f t="shared" si="60"/>
        <v>5379.9758773466483</v>
      </c>
      <c r="I257" s="36">
        <f t="shared" si="61"/>
        <v>1613288.9624909819</v>
      </c>
      <c r="J257" s="2">
        <f t="shared" si="52"/>
        <v>244</v>
      </c>
      <c r="K257" s="44">
        <f t="shared" si="53"/>
        <v>6.9243826282994192E-3</v>
      </c>
      <c r="L257" s="41">
        <f t="shared" si="54"/>
        <v>0.5</v>
      </c>
      <c r="M257" s="42">
        <f t="shared" si="51"/>
        <v>1</v>
      </c>
      <c r="N257" s="43">
        <f>(VLOOKUP(MONTH('Amortization Model 101'!$B257),Seasonality,2,TRUE))</f>
        <v>0.96</v>
      </c>
      <c r="O257" s="50">
        <f t="shared" si="62"/>
        <v>3.3237036615837213E-3</v>
      </c>
    </row>
    <row r="258" spans="2:15" ht="15" x14ac:dyDescent="0.25">
      <c r="B258" s="57">
        <f t="shared" si="55"/>
        <v>49796</v>
      </c>
      <c r="C258" s="36">
        <f t="shared" si="56"/>
        <v>1613288.9624909819</v>
      </c>
      <c r="D258" s="39">
        <f t="shared" si="63"/>
        <v>18362.380369896735</v>
      </c>
      <c r="E258" s="36">
        <f t="shared" si="57"/>
        <v>8066.444812454909</v>
      </c>
      <c r="F258" s="36">
        <f t="shared" si="58"/>
        <v>10295.935557441826</v>
      </c>
      <c r="G258" s="36">
        <f t="shared" si="59"/>
        <v>0</v>
      </c>
      <c r="H258" s="38">
        <f t="shared" si="60"/>
        <v>5882.8606465613657</v>
      </c>
      <c r="I258" s="36">
        <f t="shared" si="61"/>
        <v>1597110.1662869789</v>
      </c>
      <c r="J258" s="2">
        <f t="shared" si="52"/>
        <v>245</v>
      </c>
      <c r="K258" s="44">
        <f t="shared" si="53"/>
        <v>6.9243826282994192E-3</v>
      </c>
      <c r="L258" s="41">
        <f t="shared" si="54"/>
        <v>0.5</v>
      </c>
      <c r="M258" s="42">
        <f t="shared" si="51"/>
        <v>1</v>
      </c>
      <c r="N258" s="43">
        <f>(VLOOKUP(MONTH('Amortization Model 101'!$B258),Seasonality,2,TRUE))</f>
        <v>1.06</v>
      </c>
      <c r="O258" s="50">
        <f t="shared" si="62"/>
        <v>3.6699227929986923E-3</v>
      </c>
    </row>
    <row r="259" spans="2:15" ht="15" x14ac:dyDescent="0.25">
      <c r="B259" s="57">
        <f t="shared" si="55"/>
        <v>49827</v>
      </c>
      <c r="C259" s="36">
        <f t="shared" si="56"/>
        <v>1597110.1662869789</v>
      </c>
      <c r="D259" s="39">
        <f t="shared" si="63"/>
        <v>18294.991851643546</v>
      </c>
      <c r="E259" s="36">
        <f t="shared" si="57"/>
        <v>7985.5508314348945</v>
      </c>
      <c r="F259" s="36">
        <f t="shared" si="58"/>
        <v>10309.441020208651</v>
      </c>
      <c r="G259" s="36">
        <f t="shared" si="59"/>
        <v>0</v>
      </c>
      <c r="H259" s="38">
        <f t="shared" si="60"/>
        <v>5988.2503802525289</v>
      </c>
      <c r="I259" s="36">
        <f t="shared" si="61"/>
        <v>1580812.4748865177</v>
      </c>
      <c r="J259" s="2">
        <f t="shared" si="52"/>
        <v>246</v>
      </c>
      <c r="K259" s="44">
        <f t="shared" si="53"/>
        <v>6.9243826282994192E-3</v>
      </c>
      <c r="L259" s="41">
        <f t="shared" si="54"/>
        <v>0.5</v>
      </c>
      <c r="M259" s="42">
        <f t="shared" si="51"/>
        <v>1</v>
      </c>
      <c r="N259" s="43">
        <f>(VLOOKUP(MONTH('Amortization Model 101'!$B259),Seasonality,2,TRUE))</f>
        <v>1.0900000000000001</v>
      </c>
      <c r="O259" s="50">
        <f t="shared" si="62"/>
        <v>3.7737885324231838E-3</v>
      </c>
    </row>
    <row r="260" spans="2:15" ht="15" x14ac:dyDescent="0.25">
      <c r="B260" s="57">
        <f t="shared" si="55"/>
        <v>49857</v>
      </c>
      <c r="C260" s="36">
        <f t="shared" si="56"/>
        <v>1580812.4748865177</v>
      </c>
      <c r="D260" s="39">
        <f t="shared" si="63"/>
        <v>18225.950421193036</v>
      </c>
      <c r="E260" s="36">
        <f t="shared" si="57"/>
        <v>7904.0623744325885</v>
      </c>
      <c r="F260" s="36">
        <f t="shared" si="58"/>
        <v>10321.888046760447</v>
      </c>
      <c r="G260" s="36">
        <f t="shared" si="59"/>
        <v>0</v>
      </c>
      <c r="H260" s="38">
        <f t="shared" si="60"/>
        <v>5981.0727555815374</v>
      </c>
      <c r="I260" s="36">
        <f t="shared" si="61"/>
        <v>1564509.5140841759</v>
      </c>
      <c r="J260" s="2">
        <f t="shared" si="52"/>
        <v>247</v>
      </c>
      <c r="K260" s="44">
        <f t="shared" si="53"/>
        <v>6.9243826282994192E-3</v>
      </c>
      <c r="L260" s="41">
        <f t="shared" si="54"/>
        <v>0.5</v>
      </c>
      <c r="M260" s="42">
        <f t="shared" si="51"/>
        <v>1</v>
      </c>
      <c r="N260" s="43">
        <f>(VLOOKUP(MONTH('Amortization Model 101'!$B260),Seasonality,2,TRUE))</f>
        <v>1.1000000000000001</v>
      </c>
      <c r="O260" s="50">
        <f t="shared" si="62"/>
        <v>3.808410445564681E-3</v>
      </c>
    </row>
    <row r="261" spans="2:15" ht="15" x14ac:dyDescent="0.25">
      <c r="B261" s="57">
        <f t="shared" si="55"/>
        <v>49888</v>
      </c>
      <c r="C261" s="36">
        <f t="shared" si="56"/>
        <v>1564509.5140841759</v>
      </c>
      <c r="D261" s="39">
        <f t="shared" si="63"/>
        <v>18156.538521228624</v>
      </c>
      <c r="E261" s="36">
        <f t="shared" si="57"/>
        <v>7822.5475704208793</v>
      </c>
      <c r="F261" s="36">
        <f t="shared" si="58"/>
        <v>10333.990950807744</v>
      </c>
      <c r="G261" s="36">
        <f t="shared" si="59"/>
        <v>0</v>
      </c>
      <c r="H261" s="38">
        <f t="shared" si="60"/>
        <v>6187.9809463848924</v>
      </c>
      <c r="I261" s="36">
        <f t="shared" si="61"/>
        <v>1547987.5421869834</v>
      </c>
      <c r="J261" s="2">
        <f t="shared" si="52"/>
        <v>248</v>
      </c>
      <c r="K261" s="44">
        <f t="shared" si="53"/>
        <v>6.9243826282994192E-3</v>
      </c>
      <c r="L261" s="41">
        <f t="shared" si="54"/>
        <v>0.5</v>
      </c>
      <c r="M261" s="42">
        <f t="shared" si="51"/>
        <v>1</v>
      </c>
      <c r="N261" s="43">
        <f>(VLOOKUP(MONTH('Amortization Model 101'!$B261),Seasonality,2,TRUE))</f>
        <v>1.1499999999999999</v>
      </c>
      <c r="O261" s="50">
        <f t="shared" si="62"/>
        <v>3.981520011272166E-3</v>
      </c>
    </row>
    <row r="262" spans="2:15" ht="15" x14ac:dyDescent="0.25">
      <c r="B262" s="57">
        <f t="shared" si="55"/>
        <v>49919</v>
      </c>
      <c r="C262" s="36">
        <f t="shared" si="56"/>
        <v>1547987.5421869834</v>
      </c>
      <c r="D262" s="39">
        <f t="shared" si="63"/>
        <v>18084.247899770922</v>
      </c>
      <c r="E262" s="36">
        <f t="shared" si="57"/>
        <v>7739.9377109349161</v>
      </c>
      <c r="F262" s="36">
        <f t="shared" si="58"/>
        <v>10344.310188836007</v>
      </c>
      <c r="G262" s="36">
        <f t="shared" si="59"/>
        <v>0</v>
      </c>
      <c r="H262" s="38">
        <f t="shared" si="60"/>
        <v>6015.6849975561317</v>
      </c>
      <c r="I262" s="36">
        <f t="shared" si="61"/>
        <v>1531627.5470005914</v>
      </c>
      <c r="J262" s="2">
        <f t="shared" si="52"/>
        <v>249</v>
      </c>
      <c r="K262" s="44">
        <f t="shared" si="53"/>
        <v>6.9243826282994192E-3</v>
      </c>
      <c r="L262" s="41">
        <f t="shared" si="54"/>
        <v>0.5</v>
      </c>
      <c r="M262" s="42">
        <f t="shared" si="51"/>
        <v>1</v>
      </c>
      <c r="N262" s="43">
        <f>(VLOOKUP(MONTH('Amortization Model 101'!$B262),Seasonality,2,TRUE))</f>
        <v>1.1299999999999999</v>
      </c>
      <c r="O262" s="50">
        <f t="shared" si="62"/>
        <v>3.9122761849891717E-3</v>
      </c>
    </row>
    <row r="263" spans="2:15" ht="15" x14ac:dyDescent="0.25">
      <c r="B263" s="57">
        <f t="shared" si="55"/>
        <v>49949</v>
      </c>
      <c r="C263" s="36">
        <f t="shared" si="56"/>
        <v>1531627.5470005914</v>
      </c>
      <c r="D263" s="39">
        <f t="shared" si="63"/>
        <v>18013.497327389206</v>
      </c>
      <c r="E263" s="36">
        <f t="shared" si="57"/>
        <v>7658.137735002957</v>
      </c>
      <c r="F263" s="36">
        <f t="shared" si="58"/>
        <v>10355.359592386249</v>
      </c>
      <c r="G263" s="36">
        <f t="shared" si="59"/>
        <v>0</v>
      </c>
      <c r="H263" s="38">
        <f t="shared" si="60"/>
        <v>5319.6047072392394</v>
      </c>
      <c r="I263" s="36">
        <f t="shared" si="61"/>
        <v>1515952.5827009659</v>
      </c>
      <c r="J263" s="2">
        <f t="shared" si="52"/>
        <v>250</v>
      </c>
      <c r="K263" s="44">
        <f t="shared" si="53"/>
        <v>6.9243826282994192E-3</v>
      </c>
      <c r="L263" s="41">
        <f t="shared" si="54"/>
        <v>0.5</v>
      </c>
      <c r="M263" s="42">
        <f t="shared" si="51"/>
        <v>1</v>
      </c>
      <c r="N263" s="43">
        <f>(VLOOKUP(MONTH('Amortization Model 101'!$B263),Seasonality,2,TRUE))</f>
        <v>1.01</v>
      </c>
      <c r="O263" s="50">
        <f t="shared" si="62"/>
        <v>3.4968132272912068E-3</v>
      </c>
    </row>
    <row r="264" spans="2:15" ht="15" x14ac:dyDescent="0.25">
      <c r="B264" s="57">
        <f t="shared" si="55"/>
        <v>49980</v>
      </c>
      <c r="C264" s="36">
        <f t="shared" si="56"/>
        <v>1515952.5827009659</v>
      </c>
      <c r="D264" s="39">
        <f t="shared" si="63"/>
        <v>17950.507491665016</v>
      </c>
      <c r="E264" s="36">
        <f t="shared" si="57"/>
        <v>7579.7629135048292</v>
      </c>
      <c r="F264" s="36">
        <f t="shared" si="58"/>
        <v>10370.744578160185</v>
      </c>
      <c r="G264" s="36">
        <f t="shared" si="59"/>
        <v>0</v>
      </c>
      <c r="H264" s="38">
        <f t="shared" si="60"/>
        <v>4482.846631913686</v>
      </c>
      <c r="I264" s="36">
        <f t="shared" si="61"/>
        <v>1501098.9914908921</v>
      </c>
      <c r="J264" s="2">
        <f t="shared" si="52"/>
        <v>251</v>
      </c>
      <c r="K264" s="44">
        <f t="shared" si="53"/>
        <v>6.9243826282994192E-3</v>
      </c>
      <c r="L264" s="41">
        <f t="shared" si="54"/>
        <v>0.5</v>
      </c>
      <c r="M264" s="42">
        <f t="shared" si="51"/>
        <v>1</v>
      </c>
      <c r="N264" s="43">
        <f>(VLOOKUP(MONTH('Amortization Model 101'!$B264),Seasonality,2,TRUE))</f>
        <v>0.86</v>
      </c>
      <c r="O264" s="50">
        <f t="shared" si="62"/>
        <v>2.9774845301687503E-3</v>
      </c>
    </row>
    <row r="265" spans="2:15" ht="15" x14ac:dyDescent="0.25">
      <c r="B265" s="57">
        <f t="shared" si="55"/>
        <v>50010</v>
      </c>
      <c r="C265" s="36">
        <f t="shared" si="56"/>
        <v>1501098.9914908921</v>
      </c>
      <c r="D265" s="39">
        <f t="shared" si="63"/>
        <v>17897.060133299907</v>
      </c>
      <c r="E265" s="36">
        <f t="shared" si="57"/>
        <v>7505.4949574544598</v>
      </c>
      <c r="F265" s="36">
        <f t="shared" si="58"/>
        <v>10391.565175845448</v>
      </c>
      <c r="G265" s="36">
        <f t="shared" si="59"/>
        <v>0</v>
      </c>
      <c r="H265" s="40">
        <f t="shared" si="60"/>
        <v>4645.0028729937803</v>
      </c>
      <c r="I265" s="36">
        <f t="shared" si="61"/>
        <v>1486062.4234420529</v>
      </c>
      <c r="J265" s="2">
        <f t="shared" si="52"/>
        <v>252</v>
      </c>
      <c r="K265" s="44">
        <f t="shared" si="53"/>
        <v>6.9243826282994192E-3</v>
      </c>
      <c r="L265" s="41">
        <f t="shared" si="54"/>
        <v>0.5</v>
      </c>
      <c r="M265" s="42">
        <f t="shared" si="51"/>
        <v>1</v>
      </c>
      <c r="N265" s="43">
        <f>(VLOOKUP(MONTH('Amortization Model 101'!$B265),Seasonality,2,TRUE))</f>
        <v>0.9</v>
      </c>
      <c r="O265" s="50">
        <f t="shared" si="62"/>
        <v>3.1159721827347386E-3</v>
      </c>
    </row>
    <row r="266" spans="2:15" ht="15" x14ac:dyDescent="0.25">
      <c r="B266" s="57">
        <f t="shared" si="55"/>
        <v>50041</v>
      </c>
      <c r="C266" s="36">
        <f t="shared" si="56"/>
        <v>1486062.4234420529</v>
      </c>
      <c r="D266" s="39">
        <f t="shared" si="63"/>
        <v>17841.293391771815</v>
      </c>
      <c r="E266" s="36">
        <f t="shared" si="57"/>
        <v>7430.3121172102647</v>
      </c>
      <c r="F266" s="36">
        <f t="shared" si="58"/>
        <v>10410.981274561549</v>
      </c>
      <c r="G266" s="36">
        <f t="shared" si="59"/>
        <v>0</v>
      </c>
      <c r="H266" s="38">
        <f t="shared" si="60"/>
        <v>4092.2990722336103</v>
      </c>
      <c r="I266" s="36">
        <f t="shared" si="61"/>
        <v>1471559.1430952579</v>
      </c>
      <c r="J266" s="2">
        <f t="shared" si="52"/>
        <v>253</v>
      </c>
      <c r="K266" s="44">
        <f t="shared" si="53"/>
        <v>6.9243826282994192E-3</v>
      </c>
      <c r="L266" s="41">
        <f t="shared" si="54"/>
        <v>0.45</v>
      </c>
      <c r="M266" s="42">
        <f t="shared" si="51"/>
        <v>1</v>
      </c>
      <c r="N266" s="43">
        <f>(VLOOKUP(MONTH('Amortization Model 101'!$B266),Seasonality,2,TRUE))</f>
        <v>0.89</v>
      </c>
      <c r="O266" s="50">
        <f t="shared" si="62"/>
        <v>2.7732152426339176E-3</v>
      </c>
    </row>
    <row r="267" spans="2:15" ht="15" x14ac:dyDescent="0.25">
      <c r="B267" s="57">
        <f t="shared" si="55"/>
        <v>50072</v>
      </c>
      <c r="C267" s="36">
        <f t="shared" si="56"/>
        <v>1471559.1430952579</v>
      </c>
      <c r="D267" s="39">
        <f t="shared" si="63"/>
        <v>17791.815644989449</v>
      </c>
      <c r="E267" s="36">
        <f t="shared" si="57"/>
        <v>7357.7957154762889</v>
      </c>
      <c r="F267" s="36">
        <f t="shared" si="58"/>
        <v>10434.019929513161</v>
      </c>
      <c r="G267" s="36">
        <f t="shared" si="59"/>
        <v>0</v>
      </c>
      <c r="H267" s="38">
        <f t="shared" si="60"/>
        <v>4097.5427153513965</v>
      </c>
      <c r="I267" s="36">
        <f t="shared" si="61"/>
        <v>1457027.5804503935</v>
      </c>
      <c r="J267" s="2">
        <f t="shared" si="52"/>
        <v>254</v>
      </c>
      <c r="K267" s="44">
        <f t="shared" si="53"/>
        <v>6.9243826282994192E-3</v>
      </c>
      <c r="L267" s="41">
        <f t="shared" si="54"/>
        <v>0.45</v>
      </c>
      <c r="M267" s="42">
        <f t="shared" si="51"/>
        <v>1</v>
      </c>
      <c r="N267" s="43">
        <f>(VLOOKUP(MONTH('Amortization Model 101'!$B267),Seasonality,2,TRUE))</f>
        <v>0.9</v>
      </c>
      <c r="O267" s="50">
        <f t="shared" si="62"/>
        <v>2.8043749644612649E-3</v>
      </c>
    </row>
    <row r="268" spans="2:15" ht="15" x14ac:dyDescent="0.25">
      <c r="B268" s="57">
        <f t="shared" si="55"/>
        <v>50100</v>
      </c>
      <c r="C268" s="36">
        <f t="shared" si="56"/>
        <v>1457027.5804503935</v>
      </c>
      <c r="D268" s="39">
        <f t="shared" si="63"/>
        <v>17741.920722622333</v>
      </c>
      <c r="E268" s="36">
        <f t="shared" si="57"/>
        <v>7285.1379022519677</v>
      </c>
      <c r="F268" s="36">
        <f t="shared" si="58"/>
        <v>10456.782820370365</v>
      </c>
      <c r="G268" s="36">
        <f t="shared" si="59"/>
        <v>0</v>
      </c>
      <c r="H268" s="38">
        <f t="shared" si="60"/>
        <v>4282.1006474829774</v>
      </c>
      <c r="I268" s="36">
        <f t="shared" si="61"/>
        <v>1442288.6969825402</v>
      </c>
      <c r="J268" s="2">
        <f t="shared" si="52"/>
        <v>255</v>
      </c>
      <c r="K268" s="44">
        <f t="shared" si="53"/>
        <v>6.9243826282994192E-3</v>
      </c>
      <c r="L268" s="41">
        <f t="shared" si="54"/>
        <v>0.45</v>
      </c>
      <c r="M268" s="42">
        <f t="shared" si="51"/>
        <v>1</v>
      </c>
      <c r="N268" s="43">
        <f>(VLOOKUP(MONTH('Amortization Model 101'!$B268),Seasonality,2,TRUE))</f>
        <v>0.95</v>
      </c>
      <c r="O268" s="50">
        <f t="shared" si="62"/>
        <v>2.9601735735980015E-3</v>
      </c>
    </row>
    <row r="269" spans="2:15" ht="15" x14ac:dyDescent="0.25">
      <c r="B269" s="57">
        <f t="shared" si="55"/>
        <v>50131</v>
      </c>
      <c r="C269" s="36">
        <f t="shared" si="56"/>
        <v>1442288.6969825402</v>
      </c>
      <c r="D269" s="39">
        <f t="shared" si="63"/>
        <v>17689.401557754354</v>
      </c>
      <c r="E269" s="36">
        <f t="shared" si="57"/>
        <v>7211.4434849127001</v>
      </c>
      <c r="F269" s="36">
        <f t="shared" si="58"/>
        <v>10477.958072841655</v>
      </c>
      <c r="G269" s="36">
        <f t="shared" si="59"/>
        <v>0</v>
      </c>
      <c r="H269" s="38">
        <f t="shared" si="60"/>
        <v>4283.0231360481521</v>
      </c>
      <c r="I269" s="36">
        <f t="shared" si="61"/>
        <v>1427527.7157736504</v>
      </c>
      <c r="J269" s="2">
        <f t="shared" si="52"/>
        <v>256</v>
      </c>
      <c r="K269" s="44">
        <f t="shared" si="53"/>
        <v>6.9243826282994192E-3</v>
      </c>
      <c r="L269" s="41">
        <f t="shared" si="54"/>
        <v>0.45</v>
      </c>
      <c r="M269" s="42">
        <f t="shared" si="51"/>
        <v>1</v>
      </c>
      <c r="N269" s="43">
        <f>(VLOOKUP(MONTH('Amortization Model 101'!$B269),Seasonality,2,TRUE))</f>
        <v>0.96</v>
      </c>
      <c r="O269" s="50">
        <f t="shared" si="62"/>
        <v>2.9913332954253488E-3</v>
      </c>
    </row>
    <row r="270" spans="2:15" ht="15" x14ac:dyDescent="0.25">
      <c r="B270" s="57">
        <f t="shared" si="55"/>
        <v>50161</v>
      </c>
      <c r="C270" s="36">
        <f t="shared" si="56"/>
        <v>1427527.7157736504</v>
      </c>
      <c r="D270" s="39">
        <f t="shared" si="63"/>
        <v>17636.4866618985</v>
      </c>
      <c r="E270" s="36">
        <f t="shared" si="57"/>
        <v>7137.6385788682519</v>
      </c>
      <c r="F270" s="36">
        <f t="shared" si="58"/>
        <v>10498.848083030247</v>
      </c>
      <c r="G270" s="36">
        <f t="shared" si="59"/>
        <v>0</v>
      </c>
      <c r="H270" s="38">
        <f t="shared" si="60"/>
        <v>4680.3478858874414</v>
      </c>
      <c r="I270" s="36">
        <f t="shared" si="61"/>
        <v>1412348.5198047329</v>
      </c>
      <c r="J270" s="2">
        <f t="shared" si="52"/>
        <v>257</v>
      </c>
      <c r="K270" s="44">
        <f t="shared" si="53"/>
        <v>6.9243826282994192E-3</v>
      </c>
      <c r="L270" s="41">
        <f t="shared" si="54"/>
        <v>0.45</v>
      </c>
      <c r="M270" s="42">
        <f t="shared" ref="M270:M333" si="64">MIN(J270/VLOOKUP($F$5-$F$8,Seasoning,2,TRUE),1)</f>
        <v>1</v>
      </c>
      <c r="N270" s="43">
        <f>(VLOOKUP(MONTH('Amortization Model 101'!$B270),Seasonality,2,TRUE))</f>
        <v>1.06</v>
      </c>
      <c r="O270" s="50">
        <f t="shared" si="62"/>
        <v>3.302930513698823E-3</v>
      </c>
    </row>
    <row r="271" spans="2:15" ht="15" x14ac:dyDescent="0.25">
      <c r="B271" s="57">
        <f t="shared" si="55"/>
        <v>50192</v>
      </c>
      <c r="C271" s="36">
        <f t="shared" si="56"/>
        <v>1412348.5198047329</v>
      </c>
      <c r="D271" s="39">
        <f t="shared" si="63"/>
        <v>17578.234571948469</v>
      </c>
      <c r="E271" s="36">
        <f t="shared" si="57"/>
        <v>7061.7425990236634</v>
      </c>
      <c r="F271" s="36">
        <f t="shared" si="58"/>
        <v>10516.491972924807</v>
      </c>
      <c r="G271" s="36">
        <f t="shared" si="59"/>
        <v>0</v>
      </c>
      <c r="H271" s="38">
        <f t="shared" si="60"/>
        <v>4761.1958679136924</v>
      </c>
      <c r="I271" s="36">
        <f t="shared" si="61"/>
        <v>1397070.8319638942</v>
      </c>
      <c r="J271" s="2">
        <f t="shared" ref="J271:J334" si="65">+J270+1</f>
        <v>258</v>
      </c>
      <c r="K271" s="44">
        <f t="shared" ref="K271:K334" si="66">1-((1-VLOOKUP(K$12,CPR,2,TRUE)/100)^(1/12))</f>
        <v>6.9243826282994192E-3</v>
      </c>
      <c r="L271" s="41">
        <f t="shared" ref="L271:L334" si="67">VLOOKUP(ROUND(C271/$F$4,1),Burnout,2,FALSE)</f>
        <v>0.45</v>
      </c>
      <c r="M271" s="42">
        <f t="shared" si="64"/>
        <v>1</v>
      </c>
      <c r="N271" s="43">
        <f>(VLOOKUP(MONTH('Amortization Model 101'!$B271),Seasonality,2,TRUE))</f>
        <v>1.0900000000000001</v>
      </c>
      <c r="O271" s="50">
        <f t="shared" si="62"/>
        <v>3.3964096791808652E-3</v>
      </c>
    </row>
    <row r="272" spans="2:15" ht="15" x14ac:dyDescent="0.25">
      <c r="B272" s="57">
        <f t="shared" ref="B272:B335" si="68">IF(C272&gt;0,EDATE(B271,1),"")</f>
        <v>50222</v>
      </c>
      <c r="C272" s="36">
        <f t="shared" ref="C272:C335" si="69">+I271</f>
        <v>1397070.8319638942</v>
      </c>
      <c r="D272" s="39">
        <f t="shared" si="63"/>
        <v>17518.531685905393</v>
      </c>
      <c r="E272" s="36">
        <f t="shared" ref="E272:E335" si="70">($F$7*C272)/12</f>
        <v>6985.3541598194706</v>
      </c>
      <c r="F272" s="36">
        <f t="shared" ref="F272:F335" si="71">D272-E272-G272</f>
        <v>10533.177526085921</v>
      </c>
      <c r="G272" s="36">
        <f t="shared" ref="G272:G335" si="72">($F$6*C272)/12</f>
        <v>0</v>
      </c>
      <c r="H272" s="38">
        <f t="shared" ref="H272:H335" si="73">+O272*(C272-F272)</f>
        <v>4752.4540376967307</v>
      </c>
      <c r="I272" s="36">
        <f t="shared" ref="I272:I335" si="74">IF(J272&gt;$F$3,0,C272-F272-H272)</f>
        <v>1381785.2004001115</v>
      </c>
      <c r="J272" s="2">
        <f t="shared" si="65"/>
        <v>259</v>
      </c>
      <c r="K272" s="44">
        <f t="shared" si="66"/>
        <v>6.9243826282994192E-3</v>
      </c>
      <c r="L272" s="41">
        <f t="shared" si="67"/>
        <v>0.45</v>
      </c>
      <c r="M272" s="42">
        <f t="shared" si="64"/>
        <v>1</v>
      </c>
      <c r="N272" s="43">
        <f>(VLOOKUP(MONTH('Amortization Model 101'!$B272),Seasonality,2,TRUE))</f>
        <v>1.1000000000000001</v>
      </c>
      <c r="O272" s="50">
        <f t="shared" ref="O272:O335" si="75">PRODUCT(K272:N272)</f>
        <v>3.4275694010082128E-3</v>
      </c>
    </row>
    <row r="273" spans="2:15" ht="15" x14ac:dyDescent="0.25">
      <c r="B273" s="57">
        <f t="shared" si="68"/>
        <v>50253</v>
      </c>
      <c r="C273" s="36">
        <f t="shared" si="69"/>
        <v>1381785.2004001115</v>
      </c>
      <c r="D273" s="39">
        <f t="shared" si="63"/>
        <v>17458.485702748192</v>
      </c>
      <c r="E273" s="36">
        <f t="shared" si="70"/>
        <v>6908.9260020005568</v>
      </c>
      <c r="F273" s="36">
        <f t="shared" si="71"/>
        <v>10549.559700747635</v>
      </c>
      <c r="G273" s="36">
        <f t="shared" si="72"/>
        <v>0</v>
      </c>
      <c r="H273" s="38">
        <f t="shared" si="73"/>
        <v>4913.6419292527135</v>
      </c>
      <c r="I273" s="36">
        <f t="shared" si="74"/>
        <v>1366321.998770111</v>
      </c>
      <c r="J273" s="2">
        <f t="shared" si="65"/>
        <v>260</v>
      </c>
      <c r="K273" s="44">
        <f t="shared" si="66"/>
        <v>6.9243826282994192E-3</v>
      </c>
      <c r="L273" s="41">
        <f t="shared" si="67"/>
        <v>0.45</v>
      </c>
      <c r="M273" s="42">
        <f t="shared" si="64"/>
        <v>1</v>
      </c>
      <c r="N273" s="43">
        <f>(VLOOKUP(MONTH('Amortization Model 101'!$B273),Seasonality,2,TRUE))</f>
        <v>1.1499999999999999</v>
      </c>
      <c r="O273" s="50">
        <f t="shared" si="75"/>
        <v>3.5833680101449491E-3</v>
      </c>
    </row>
    <row r="274" spans="2:15" ht="15" x14ac:dyDescent="0.25">
      <c r="B274" s="57">
        <f t="shared" si="68"/>
        <v>50284</v>
      </c>
      <c r="C274" s="36">
        <f t="shared" si="69"/>
        <v>1366321.998770111</v>
      </c>
      <c r="D274" s="39">
        <f t="shared" si="63"/>
        <v>17395.925523575388</v>
      </c>
      <c r="E274" s="36">
        <f t="shared" si="70"/>
        <v>6831.6099938505549</v>
      </c>
      <c r="F274" s="36">
        <f t="shared" si="71"/>
        <v>10564.315529724834</v>
      </c>
      <c r="G274" s="36">
        <f t="shared" si="72"/>
        <v>0</v>
      </c>
      <c r="H274" s="38">
        <f t="shared" si="73"/>
        <v>4773.6886470817099</v>
      </c>
      <c r="I274" s="36">
        <f t="shared" si="74"/>
        <v>1350983.9945933046</v>
      </c>
      <c r="J274" s="2">
        <f t="shared" si="65"/>
        <v>261</v>
      </c>
      <c r="K274" s="44">
        <f t="shared" si="66"/>
        <v>6.9243826282994192E-3</v>
      </c>
      <c r="L274" s="41">
        <f t="shared" si="67"/>
        <v>0.45</v>
      </c>
      <c r="M274" s="42">
        <f t="shared" si="64"/>
        <v>1</v>
      </c>
      <c r="N274" s="43">
        <f>(VLOOKUP(MONTH('Amortization Model 101'!$B274),Seasonality,2,TRUE))</f>
        <v>1.1299999999999999</v>
      </c>
      <c r="O274" s="50">
        <f t="shared" si="75"/>
        <v>3.5210485664902542E-3</v>
      </c>
    </row>
    <row r="275" spans="2:15" ht="15" x14ac:dyDescent="0.25">
      <c r="B275" s="57">
        <f t="shared" si="68"/>
        <v>50314</v>
      </c>
      <c r="C275" s="36">
        <f t="shared" si="69"/>
        <v>1350983.9945933046</v>
      </c>
      <c r="D275" s="39">
        <f t="shared" ref="D275:D338" si="76">-PMT($F$5/12,$F$3-J274,$C275)</f>
        <v>17334.673624947834</v>
      </c>
      <c r="E275" s="36">
        <f t="shared" si="70"/>
        <v>6754.9199729665224</v>
      </c>
      <c r="F275" s="36">
        <f t="shared" si="71"/>
        <v>10579.753651981311</v>
      </c>
      <c r="G275" s="36">
        <f t="shared" si="72"/>
        <v>0</v>
      </c>
      <c r="H275" s="38">
        <f t="shared" si="73"/>
        <v>4218.428951676764</v>
      </c>
      <c r="I275" s="36">
        <f t="shared" si="74"/>
        <v>1336185.8119896466</v>
      </c>
      <c r="J275" s="2">
        <f t="shared" si="65"/>
        <v>262</v>
      </c>
      <c r="K275" s="44">
        <f t="shared" si="66"/>
        <v>6.9243826282994192E-3</v>
      </c>
      <c r="L275" s="41">
        <f t="shared" si="67"/>
        <v>0.45</v>
      </c>
      <c r="M275" s="42">
        <f t="shared" si="64"/>
        <v>1</v>
      </c>
      <c r="N275" s="43">
        <f>(VLOOKUP(MONTH('Amortization Model 101'!$B275),Seasonality,2,TRUE))</f>
        <v>1.01</v>
      </c>
      <c r="O275" s="50">
        <f t="shared" si="75"/>
        <v>3.1471319045620859E-3</v>
      </c>
    </row>
    <row r="276" spans="2:15" ht="15" x14ac:dyDescent="0.25">
      <c r="B276" s="57">
        <f t="shared" si="68"/>
        <v>50345</v>
      </c>
      <c r="C276" s="36">
        <f t="shared" si="69"/>
        <v>1336185.8119896466</v>
      </c>
      <c r="D276" s="39">
        <f t="shared" si="76"/>
        <v>17280.119120527594</v>
      </c>
      <c r="E276" s="36">
        <f t="shared" si="70"/>
        <v>6680.9290599482329</v>
      </c>
      <c r="F276" s="36">
        <f t="shared" si="71"/>
        <v>10599.19006057936</v>
      </c>
      <c r="G276" s="36">
        <f t="shared" si="72"/>
        <v>0</v>
      </c>
      <c r="H276" s="38">
        <f t="shared" si="73"/>
        <v>3552.2222941732043</v>
      </c>
      <c r="I276" s="36">
        <f t="shared" si="74"/>
        <v>1322034.399634894</v>
      </c>
      <c r="J276" s="2">
        <f t="shared" si="65"/>
        <v>263</v>
      </c>
      <c r="K276" s="44">
        <f t="shared" si="66"/>
        <v>6.9243826282994192E-3</v>
      </c>
      <c r="L276" s="41">
        <f t="shared" si="67"/>
        <v>0.45</v>
      </c>
      <c r="M276" s="42">
        <f t="shared" si="64"/>
        <v>1</v>
      </c>
      <c r="N276" s="43">
        <f>(VLOOKUP(MONTH('Amortization Model 101'!$B276),Seasonality,2,TRUE))</f>
        <v>0.86</v>
      </c>
      <c r="O276" s="50">
        <f t="shared" si="75"/>
        <v>2.679736077151875E-3</v>
      </c>
    </row>
    <row r="277" spans="2:15" ht="15" x14ac:dyDescent="0.25">
      <c r="B277" s="57">
        <f t="shared" si="68"/>
        <v>50375</v>
      </c>
      <c r="C277" s="36">
        <f t="shared" si="69"/>
        <v>1322034.399634894</v>
      </c>
      <c r="D277" s="39">
        <f t="shared" si="76"/>
        <v>17233.81296190283</v>
      </c>
      <c r="E277" s="36">
        <f t="shared" si="70"/>
        <v>6610.1719981744691</v>
      </c>
      <c r="F277" s="36">
        <f t="shared" si="71"/>
        <v>10623.640963728361</v>
      </c>
      <c r="G277" s="36">
        <f t="shared" si="72"/>
        <v>0</v>
      </c>
      <c r="H277" s="40">
        <f t="shared" si="73"/>
        <v>3677.6874997425707</v>
      </c>
      <c r="I277" s="36">
        <f t="shared" si="74"/>
        <v>1307733.0711714232</v>
      </c>
      <c r="J277" s="2">
        <f t="shared" si="65"/>
        <v>264</v>
      </c>
      <c r="K277" s="44">
        <f t="shared" si="66"/>
        <v>6.9243826282994192E-3</v>
      </c>
      <c r="L277" s="41">
        <f t="shared" si="67"/>
        <v>0.45</v>
      </c>
      <c r="M277" s="42">
        <f t="shared" si="64"/>
        <v>1</v>
      </c>
      <c r="N277" s="43">
        <f>(VLOOKUP(MONTH('Amortization Model 101'!$B277),Seasonality,2,TRUE))</f>
        <v>0.9</v>
      </c>
      <c r="O277" s="50">
        <f t="shared" si="75"/>
        <v>2.8043749644612649E-3</v>
      </c>
    </row>
    <row r="278" spans="2:15" ht="15" x14ac:dyDescent="0.25">
      <c r="B278" s="57">
        <f t="shared" si="68"/>
        <v>50406</v>
      </c>
      <c r="C278" s="36">
        <f t="shared" si="69"/>
        <v>1307733.0711714232</v>
      </c>
      <c r="D278" s="39">
        <f t="shared" si="76"/>
        <v>17185.482888290262</v>
      </c>
      <c r="E278" s="36">
        <f t="shared" si="70"/>
        <v>6538.6653558571161</v>
      </c>
      <c r="F278" s="36">
        <f t="shared" si="71"/>
        <v>10646.817532433146</v>
      </c>
      <c r="G278" s="36">
        <f t="shared" si="72"/>
        <v>0</v>
      </c>
      <c r="H278" s="38">
        <f t="shared" si="73"/>
        <v>3597.0993696025707</v>
      </c>
      <c r="I278" s="36">
        <f t="shared" si="74"/>
        <v>1293489.1542693875</v>
      </c>
      <c r="J278" s="2">
        <f t="shared" si="65"/>
        <v>265</v>
      </c>
      <c r="K278" s="44">
        <f t="shared" si="66"/>
        <v>6.9243826282994192E-3</v>
      </c>
      <c r="L278" s="41">
        <f t="shared" si="67"/>
        <v>0.45</v>
      </c>
      <c r="M278" s="42">
        <f t="shared" si="64"/>
        <v>1</v>
      </c>
      <c r="N278" s="43">
        <f>(VLOOKUP(MONTH('Amortization Model 101'!$B278),Seasonality,2,TRUE))</f>
        <v>0.89</v>
      </c>
      <c r="O278" s="50">
        <f t="shared" si="75"/>
        <v>2.7732152426339176E-3</v>
      </c>
    </row>
    <row r="279" spans="2:15" ht="15" x14ac:dyDescent="0.25">
      <c r="B279" s="57">
        <f t="shared" si="68"/>
        <v>50437</v>
      </c>
      <c r="C279" s="36">
        <f t="shared" si="69"/>
        <v>1293489.1542693875</v>
      </c>
      <c r="D279" s="39">
        <f t="shared" si="76"/>
        <v>17137.823845192434</v>
      </c>
      <c r="E279" s="36">
        <f t="shared" si="70"/>
        <v>6467.4457713469374</v>
      </c>
      <c r="F279" s="36">
        <f t="shared" si="71"/>
        <v>10670.378073845495</v>
      </c>
      <c r="G279" s="36">
        <f t="shared" si="72"/>
        <v>0</v>
      </c>
      <c r="H279" s="38">
        <f t="shared" si="73"/>
        <v>3597.5048599036163</v>
      </c>
      <c r="I279" s="36">
        <f t="shared" si="74"/>
        <v>1279221.2713356384</v>
      </c>
      <c r="J279" s="2">
        <f t="shared" si="65"/>
        <v>266</v>
      </c>
      <c r="K279" s="44">
        <f t="shared" si="66"/>
        <v>6.9243826282994192E-3</v>
      </c>
      <c r="L279" s="41">
        <f t="shared" si="67"/>
        <v>0.45</v>
      </c>
      <c r="M279" s="42">
        <f t="shared" si="64"/>
        <v>1</v>
      </c>
      <c r="N279" s="43">
        <f>(VLOOKUP(MONTH('Amortization Model 101'!$B279),Seasonality,2,TRUE))</f>
        <v>0.9</v>
      </c>
      <c r="O279" s="50">
        <f t="shared" si="75"/>
        <v>2.8043749644612649E-3</v>
      </c>
    </row>
    <row r="280" spans="2:15" ht="15" x14ac:dyDescent="0.25">
      <c r="B280" s="57">
        <f t="shared" si="68"/>
        <v>50465</v>
      </c>
      <c r="C280" s="36">
        <f t="shared" si="69"/>
        <v>1279221.2713356384</v>
      </c>
      <c r="D280" s="39">
        <f t="shared" si="76"/>
        <v>17089.762961055629</v>
      </c>
      <c r="E280" s="36">
        <f t="shared" si="70"/>
        <v>6396.1063566781913</v>
      </c>
      <c r="F280" s="36">
        <f t="shared" si="71"/>
        <v>10693.656604377436</v>
      </c>
      <c r="G280" s="36">
        <f t="shared" si="72"/>
        <v>0</v>
      </c>
      <c r="H280" s="38">
        <f t="shared" si="73"/>
        <v>3755.0619225067858</v>
      </c>
      <c r="I280" s="36">
        <f t="shared" si="74"/>
        <v>1264772.5528087541</v>
      </c>
      <c r="J280" s="2">
        <f t="shared" si="65"/>
        <v>267</v>
      </c>
      <c r="K280" s="44">
        <f t="shared" si="66"/>
        <v>6.9243826282994192E-3</v>
      </c>
      <c r="L280" s="41">
        <f t="shared" si="67"/>
        <v>0.45</v>
      </c>
      <c r="M280" s="42">
        <f t="shared" si="64"/>
        <v>1</v>
      </c>
      <c r="N280" s="43">
        <f>(VLOOKUP(MONTH('Amortization Model 101'!$B280),Seasonality,2,TRUE))</f>
        <v>0.95</v>
      </c>
      <c r="O280" s="50">
        <f t="shared" si="75"/>
        <v>2.9601735735980015E-3</v>
      </c>
    </row>
    <row r="281" spans="2:15" ht="15" x14ac:dyDescent="0.25">
      <c r="B281" s="57">
        <f t="shared" si="68"/>
        <v>50496</v>
      </c>
      <c r="C281" s="36">
        <f t="shared" si="69"/>
        <v>1264772.5528087541</v>
      </c>
      <c r="D281" s="39">
        <f t="shared" si="76"/>
        <v>17039.174296359259</v>
      </c>
      <c r="E281" s="36">
        <f t="shared" si="70"/>
        <v>6323.8627640437708</v>
      </c>
      <c r="F281" s="36">
        <f t="shared" si="71"/>
        <v>10715.311532315489</v>
      </c>
      <c r="G281" s="36">
        <f t="shared" si="72"/>
        <v>0</v>
      </c>
      <c r="H281" s="38">
        <f t="shared" si="73"/>
        <v>3751.3031801994707</v>
      </c>
      <c r="I281" s="36">
        <f t="shared" si="74"/>
        <v>1250305.938096239</v>
      </c>
      <c r="J281" s="2">
        <f t="shared" si="65"/>
        <v>268</v>
      </c>
      <c r="K281" s="44">
        <f t="shared" si="66"/>
        <v>6.9243826282994192E-3</v>
      </c>
      <c r="L281" s="41">
        <f t="shared" si="67"/>
        <v>0.45</v>
      </c>
      <c r="M281" s="42">
        <f t="shared" si="64"/>
        <v>1</v>
      </c>
      <c r="N281" s="43">
        <f>(VLOOKUP(MONTH('Amortization Model 101'!$B281),Seasonality,2,TRUE))</f>
        <v>0.96</v>
      </c>
      <c r="O281" s="50">
        <f t="shared" si="75"/>
        <v>2.9913332954253488E-3</v>
      </c>
    </row>
    <row r="282" spans="2:15" ht="15" x14ac:dyDescent="0.25">
      <c r="B282" s="57">
        <f t="shared" si="68"/>
        <v>50526</v>
      </c>
      <c r="C282" s="36">
        <f t="shared" si="69"/>
        <v>1250305.938096239</v>
      </c>
      <c r="D282" s="39">
        <f t="shared" si="76"/>
        <v>16988.20444696</v>
      </c>
      <c r="E282" s="36">
        <f t="shared" si="70"/>
        <v>6251.5296904811948</v>
      </c>
      <c r="F282" s="36">
        <f t="shared" si="71"/>
        <v>10736.674756478806</v>
      </c>
      <c r="G282" s="36">
        <f t="shared" si="72"/>
        <v>0</v>
      </c>
      <c r="H282" s="38">
        <f t="shared" si="73"/>
        <v>4094.211143728066</v>
      </c>
      <c r="I282" s="36">
        <f t="shared" si="74"/>
        <v>1235475.0521960321</v>
      </c>
      <c r="J282" s="2">
        <f t="shared" si="65"/>
        <v>269</v>
      </c>
      <c r="K282" s="44">
        <f t="shared" si="66"/>
        <v>6.9243826282994192E-3</v>
      </c>
      <c r="L282" s="41">
        <f t="shared" si="67"/>
        <v>0.45</v>
      </c>
      <c r="M282" s="42">
        <f t="shared" si="64"/>
        <v>1</v>
      </c>
      <c r="N282" s="43">
        <f>(VLOOKUP(MONTH('Amortization Model 101'!$B282),Seasonality,2,TRUE))</f>
        <v>1.06</v>
      </c>
      <c r="O282" s="50">
        <f t="shared" si="75"/>
        <v>3.302930513698823E-3</v>
      </c>
    </row>
    <row r="283" spans="2:15" ht="15" x14ac:dyDescent="0.25">
      <c r="B283" s="57">
        <f t="shared" si="68"/>
        <v>50557</v>
      </c>
      <c r="C283" s="36">
        <f t="shared" si="69"/>
        <v>1235475.0521960321</v>
      </c>
      <c r="D283" s="39">
        <f t="shared" si="76"/>
        <v>16932.093588119184</v>
      </c>
      <c r="E283" s="36">
        <f t="shared" si="70"/>
        <v>6177.3752609801604</v>
      </c>
      <c r="F283" s="36">
        <f t="shared" si="71"/>
        <v>10754.718327139024</v>
      </c>
      <c r="G283" s="36">
        <f t="shared" si="72"/>
        <v>0</v>
      </c>
      <c r="H283" s="38">
        <f t="shared" si="73"/>
        <v>4159.6519962419288</v>
      </c>
      <c r="I283" s="36">
        <f t="shared" si="74"/>
        <v>1220560.6818726512</v>
      </c>
      <c r="J283" s="2">
        <f t="shared" si="65"/>
        <v>270</v>
      </c>
      <c r="K283" s="44">
        <f t="shared" si="66"/>
        <v>6.9243826282994192E-3</v>
      </c>
      <c r="L283" s="41">
        <f t="shared" si="67"/>
        <v>0.45</v>
      </c>
      <c r="M283" s="42">
        <f t="shared" si="64"/>
        <v>1</v>
      </c>
      <c r="N283" s="43">
        <f>(VLOOKUP(MONTH('Amortization Model 101'!$B283),Seasonality,2,TRUE))</f>
        <v>1.0900000000000001</v>
      </c>
      <c r="O283" s="50">
        <f t="shared" si="75"/>
        <v>3.3964096791808652E-3</v>
      </c>
    </row>
    <row r="284" spans="2:15" ht="15" x14ac:dyDescent="0.25">
      <c r="B284" s="57">
        <f t="shared" si="68"/>
        <v>50587</v>
      </c>
      <c r="C284" s="36">
        <f t="shared" si="69"/>
        <v>1220560.6818726512</v>
      </c>
      <c r="D284" s="39">
        <f t="shared" si="76"/>
        <v>16874.585261567699</v>
      </c>
      <c r="E284" s="36">
        <f t="shared" si="70"/>
        <v>6102.8034093632559</v>
      </c>
      <c r="F284" s="36">
        <f t="shared" si="71"/>
        <v>10771.781852204444</v>
      </c>
      <c r="G284" s="36">
        <f t="shared" si="72"/>
        <v>0</v>
      </c>
      <c r="H284" s="38">
        <f t="shared" si="73"/>
        <v>4146.6354153894681</v>
      </c>
      <c r="I284" s="36">
        <f t="shared" si="74"/>
        <v>1205642.2646050574</v>
      </c>
      <c r="J284" s="2">
        <f t="shared" si="65"/>
        <v>271</v>
      </c>
      <c r="K284" s="44">
        <f t="shared" si="66"/>
        <v>6.9243826282994192E-3</v>
      </c>
      <c r="L284" s="41">
        <f t="shared" si="67"/>
        <v>0.45</v>
      </c>
      <c r="M284" s="42">
        <f t="shared" si="64"/>
        <v>1</v>
      </c>
      <c r="N284" s="43">
        <f>(VLOOKUP(MONTH('Amortization Model 101'!$B284),Seasonality,2,TRUE))</f>
        <v>1.1000000000000001</v>
      </c>
      <c r="O284" s="50">
        <f t="shared" si="75"/>
        <v>3.4275694010082128E-3</v>
      </c>
    </row>
    <row r="285" spans="2:15" ht="15" x14ac:dyDescent="0.25">
      <c r="B285" s="57">
        <f t="shared" si="68"/>
        <v>50618</v>
      </c>
      <c r="C285" s="36">
        <f t="shared" si="69"/>
        <v>1205642.2646050574</v>
      </c>
      <c r="D285" s="39">
        <f t="shared" si="76"/>
        <v>16816.746449470447</v>
      </c>
      <c r="E285" s="36">
        <f t="shared" si="70"/>
        <v>6028.2113230252871</v>
      </c>
      <c r="F285" s="36">
        <f t="shared" si="71"/>
        <v>10788.53512644516</v>
      </c>
      <c r="G285" s="36">
        <f t="shared" si="72"/>
        <v>0</v>
      </c>
      <c r="H285" s="38">
        <f t="shared" si="73"/>
        <v>4281.6006310160465</v>
      </c>
      <c r="I285" s="36">
        <f t="shared" si="74"/>
        <v>1190572.1288475962</v>
      </c>
      <c r="J285" s="2">
        <f t="shared" si="65"/>
        <v>272</v>
      </c>
      <c r="K285" s="44">
        <f t="shared" si="66"/>
        <v>6.9243826282994192E-3</v>
      </c>
      <c r="L285" s="41">
        <f t="shared" si="67"/>
        <v>0.45</v>
      </c>
      <c r="M285" s="42">
        <f t="shared" si="64"/>
        <v>1</v>
      </c>
      <c r="N285" s="43">
        <f>(VLOOKUP(MONTH('Amortization Model 101'!$B285),Seasonality,2,TRUE))</f>
        <v>1.1499999999999999</v>
      </c>
      <c r="O285" s="50">
        <f t="shared" si="75"/>
        <v>3.5833680101449491E-3</v>
      </c>
    </row>
    <row r="286" spans="2:15" ht="15" x14ac:dyDescent="0.25">
      <c r="B286" s="57">
        <f t="shared" si="68"/>
        <v>50649</v>
      </c>
      <c r="C286" s="36">
        <f t="shared" si="69"/>
        <v>1190572.1288475962</v>
      </c>
      <c r="D286" s="39">
        <f t="shared" si="76"/>
        <v>16756.485858208693</v>
      </c>
      <c r="E286" s="36">
        <f t="shared" si="70"/>
        <v>5952.8606442379814</v>
      </c>
      <c r="F286" s="36">
        <f t="shared" si="71"/>
        <v>10803.62521397071</v>
      </c>
      <c r="G286" s="36">
        <f t="shared" si="72"/>
        <v>0</v>
      </c>
      <c r="H286" s="38">
        <f t="shared" si="73"/>
        <v>4154.0221985095295</v>
      </c>
      <c r="I286" s="36">
        <f t="shared" si="74"/>
        <v>1175614.4814351161</v>
      </c>
      <c r="J286" s="2">
        <f t="shared" si="65"/>
        <v>273</v>
      </c>
      <c r="K286" s="44">
        <f t="shared" si="66"/>
        <v>6.9243826282994192E-3</v>
      </c>
      <c r="L286" s="41">
        <f t="shared" si="67"/>
        <v>0.45</v>
      </c>
      <c r="M286" s="42">
        <f t="shared" si="64"/>
        <v>1</v>
      </c>
      <c r="N286" s="43">
        <f>(VLOOKUP(MONTH('Amortization Model 101'!$B286),Seasonality,2,TRUE))</f>
        <v>1.1299999999999999</v>
      </c>
      <c r="O286" s="50">
        <f t="shared" si="75"/>
        <v>3.5210485664902542E-3</v>
      </c>
    </row>
    <row r="287" spans="2:15" ht="15" x14ac:dyDescent="0.25">
      <c r="B287" s="57">
        <f t="shared" si="68"/>
        <v>50679</v>
      </c>
      <c r="C287" s="36">
        <f t="shared" si="69"/>
        <v>1175614.4814351161</v>
      </c>
      <c r="D287" s="39">
        <f t="shared" si="76"/>
        <v>16697.485457698236</v>
      </c>
      <c r="E287" s="36">
        <f t="shared" si="70"/>
        <v>5878.0724071755803</v>
      </c>
      <c r="F287" s="36">
        <f t="shared" si="71"/>
        <v>10819.413050522657</v>
      </c>
      <c r="G287" s="36">
        <f t="shared" si="72"/>
        <v>0</v>
      </c>
      <c r="H287" s="38">
        <f t="shared" si="73"/>
        <v>3665.763721989731</v>
      </c>
      <c r="I287" s="36">
        <f t="shared" si="74"/>
        <v>1161129.3046626039</v>
      </c>
      <c r="J287" s="2">
        <f t="shared" si="65"/>
        <v>274</v>
      </c>
      <c r="K287" s="44">
        <f t="shared" si="66"/>
        <v>6.9243826282994192E-3</v>
      </c>
      <c r="L287" s="41">
        <f t="shared" si="67"/>
        <v>0.45</v>
      </c>
      <c r="M287" s="42">
        <f t="shared" si="64"/>
        <v>1</v>
      </c>
      <c r="N287" s="43">
        <f>(VLOOKUP(MONTH('Amortization Model 101'!$B287),Seasonality,2,TRUE))</f>
        <v>1.01</v>
      </c>
      <c r="O287" s="50">
        <f t="shared" si="75"/>
        <v>3.1471319045620859E-3</v>
      </c>
    </row>
    <row r="288" spans="2:15" ht="15" x14ac:dyDescent="0.25">
      <c r="B288" s="57">
        <f t="shared" si="68"/>
        <v>50710</v>
      </c>
      <c r="C288" s="36">
        <f t="shared" si="69"/>
        <v>1161129.3046626039</v>
      </c>
      <c r="D288" s="39">
        <f t="shared" si="76"/>
        <v>16644.936268488356</v>
      </c>
      <c r="E288" s="36">
        <f t="shared" si="70"/>
        <v>5805.6465233130193</v>
      </c>
      <c r="F288" s="36">
        <f t="shared" si="71"/>
        <v>10839.289745175338</v>
      </c>
      <c r="G288" s="36">
        <f t="shared" si="72"/>
        <v>0</v>
      </c>
      <c r="H288" s="38">
        <f t="shared" si="73"/>
        <v>3082.473652161802</v>
      </c>
      <c r="I288" s="36">
        <f t="shared" si="74"/>
        <v>1147207.5412652667</v>
      </c>
      <c r="J288" s="2">
        <f t="shared" si="65"/>
        <v>275</v>
      </c>
      <c r="K288" s="44">
        <f t="shared" si="66"/>
        <v>6.9243826282994192E-3</v>
      </c>
      <c r="L288" s="41">
        <f t="shared" si="67"/>
        <v>0.45</v>
      </c>
      <c r="M288" s="42">
        <f t="shared" si="64"/>
        <v>1</v>
      </c>
      <c r="N288" s="43">
        <f>(VLOOKUP(MONTH('Amortization Model 101'!$B288),Seasonality,2,TRUE))</f>
        <v>0.86</v>
      </c>
      <c r="O288" s="50">
        <f t="shared" si="75"/>
        <v>2.679736077151875E-3</v>
      </c>
    </row>
    <row r="289" spans="2:15" ht="15" x14ac:dyDescent="0.25">
      <c r="B289" s="57">
        <f t="shared" si="68"/>
        <v>50740</v>
      </c>
      <c r="C289" s="36">
        <f t="shared" si="69"/>
        <v>1147207.5412652667</v>
      </c>
      <c r="D289" s="39">
        <f t="shared" si="76"/>
        <v>16600.332232267792</v>
      </c>
      <c r="E289" s="36">
        <f t="shared" si="70"/>
        <v>5736.0377063263331</v>
      </c>
      <c r="F289" s="36">
        <f t="shared" si="71"/>
        <v>10864.294525941459</v>
      </c>
      <c r="G289" s="36">
        <f t="shared" si="72"/>
        <v>0</v>
      </c>
      <c r="H289" s="40">
        <f t="shared" si="73"/>
        <v>3186.732552190394</v>
      </c>
      <c r="I289" s="36">
        <f t="shared" si="74"/>
        <v>1133156.514187135</v>
      </c>
      <c r="J289" s="2">
        <f t="shared" si="65"/>
        <v>276</v>
      </c>
      <c r="K289" s="44">
        <f t="shared" si="66"/>
        <v>6.9243826282994192E-3</v>
      </c>
      <c r="L289" s="41">
        <f t="shared" si="67"/>
        <v>0.45</v>
      </c>
      <c r="M289" s="42">
        <f t="shared" si="64"/>
        <v>1</v>
      </c>
      <c r="N289" s="43">
        <f>(VLOOKUP(MONTH('Amortization Model 101'!$B289),Seasonality,2,TRUE))</f>
        <v>0.9</v>
      </c>
      <c r="O289" s="50">
        <f t="shared" si="75"/>
        <v>2.8043749644612649E-3</v>
      </c>
    </row>
    <row r="290" spans="2:15" ht="15" x14ac:dyDescent="0.25">
      <c r="B290" s="57">
        <f t="shared" si="68"/>
        <v>50771</v>
      </c>
      <c r="C290" s="36">
        <f t="shared" si="69"/>
        <v>1133156.514187135</v>
      </c>
      <c r="D290" s="39">
        <f t="shared" si="76"/>
        <v>16553.778676153881</v>
      </c>
      <c r="E290" s="36">
        <f t="shared" si="70"/>
        <v>5665.7825709356757</v>
      </c>
      <c r="F290" s="36">
        <f t="shared" si="71"/>
        <v>10887.996105218204</v>
      </c>
      <c r="G290" s="36">
        <f t="shared" si="72"/>
        <v>0</v>
      </c>
      <c r="H290" s="38">
        <f t="shared" si="73"/>
        <v>3112.2921606729496</v>
      </c>
      <c r="I290" s="36">
        <f t="shared" si="74"/>
        <v>1119156.2259212439</v>
      </c>
      <c r="J290" s="2">
        <f t="shared" si="65"/>
        <v>277</v>
      </c>
      <c r="K290" s="44">
        <f t="shared" si="66"/>
        <v>6.9243826282994192E-3</v>
      </c>
      <c r="L290" s="41">
        <f t="shared" si="67"/>
        <v>0.45</v>
      </c>
      <c r="M290" s="42">
        <f t="shared" si="64"/>
        <v>1</v>
      </c>
      <c r="N290" s="43">
        <f>(VLOOKUP(MONTH('Amortization Model 101'!$B290),Seasonality,2,TRUE))</f>
        <v>0.89</v>
      </c>
      <c r="O290" s="50">
        <f t="shared" si="75"/>
        <v>2.7732152426339176E-3</v>
      </c>
    </row>
    <row r="291" spans="2:15" ht="15" x14ac:dyDescent="0.25">
      <c r="B291" s="57">
        <f t="shared" si="68"/>
        <v>50802</v>
      </c>
      <c r="C291" s="36">
        <f t="shared" si="69"/>
        <v>1119156.2259212439</v>
      </c>
      <c r="D291" s="39">
        <f t="shared" si="76"/>
        <v>16507.871484805986</v>
      </c>
      <c r="E291" s="36">
        <f t="shared" si="70"/>
        <v>5595.78112960622</v>
      </c>
      <c r="F291" s="36">
        <f t="shared" si="71"/>
        <v>10912.090355199765</v>
      </c>
      <c r="G291" s="36">
        <f t="shared" si="72"/>
        <v>0</v>
      </c>
      <c r="H291" s="38">
        <f t="shared" si="73"/>
        <v>3107.9321082924303</v>
      </c>
      <c r="I291" s="36">
        <f t="shared" si="74"/>
        <v>1105136.2034577518</v>
      </c>
      <c r="J291" s="2">
        <f t="shared" si="65"/>
        <v>278</v>
      </c>
      <c r="K291" s="44">
        <f t="shared" si="66"/>
        <v>6.9243826282994192E-3</v>
      </c>
      <c r="L291" s="41">
        <f t="shared" si="67"/>
        <v>0.45</v>
      </c>
      <c r="M291" s="42">
        <f t="shared" si="64"/>
        <v>1</v>
      </c>
      <c r="N291" s="43">
        <f>(VLOOKUP(MONTH('Amortization Model 101'!$B291),Seasonality,2,TRUE))</f>
        <v>0.9</v>
      </c>
      <c r="O291" s="50">
        <f t="shared" si="75"/>
        <v>2.8043749644612649E-3</v>
      </c>
    </row>
    <row r="292" spans="2:15" ht="15" x14ac:dyDescent="0.25">
      <c r="B292" s="57">
        <f t="shared" si="68"/>
        <v>50830</v>
      </c>
      <c r="C292" s="36">
        <f t="shared" si="69"/>
        <v>1105136.2034577518</v>
      </c>
      <c r="D292" s="39">
        <f t="shared" si="76"/>
        <v>16461.577223297456</v>
      </c>
      <c r="E292" s="36">
        <f t="shared" si="70"/>
        <v>5525.681017288759</v>
      </c>
      <c r="F292" s="36">
        <f t="shared" si="71"/>
        <v>10935.896206008696</v>
      </c>
      <c r="G292" s="36">
        <f t="shared" si="72"/>
        <v>0</v>
      </c>
      <c r="H292" s="38">
        <f t="shared" si="73"/>
        <v>3239.0228337494236</v>
      </c>
      <c r="I292" s="36">
        <f t="shared" si="74"/>
        <v>1090961.2844179936</v>
      </c>
      <c r="J292" s="2">
        <f t="shared" si="65"/>
        <v>279</v>
      </c>
      <c r="K292" s="44">
        <f t="shared" si="66"/>
        <v>6.9243826282994192E-3</v>
      </c>
      <c r="L292" s="41">
        <f t="shared" si="67"/>
        <v>0.45</v>
      </c>
      <c r="M292" s="42">
        <f t="shared" si="64"/>
        <v>1</v>
      </c>
      <c r="N292" s="43">
        <f>(VLOOKUP(MONTH('Amortization Model 101'!$B292),Seasonality,2,TRUE))</f>
        <v>0.95</v>
      </c>
      <c r="O292" s="50">
        <f t="shared" si="75"/>
        <v>2.9601735735980015E-3</v>
      </c>
    </row>
    <row r="293" spans="2:15" ht="15" x14ac:dyDescent="0.25">
      <c r="B293" s="57">
        <f t="shared" si="68"/>
        <v>50861</v>
      </c>
      <c r="C293" s="36">
        <f t="shared" si="69"/>
        <v>1090961.2844179936</v>
      </c>
      <c r="D293" s="39">
        <f t="shared" si="76"/>
        <v>16412.848097421305</v>
      </c>
      <c r="E293" s="36">
        <f t="shared" si="70"/>
        <v>5454.8064220899678</v>
      </c>
      <c r="F293" s="36">
        <f t="shared" si="71"/>
        <v>10958.041675331337</v>
      </c>
      <c r="G293" s="36">
        <f t="shared" si="72"/>
        <v>0</v>
      </c>
      <c r="H293" s="38">
        <f t="shared" si="73"/>
        <v>3230.6496591834712</v>
      </c>
      <c r="I293" s="36">
        <f t="shared" si="74"/>
        <v>1076772.5930834787</v>
      </c>
      <c r="J293" s="2">
        <f t="shared" si="65"/>
        <v>280</v>
      </c>
      <c r="K293" s="44">
        <f t="shared" si="66"/>
        <v>6.9243826282994192E-3</v>
      </c>
      <c r="L293" s="41">
        <f t="shared" si="67"/>
        <v>0.45</v>
      </c>
      <c r="M293" s="42">
        <f t="shared" si="64"/>
        <v>1</v>
      </c>
      <c r="N293" s="43">
        <f>(VLOOKUP(MONTH('Amortization Model 101'!$B293),Seasonality,2,TRUE))</f>
        <v>0.96</v>
      </c>
      <c r="O293" s="50">
        <f t="shared" si="75"/>
        <v>2.9913332954253488E-3</v>
      </c>
    </row>
    <row r="294" spans="2:15" ht="15" x14ac:dyDescent="0.25">
      <c r="B294" s="57">
        <f t="shared" si="68"/>
        <v>50891</v>
      </c>
      <c r="C294" s="36">
        <f t="shared" si="69"/>
        <v>1076772.5930834787</v>
      </c>
      <c r="D294" s="39">
        <f t="shared" si="76"/>
        <v>16363.751798434731</v>
      </c>
      <c r="E294" s="36">
        <f t="shared" si="70"/>
        <v>5383.8629654173938</v>
      </c>
      <c r="F294" s="36">
        <f t="shared" si="71"/>
        <v>10979.888833017336</v>
      </c>
      <c r="G294" s="36">
        <f t="shared" si="72"/>
        <v>0</v>
      </c>
      <c r="H294" s="38">
        <f t="shared" si="73"/>
        <v>3520.2392441464344</v>
      </c>
      <c r="I294" s="36">
        <f t="shared" si="74"/>
        <v>1062272.4650063149</v>
      </c>
      <c r="J294" s="2">
        <f t="shared" si="65"/>
        <v>281</v>
      </c>
      <c r="K294" s="44">
        <f t="shared" si="66"/>
        <v>6.9243826282994192E-3</v>
      </c>
      <c r="L294" s="41">
        <f t="shared" si="67"/>
        <v>0.45</v>
      </c>
      <c r="M294" s="42">
        <f t="shared" si="64"/>
        <v>1</v>
      </c>
      <c r="N294" s="43">
        <f>(VLOOKUP(MONTH('Amortization Model 101'!$B294),Seasonality,2,TRUE))</f>
        <v>1.06</v>
      </c>
      <c r="O294" s="50">
        <f t="shared" si="75"/>
        <v>3.302930513698823E-3</v>
      </c>
    </row>
    <row r="295" spans="2:15" ht="15" x14ac:dyDescent="0.25">
      <c r="B295" s="57">
        <f t="shared" si="68"/>
        <v>50922</v>
      </c>
      <c r="C295" s="36">
        <f t="shared" si="69"/>
        <v>1062272.4650063149</v>
      </c>
      <c r="D295" s="39">
        <f t="shared" si="76"/>
        <v>16309.703463301084</v>
      </c>
      <c r="E295" s="36">
        <f t="shared" si="70"/>
        <v>5311.362325031575</v>
      </c>
      <c r="F295" s="36">
        <f t="shared" si="71"/>
        <v>10998.341138269509</v>
      </c>
      <c r="G295" s="36">
        <f t="shared" si="72"/>
        <v>0</v>
      </c>
      <c r="H295" s="38">
        <f t="shared" si="73"/>
        <v>3570.557609777813</v>
      </c>
      <c r="I295" s="36">
        <f t="shared" si="74"/>
        <v>1047703.5662582676</v>
      </c>
      <c r="J295" s="2">
        <f t="shared" si="65"/>
        <v>282</v>
      </c>
      <c r="K295" s="44">
        <f t="shared" si="66"/>
        <v>6.9243826282994192E-3</v>
      </c>
      <c r="L295" s="41">
        <f t="shared" si="67"/>
        <v>0.45</v>
      </c>
      <c r="M295" s="42">
        <f t="shared" si="64"/>
        <v>1</v>
      </c>
      <c r="N295" s="43">
        <f>(VLOOKUP(MONTH('Amortization Model 101'!$B295),Seasonality,2,TRUE))</f>
        <v>1.0900000000000001</v>
      </c>
      <c r="O295" s="50">
        <f t="shared" si="75"/>
        <v>3.3964096791808652E-3</v>
      </c>
    </row>
    <row r="296" spans="2:15" ht="15" x14ac:dyDescent="0.25">
      <c r="B296" s="57">
        <f t="shared" si="68"/>
        <v>50952</v>
      </c>
      <c r="C296" s="36">
        <f t="shared" si="69"/>
        <v>1047703.5662582676</v>
      </c>
      <c r="D296" s="39">
        <f t="shared" si="76"/>
        <v>16254.309028593756</v>
      </c>
      <c r="E296" s="36">
        <f t="shared" si="70"/>
        <v>5238.5178312913376</v>
      </c>
      <c r="F296" s="36">
        <f t="shared" si="71"/>
        <v>11015.791197302418</v>
      </c>
      <c r="G296" s="36">
        <f t="shared" si="72"/>
        <v>0</v>
      </c>
      <c r="H296" s="38">
        <f t="shared" si="73"/>
        <v>3553.3192961982495</v>
      </c>
      <c r="I296" s="36">
        <f t="shared" si="74"/>
        <v>1033134.455764767</v>
      </c>
      <c r="J296" s="2">
        <f t="shared" si="65"/>
        <v>283</v>
      </c>
      <c r="K296" s="44">
        <f t="shared" si="66"/>
        <v>6.9243826282994192E-3</v>
      </c>
      <c r="L296" s="41">
        <f t="shared" si="67"/>
        <v>0.45</v>
      </c>
      <c r="M296" s="42">
        <f t="shared" si="64"/>
        <v>1</v>
      </c>
      <c r="N296" s="43">
        <f>(VLOOKUP(MONTH('Amortization Model 101'!$B296),Seasonality,2,TRUE))</f>
        <v>1.1000000000000001</v>
      </c>
      <c r="O296" s="50">
        <f t="shared" si="75"/>
        <v>3.4275694010082128E-3</v>
      </c>
    </row>
    <row r="297" spans="2:15" ht="15" x14ac:dyDescent="0.25">
      <c r="B297" s="57">
        <f t="shared" si="68"/>
        <v>50983</v>
      </c>
      <c r="C297" s="36">
        <f t="shared" si="69"/>
        <v>1033134.455764767</v>
      </c>
      <c r="D297" s="39">
        <f t="shared" si="76"/>
        <v>16198.596256332821</v>
      </c>
      <c r="E297" s="36">
        <f t="shared" si="70"/>
        <v>5165.6722788238349</v>
      </c>
      <c r="F297" s="36">
        <f t="shared" si="71"/>
        <v>11032.923977508986</v>
      </c>
      <c r="G297" s="36">
        <f t="shared" si="72"/>
        <v>0</v>
      </c>
      <c r="H297" s="38">
        <f t="shared" si="73"/>
        <v>3662.5659321266112</v>
      </c>
      <c r="I297" s="36">
        <f t="shared" si="74"/>
        <v>1018438.9658551314</v>
      </c>
      <c r="J297" s="2">
        <f t="shared" si="65"/>
        <v>284</v>
      </c>
      <c r="K297" s="44">
        <f t="shared" si="66"/>
        <v>6.9243826282994192E-3</v>
      </c>
      <c r="L297" s="41">
        <f t="shared" si="67"/>
        <v>0.45</v>
      </c>
      <c r="M297" s="42">
        <f t="shared" si="64"/>
        <v>1</v>
      </c>
      <c r="N297" s="43">
        <f>(VLOOKUP(MONTH('Amortization Model 101'!$B297),Seasonality,2,TRUE))</f>
        <v>1.1499999999999999</v>
      </c>
      <c r="O297" s="50">
        <f t="shared" si="75"/>
        <v>3.5833680101449491E-3</v>
      </c>
    </row>
    <row r="298" spans="2:15" ht="15" x14ac:dyDescent="0.25">
      <c r="B298" s="57">
        <f t="shared" si="68"/>
        <v>51014</v>
      </c>
      <c r="C298" s="36">
        <f t="shared" si="69"/>
        <v>1018438.9658551314</v>
      </c>
      <c r="D298" s="39">
        <f t="shared" si="76"/>
        <v>16140.550724698625</v>
      </c>
      <c r="E298" s="36">
        <f t="shared" si="70"/>
        <v>5092.194829275657</v>
      </c>
      <c r="F298" s="36">
        <f t="shared" si="71"/>
        <v>11048.355895422968</v>
      </c>
      <c r="G298" s="36">
        <f t="shared" si="72"/>
        <v>0</v>
      </c>
      <c r="H298" s="38">
        <f t="shared" si="73"/>
        <v>3547.071263094374</v>
      </c>
      <c r="I298" s="36">
        <f t="shared" si="74"/>
        <v>1003843.5386966141</v>
      </c>
      <c r="J298" s="2">
        <f t="shared" si="65"/>
        <v>285</v>
      </c>
      <c r="K298" s="44">
        <f t="shared" si="66"/>
        <v>6.9243826282994192E-3</v>
      </c>
      <c r="L298" s="41">
        <f t="shared" si="67"/>
        <v>0.45</v>
      </c>
      <c r="M298" s="42">
        <f t="shared" si="64"/>
        <v>1</v>
      </c>
      <c r="N298" s="43">
        <f>(VLOOKUP(MONTH('Amortization Model 101'!$B298),Seasonality,2,TRUE))</f>
        <v>1.1299999999999999</v>
      </c>
      <c r="O298" s="50">
        <f t="shared" si="75"/>
        <v>3.5210485664902542E-3</v>
      </c>
    </row>
    <row r="299" spans="2:15" ht="15" x14ac:dyDescent="0.25">
      <c r="B299" s="57">
        <f t="shared" si="68"/>
        <v>51044</v>
      </c>
      <c r="C299" s="36">
        <f t="shared" si="69"/>
        <v>1003843.5386966141</v>
      </c>
      <c r="D299" s="39">
        <f t="shared" si="76"/>
        <v>16083.719061707061</v>
      </c>
      <c r="E299" s="36">
        <f t="shared" si="70"/>
        <v>5019.2176934830704</v>
      </c>
      <c r="F299" s="36">
        <f t="shared" si="71"/>
        <v>11064.501368223991</v>
      </c>
      <c r="G299" s="36">
        <f t="shared" si="72"/>
        <v>0</v>
      </c>
      <c r="H299" s="38">
        <f t="shared" si="73"/>
        <v>3124.4065825566104</v>
      </c>
      <c r="I299" s="36">
        <f t="shared" si="74"/>
        <v>989654.63074583339</v>
      </c>
      <c r="J299" s="2">
        <f t="shared" si="65"/>
        <v>286</v>
      </c>
      <c r="K299" s="44">
        <f t="shared" si="66"/>
        <v>6.9243826282994192E-3</v>
      </c>
      <c r="L299" s="41">
        <f t="shared" si="67"/>
        <v>0.45</v>
      </c>
      <c r="M299" s="42">
        <f t="shared" si="64"/>
        <v>1</v>
      </c>
      <c r="N299" s="43">
        <f>(VLOOKUP(MONTH('Amortization Model 101'!$B299),Seasonality,2,TRUE))</f>
        <v>1.01</v>
      </c>
      <c r="O299" s="50">
        <f t="shared" si="75"/>
        <v>3.1471319045620859E-3</v>
      </c>
    </row>
    <row r="300" spans="2:15" ht="15" x14ac:dyDescent="0.25">
      <c r="B300" s="57">
        <f t="shared" si="68"/>
        <v>51075</v>
      </c>
      <c r="C300" s="36">
        <f t="shared" si="69"/>
        <v>989654.63074583339</v>
      </c>
      <c r="D300" s="39">
        <f t="shared" si="76"/>
        <v>16033.101476303947</v>
      </c>
      <c r="E300" s="36">
        <f t="shared" si="70"/>
        <v>4948.2731537291666</v>
      </c>
      <c r="F300" s="36">
        <f t="shared" si="71"/>
        <v>11084.82832257478</v>
      </c>
      <c r="G300" s="36">
        <f t="shared" si="72"/>
        <v>0</v>
      </c>
      <c r="H300" s="38">
        <f t="shared" si="73"/>
        <v>2622.3088035649885</v>
      </c>
      <c r="I300" s="36">
        <f t="shared" si="74"/>
        <v>975947.49361969368</v>
      </c>
      <c r="J300" s="2">
        <f t="shared" si="65"/>
        <v>287</v>
      </c>
      <c r="K300" s="44">
        <f t="shared" si="66"/>
        <v>6.9243826282994192E-3</v>
      </c>
      <c r="L300" s="41">
        <f t="shared" si="67"/>
        <v>0.45</v>
      </c>
      <c r="M300" s="42">
        <f t="shared" si="64"/>
        <v>1</v>
      </c>
      <c r="N300" s="43">
        <f>(VLOOKUP(MONTH('Amortization Model 101'!$B300),Seasonality,2,TRUE))</f>
        <v>0.86</v>
      </c>
      <c r="O300" s="50">
        <f t="shared" si="75"/>
        <v>2.679736077151875E-3</v>
      </c>
    </row>
    <row r="301" spans="2:15" ht="15" x14ac:dyDescent="0.25">
      <c r="B301" s="57">
        <f t="shared" si="68"/>
        <v>51105</v>
      </c>
      <c r="C301" s="36">
        <f t="shared" si="69"/>
        <v>975947.49361969368</v>
      </c>
      <c r="D301" s="39">
        <f t="shared" si="76"/>
        <v>15990.136995849263</v>
      </c>
      <c r="E301" s="36">
        <f t="shared" si="70"/>
        <v>4879.7374680984676</v>
      </c>
      <c r="F301" s="36">
        <f t="shared" si="71"/>
        <v>11110.399527750797</v>
      </c>
      <c r="G301" s="36">
        <f t="shared" si="72"/>
        <v>0</v>
      </c>
      <c r="H301" s="40">
        <f t="shared" si="73"/>
        <v>2705.7649914550025</v>
      </c>
      <c r="I301" s="36">
        <f t="shared" si="74"/>
        <v>962131.32910048787</v>
      </c>
      <c r="J301" s="2">
        <f t="shared" si="65"/>
        <v>288</v>
      </c>
      <c r="K301" s="44">
        <f t="shared" si="66"/>
        <v>6.9243826282994192E-3</v>
      </c>
      <c r="L301" s="41">
        <f t="shared" si="67"/>
        <v>0.45</v>
      </c>
      <c r="M301" s="42">
        <f t="shared" si="64"/>
        <v>1</v>
      </c>
      <c r="N301" s="43">
        <f>(VLOOKUP(MONTH('Amortization Model 101'!$B301),Seasonality,2,TRUE))</f>
        <v>0.9</v>
      </c>
      <c r="O301" s="50">
        <f t="shared" si="75"/>
        <v>2.8043749644612649E-3</v>
      </c>
    </row>
    <row r="302" spans="2:15" ht="15" x14ac:dyDescent="0.25">
      <c r="B302" s="57">
        <f t="shared" si="68"/>
        <v>51136</v>
      </c>
      <c r="C302" s="36">
        <f t="shared" si="69"/>
        <v>962131.32910048787</v>
      </c>
      <c r="D302" s="39">
        <f t="shared" si="76"/>
        <v>15945.294655979793</v>
      </c>
      <c r="E302" s="36">
        <f t="shared" si="70"/>
        <v>4810.6566455024395</v>
      </c>
      <c r="F302" s="36">
        <f t="shared" si="71"/>
        <v>11134.638010477353</v>
      </c>
      <c r="G302" s="36">
        <f t="shared" si="72"/>
        <v>0</v>
      </c>
      <c r="H302" s="38">
        <f t="shared" si="73"/>
        <v>2637.3185194252364</v>
      </c>
      <c r="I302" s="36">
        <f t="shared" si="74"/>
        <v>948359.37257058534</v>
      </c>
      <c r="J302" s="2">
        <f t="shared" si="65"/>
        <v>289</v>
      </c>
      <c r="K302" s="44">
        <f t="shared" si="66"/>
        <v>6.9243826282994192E-3</v>
      </c>
      <c r="L302" s="41">
        <f t="shared" si="67"/>
        <v>0.45</v>
      </c>
      <c r="M302" s="42">
        <f t="shared" si="64"/>
        <v>1</v>
      </c>
      <c r="N302" s="43">
        <f>(VLOOKUP(MONTH('Amortization Model 101'!$B302),Seasonality,2,TRUE))</f>
        <v>0.89</v>
      </c>
      <c r="O302" s="50">
        <f t="shared" si="75"/>
        <v>2.7732152426339176E-3</v>
      </c>
    </row>
    <row r="303" spans="2:15" ht="15" x14ac:dyDescent="0.25">
      <c r="B303" s="57">
        <f t="shared" si="68"/>
        <v>51167</v>
      </c>
      <c r="C303" s="36">
        <f t="shared" si="69"/>
        <v>948359.37257058534</v>
      </c>
      <c r="D303" s="39">
        <f t="shared" si="76"/>
        <v>15901.074921791542</v>
      </c>
      <c r="E303" s="36">
        <f t="shared" si="70"/>
        <v>4741.7968628529261</v>
      </c>
      <c r="F303" s="36">
        <f t="shared" si="71"/>
        <v>11159.278058938617</v>
      </c>
      <c r="G303" s="36">
        <f t="shared" si="72"/>
        <v>0</v>
      </c>
      <c r="H303" s="38">
        <f t="shared" si="73"/>
        <v>2628.2604817391934</v>
      </c>
      <c r="I303" s="36">
        <f t="shared" si="74"/>
        <v>934571.83402990759</v>
      </c>
      <c r="J303" s="2">
        <f t="shared" si="65"/>
        <v>290</v>
      </c>
      <c r="K303" s="44">
        <f t="shared" si="66"/>
        <v>6.9243826282994192E-3</v>
      </c>
      <c r="L303" s="41">
        <f t="shared" si="67"/>
        <v>0.45</v>
      </c>
      <c r="M303" s="42">
        <f t="shared" si="64"/>
        <v>1</v>
      </c>
      <c r="N303" s="43">
        <f>(VLOOKUP(MONTH('Amortization Model 101'!$B303),Seasonality,2,TRUE))</f>
        <v>0.9</v>
      </c>
      <c r="O303" s="50">
        <f t="shared" si="75"/>
        <v>2.8043749644612649E-3</v>
      </c>
    </row>
    <row r="304" spans="2:15" ht="15" x14ac:dyDescent="0.25">
      <c r="B304" s="57">
        <f t="shared" si="68"/>
        <v>51196</v>
      </c>
      <c r="C304" s="36">
        <f t="shared" si="69"/>
        <v>934571.83402990759</v>
      </c>
      <c r="D304" s="39">
        <f t="shared" si="76"/>
        <v>15856.482345372851</v>
      </c>
      <c r="E304" s="36">
        <f t="shared" si="70"/>
        <v>4672.8591701495379</v>
      </c>
      <c r="F304" s="36">
        <f t="shared" si="71"/>
        <v>11183.623175223314</v>
      </c>
      <c r="G304" s="36">
        <f t="shared" si="72"/>
        <v>0</v>
      </c>
      <c r="H304" s="38">
        <f t="shared" si="73"/>
        <v>2733.3893799439757</v>
      </c>
      <c r="I304" s="36">
        <f t="shared" si="74"/>
        <v>920654.82147474028</v>
      </c>
      <c r="J304" s="2">
        <f t="shared" si="65"/>
        <v>291</v>
      </c>
      <c r="K304" s="44">
        <f t="shared" si="66"/>
        <v>6.9243826282994192E-3</v>
      </c>
      <c r="L304" s="41">
        <f t="shared" si="67"/>
        <v>0.45</v>
      </c>
      <c r="M304" s="42">
        <f t="shared" si="64"/>
        <v>1</v>
      </c>
      <c r="N304" s="43">
        <f>(VLOOKUP(MONTH('Amortization Model 101'!$B304),Seasonality,2,TRUE))</f>
        <v>0.95</v>
      </c>
      <c r="O304" s="50">
        <f t="shared" si="75"/>
        <v>2.9601735735980015E-3</v>
      </c>
    </row>
    <row r="305" spans="2:15" ht="15" x14ac:dyDescent="0.25">
      <c r="B305" s="57">
        <f t="shared" si="68"/>
        <v>51227</v>
      </c>
      <c r="C305" s="36">
        <f t="shared" si="69"/>
        <v>920654.82147474028</v>
      </c>
      <c r="D305" s="39">
        <f t="shared" si="76"/>
        <v>15809.544405363851</v>
      </c>
      <c r="E305" s="36">
        <f t="shared" si="70"/>
        <v>4603.2741073737006</v>
      </c>
      <c r="F305" s="36">
        <f t="shared" si="71"/>
        <v>11206.270297990151</v>
      </c>
      <c r="G305" s="36">
        <f t="shared" si="72"/>
        <v>0</v>
      </c>
      <c r="H305" s="38">
        <f t="shared" si="73"/>
        <v>2720.4637316113567</v>
      </c>
      <c r="I305" s="36">
        <f t="shared" si="74"/>
        <v>906728.08744513872</v>
      </c>
      <c r="J305" s="2">
        <f t="shared" si="65"/>
        <v>292</v>
      </c>
      <c r="K305" s="44">
        <f t="shared" si="66"/>
        <v>6.9243826282994192E-3</v>
      </c>
      <c r="L305" s="41">
        <f t="shared" si="67"/>
        <v>0.45</v>
      </c>
      <c r="M305" s="42">
        <f t="shared" si="64"/>
        <v>1</v>
      </c>
      <c r="N305" s="43">
        <f>(VLOOKUP(MONTH('Amortization Model 101'!$B305),Seasonality,2,TRUE))</f>
        <v>0.96</v>
      </c>
      <c r="O305" s="50">
        <f t="shared" si="75"/>
        <v>2.9913332954253488E-3</v>
      </c>
    </row>
    <row r="306" spans="2:15" ht="15" x14ac:dyDescent="0.25">
      <c r="B306" s="57">
        <f t="shared" si="68"/>
        <v>51257</v>
      </c>
      <c r="C306" s="36">
        <f t="shared" si="69"/>
        <v>906728.08744513872</v>
      </c>
      <c r="D306" s="39">
        <f t="shared" si="76"/>
        <v>15762.252788798582</v>
      </c>
      <c r="E306" s="36">
        <f t="shared" si="70"/>
        <v>4533.6404372256939</v>
      </c>
      <c r="F306" s="36">
        <f t="shared" si="71"/>
        <v>11228.612351572887</v>
      </c>
      <c r="G306" s="36">
        <f t="shared" si="72"/>
        <v>0</v>
      </c>
      <c r="H306" s="38">
        <f t="shared" si="73"/>
        <v>2957.7725412878181</v>
      </c>
      <c r="I306" s="36">
        <f t="shared" si="74"/>
        <v>892541.70255227806</v>
      </c>
      <c r="J306" s="2">
        <f t="shared" si="65"/>
        <v>293</v>
      </c>
      <c r="K306" s="44">
        <f t="shared" si="66"/>
        <v>6.9243826282994192E-3</v>
      </c>
      <c r="L306" s="41">
        <f t="shared" si="67"/>
        <v>0.45</v>
      </c>
      <c r="M306" s="42">
        <f t="shared" si="64"/>
        <v>1</v>
      </c>
      <c r="N306" s="43">
        <f>(VLOOKUP(MONTH('Amortization Model 101'!$B306),Seasonality,2,TRUE))</f>
        <v>1.06</v>
      </c>
      <c r="O306" s="50">
        <f t="shared" si="75"/>
        <v>3.302930513698823E-3</v>
      </c>
    </row>
    <row r="307" spans="2:15" ht="15" x14ac:dyDescent="0.25">
      <c r="B307" s="57">
        <f t="shared" si="68"/>
        <v>51288</v>
      </c>
      <c r="C307" s="36">
        <f t="shared" si="69"/>
        <v>892541.70255227806</v>
      </c>
      <c r="D307" s="39">
        <f t="shared" si="76"/>
        <v>15710.191163097828</v>
      </c>
      <c r="E307" s="36">
        <f t="shared" si="70"/>
        <v>4462.70851276139</v>
      </c>
      <c r="F307" s="36">
        <f t="shared" si="71"/>
        <v>11247.482650336438</v>
      </c>
      <c r="G307" s="36">
        <f t="shared" si="72"/>
        <v>0</v>
      </c>
      <c r="H307" s="38">
        <f t="shared" si="73"/>
        <v>2993.2362186811042</v>
      </c>
      <c r="I307" s="36">
        <f t="shared" si="74"/>
        <v>878300.98368326051</v>
      </c>
      <c r="J307" s="2">
        <f t="shared" si="65"/>
        <v>294</v>
      </c>
      <c r="K307" s="44">
        <f t="shared" si="66"/>
        <v>6.9243826282994192E-3</v>
      </c>
      <c r="L307" s="41">
        <f t="shared" si="67"/>
        <v>0.45</v>
      </c>
      <c r="M307" s="42">
        <f t="shared" si="64"/>
        <v>1</v>
      </c>
      <c r="N307" s="43">
        <f>(VLOOKUP(MONTH('Amortization Model 101'!$B307),Seasonality,2,TRUE))</f>
        <v>1.0900000000000001</v>
      </c>
      <c r="O307" s="50">
        <f t="shared" si="75"/>
        <v>3.3964096791808652E-3</v>
      </c>
    </row>
    <row r="308" spans="2:15" ht="15" x14ac:dyDescent="0.25">
      <c r="B308" s="57">
        <f t="shared" si="68"/>
        <v>51318</v>
      </c>
      <c r="C308" s="36">
        <f t="shared" si="69"/>
        <v>878300.98368326051</v>
      </c>
      <c r="D308" s="39">
        <f t="shared" si="76"/>
        <v>15656.832917769696</v>
      </c>
      <c r="E308" s="36">
        <f t="shared" si="70"/>
        <v>4391.5049184163026</v>
      </c>
      <c r="F308" s="36">
        <f t="shared" si="71"/>
        <v>11265.327999353394</v>
      </c>
      <c r="G308" s="36">
        <f t="shared" si="72"/>
        <v>0</v>
      </c>
      <c r="H308" s="38">
        <f t="shared" si="73"/>
        <v>2971.8248830052526</v>
      </c>
      <c r="I308" s="36">
        <f t="shared" si="74"/>
        <v>864063.83080090187</v>
      </c>
      <c r="J308" s="2">
        <f t="shared" si="65"/>
        <v>295</v>
      </c>
      <c r="K308" s="44">
        <f t="shared" si="66"/>
        <v>6.9243826282994192E-3</v>
      </c>
      <c r="L308" s="41">
        <f t="shared" si="67"/>
        <v>0.45</v>
      </c>
      <c r="M308" s="42">
        <f t="shared" si="64"/>
        <v>1</v>
      </c>
      <c r="N308" s="43">
        <f>(VLOOKUP(MONTH('Amortization Model 101'!$B308),Seasonality,2,TRUE))</f>
        <v>1.1000000000000001</v>
      </c>
      <c r="O308" s="50">
        <f t="shared" si="75"/>
        <v>3.4275694010082128E-3</v>
      </c>
    </row>
    <row r="309" spans="2:15" ht="15" x14ac:dyDescent="0.25">
      <c r="B309" s="57">
        <f t="shared" si="68"/>
        <v>51349</v>
      </c>
      <c r="C309" s="36">
        <f t="shared" si="69"/>
        <v>864063.83080090187</v>
      </c>
      <c r="D309" s="39">
        <f t="shared" si="76"/>
        <v>15603.168036344052</v>
      </c>
      <c r="E309" s="36">
        <f t="shared" si="70"/>
        <v>4320.3191540045091</v>
      </c>
      <c r="F309" s="36">
        <f t="shared" si="71"/>
        <v>11282.848882339542</v>
      </c>
      <c r="G309" s="36">
        <f t="shared" si="72"/>
        <v>0</v>
      </c>
      <c r="H309" s="38">
        <f t="shared" si="73"/>
        <v>3055.8280902669744</v>
      </c>
      <c r="I309" s="36">
        <f t="shared" si="74"/>
        <v>849725.1538282953</v>
      </c>
      <c r="J309" s="2">
        <f t="shared" si="65"/>
        <v>296</v>
      </c>
      <c r="K309" s="44">
        <f t="shared" si="66"/>
        <v>6.9243826282994192E-3</v>
      </c>
      <c r="L309" s="41">
        <f t="shared" si="67"/>
        <v>0.45</v>
      </c>
      <c r="M309" s="42">
        <f t="shared" si="64"/>
        <v>1</v>
      </c>
      <c r="N309" s="43">
        <f>(VLOOKUP(MONTH('Amortization Model 101'!$B309),Seasonality,2,TRUE))</f>
        <v>1.1499999999999999</v>
      </c>
      <c r="O309" s="50">
        <f t="shared" si="75"/>
        <v>3.5833680101449491E-3</v>
      </c>
    </row>
    <row r="310" spans="2:15" ht="15" x14ac:dyDescent="0.25">
      <c r="B310" s="57">
        <f t="shared" si="68"/>
        <v>51380</v>
      </c>
      <c r="C310" s="36">
        <f t="shared" si="69"/>
        <v>849725.1538282953</v>
      </c>
      <c r="D310" s="39">
        <f t="shared" si="76"/>
        <v>15547.256143145702</v>
      </c>
      <c r="E310" s="36">
        <f t="shared" si="70"/>
        <v>4248.6257691414767</v>
      </c>
      <c r="F310" s="36">
        <f t="shared" si="71"/>
        <v>11298.630374004224</v>
      </c>
      <c r="G310" s="36">
        <f t="shared" si="72"/>
        <v>0</v>
      </c>
      <c r="H310" s="38">
        <f t="shared" si="73"/>
        <v>2952.1405085161391</v>
      </c>
      <c r="I310" s="36">
        <f t="shared" si="74"/>
        <v>835474.38294577494</v>
      </c>
      <c r="J310" s="2">
        <f t="shared" si="65"/>
        <v>297</v>
      </c>
      <c r="K310" s="44">
        <f t="shared" si="66"/>
        <v>6.9243826282994192E-3</v>
      </c>
      <c r="L310" s="41">
        <f t="shared" si="67"/>
        <v>0.45</v>
      </c>
      <c r="M310" s="42">
        <f t="shared" si="64"/>
        <v>1</v>
      </c>
      <c r="N310" s="43">
        <f>(VLOOKUP(MONTH('Amortization Model 101'!$B310),Seasonality,2,TRUE))</f>
        <v>1.1299999999999999</v>
      </c>
      <c r="O310" s="50">
        <f t="shared" si="75"/>
        <v>3.5210485664902542E-3</v>
      </c>
    </row>
    <row r="311" spans="2:15" ht="15" x14ac:dyDescent="0.25">
      <c r="B311" s="57">
        <f t="shared" si="68"/>
        <v>51410</v>
      </c>
      <c r="C311" s="36">
        <f t="shared" si="69"/>
        <v>835474.38294577494</v>
      </c>
      <c r="D311" s="39">
        <f t="shared" si="76"/>
        <v>15492.513499190021</v>
      </c>
      <c r="E311" s="36">
        <f t="shared" si="70"/>
        <v>4177.3719147288748</v>
      </c>
      <c r="F311" s="36">
        <f t="shared" si="71"/>
        <v>11315.141584461147</v>
      </c>
      <c r="G311" s="36">
        <f t="shared" si="72"/>
        <v>0</v>
      </c>
      <c r="H311" s="38">
        <f t="shared" si="73"/>
        <v>2593.7378429278751</v>
      </c>
      <c r="I311" s="36">
        <f t="shared" si="74"/>
        <v>821565.50351838581</v>
      </c>
      <c r="J311" s="2">
        <f t="shared" si="65"/>
        <v>298</v>
      </c>
      <c r="K311" s="44">
        <f t="shared" si="66"/>
        <v>6.9243826282994192E-3</v>
      </c>
      <c r="L311" s="41">
        <f t="shared" si="67"/>
        <v>0.45</v>
      </c>
      <c r="M311" s="42">
        <f t="shared" si="64"/>
        <v>1</v>
      </c>
      <c r="N311" s="43">
        <f>(VLOOKUP(MONTH('Amortization Model 101'!$B311),Seasonality,2,TRUE))</f>
        <v>1.01</v>
      </c>
      <c r="O311" s="50">
        <f t="shared" si="75"/>
        <v>3.1471319045620859E-3</v>
      </c>
    </row>
    <row r="312" spans="2:15" ht="15" x14ac:dyDescent="0.25">
      <c r="B312" s="57">
        <f t="shared" si="68"/>
        <v>51441</v>
      </c>
      <c r="C312" s="36">
        <f t="shared" si="69"/>
        <v>821565.50351838581</v>
      </c>
      <c r="D312" s="39">
        <f t="shared" si="76"/>
        <v>15443.756515674859</v>
      </c>
      <c r="E312" s="36">
        <f t="shared" si="70"/>
        <v>4107.8275175919289</v>
      </c>
      <c r="F312" s="36">
        <f t="shared" si="71"/>
        <v>11335.928998082931</v>
      </c>
      <c r="G312" s="36">
        <f t="shared" si="72"/>
        <v>0</v>
      </c>
      <c r="H312" s="38">
        <f t="shared" si="73"/>
        <v>2171.2014216174694</v>
      </c>
      <c r="I312" s="36">
        <f t="shared" si="74"/>
        <v>808058.37309868552</v>
      </c>
      <c r="J312" s="2">
        <f t="shared" si="65"/>
        <v>299</v>
      </c>
      <c r="K312" s="44">
        <f t="shared" si="66"/>
        <v>6.9243826282994192E-3</v>
      </c>
      <c r="L312" s="41">
        <f t="shared" si="67"/>
        <v>0.45</v>
      </c>
      <c r="M312" s="42">
        <f t="shared" si="64"/>
        <v>1</v>
      </c>
      <c r="N312" s="43">
        <f>(VLOOKUP(MONTH('Amortization Model 101'!$B312),Seasonality,2,TRUE))</f>
        <v>0.86</v>
      </c>
      <c r="O312" s="50">
        <f t="shared" si="75"/>
        <v>2.679736077151875E-3</v>
      </c>
    </row>
    <row r="313" spans="2:15" ht="15" x14ac:dyDescent="0.25">
      <c r="B313" s="57">
        <f t="shared" si="68"/>
        <v>51471</v>
      </c>
      <c r="C313" s="36">
        <f t="shared" si="69"/>
        <v>808058.37309868552</v>
      </c>
      <c r="D313" s="39">
        <f t="shared" si="76"/>
        <v>15402.371324173057</v>
      </c>
      <c r="E313" s="36">
        <f t="shared" si="70"/>
        <v>4040.2918654934274</v>
      </c>
      <c r="F313" s="36">
        <f t="shared" si="71"/>
        <v>11362.079458679629</v>
      </c>
      <c r="G313" s="36">
        <f t="shared" si="72"/>
        <v>0</v>
      </c>
      <c r="H313" s="40">
        <f t="shared" si="73"/>
        <v>2234.2351401631131</v>
      </c>
      <c r="I313" s="36">
        <f t="shared" si="74"/>
        <v>794462.05849984277</v>
      </c>
      <c r="J313" s="2">
        <f t="shared" si="65"/>
        <v>300</v>
      </c>
      <c r="K313" s="44">
        <f t="shared" si="66"/>
        <v>6.9243826282994192E-3</v>
      </c>
      <c r="L313" s="41">
        <f t="shared" si="67"/>
        <v>0.45</v>
      </c>
      <c r="M313" s="42">
        <f t="shared" si="64"/>
        <v>1</v>
      </c>
      <c r="N313" s="43">
        <f>(VLOOKUP(MONTH('Amortization Model 101'!$B313),Seasonality,2,TRUE))</f>
        <v>0.9</v>
      </c>
      <c r="O313" s="50">
        <f t="shared" si="75"/>
        <v>2.8043749644612649E-3</v>
      </c>
    </row>
    <row r="314" spans="2:15" ht="15" x14ac:dyDescent="0.25">
      <c r="B314" s="57">
        <f t="shared" si="68"/>
        <v>51502</v>
      </c>
      <c r="C314" s="36">
        <f t="shared" si="69"/>
        <v>794462.05849984277</v>
      </c>
      <c r="D314" s="39">
        <f t="shared" si="76"/>
        <v>15359.17729963821</v>
      </c>
      <c r="E314" s="36">
        <f t="shared" si="70"/>
        <v>3972.310292499214</v>
      </c>
      <c r="F314" s="36">
        <f t="shared" si="71"/>
        <v>11386.867007138995</v>
      </c>
      <c r="G314" s="36">
        <f t="shared" si="72"/>
        <v>0</v>
      </c>
      <c r="H314" s="38">
        <f t="shared" si="73"/>
        <v>2171.6360571760397</v>
      </c>
      <c r="I314" s="36">
        <f t="shared" si="74"/>
        <v>780903.5554355277</v>
      </c>
      <c r="J314" s="2">
        <f t="shared" si="65"/>
        <v>301</v>
      </c>
      <c r="K314" s="44">
        <f t="shared" si="66"/>
        <v>6.9243826282994192E-3</v>
      </c>
      <c r="L314" s="41">
        <f t="shared" si="67"/>
        <v>0.45</v>
      </c>
      <c r="M314" s="42">
        <f t="shared" si="64"/>
        <v>1</v>
      </c>
      <c r="N314" s="43">
        <f>(VLOOKUP(MONTH('Amortization Model 101'!$B314),Seasonality,2,TRUE))</f>
        <v>0.89</v>
      </c>
      <c r="O314" s="50">
        <f t="shared" si="75"/>
        <v>2.7732152426339176E-3</v>
      </c>
    </row>
    <row r="315" spans="2:15" ht="15" x14ac:dyDescent="0.25">
      <c r="B315" s="57">
        <f t="shared" si="68"/>
        <v>51533</v>
      </c>
      <c r="C315" s="36">
        <f t="shared" si="69"/>
        <v>780903.5554355277</v>
      </c>
      <c r="D315" s="39">
        <f t="shared" si="76"/>
        <v>15316.582995036533</v>
      </c>
      <c r="E315" s="36">
        <f t="shared" si="70"/>
        <v>3904.5177771776384</v>
      </c>
      <c r="F315" s="36">
        <f t="shared" si="71"/>
        <v>11412.065217858895</v>
      </c>
      <c r="G315" s="36">
        <f t="shared" si="72"/>
        <v>0</v>
      </c>
      <c r="H315" s="38">
        <f t="shared" si="73"/>
        <v>2157.9426705324208</v>
      </c>
      <c r="I315" s="36">
        <f t="shared" si="74"/>
        <v>767333.54754713643</v>
      </c>
      <c r="J315" s="2">
        <f t="shared" si="65"/>
        <v>302</v>
      </c>
      <c r="K315" s="44">
        <f t="shared" si="66"/>
        <v>6.9243826282994192E-3</v>
      </c>
      <c r="L315" s="41">
        <f t="shared" si="67"/>
        <v>0.45</v>
      </c>
      <c r="M315" s="42">
        <f t="shared" si="64"/>
        <v>1</v>
      </c>
      <c r="N315" s="43">
        <f>(VLOOKUP(MONTH('Amortization Model 101'!$B315),Seasonality,2,TRUE))</f>
        <v>0.9</v>
      </c>
      <c r="O315" s="50">
        <f t="shared" si="75"/>
        <v>2.8043749644612649E-3</v>
      </c>
    </row>
    <row r="316" spans="2:15" ht="15" x14ac:dyDescent="0.25">
      <c r="B316" s="57">
        <f t="shared" si="68"/>
        <v>51561</v>
      </c>
      <c r="C316" s="36">
        <f t="shared" si="69"/>
        <v>767333.54754713643</v>
      </c>
      <c r="D316" s="39">
        <f t="shared" si="76"/>
        <v>15273.629553144165</v>
      </c>
      <c r="E316" s="36">
        <f t="shared" si="70"/>
        <v>3836.6677377356823</v>
      </c>
      <c r="F316" s="36">
        <f t="shared" si="71"/>
        <v>11436.961815408482</v>
      </c>
      <c r="G316" s="36">
        <f t="shared" si="72"/>
        <v>0</v>
      </c>
      <c r="H316" s="38">
        <f t="shared" si="73"/>
        <v>2237.5850974560176</v>
      </c>
      <c r="I316" s="36">
        <f t="shared" si="74"/>
        <v>753659.000634272</v>
      </c>
      <c r="J316" s="2">
        <f t="shared" si="65"/>
        <v>303</v>
      </c>
      <c r="K316" s="44">
        <f t="shared" si="66"/>
        <v>6.9243826282994192E-3</v>
      </c>
      <c r="L316" s="41">
        <f t="shared" si="67"/>
        <v>0.45</v>
      </c>
      <c r="M316" s="42">
        <f t="shared" si="64"/>
        <v>1</v>
      </c>
      <c r="N316" s="43">
        <f>(VLOOKUP(MONTH('Amortization Model 101'!$B316),Seasonality,2,TRUE))</f>
        <v>0.95</v>
      </c>
      <c r="O316" s="50">
        <f t="shared" si="75"/>
        <v>2.9601735735980015E-3</v>
      </c>
    </row>
    <row r="317" spans="2:15" ht="15" x14ac:dyDescent="0.25">
      <c r="B317" s="57">
        <f t="shared" si="68"/>
        <v>51592</v>
      </c>
      <c r="C317" s="36">
        <f t="shared" si="69"/>
        <v>753659.000634272</v>
      </c>
      <c r="D317" s="39">
        <f t="shared" si="76"/>
        <v>15228.416958568021</v>
      </c>
      <c r="E317" s="36">
        <f t="shared" si="70"/>
        <v>3768.2950031713594</v>
      </c>
      <c r="F317" s="36">
        <f t="shared" si="71"/>
        <v>11460.121955396662</v>
      </c>
      <c r="G317" s="36">
        <f t="shared" si="72"/>
        <v>0</v>
      </c>
      <c r="H317" s="38">
        <f t="shared" si="73"/>
        <v>2220.1642176194791</v>
      </c>
      <c r="I317" s="36">
        <f t="shared" si="74"/>
        <v>739978.71446125594</v>
      </c>
      <c r="J317" s="2">
        <f t="shared" si="65"/>
        <v>304</v>
      </c>
      <c r="K317" s="44">
        <f t="shared" si="66"/>
        <v>6.9243826282994192E-3</v>
      </c>
      <c r="L317" s="41">
        <f t="shared" si="67"/>
        <v>0.45</v>
      </c>
      <c r="M317" s="42">
        <f t="shared" si="64"/>
        <v>1</v>
      </c>
      <c r="N317" s="43">
        <f>(VLOOKUP(MONTH('Amortization Model 101'!$B317),Seasonality,2,TRUE))</f>
        <v>0.96</v>
      </c>
      <c r="O317" s="50">
        <f t="shared" si="75"/>
        <v>2.9913332954253488E-3</v>
      </c>
    </row>
    <row r="318" spans="2:15" ht="15" x14ac:dyDescent="0.25">
      <c r="B318" s="57">
        <f t="shared" si="68"/>
        <v>51622</v>
      </c>
      <c r="C318" s="36">
        <f t="shared" si="69"/>
        <v>739978.71446125594</v>
      </c>
      <c r="D318" s="39">
        <f t="shared" si="76"/>
        <v>15182.863687883239</v>
      </c>
      <c r="E318" s="36">
        <f t="shared" si="70"/>
        <v>3699.8935723062791</v>
      </c>
      <c r="F318" s="36">
        <f t="shared" si="71"/>
        <v>11482.97011557696</v>
      </c>
      <c r="G318" s="36">
        <f t="shared" si="72"/>
        <v>0</v>
      </c>
      <c r="H318" s="38">
        <f t="shared" si="73"/>
        <v>2406.1708230990798</v>
      </c>
      <c r="I318" s="36">
        <f t="shared" si="74"/>
        <v>726089.57352257986</v>
      </c>
      <c r="J318" s="2">
        <f t="shared" si="65"/>
        <v>305</v>
      </c>
      <c r="K318" s="44">
        <f t="shared" si="66"/>
        <v>6.9243826282994192E-3</v>
      </c>
      <c r="L318" s="41">
        <f t="shared" si="67"/>
        <v>0.45</v>
      </c>
      <c r="M318" s="42">
        <f t="shared" si="64"/>
        <v>1</v>
      </c>
      <c r="N318" s="43">
        <f>(VLOOKUP(MONTH('Amortization Model 101'!$B318),Seasonality,2,TRUE))</f>
        <v>1.06</v>
      </c>
      <c r="O318" s="50">
        <f t="shared" si="75"/>
        <v>3.302930513698823E-3</v>
      </c>
    </row>
    <row r="319" spans="2:15" ht="15" x14ac:dyDescent="0.25">
      <c r="B319" s="57">
        <f t="shared" si="68"/>
        <v>51653</v>
      </c>
      <c r="C319" s="36">
        <f t="shared" si="69"/>
        <v>726089.57352257986</v>
      </c>
      <c r="D319" s="39">
        <f t="shared" si="76"/>
        <v>15132.715744123196</v>
      </c>
      <c r="E319" s="36">
        <f t="shared" si="70"/>
        <v>3630.4478676128988</v>
      </c>
      <c r="F319" s="36">
        <f t="shared" si="71"/>
        <v>11502.267876510297</v>
      </c>
      <c r="G319" s="36">
        <f t="shared" si="72"/>
        <v>0</v>
      </c>
      <c r="H319" s="38">
        <f t="shared" si="73"/>
        <v>2427.0312415160861</v>
      </c>
      <c r="I319" s="36">
        <f t="shared" si="74"/>
        <v>712160.27440455346</v>
      </c>
      <c r="J319" s="2">
        <f t="shared" si="65"/>
        <v>306</v>
      </c>
      <c r="K319" s="44">
        <f t="shared" si="66"/>
        <v>6.9243826282994192E-3</v>
      </c>
      <c r="L319" s="41">
        <f t="shared" si="67"/>
        <v>0.45</v>
      </c>
      <c r="M319" s="42">
        <f t="shared" si="64"/>
        <v>1</v>
      </c>
      <c r="N319" s="43">
        <f>(VLOOKUP(MONTH('Amortization Model 101'!$B319),Seasonality,2,TRUE))</f>
        <v>1.0900000000000001</v>
      </c>
      <c r="O319" s="50">
        <f t="shared" si="75"/>
        <v>3.3964096791808652E-3</v>
      </c>
    </row>
    <row r="320" spans="2:15" ht="15" x14ac:dyDescent="0.25">
      <c r="B320" s="57">
        <f t="shared" si="68"/>
        <v>51683</v>
      </c>
      <c r="C320" s="36">
        <f t="shared" si="69"/>
        <v>712160.27440455346</v>
      </c>
      <c r="D320" s="39">
        <f t="shared" si="76"/>
        <v>15081.318841897566</v>
      </c>
      <c r="E320" s="36">
        <f t="shared" si="70"/>
        <v>3560.8013720227668</v>
      </c>
      <c r="F320" s="36">
        <f t="shared" si="71"/>
        <v>11520.5174698748</v>
      </c>
      <c r="G320" s="36">
        <f t="shared" si="72"/>
        <v>0</v>
      </c>
      <c r="H320" s="38">
        <f t="shared" si="73"/>
        <v>2401.4913919991363</v>
      </c>
      <c r="I320" s="36">
        <f t="shared" si="74"/>
        <v>698238.26554267947</v>
      </c>
      <c r="J320" s="2">
        <f t="shared" si="65"/>
        <v>307</v>
      </c>
      <c r="K320" s="44">
        <f t="shared" si="66"/>
        <v>6.9243826282994192E-3</v>
      </c>
      <c r="L320" s="41">
        <f t="shared" si="67"/>
        <v>0.45</v>
      </c>
      <c r="M320" s="42">
        <f t="shared" si="64"/>
        <v>1</v>
      </c>
      <c r="N320" s="43">
        <f>(VLOOKUP(MONTH('Amortization Model 101'!$B320),Seasonality,2,TRUE))</f>
        <v>1.1000000000000001</v>
      </c>
      <c r="O320" s="50">
        <f t="shared" si="75"/>
        <v>3.4275694010082128E-3</v>
      </c>
    </row>
    <row r="321" spans="2:15" ht="15" x14ac:dyDescent="0.25">
      <c r="B321" s="57">
        <f t="shared" si="68"/>
        <v>51714</v>
      </c>
      <c r="C321" s="36">
        <f t="shared" si="69"/>
        <v>698238.26554267947</v>
      </c>
      <c r="D321" s="39">
        <f t="shared" si="76"/>
        <v>15029.62657490823</v>
      </c>
      <c r="E321" s="36">
        <f t="shared" si="70"/>
        <v>3491.1913277133972</v>
      </c>
      <c r="F321" s="36">
        <f t="shared" si="71"/>
        <v>11538.435247194833</v>
      </c>
      <c r="G321" s="36">
        <f t="shared" si="72"/>
        <v>0</v>
      </c>
      <c r="H321" s="38">
        <f t="shared" si="73"/>
        <v>2460.6982044528049</v>
      </c>
      <c r="I321" s="36">
        <f t="shared" si="74"/>
        <v>684239.13209103188</v>
      </c>
      <c r="J321" s="2">
        <f t="shared" si="65"/>
        <v>308</v>
      </c>
      <c r="K321" s="44">
        <f t="shared" si="66"/>
        <v>6.9243826282994192E-3</v>
      </c>
      <c r="L321" s="41">
        <f t="shared" si="67"/>
        <v>0.45</v>
      </c>
      <c r="M321" s="42">
        <f t="shared" si="64"/>
        <v>1</v>
      </c>
      <c r="N321" s="43">
        <f>(VLOOKUP(MONTH('Amortization Model 101'!$B321),Seasonality,2,TRUE))</f>
        <v>1.1499999999999999</v>
      </c>
      <c r="O321" s="50">
        <f t="shared" si="75"/>
        <v>3.5833680101449491E-3</v>
      </c>
    </row>
    <row r="322" spans="2:15" ht="15" x14ac:dyDescent="0.25">
      <c r="B322" s="57">
        <f t="shared" si="68"/>
        <v>51745</v>
      </c>
      <c r="C322" s="36">
        <f t="shared" si="69"/>
        <v>684239.13209103188</v>
      </c>
      <c r="D322" s="39">
        <f t="shared" si="76"/>
        <v>14975.76989183528</v>
      </c>
      <c r="E322" s="36">
        <f t="shared" si="70"/>
        <v>3421.1956604551592</v>
      </c>
      <c r="F322" s="36">
        <f t="shared" si="71"/>
        <v>11554.57423138012</v>
      </c>
      <c r="G322" s="36">
        <f t="shared" si="72"/>
        <v>0</v>
      </c>
      <c r="H322" s="38">
        <f t="shared" si="73"/>
        <v>2368.554998151857</v>
      </c>
      <c r="I322" s="36">
        <f t="shared" si="74"/>
        <v>670316.0028614999</v>
      </c>
      <c r="J322" s="2">
        <f t="shared" si="65"/>
        <v>309</v>
      </c>
      <c r="K322" s="44">
        <f t="shared" si="66"/>
        <v>6.9243826282994192E-3</v>
      </c>
      <c r="L322" s="41">
        <f t="shared" si="67"/>
        <v>0.45</v>
      </c>
      <c r="M322" s="42">
        <f t="shared" si="64"/>
        <v>1</v>
      </c>
      <c r="N322" s="43">
        <f>(VLOOKUP(MONTH('Amortization Model 101'!$B322),Seasonality,2,TRUE))</f>
        <v>1.1299999999999999</v>
      </c>
      <c r="O322" s="50">
        <f t="shared" si="75"/>
        <v>3.5210485664902542E-3</v>
      </c>
    </row>
    <row r="323" spans="2:15" ht="15" x14ac:dyDescent="0.25">
      <c r="B323" s="57">
        <f t="shared" si="68"/>
        <v>51775</v>
      </c>
      <c r="C323" s="36">
        <f t="shared" si="69"/>
        <v>670316.0028614999</v>
      </c>
      <c r="D323" s="39">
        <f t="shared" si="76"/>
        <v>14923.039478725546</v>
      </c>
      <c r="E323" s="36">
        <f t="shared" si="70"/>
        <v>3351.5800143074994</v>
      </c>
      <c r="F323" s="36">
        <f t="shared" si="71"/>
        <v>11571.459464418047</v>
      </c>
      <c r="G323" s="36">
        <f t="shared" si="72"/>
        <v>0</v>
      </c>
      <c r="H323" s="38">
        <f t="shared" si="73"/>
        <v>2073.1559694811399</v>
      </c>
      <c r="I323" s="36">
        <f t="shared" si="74"/>
        <v>656671.3874276008</v>
      </c>
      <c r="J323" s="2">
        <f t="shared" si="65"/>
        <v>310</v>
      </c>
      <c r="K323" s="44">
        <f t="shared" si="66"/>
        <v>6.9243826282994192E-3</v>
      </c>
      <c r="L323" s="41">
        <f t="shared" si="67"/>
        <v>0.45</v>
      </c>
      <c r="M323" s="42">
        <f t="shared" si="64"/>
        <v>1</v>
      </c>
      <c r="N323" s="43">
        <f>(VLOOKUP(MONTH('Amortization Model 101'!$B323),Seasonality,2,TRUE))</f>
        <v>1.01</v>
      </c>
      <c r="O323" s="50">
        <f t="shared" si="75"/>
        <v>3.1471319045620859E-3</v>
      </c>
    </row>
    <row r="324" spans="2:15" ht="15" x14ac:dyDescent="0.25">
      <c r="B324" s="57">
        <f t="shared" si="68"/>
        <v>51806</v>
      </c>
      <c r="C324" s="36">
        <f t="shared" si="69"/>
        <v>656671.3874276008</v>
      </c>
      <c r="D324" s="39">
        <f t="shared" si="76"/>
        <v>14876.07470506901</v>
      </c>
      <c r="E324" s="36">
        <f t="shared" si="70"/>
        <v>3283.356937138004</v>
      </c>
      <c r="F324" s="36">
        <f t="shared" si="71"/>
        <v>11592.717767931006</v>
      </c>
      <c r="G324" s="36">
        <f t="shared" si="72"/>
        <v>0</v>
      </c>
      <c r="H324" s="38">
        <f t="shared" si="73"/>
        <v>1728.6405836881536</v>
      </c>
      <c r="I324" s="36">
        <f t="shared" si="74"/>
        <v>643350.02907598158</v>
      </c>
      <c r="J324" s="2">
        <f t="shared" si="65"/>
        <v>311</v>
      </c>
      <c r="K324" s="44">
        <f t="shared" si="66"/>
        <v>6.9243826282994192E-3</v>
      </c>
      <c r="L324" s="41">
        <f t="shared" si="67"/>
        <v>0.45</v>
      </c>
      <c r="M324" s="42">
        <f t="shared" si="64"/>
        <v>1</v>
      </c>
      <c r="N324" s="43">
        <f>(VLOOKUP(MONTH('Amortization Model 101'!$B324),Seasonality,2,TRUE))</f>
        <v>0.86</v>
      </c>
      <c r="O324" s="50">
        <f t="shared" si="75"/>
        <v>2.679736077151875E-3</v>
      </c>
    </row>
    <row r="325" spans="2:15" ht="15" x14ac:dyDescent="0.25">
      <c r="B325" s="57">
        <f t="shared" si="68"/>
        <v>51836</v>
      </c>
      <c r="C325" s="36">
        <f t="shared" si="69"/>
        <v>643350.02907598158</v>
      </c>
      <c r="D325" s="39">
        <f t="shared" si="76"/>
        <v>14836.210750995428</v>
      </c>
      <c r="E325" s="36">
        <f t="shared" si="70"/>
        <v>3216.7501453799082</v>
      </c>
      <c r="F325" s="36">
        <f t="shared" si="71"/>
        <v>11619.460605615519</v>
      </c>
      <c r="G325" s="36">
        <f t="shared" si="72"/>
        <v>0</v>
      </c>
      <c r="H325" s="40">
        <f t="shared" si="73"/>
        <v>1771.6093905031776</v>
      </c>
      <c r="I325" s="36">
        <f t="shared" si="74"/>
        <v>629958.95907986292</v>
      </c>
      <c r="J325" s="2">
        <f t="shared" si="65"/>
        <v>312</v>
      </c>
      <c r="K325" s="44">
        <f t="shared" si="66"/>
        <v>6.9243826282994192E-3</v>
      </c>
      <c r="L325" s="41">
        <f t="shared" si="67"/>
        <v>0.45</v>
      </c>
      <c r="M325" s="42">
        <f t="shared" si="64"/>
        <v>1</v>
      </c>
      <c r="N325" s="43">
        <f>(VLOOKUP(MONTH('Amortization Model 101'!$B325),Seasonality,2,TRUE))</f>
        <v>0.9</v>
      </c>
      <c r="O325" s="50">
        <f t="shared" si="75"/>
        <v>2.8043749644612649E-3</v>
      </c>
    </row>
    <row r="326" spans="2:15" ht="15" x14ac:dyDescent="0.25">
      <c r="B326" s="57">
        <f t="shared" si="68"/>
        <v>51867</v>
      </c>
      <c r="C326" s="36">
        <f t="shared" si="69"/>
        <v>629958.95907986292</v>
      </c>
      <c r="D326" s="39">
        <f t="shared" si="76"/>
        <v>14794.604452997866</v>
      </c>
      <c r="E326" s="36">
        <f t="shared" si="70"/>
        <v>3149.7947953993148</v>
      </c>
      <c r="F326" s="36">
        <f t="shared" si="71"/>
        <v>11644.809657598551</v>
      </c>
      <c r="G326" s="36">
        <f t="shared" si="72"/>
        <v>0</v>
      </c>
      <c r="H326" s="38">
        <f t="shared" si="73"/>
        <v>1714.7182239140495</v>
      </c>
      <c r="I326" s="36">
        <f t="shared" si="74"/>
        <v>616599.43119835039</v>
      </c>
      <c r="J326" s="2">
        <f t="shared" si="65"/>
        <v>313</v>
      </c>
      <c r="K326" s="44">
        <f t="shared" si="66"/>
        <v>6.9243826282994192E-3</v>
      </c>
      <c r="L326" s="41">
        <f t="shared" si="67"/>
        <v>0.45</v>
      </c>
      <c r="M326" s="42">
        <f t="shared" si="64"/>
        <v>1</v>
      </c>
      <c r="N326" s="43">
        <f>(VLOOKUP(MONTH('Amortization Model 101'!$B326),Seasonality,2,TRUE))</f>
        <v>0.89</v>
      </c>
      <c r="O326" s="50">
        <f t="shared" si="75"/>
        <v>2.7732152426339176E-3</v>
      </c>
    </row>
    <row r="327" spans="2:15" ht="15" x14ac:dyDescent="0.25">
      <c r="B327" s="57">
        <f t="shared" si="68"/>
        <v>51898</v>
      </c>
      <c r="C327" s="36">
        <f t="shared" si="69"/>
        <v>616599.43119835039</v>
      </c>
      <c r="D327" s="39">
        <f t="shared" si="76"/>
        <v>14753.575830420074</v>
      </c>
      <c r="E327" s="36">
        <f t="shared" si="70"/>
        <v>3082.9971559917517</v>
      </c>
      <c r="F327" s="36">
        <f t="shared" si="71"/>
        <v>11670.578674428321</v>
      </c>
      <c r="G327" s="36">
        <f t="shared" si="72"/>
        <v>0</v>
      </c>
      <c r="H327" s="38">
        <f t="shared" si="73"/>
        <v>1696.4473292983678</v>
      </c>
      <c r="I327" s="36">
        <f t="shared" si="74"/>
        <v>603232.40519462375</v>
      </c>
      <c r="J327" s="2">
        <f t="shared" si="65"/>
        <v>314</v>
      </c>
      <c r="K327" s="44">
        <f t="shared" si="66"/>
        <v>6.9243826282994192E-3</v>
      </c>
      <c r="L327" s="41">
        <f t="shared" si="67"/>
        <v>0.45</v>
      </c>
      <c r="M327" s="42">
        <f t="shared" si="64"/>
        <v>1</v>
      </c>
      <c r="N327" s="43">
        <f>(VLOOKUP(MONTH('Amortization Model 101'!$B327),Seasonality,2,TRUE))</f>
        <v>0.9</v>
      </c>
      <c r="O327" s="50">
        <f t="shared" si="75"/>
        <v>2.8043749644612649E-3</v>
      </c>
    </row>
    <row r="328" spans="2:15" ht="15" x14ac:dyDescent="0.25">
      <c r="B328" s="57">
        <f t="shared" si="68"/>
        <v>51926</v>
      </c>
      <c r="C328" s="36">
        <f t="shared" si="69"/>
        <v>603232.40519462375</v>
      </c>
      <c r="D328" s="39">
        <f t="shared" si="76"/>
        <v>14712.201271724967</v>
      </c>
      <c r="E328" s="36">
        <f t="shared" si="70"/>
        <v>3016.1620259731185</v>
      </c>
      <c r="F328" s="36">
        <f t="shared" si="71"/>
        <v>11696.039245751848</v>
      </c>
      <c r="G328" s="36">
        <f t="shared" si="72"/>
        <v>0</v>
      </c>
      <c r="H328" s="38">
        <f t="shared" si="73"/>
        <v>1751.0503183040476</v>
      </c>
      <c r="I328" s="36">
        <f t="shared" si="74"/>
        <v>589785.31563056784</v>
      </c>
      <c r="J328" s="2">
        <f t="shared" si="65"/>
        <v>315</v>
      </c>
      <c r="K328" s="44">
        <f t="shared" si="66"/>
        <v>6.9243826282994192E-3</v>
      </c>
      <c r="L328" s="41">
        <f t="shared" si="67"/>
        <v>0.45</v>
      </c>
      <c r="M328" s="42">
        <f t="shared" si="64"/>
        <v>1</v>
      </c>
      <c r="N328" s="43">
        <f>(VLOOKUP(MONTH('Amortization Model 101'!$B328),Seasonality,2,TRUE))</f>
        <v>0.95</v>
      </c>
      <c r="O328" s="50">
        <f t="shared" si="75"/>
        <v>2.9601735735980015E-3</v>
      </c>
    </row>
    <row r="329" spans="2:15" ht="15" x14ac:dyDescent="0.25">
      <c r="B329" s="57">
        <f t="shared" si="68"/>
        <v>51957</v>
      </c>
      <c r="C329" s="36">
        <f t="shared" si="69"/>
        <v>589785.31563056784</v>
      </c>
      <c r="D329" s="39">
        <f t="shared" si="76"/>
        <v>14668.650602310947</v>
      </c>
      <c r="E329" s="36">
        <f t="shared" si="70"/>
        <v>2948.9265781528393</v>
      </c>
      <c r="F329" s="36">
        <f t="shared" si="71"/>
        <v>11719.724024158108</v>
      </c>
      <c r="G329" s="36">
        <f t="shared" si="72"/>
        <v>0</v>
      </c>
      <c r="H329" s="38">
        <f t="shared" si="73"/>
        <v>1729.1868511120056</v>
      </c>
      <c r="I329" s="36">
        <f t="shared" si="74"/>
        <v>576336.4047552977</v>
      </c>
      <c r="J329" s="2">
        <f t="shared" si="65"/>
        <v>316</v>
      </c>
      <c r="K329" s="44">
        <f t="shared" si="66"/>
        <v>6.9243826282994192E-3</v>
      </c>
      <c r="L329" s="41">
        <f t="shared" si="67"/>
        <v>0.45</v>
      </c>
      <c r="M329" s="42">
        <f t="shared" si="64"/>
        <v>1</v>
      </c>
      <c r="N329" s="43">
        <f>(VLOOKUP(MONTH('Amortization Model 101'!$B329),Seasonality,2,TRUE))</f>
        <v>0.96</v>
      </c>
      <c r="O329" s="50">
        <f t="shared" si="75"/>
        <v>2.9913332954253488E-3</v>
      </c>
    </row>
    <row r="330" spans="2:15" ht="15" x14ac:dyDescent="0.25">
      <c r="B330" s="57">
        <f t="shared" si="68"/>
        <v>51987</v>
      </c>
      <c r="C330" s="36">
        <f t="shared" si="69"/>
        <v>576336.4047552977</v>
      </c>
      <c r="D330" s="39">
        <f t="shared" si="76"/>
        <v>14624.771779365296</v>
      </c>
      <c r="E330" s="36">
        <f t="shared" si="70"/>
        <v>2881.6820237764882</v>
      </c>
      <c r="F330" s="36">
        <f t="shared" si="71"/>
        <v>11743.089755588808</v>
      </c>
      <c r="G330" s="36">
        <f t="shared" si="72"/>
        <v>0</v>
      </c>
      <c r="H330" s="38">
        <f t="shared" si="73"/>
        <v>1864.8124879429099</v>
      </c>
      <c r="I330" s="36">
        <f t="shared" si="74"/>
        <v>562728.50251176604</v>
      </c>
      <c r="J330" s="2">
        <f t="shared" si="65"/>
        <v>317</v>
      </c>
      <c r="K330" s="44">
        <f t="shared" si="66"/>
        <v>6.9243826282994192E-3</v>
      </c>
      <c r="L330" s="41">
        <f t="shared" si="67"/>
        <v>0.45</v>
      </c>
      <c r="M330" s="42">
        <f t="shared" si="64"/>
        <v>1</v>
      </c>
      <c r="N330" s="43">
        <f>(VLOOKUP(MONTH('Amortization Model 101'!$B330),Seasonality,2,TRUE))</f>
        <v>1.06</v>
      </c>
      <c r="O330" s="50">
        <f t="shared" si="75"/>
        <v>3.302930513698823E-3</v>
      </c>
    </row>
    <row r="331" spans="2:15" ht="15" x14ac:dyDescent="0.25">
      <c r="B331" s="57">
        <f t="shared" si="68"/>
        <v>52018</v>
      </c>
      <c r="C331" s="36">
        <f t="shared" si="69"/>
        <v>562728.50251176604</v>
      </c>
      <c r="D331" s="39">
        <f t="shared" si="76"/>
        <v>14576.467174399349</v>
      </c>
      <c r="E331" s="36">
        <f t="shared" si="70"/>
        <v>2813.6425125588303</v>
      </c>
      <c r="F331" s="36">
        <f t="shared" si="71"/>
        <v>11762.824661840519</v>
      </c>
      <c r="G331" s="36">
        <f t="shared" si="72"/>
        <v>0</v>
      </c>
      <c r="H331" s="38">
        <f t="shared" si="73"/>
        <v>1871.3051611459332</v>
      </c>
      <c r="I331" s="36">
        <f t="shared" si="74"/>
        <v>549094.37268877949</v>
      </c>
      <c r="J331" s="2">
        <f t="shared" si="65"/>
        <v>318</v>
      </c>
      <c r="K331" s="44">
        <f t="shared" si="66"/>
        <v>6.9243826282994192E-3</v>
      </c>
      <c r="L331" s="41">
        <f t="shared" si="67"/>
        <v>0.45</v>
      </c>
      <c r="M331" s="42">
        <f t="shared" si="64"/>
        <v>1</v>
      </c>
      <c r="N331" s="43">
        <f>(VLOOKUP(MONTH('Amortization Model 101'!$B331),Seasonality,2,TRUE))</f>
        <v>1.0900000000000001</v>
      </c>
      <c r="O331" s="50">
        <f t="shared" si="75"/>
        <v>3.3964096791808652E-3</v>
      </c>
    </row>
    <row r="332" spans="2:15" ht="15" x14ac:dyDescent="0.25">
      <c r="B332" s="57">
        <f t="shared" si="68"/>
        <v>52048</v>
      </c>
      <c r="C332" s="36">
        <f t="shared" si="69"/>
        <v>549094.37268877949</v>
      </c>
      <c r="D332" s="39">
        <f t="shared" si="76"/>
        <v>14526.959520199953</v>
      </c>
      <c r="E332" s="36">
        <f t="shared" si="70"/>
        <v>2745.4718634438973</v>
      </c>
      <c r="F332" s="36">
        <f t="shared" si="71"/>
        <v>11781.487656756055</v>
      </c>
      <c r="G332" s="36">
        <f t="shared" si="72"/>
        <v>0</v>
      </c>
      <c r="H332" s="38">
        <f t="shared" si="73"/>
        <v>1841.6772035032072</v>
      </c>
      <c r="I332" s="36">
        <f t="shared" si="74"/>
        <v>535471.20782852022</v>
      </c>
      <c r="J332" s="2">
        <f t="shared" si="65"/>
        <v>319</v>
      </c>
      <c r="K332" s="44">
        <f t="shared" si="66"/>
        <v>6.9243826282994192E-3</v>
      </c>
      <c r="L332" s="41">
        <f t="shared" si="67"/>
        <v>0.45</v>
      </c>
      <c r="M332" s="42">
        <f t="shared" si="64"/>
        <v>1</v>
      </c>
      <c r="N332" s="43">
        <f>(VLOOKUP(MONTH('Amortization Model 101'!$B332),Seasonality,2,TRUE))</f>
        <v>1.1000000000000001</v>
      </c>
      <c r="O332" s="50">
        <f t="shared" si="75"/>
        <v>3.4275694010082128E-3</v>
      </c>
    </row>
    <row r="333" spans="2:15" ht="15" x14ac:dyDescent="0.25">
      <c r="B333" s="57">
        <f t="shared" si="68"/>
        <v>52079</v>
      </c>
      <c r="C333" s="36">
        <f t="shared" si="69"/>
        <v>535471.20782852022</v>
      </c>
      <c r="D333" s="39">
        <f t="shared" si="76"/>
        <v>14477.167358258832</v>
      </c>
      <c r="E333" s="36">
        <f t="shared" si="70"/>
        <v>2677.3560391426013</v>
      </c>
      <c r="F333" s="36">
        <f t="shared" si="71"/>
        <v>11799.81131911623</v>
      </c>
      <c r="G333" s="36">
        <f t="shared" si="72"/>
        <v>0</v>
      </c>
      <c r="H333" s="38">
        <f t="shared" si="73"/>
        <v>1876.5073300797296</v>
      </c>
      <c r="I333" s="36">
        <f t="shared" si="74"/>
        <v>521794.88917932427</v>
      </c>
      <c r="J333" s="2">
        <f t="shared" si="65"/>
        <v>320</v>
      </c>
      <c r="K333" s="44">
        <f t="shared" si="66"/>
        <v>6.9243826282994192E-3</v>
      </c>
      <c r="L333" s="41">
        <f t="shared" si="67"/>
        <v>0.45</v>
      </c>
      <c r="M333" s="42">
        <f t="shared" si="64"/>
        <v>1</v>
      </c>
      <c r="N333" s="43">
        <f>(VLOOKUP(MONTH('Amortization Model 101'!$B333),Seasonality,2,TRUE))</f>
        <v>1.1499999999999999</v>
      </c>
      <c r="O333" s="50">
        <f t="shared" si="75"/>
        <v>3.5833680101449491E-3</v>
      </c>
    </row>
    <row r="334" spans="2:15" ht="15" x14ac:dyDescent="0.25">
      <c r="B334" s="57">
        <f t="shared" si="68"/>
        <v>52110</v>
      </c>
      <c r="C334" s="36">
        <f t="shared" si="69"/>
        <v>521794.88917932427</v>
      </c>
      <c r="D334" s="39">
        <f t="shared" si="76"/>
        <v>14425.290339869736</v>
      </c>
      <c r="E334" s="36">
        <f t="shared" si="70"/>
        <v>2608.9744458966211</v>
      </c>
      <c r="F334" s="36">
        <f t="shared" si="71"/>
        <v>11816.315893973115</v>
      </c>
      <c r="G334" s="36">
        <f t="shared" si="72"/>
        <v>0</v>
      </c>
      <c r="H334" s="38">
        <f t="shared" si="73"/>
        <v>1795.6593244071307</v>
      </c>
      <c r="I334" s="36">
        <f t="shared" si="74"/>
        <v>508182.91396094405</v>
      </c>
      <c r="J334" s="2">
        <f t="shared" si="65"/>
        <v>321</v>
      </c>
      <c r="K334" s="44">
        <f t="shared" si="66"/>
        <v>6.9243826282994192E-3</v>
      </c>
      <c r="L334" s="41">
        <f t="shared" si="67"/>
        <v>0.45</v>
      </c>
      <c r="M334" s="42">
        <f t="shared" ref="M334:M373" si="77">MIN(J334/VLOOKUP($F$5-$F$8,Seasoning,2,TRUE),1)</f>
        <v>1</v>
      </c>
      <c r="N334" s="43">
        <f>(VLOOKUP(MONTH('Amortization Model 101'!$B334),Seasonality,2,TRUE))</f>
        <v>1.1299999999999999</v>
      </c>
      <c r="O334" s="50">
        <f t="shared" si="75"/>
        <v>3.5210485664902542E-3</v>
      </c>
    </row>
    <row r="335" spans="2:15" ht="15" x14ac:dyDescent="0.25">
      <c r="B335" s="57">
        <f t="shared" si="68"/>
        <v>52140</v>
      </c>
      <c r="C335" s="36">
        <f t="shared" si="69"/>
        <v>508182.91396094405</v>
      </c>
      <c r="D335" s="39">
        <f t="shared" si="76"/>
        <v>14374.498191997331</v>
      </c>
      <c r="E335" s="36">
        <f t="shared" si="70"/>
        <v>2540.91456980472</v>
      </c>
      <c r="F335" s="36">
        <f t="shared" si="71"/>
        <v>11833.583622192611</v>
      </c>
      <c r="G335" s="36">
        <f t="shared" si="72"/>
        <v>0</v>
      </c>
      <c r="H335" s="38">
        <f t="shared" si="73"/>
        <v>1562.0768133171107</v>
      </c>
      <c r="I335" s="36">
        <f t="shared" si="74"/>
        <v>494787.25352543429</v>
      </c>
      <c r="J335" s="2">
        <f t="shared" ref="J335:J373" si="78">+J334+1</f>
        <v>322</v>
      </c>
      <c r="K335" s="44">
        <f t="shared" ref="K335:K373" si="79">1-((1-VLOOKUP(K$12,CPR,2,TRUE)/100)^(1/12))</f>
        <v>6.9243826282994192E-3</v>
      </c>
      <c r="L335" s="41">
        <f t="shared" ref="L335:L373" si="80">VLOOKUP(ROUND(C335/$F$4,1),Burnout,2,FALSE)</f>
        <v>0.45</v>
      </c>
      <c r="M335" s="42">
        <f t="shared" si="77"/>
        <v>1</v>
      </c>
      <c r="N335" s="43">
        <f>(VLOOKUP(MONTH('Amortization Model 101'!$B335),Seasonality,2,TRUE))</f>
        <v>1.01</v>
      </c>
      <c r="O335" s="50">
        <f t="shared" si="75"/>
        <v>3.1471319045620859E-3</v>
      </c>
    </row>
    <row r="336" spans="2:15" ht="15" x14ac:dyDescent="0.25">
      <c r="B336" s="57">
        <f t="shared" ref="B336:B373" si="81">IF(C336&gt;0,EDATE(B335,1),"")</f>
        <v>52171</v>
      </c>
      <c r="C336" s="36">
        <f t="shared" ref="C336:C373" si="82">+I335</f>
        <v>494787.25352543429</v>
      </c>
      <c r="D336" s="39">
        <f t="shared" si="76"/>
        <v>14329.259750125224</v>
      </c>
      <c r="E336" s="36">
        <f t="shared" ref="E336:E373" si="83">($F$7*C336)/12</f>
        <v>2473.9362676271717</v>
      </c>
      <c r="F336" s="36">
        <f t="shared" ref="F336:F373" si="84">D336-E336-G336</f>
        <v>11855.323482498052</v>
      </c>
      <c r="G336" s="36">
        <f t="shared" ref="G336:G373" si="85">($F$6*C336)/12</f>
        <v>0</v>
      </c>
      <c r="H336" s="38">
        <f t="shared" ref="H336:H373" si="86">+O336*(C336-F336)</f>
        <v>1150.3378806619037</v>
      </c>
      <c r="I336" s="36">
        <f t="shared" ref="I336:I373" si="87">IF(J336&gt;$F$3,0,C336-F336-H336)</f>
        <v>481781.59216227435</v>
      </c>
      <c r="J336" s="2">
        <f t="shared" si="78"/>
        <v>323</v>
      </c>
      <c r="K336" s="44">
        <f t="shared" si="79"/>
        <v>6.9243826282994192E-3</v>
      </c>
      <c r="L336" s="41">
        <f t="shared" si="80"/>
        <v>0.4</v>
      </c>
      <c r="M336" s="42">
        <f t="shared" si="77"/>
        <v>1</v>
      </c>
      <c r="N336" s="43">
        <f>(VLOOKUP(MONTH('Amortization Model 101'!$B336),Seasonality,2,TRUE))</f>
        <v>0.86</v>
      </c>
      <c r="O336" s="50">
        <f t="shared" ref="O336:O373" si="88">PRODUCT(K336:N336)</f>
        <v>2.3819876241350001E-3</v>
      </c>
    </row>
    <row r="337" spans="2:15" ht="15" x14ac:dyDescent="0.25">
      <c r="B337" s="57">
        <f t="shared" si="81"/>
        <v>52201</v>
      </c>
      <c r="C337" s="36">
        <f t="shared" si="82"/>
        <v>481781.59216227435</v>
      </c>
      <c r="D337" s="39">
        <f t="shared" si="76"/>
        <v>14295.12763073741</v>
      </c>
      <c r="E337" s="36">
        <f t="shared" si="83"/>
        <v>2408.9079608113716</v>
      </c>
      <c r="F337" s="36">
        <f t="shared" si="84"/>
        <v>11886.219669926038</v>
      </c>
      <c r="G337" s="36">
        <f t="shared" si="85"/>
        <v>0</v>
      </c>
      <c r="H337" s="40">
        <f t="shared" si="86"/>
        <v>1171.3447275855485</v>
      </c>
      <c r="I337" s="36">
        <f t="shared" si="87"/>
        <v>468724.02776476275</v>
      </c>
      <c r="J337" s="2">
        <f t="shared" si="78"/>
        <v>324</v>
      </c>
      <c r="K337" s="44">
        <f t="shared" si="79"/>
        <v>6.9243826282994192E-3</v>
      </c>
      <c r="L337" s="41">
        <f t="shared" si="80"/>
        <v>0.4</v>
      </c>
      <c r="M337" s="42">
        <f t="shared" si="77"/>
        <v>1</v>
      </c>
      <c r="N337" s="43">
        <f>(VLOOKUP(MONTH('Amortization Model 101'!$B337),Seasonality,2,TRUE))</f>
        <v>0.9</v>
      </c>
      <c r="O337" s="50">
        <f t="shared" si="88"/>
        <v>2.4927777461877911E-3</v>
      </c>
    </row>
    <row r="338" spans="2:15" ht="15" x14ac:dyDescent="0.25">
      <c r="B338" s="57">
        <f t="shared" si="81"/>
        <v>52232</v>
      </c>
      <c r="C338" s="36">
        <f t="shared" si="82"/>
        <v>468724.02776476275</v>
      </c>
      <c r="D338" s="39">
        <f t="shared" si="76"/>
        <v>14259.493054700593</v>
      </c>
      <c r="E338" s="36">
        <f t="shared" si="83"/>
        <v>2343.6201388238137</v>
      </c>
      <c r="F338" s="36">
        <f t="shared" si="84"/>
        <v>11915.87291587678</v>
      </c>
      <c r="G338" s="36">
        <f t="shared" si="85"/>
        <v>0</v>
      </c>
      <c r="H338" s="38">
        <f t="shared" si="86"/>
        <v>1126.0687448768049</v>
      </c>
      <c r="I338" s="36">
        <f t="shared" si="87"/>
        <v>455682.08610400913</v>
      </c>
      <c r="J338" s="2">
        <f t="shared" si="78"/>
        <v>325</v>
      </c>
      <c r="K338" s="44">
        <f t="shared" si="79"/>
        <v>6.9243826282994192E-3</v>
      </c>
      <c r="L338" s="41">
        <f t="shared" si="80"/>
        <v>0.4</v>
      </c>
      <c r="M338" s="42">
        <f t="shared" si="77"/>
        <v>1</v>
      </c>
      <c r="N338" s="43">
        <f>(VLOOKUP(MONTH('Amortization Model 101'!$B338),Seasonality,2,TRUE))</f>
        <v>0.89</v>
      </c>
      <c r="O338" s="50">
        <f t="shared" si="88"/>
        <v>2.4650802156745933E-3</v>
      </c>
    </row>
    <row r="339" spans="2:15" ht="15" x14ac:dyDescent="0.25">
      <c r="B339" s="57">
        <f t="shared" si="81"/>
        <v>52263</v>
      </c>
      <c r="C339" s="36">
        <f t="shared" si="82"/>
        <v>455682.08610400913</v>
      </c>
      <c r="D339" s="39">
        <f t="shared" ref="D339:D373" si="89">-PMT($F$5/12,$F$3-J338,$C339)</f>
        <v>14224.342260485899</v>
      </c>
      <c r="E339" s="36">
        <f t="shared" si="83"/>
        <v>2278.4104305200458</v>
      </c>
      <c r="F339" s="36">
        <f t="shared" si="84"/>
        <v>11945.931829965853</v>
      </c>
      <c r="G339" s="36">
        <f t="shared" si="85"/>
        <v>0</v>
      </c>
      <c r="H339" s="38">
        <f t="shared" si="86"/>
        <v>1106.1356105532875</v>
      </c>
      <c r="I339" s="36">
        <f t="shared" si="87"/>
        <v>442630.01866349002</v>
      </c>
      <c r="J339" s="2">
        <f t="shared" si="78"/>
        <v>326</v>
      </c>
      <c r="K339" s="44">
        <f t="shared" si="79"/>
        <v>6.9243826282994192E-3</v>
      </c>
      <c r="L339" s="41">
        <f t="shared" si="80"/>
        <v>0.4</v>
      </c>
      <c r="M339" s="42">
        <f t="shared" si="77"/>
        <v>1</v>
      </c>
      <c r="N339" s="43">
        <f>(VLOOKUP(MONTH('Amortization Model 101'!$B339),Seasonality,2,TRUE))</f>
        <v>0.9</v>
      </c>
      <c r="O339" s="50">
        <f t="shared" si="88"/>
        <v>2.4927777461877911E-3</v>
      </c>
    </row>
    <row r="340" spans="2:15" ht="15" x14ac:dyDescent="0.25">
      <c r="B340" s="57">
        <f t="shared" si="81"/>
        <v>52291</v>
      </c>
      <c r="C340" s="36">
        <f t="shared" si="82"/>
        <v>442630.01866349002</v>
      </c>
      <c r="D340" s="39">
        <f t="shared" si="89"/>
        <v>14188.884136644807</v>
      </c>
      <c r="E340" s="36">
        <f t="shared" si="83"/>
        <v>2213.1500933174498</v>
      </c>
      <c r="F340" s="36">
        <f t="shared" si="84"/>
        <v>11975.734043327357</v>
      </c>
      <c r="G340" s="36">
        <f t="shared" si="85"/>
        <v>0</v>
      </c>
      <c r="H340" s="38">
        <f t="shared" si="86"/>
        <v>1133.165717946096</v>
      </c>
      <c r="I340" s="36">
        <f t="shared" si="87"/>
        <v>429521.11890221661</v>
      </c>
      <c r="J340" s="2">
        <f t="shared" si="78"/>
        <v>327</v>
      </c>
      <c r="K340" s="44">
        <f t="shared" si="79"/>
        <v>6.9243826282994192E-3</v>
      </c>
      <c r="L340" s="41">
        <f t="shared" si="80"/>
        <v>0.4</v>
      </c>
      <c r="M340" s="42">
        <f t="shared" si="77"/>
        <v>1</v>
      </c>
      <c r="N340" s="43">
        <f>(VLOOKUP(MONTH('Amortization Model 101'!$B340),Seasonality,2,TRUE))</f>
        <v>0.95</v>
      </c>
      <c r="O340" s="50">
        <f t="shared" si="88"/>
        <v>2.6312653987537794E-3</v>
      </c>
    </row>
    <row r="341" spans="2:15" ht="15" x14ac:dyDescent="0.25">
      <c r="B341" s="57">
        <f t="shared" si="81"/>
        <v>52322</v>
      </c>
      <c r="C341" s="36">
        <f t="shared" si="82"/>
        <v>429521.11890221661</v>
      </c>
      <c r="D341" s="39">
        <f t="shared" si="89"/>
        <v>14151.549416769127</v>
      </c>
      <c r="E341" s="36">
        <f t="shared" si="83"/>
        <v>2147.6055945110829</v>
      </c>
      <c r="F341" s="36">
        <f t="shared" si="84"/>
        <v>12003.943822258043</v>
      </c>
      <c r="G341" s="36">
        <f t="shared" si="85"/>
        <v>0</v>
      </c>
      <c r="H341" s="38">
        <f t="shared" si="86"/>
        <v>1110.1626908698797</v>
      </c>
      <c r="I341" s="36">
        <f t="shared" si="87"/>
        <v>416407.01238908869</v>
      </c>
      <c r="J341" s="2">
        <f t="shared" si="78"/>
        <v>328</v>
      </c>
      <c r="K341" s="44">
        <f t="shared" si="79"/>
        <v>6.9243826282994192E-3</v>
      </c>
      <c r="L341" s="41">
        <f t="shared" si="80"/>
        <v>0.4</v>
      </c>
      <c r="M341" s="42">
        <f t="shared" si="77"/>
        <v>1</v>
      </c>
      <c r="N341" s="43">
        <f>(VLOOKUP(MONTH('Amortization Model 101'!$B341),Seasonality,2,TRUE))</f>
        <v>0.96</v>
      </c>
      <c r="O341" s="50">
        <f t="shared" si="88"/>
        <v>2.6589629292669767E-3</v>
      </c>
    </row>
    <row r="342" spans="2:15" ht="15" x14ac:dyDescent="0.25">
      <c r="B342" s="57">
        <f t="shared" si="81"/>
        <v>52352</v>
      </c>
      <c r="C342" s="36">
        <f t="shared" si="82"/>
        <v>416407.01238908869</v>
      </c>
      <c r="D342" s="39">
        <f t="shared" si="89"/>
        <v>14113.92097147825</v>
      </c>
      <c r="E342" s="36">
        <f t="shared" si="83"/>
        <v>2082.0350619454434</v>
      </c>
      <c r="F342" s="36">
        <f t="shared" si="84"/>
        <v>12031.885909532806</v>
      </c>
      <c r="G342" s="36">
        <f t="shared" si="85"/>
        <v>0</v>
      </c>
      <c r="H342" s="38">
        <f t="shared" si="86"/>
        <v>1187.2203948712411</v>
      </c>
      <c r="I342" s="36">
        <f t="shared" si="87"/>
        <v>403187.90608468466</v>
      </c>
      <c r="J342" s="2">
        <f t="shared" si="78"/>
        <v>329</v>
      </c>
      <c r="K342" s="44">
        <f t="shared" si="79"/>
        <v>6.9243826282994192E-3</v>
      </c>
      <c r="L342" s="41">
        <f t="shared" si="80"/>
        <v>0.4</v>
      </c>
      <c r="M342" s="42">
        <f t="shared" si="77"/>
        <v>1</v>
      </c>
      <c r="N342" s="43">
        <f>(VLOOKUP(MONTH('Amortization Model 101'!$B342),Seasonality,2,TRUE))</f>
        <v>1.06</v>
      </c>
      <c r="O342" s="50">
        <f t="shared" si="88"/>
        <v>2.9359382343989537E-3</v>
      </c>
    </row>
    <row r="343" spans="2:15" ht="15" x14ac:dyDescent="0.25">
      <c r="B343" s="57">
        <f t="shared" si="81"/>
        <v>52383</v>
      </c>
      <c r="C343" s="36">
        <f t="shared" si="82"/>
        <v>403187.90608468466</v>
      </c>
      <c r="D343" s="39">
        <f t="shared" si="89"/>
        <v>14072.4833712608</v>
      </c>
      <c r="E343" s="36">
        <f t="shared" si="83"/>
        <v>2015.9395304234231</v>
      </c>
      <c r="F343" s="36">
        <f t="shared" si="84"/>
        <v>12056.543840837378</v>
      </c>
      <c r="G343" s="36">
        <f t="shared" si="85"/>
        <v>0</v>
      </c>
      <c r="H343" s="38">
        <f t="shared" si="86"/>
        <v>1180.8376396055112</v>
      </c>
      <c r="I343" s="36">
        <f t="shared" si="87"/>
        <v>389950.52460424177</v>
      </c>
      <c r="J343" s="2">
        <f t="shared" si="78"/>
        <v>330</v>
      </c>
      <c r="K343" s="44">
        <f t="shared" si="79"/>
        <v>6.9243826282994192E-3</v>
      </c>
      <c r="L343" s="41">
        <f t="shared" si="80"/>
        <v>0.4</v>
      </c>
      <c r="M343" s="42">
        <f t="shared" si="77"/>
        <v>1</v>
      </c>
      <c r="N343" s="43">
        <f>(VLOOKUP(MONTH('Amortization Model 101'!$B343),Seasonality,2,TRUE))</f>
        <v>1.0900000000000001</v>
      </c>
      <c r="O343" s="50">
        <f t="shared" si="88"/>
        <v>3.019030825938547E-3</v>
      </c>
    </row>
    <row r="344" spans="2:15" ht="15" x14ac:dyDescent="0.25">
      <c r="B344" s="57">
        <f t="shared" si="81"/>
        <v>52413</v>
      </c>
      <c r="C344" s="36">
        <f t="shared" si="82"/>
        <v>389950.52460424177</v>
      </c>
      <c r="D344" s="39">
        <f t="shared" si="89"/>
        <v>14029.998110165454</v>
      </c>
      <c r="E344" s="36">
        <f t="shared" si="83"/>
        <v>1949.7526230212088</v>
      </c>
      <c r="F344" s="36">
        <f t="shared" si="84"/>
        <v>12080.245487144246</v>
      </c>
      <c r="G344" s="36">
        <f t="shared" si="85"/>
        <v>0</v>
      </c>
      <c r="H344" s="38">
        <f t="shared" si="86"/>
        <v>1151.2680944463964</v>
      </c>
      <c r="I344" s="36">
        <f t="shared" si="87"/>
        <v>376719.0110226511</v>
      </c>
      <c r="J344" s="2">
        <f t="shared" si="78"/>
        <v>331</v>
      </c>
      <c r="K344" s="44">
        <f t="shared" si="79"/>
        <v>6.9243826282994192E-3</v>
      </c>
      <c r="L344" s="41">
        <f t="shared" si="80"/>
        <v>0.4</v>
      </c>
      <c r="M344" s="42">
        <f t="shared" si="77"/>
        <v>1</v>
      </c>
      <c r="N344" s="43">
        <f>(VLOOKUP(MONTH('Amortization Model 101'!$B344),Seasonality,2,TRUE))</f>
        <v>1.1000000000000001</v>
      </c>
      <c r="O344" s="50">
        <f t="shared" si="88"/>
        <v>3.0467283564517447E-3</v>
      </c>
    </row>
    <row r="345" spans="2:15" ht="15" x14ac:dyDescent="0.25">
      <c r="B345" s="57">
        <f t="shared" si="81"/>
        <v>52444</v>
      </c>
      <c r="C345" s="36">
        <f t="shared" si="82"/>
        <v>376719.0110226511</v>
      </c>
      <c r="D345" s="39">
        <f t="shared" si="89"/>
        <v>13987.252517082248</v>
      </c>
      <c r="E345" s="36">
        <f t="shared" si="83"/>
        <v>1883.5950551132555</v>
      </c>
      <c r="F345" s="36">
        <f t="shared" si="84"/>
        <v>12103.657461968993</v>
      </c>
      <c r="G345" s="36">
        <f t="shared" si="85"/>
        <v>0</v>
      </c>
      <c r="H345" s="38">
        <f t="shared" si="86"/>
        <v>1161.3786612951453</v>
      </c>
      <c r="I345" s="36">
        <f t="shared" si="87"/>
        <v>363453.97489938693</v>
      </c>
      <c r="J345" s="2">
        <f t="shared" si="78"/>
        <v>332</v>
      </c>
      <c r="K345" s="44">
        <f t="shared" si="79"/>
        <v>6.9243826282994192E-3</v>
      </c>
      <c r="L345" s="41">
        <f t="shared" si="80"/>
        <v>0.4</v>
      </c>
      <c r="M345" s="42">
        <f t="shared" si="77"/>
        <v>1</v>
      </c>
      <c r="N345" s="43">
        <f>(VLOOKUP(MONTH('Amortization Model 101'!$B345),Seasonality,2,TRUE))</f>
        <v>1.1499999999999999</v>
      </c>
      <c r="O345" s="50">
        <f t="shared" si="88"/>
        <v>3.1852160090177326E-3</v>
      </c>
    </row>
    <row r="346" spans="2:15" ht="15" x14ac:dyDescent="0.25">
      <c r="B346" s="57">
        <f t="shared" si="81"/>
        <v>52475</v>
      </c>
      <c r="C346" s="36">
        <f t="shared" si="82"/>
        <v>363453.97489938693</v>
      </c>
      <c r="D346" s="39">
        <f t="shared" si="89"/>
        <v>13942.700096442668</v>
      </c>
      <c r="E346" s="36">
        <f t="shared" si="83"/>
        <v>1817.2698744969346</v>
      </c>
      <c r="F346" s="36">
        <f t="shared" si="84"/>
        <v>12125.430221945733</v>
      </c>
      <c r="G346" s="36">
        <f t="shared" si="85"/>
        <v>0</v>
      </c>
      <c r="H346" s="38">
        <f t="shared" si="86"/>
        <v>1099.5954387587658</v>
      </c>
      <c r="I346" s="36">
        <f t="shared" si="87"/>
        <v>350228.9492386824</v>
      </c>
      <c r="J346" s="2">
        <f t="shared" si="78"/>
        <v>333</v>
      </c>
      <c r="K346" s="44">
        <f t="shared" si="79"/>
        <v>6.9243826282994192E-3</v>
      </c>
      <c r="L346" s="41">
        <f t="shared" si="80"/>
        <v>0.4</v>
      </c>
      <c r="M346" s="42">
        <f t="shared" si="77"/>
        <v>1</v>
      </c>
      <c r="N346" s="43">
        <f>(VLOOKUP(MONTH('Amortization Model 101'!$B346),Seasonality,2,TRUE))</f>
        <v>1.1299999999999999</v>
      </c>
      <c r="O346" s="50">
        <f t="shared" si="88"/>
        <v>3.1298209479913371E-3</v>
      </c>
    </row>
    <row r="347" spans="2:15" ht="15" x14ac:dyDescent="0.25">
      <c r="B347" s="57">
        <f t="shared" si="81"/>
        <v>52505</v>
      </c>
      <c r="C347" s="36">
        <f t="shared" si="82"/>
        <v>350228.9492386824</v>
      </c>
      <c r="D347" s="39">
        <f t="shared" si="89"/>
        <v>13899.061941609258</v>
      </c>
      <c r="E347" s="36">
        <f t="shared" si="83"/>
        <v>1751.1447461934119</v>
      </c>
      <c r="F347" s="36">
        <f t="shared" si="84"/>
        <v>12147.917195415846</v>
      </c>
      <c r="G347" s="36">
        <f t="shared" si="85"/>
        <v>0</v>
      </c>
      <c r="H347" s="38">
        <f t="shared" si="86"/>
        <v>945.76497979612554</v>
      </c>
      <c r="I347" s="36">
        <f t="shared" si="87"/>
        <v>337135.26706347044</v>
      </c>
      <c r="J347" s="2">
        <f t="shared" si="78"/>
        <v>334</v>
      </c>
      <c r="K347" s="44">
        <f t="shared" si="79"/>
        <v>6.9243826282994192E-3</v>
      </c>
      <c r="L347" s="41">
        <f t="shared" si="80"/>
        <v>0.4</v>
      </c>
      <c r="M347" s="42">
        <f t="shared" si="77"/>
        <v>1</v>
      </c>
      <c r="N347" s="43">
        <f>(VLOOKUP(MONTH('Amortization Model 101'!$B347),Seasonality,2,TRUE))</f>
        <v>1.01</v>
      </c>
      <c r="O347" s="50">
        <f t="shared" si="88"/>
        <v>2.7974505818329654E-3</v>
      </c>
    </row>
    <row r="348" spans="2:15" ht="15" x14ac:dyDescent="0.25">
      <c r="B348" s="57">
        <f t="shared" si="81"/>
        <v>52536</v>
      </c>
      <c r="C348" s="36">
        <f t="shared" si="82"/>
        <v>337135.26706347044</v>
      </c>
      <c r="D348" s="39">
        <f t="shared" si="89"/>
        <v>13860.180002693771</v>
      </c>
      <c r="E348" s="36">
        <f t="shared" si="83"/>
        <v>1685.6763353173521</v>
      </c>
      <c r="F348" s="36">
        <f t="shared" si="84"/>
        <v>12174.503667376419</v>
      </c>
      <c r="G348" s="36">
        <f t="shared" si="85"/>
        <v>0</v>
      </c>
      <c r="H348" s="38">
        <f t="shared" si="86"/>
        <v>774.05251673895793</v>
      </c>
      <c r="I348" s="36">
        <f t="shared" si="87"/>
        <v>324186.71087935509</v>
      </c>
      <c r="J348" s="2">
        <f t="shared" si="78"/>
        <v>335</v>
      </c>
      <c r="K348" s="44">
        <f t="shared" si="79"/>
        <v>6.9243826282994192E-3</v>
      </c>
      <c r="L348" s="41">
        <f t="shared" si="80"/>
        <v>0.4</v>
      </c>
      <c r="M348" s="42">
        <f t="shared" si="77"/>
        <v>1</v>
      </c>
      <c r="N348" s="43">
        <f>(VLOOKUP(MONTH('Amortization Model 101'!$B348),Seasonality,2,TRUE))</f>
        <v>0.86</v>
      </c>
      <c r="O348" s="50">
        <f t="shared" si="88"/>
        <v>2.3819876241350001E-3</v>
      </c>
    </row>
    <row r="349" spans="2:15" ht="15" x14ac:dyDescent="0.25">
      <c r="B349" s="57">
        <f t="shared" si="81"/>
        <v>52566</v>
      </c>
      <c r="C349" s="36">
        <f t="shared" si="82"/>
        <v>324186.71087935509</v>
      </c>
      <c r="D349" s="39">
        <f t="shared" si="89"/>
        <v>13827.165225459072</v>
      </c>
      <c r="E349" s="36">
        <f t="shared" si="83"/>
        <v>1620.9335543967754</v>
      </c>
      <c r="F349" s="36">
        <f t="shared" si="84"/>
        <v>12206.231671062296</v>
      </c>
      <c r="G349" s="36">
        <f t="shared" si="85"/>
        <v>0</v>
      </c>
      <c r="H349" s="40">
        <f t="shared" si="86"/>
        <v>777.69799581543509</v>
      </c>
      <c r="I349" s="36">
        <f t="shared" si="87"/>
        <v>311202.78121247736</v>
      </c>
      <c r="J349" s="2">
        <f t="shared" si="78"/>
        <v>336</v>
      </c>
      <c r="K349" s="44">
        <f t="shared" si="79"/>
        <v>6.9243826282994192E-3</v>
      </c>
      <c r="L349" s="41">
        <f t="shared" si="80"/>
        <v>0.4</v>
      </c>
      <c r="M349" s="42">
        <f t="shared" si="77"/>
        <v>1</v>
      </c>
      <c r="N349" s="43">
        <f>(VLOOKUP(MONTH('Amortization Model 101'!$B349),Seasonality,2,TRUE))</f>
        <v>0.9</v>
      </c>
      <c r="O349" s="50">
        <f t="shared" si="88"/>
        <v>2.4927777461877911E-3</v>
      </c>
    </row>
    <row r="350" spans="2:15" ht="15" x14ac:dyDescent="0.25">
      <c r="B350" s="57">
        <f t="shared" si="81"/>
        <v>52597</v>
      </c>
      <c r="C350" s="36">
        <f t="shared" si="82"/>
        <v>311202.78121247736</v>
      </c>
      <c r="D350" s="39">
        <f t="shared" si="89"/>
        <v>13792.697175692185</v>
      </c>
      <c r="E350" s="36">
        <f t="shared" si="83"/>
        <v>1556.0139060623867</v>
      </c>
      <c r="F350" s="36">
        <f t="shared" si="84"/>
        <v>12236.683269629799</v>
      </c>
      <c r="G350" s="36">
        <f t="shared" si="85"/>
        <v>0</v>
      </c>
      <c r="H350" s="38">
        <f t="shared" si="86"/>
        <v>736.97541319634627</v>
      </c>
      <c r="I350" s="36">
        <f t="shared" si="87"/>
        <v>298229.12252965121</v>
      </c>
      <c r="J350" s="2">
        <f t="shared" si="78"/>
        <v>337</v>
      </c>
      <c r="K350" s="44">
        <f t="shared" si="79"/>
        <v>6.9243826282994192E-3</v>
      </c>
      <c r="L350" s="41">
        <f t="shared" si="80"/>
        <v>0.4</v>
      </c>
      <c r="M350" s="42">
        <f t="shared" si="77"/>
        <v>1</v>
      </c>
      <c r="N350" s="43">
        <f>(VLOOKUP(MONTH('Amortization Model 101'!$B350),Seasonality,2,TRUE))</f>
        <v>0.89</v>
      </c>
      <c r="O350" s="50">
        <f t="shared" si="88"/>
        <v>2.4650802156745933E-3</v>
      </c>
    </row>
    <row r="351" spans="2:15" ht="15" x14ac:dyDescent="0.25">
      <c r="B351" s="57">
        <f t="shared" si="81"/>
        <v>52628</v>
      </c>
      <c r="C351" s="36">
        <f t="shared" si="82"/>
        <v>298229.12252965121</v>
      </c>
      <c r="D351" s="39">
        <f t="shared" si="89"/>
        <v>13758.697070763596</v>
      </c>
      <c r="E351" s="36">
        <f t="shared" si="83"/>
        <v>1491.145612648256</v>
      </c>
      <c r="F351" s="36">
        <f t="shared" si="84"/>
        <v>12267.55145811534</v>
      </c>
      <c r="G351" s="36">
        <f t="shared" si="85"/>
        <v>0</v>
      </c>
      <c r="H351" s="38">
        <f t="shared" si="86"/>
        <v>712.83864063202304</v>
      </c>
      <c r="I351" s="36">
        <f t="shared" si="87"/>
        <v>285248.73243090382</v>
      </c>
      <c r="J351" s="2">
        <f t="shared" si="78"/>
        <v>338</v>
      </c>
      <c r="K351" s="44">
        <f t="shared" si="79"/>
        <v>6.9243826282994192E-3</v>
      </c>
      <c r="L351" s="41">
        <f t="shared" si="80"/>
        <v>0.4</v>
      </c>
      <c r="M351" s="42">
        <f t="shared" si="77"/>
        <v>1</v>
      </c>
      <c r="N351" s="43">
        <f>(VLOOKUP(MONTH('Amortization Model 101'!$B351),Seasonality,2,TRUE))</f>
        <v>0.9</v>
      </c>
      <c r="O351" s="50">
        <f t="shared" si="88"/>
        <v>2.4927777461877911E-3</v>
      </c>
    </row>
    <row r="352" spans="2:15" ht="15" x14ac:dyDescent="0.25">
      <c r="B352" s="57">
        <f t="shared" si="81"/>
        <v>52657</v>
      </c>
      <c r="C352" s="36">
        <f t="shared" si="82"/>
        <v>285248.73243090382</v>
      </c>
      <c r="D352" s="39">
        <f t="shared" si="89"/>
        <v>13724.399696889057</v>
      </c>
      <c r="E352" s="36">
        <f t="shared" si="83"/>
        <v>1426.2436621545191</v>
      </c>
      <c r="F352" s="36">
        <f t="shared" si="84"/>
        <v>12298.156034734538</v>
      </c>
      <c r="G352" s="36">
        <f t="shared" si="85"/>
        <v>0</v>
      </c>
      <c r="H352" s="38">
        <f t="shared" si="86"/>
        <v>718.20540724114028</v>
      </c>
      <c r="I352" s="36">
        <f t="shared" si="87"/>
        <v>272232.37098892813</v>
      </c>
      <c r="J352" s="2">
        <f t="shared" si="78"/>
        <v>339</v>
      </c>
      <c r="K352" s="44">
        <f t="shared" si="79"/>
        <v>6.9243826282994192E-3</v>
      </c>
      <c r="L352" s="41">
        <f t="shared" si="80"/>
        <v>0.4</v>
      </c>
      <c r="M352" s="42">
        <f t="shared" si="77"/>
        <v>1</v>
      </c>
      <c r="N352" s="43">
        <f>(VLOOKUP(MONTH('Amortization Model 101'!$B352),Seasonality,2,TRUE))</f>
        <v>0.95</v>
      </c>
      <c r="O352" s="50">
        <f t="shared" si="88"/>
        <v>2.6312653987537794E-3</v>
      </c>
    </row>
    <row r="353" spans="2:15" ht="15" x14ac:dyDescent="0.25">
      <c r="B353" s="57">
        <f t="shared" si="81"/>
        <v>52688</v>
      </c>
      <c r="C353" s="36">
        <f t="shared" si="82"/>
        <v>272232.37098892813</v>
      </c>
      <c r="D353" s="39">
        <f t="shared" si="89"/>
        <v>13688.287158847963</v>
      </c>
      <c r="E353" s="36">
        <f t="shared" si="83"/>
        <v>1361.1618549446405</v>
      </c>
      <c r="F353" s="36">
        <f t="shared" si="84"/>
        <v>12327.125303903322</v>
      </c>
      <c r="G353" s="36">
        <f t="shared" si="85"/>
        <v>0</v>
      </c>
      <c r="H353" s="38">
        <f t="shared" si="86"/>
        <v>691.07841339850677</v>
      </c>
      <c r="I353" s="36">
        <f t="shared" si="87"/>
        <v>259214.1672716263</v>
      </c>
      <c r="J353" s="2">
        <f t="shared" si="78"/>
        <v>340</v>
      </c>
      <c r="K353" s="44">
        <f t="shared" si="79"/>
        <v>6.9243826282994192E-3</v>
      </c>
      <c r="L353" s="41">
        <f t="shared" si="80"/>
        <v>0.4</v>
      </c>
      <c r="M353" s="42">
        <f t="shared" si="77"/>
        <v>1</v>
      </c>
      <c r="N353" s="43">
        <f>(VLOOKUP(MONTH('Amortization Model 101'!$B353),Seasonality,2,TRUE))</f>
        <v>0.96</v>
      </c>
      <c r="O353" s="50">
        <f t="shared" si="88"/>
        <v>2.6589629292669767E-3</v>
      </c>
    </row>
    <row r="354" spans="2:15" ht="15" x14ac:dyDescent="0.25">
      <c r="B354" s="57">
        <f t="shared" si="81"/>
        <v>52718</v>
      </c>
      <c r="C354" s="36">
        <f t="shared" si="82"/>
        <v>259214.1672716263</v>
      </c>
      <c r="D354" s="39">
        <f t="shared" si="89"/>
        <v>13651.890510727426</v>
      </c>
      <c r="E354" s="36">
        <f t="shared" si="83"/>
        <v>1296.0708363581314</v>
      </c>
      <c r="F354" s="36">
        <f t="shared" si="84"/>
        <v>12355.819674369295</v>
      </c>
      <c r="G354" s="36">
        <f t="shared" si="85"/>
        <v>0</v>
      </c>
      <c r="H354" s="38">
        <f t="shared" si="86"/>
        <v>724.7608611913339</v>
      </c>
      <c r="I354" s="36">
        <f t="shared" si="87"/>
        <v>246133.58673606566</v>
      </c>
      <c r="J354" s="2">
        <f t="shared" si="78"/>
        <v>341</v>
      </c>
      <c r="K354" s="44">
        <f t="shared" si="79"/>
        <v>6.9243826282994192E-3</v>
      </c>
      <c r="L354" s="41">
        <f t="shared" si="80"/>
        <v>0.4</v>
      </c>
      <c r="M354" s="42">
        <f t="shared" si="77"/>
        <v>1</v>
      </c>
      <c r="N354" s="43">
        <f>(VLOOKUP(MONTH('Amortization Model 101'!$B354),Seasonality,2,TRUE))</f>
        <v>1.06</v>
      </c>
      <c r="O354" s="50">
        <f t="shared" si="88"/>
        <v>2.9359382343989537E-3</v>
      </c>
    </row>
    <row r="355" spans="2:15" ht="15" x14ac:dyDescent="0.25">
      <c r="B355" s="57">
        <f t="shared" si="81"/>
        <v>52749</v>
      </c>
      <c r="C355" s="36">
        <f t="shared" si="82"/>
        <v>246133.58673606566</v>
      </c>
      <c r="D355" s="39">
        <f t="shared" si="89"/>
        <v>13611.809403405152</v>
      </c>
      <c r="E355" s="36">
        <f t="shared" si="83"/>
        <v>1230.6679336803284</v>
      </c>
      <c r="F355" s="36">
        <f t="shared" si="84"/>
        <v>12381.141469724824</v>
      </c>
      <c r="G355" s="36">
        <f t="shared" si="85"/>
        <v>0</v>
      </c>
      <c r="H355" s="38">
        <f t="shared" si="86"/>
        <v>705.70583789759598</v>
      </c>
      <c r="I355" s="36">
        <f t="shared" si="87"/>
        <v>233046.73942844322</v>
      </c>
      <c r="J355" s="2">
        <f t="shared" si="78"/>
        <v>342</v>
      </c>
      <c r="K355" s="44">
        <f t="shared" si="79"/>
        <v>6.9243826282994192E-3</v>
      </c>
      <c r="L355" s="41">
        <f t="shared" si="80"/>
        <v>0.4</v>
      </c>
      <c r="M355" s="42">
        <f t="shared" si="77"/>
        <v>1</v>
      </c>
      <c r="N355" s="43">
        <f>(VLOOKUP(MONTH('Amortization Model 101'!$B355),Seasonality,2,TRUE))</f>
        <v>1.0900000000000001</v>
      </c>
      <c r="O355" s="50">
        <f t="shared" si="88"/>
        <v>3.019030825938547E-3</v>
      </c>
    </row>
    <row r="356" spans="2:15" ht="15" x14ac:dyDescent="0.25">
      <c r="B356" s="57">
        <f t="shared" si="81"/>
        <v>52779</v>
      </c>
      <c r="C356" s="36">
        <f t="shared" si="82"/>
        <v>233046.73942844322</v>
      </c>
      <c r="D356" s="39">
        <f t="shared" si="89"/>
        <v>13570.714931219469</v>
      </c>
      <c r="E356" s="36">
        <f t="shared" si="83"/>
        <v>1165.2336971422162</v>
      </c>
      <c r="F356" s="36">
        <f t="shared" si="84"/>
        <v>12405.481234077253</v>
      </c>
      <c r="G356" s="36">
        <f t="shared" si="85"/>
        <v>0</v>
      </c>
      <c r="H356" s="38">
        <f t="shared" si="86"/>
        <v>672.23397794396567</v>
      </c>
      <c r="I356" s="36">
        <f t="shared" si="87"/>
        <v>219969.024216422</v>
      </c>
      <c r="J356" s="2">
        <f t="shared" si="78"/>
        <v>343</v>
      </c>
      <c r="K356" s="44">
        <f t="shared" si="79"/>
        <v>6.9243826282994192E-3</v>
      </c>
      <c r="L356" s="41">
        <f t="shared" si="80"/>
        <v>0.4</v>
      </c>
      <c r="M356" s="42">
        <f t="shared" si="77"/>
        <v>1</v>
      </c>
      <c r="N356" s="43">
        <f>(VLOOKUP(MONTH('Amortization Model 101'!$B356),Seasonality,2,TRUE))</f>
        <v>1.1000000000000001</v>
      </c>
      <c r="O356" s="50">
        <f t="shared" si="88"/>
        <v>3.0467283564517447E-3</v>
      </c>
    </row>
    <row r="357" spans="2:15" ht="15" x14ac:dyDescent="0.25">
      <c r="B357" s="57">
        <f t="shared" si="81"/>
        <v>52810</v>
      </c>
      <c r="C357" s="36">
        <f t="shared" si="82"/>
        <v>219969.024216422</v>
      </c>
      <c r="D357" s="39">
        <f t="shared" si="89"/>
        <v>13529.368649221205</v>
      </c>
      <c r="E357" s="36">
        <f t="shared" si="83"/>
        <v>1099.8451210821099</v>
      </c>
      <c r="F357" s="36">
        <f t="shared" si="84"/>
        <v>12429.523528139096</v>
      </c>
      <c r="G357" s="36">
        <f t="shared" si="85"/>
        <v>0</v>
      </c>
      <c r="H357" s="38">
        <f t="shared" si="86"/>
        <v>661.05814009586538</v>
      </c>
      <c r="I357" s="36">
        <f t="shared" si="87"/>
        <v>206878.44254818701</v>
      </c>
      <c r="J357" s="2">
        <f t="shared" si="78"/>
        <v>344</v>
      </c>
      <c r="K357" s="44">
        <f t="shared" si="79"/>
        <v>6.9243826282994192E-3</v>
      </c>
      <c r="L357" s="41">
        <f t="shared" si="80"/>
        <v>0.4</v>
      </c>
      <c r="M357" s="42">
        <f t="shared" si="77"/>
        <v>1</v>
      </c>
      <c r="N357" s="43">
        <f>(VLOOKUP(MONTH('Amortization Model 101'!$B357),Seasonality,2,TRUE))</f>
        <v>1.1499999999999999</v>
      </c>
      <c r="O357" s="50">
        <f t="shared" si="88"/>
        <v>3.1852160090177326E-3</v>
      </c>
    </row>
    <row r="358" spans="2:15" ht="15" x14ac:dyDescent="0.25">
      <c r="B358" s="57">
        <f t="shared" si="81"/>
        <v>52841</v>
      </c>
      <c r="C358" s="36">
        <f t="shared" si="82"/>
        <v>206878.44254818701</v>
      </c>
      <c r="D358" s="39">
        <f t="shared" si="89"/>
        <v>13486.274687607802</v>
      </c>
      <c r="E358" s="36">
        <f t="shared" si="83"/>
        <v>1034.3922127409351</v>
      </c>
      <c r="F358" s="36">
        <f t="shared" si="84"/>
        <v>12451.882474866867</v>
      </c>
      <c r="G358" s="36">
        <f t="shared" si="85"/>
        <v>0</v>
      </c>
      <c r="H358" s="38">
        <f t="shared" si="86"/>
        <v>608.5203205633735</v>
      </c>
      <c r="I358" s="36">
        <f t="shared" si="87"/>
        <v>193818.03975275677</v>
      </c>
      <c r="J358" s="2">
        <f t="shared" si="78"/>
        <v>345</v>
      </c>
      <c r="K358" s="44">
        <f t="shared" si="79"/>
        <v>6.9243826282994192E-3</v>
      </c>
      <c r="L358" s="41">
        <f t="shared" si="80"/>
        <v>0.4</v>
      </c>
      <c r="M358" s="42">
        <f t="shared" si="77"/>
        <v>1</v>
      </c>
      <c r="N358" s="43">
        <f>(VLOOKUP(MONTH('Amortization Model 101'!$B358),Seasonality,2,TRUE))</f>
        <v>1.1299999999999999</v>
      </c>
      <c r="O358" s="50">
        <f t="shared" si="88"/>
        <v>3.1298209479913371E-3</v>
      </c>
    </row>
    <row r="359" spans="2:15" ht="15" x14ac:dyDescent="0.25">
      <c r="B359" s="57">
        <f t="shared" si="81"/>
        <v>52871</v>
      </c>
      <c r="C359" s="36">
        <f t="shared" si="82"/>
        <v>193818.03975275677</v>
      </c>
      <c r="D359" s="39">
        <f t="shared" si="89"/>
        <v>13444.065062580157</v>
      </c>
      <c r="E359" s="36">
        <f t="shared" si="83"/>
        <v>969.09019876378386</v>
      </c>
      <c r="F359" s="36">
        <f t="shared" si="84"/>
        <v>12474.974863816373</v>
      </c>
      <c r="G359" s="36">
        <f t="shared" si="85"/>
        <v>0</v>
      </c>
      <c r="H359" s="38">
        <f t="shared" si="86"/>
        <v>507.29826238493951</v>
      </c>
      <c r="I359" s="36">
        <f t="shared" si="87"/>
        <v>180835.76662655544</v>
      </c>
      <c r="J359" s="2">
        <f t="shared" si="78"/>
        <v>346</v>
      </c>
      <c r="K359" s="44">
        <f t="shared" si="79"/>
        <v>6.9243826282994192E-3</v>
      </c>
      <c r="L359" s="41">
        <f t="shared" si="80"/>
        <v>0.4</v>
      </c>
      <c r="M359" s="42">
        <f t="shared" si="77"/>
        <v>1</v>
      </c>
      <c r="N359" s="43">
        <f>(VLOOKUP(MONTH('Amortization Model 101'!$B359),Seasonality,2,TRUE))</f>
        <v>1.01</v>
      </c>
      <c r="O359" s="50">
        <f t="shared" si="88"/>
        <v>2.7974505818329654E-3</v>
      </c>
    </row>
    <row r="360" spans="2:15" ht="15" x14ac:dyDescent="0.25">
      <c r="B360" s="57">
        <f t="shared" si="81"/>
        <v>52902</v>
      </c>
      <c r="C360" s="36">
        <f t="shared" si="82"/>
        <v>180835.76662655544</v>
      </c>
      <c r="D360" s="39">
        <f t="shared" si="89"/>
        <v>13406.455954948644</v>
      </c>
      <c r="E360" s="36">
        <f t="shared" si="83"/>
        <v>904.17883313277719</v>
      </c>
      <c r="F360" s="36">
        <f t="shared" si="84"/>
        <v>12502.277121815867</v>
      </c>
      <c r="G360" s="36">
        <f t="shared" si="85"/>
        <v>0</v>
      </c>
      <c r="H360" s="38">
        <f t="shared" si="86"/>
        <v>400.96828872774864</v>
      </c>
      <c r="I360" s="36">
        <f t="shared" si="87"/>
        <v>167932.52121601184</v>
      </c>
      <c r="J360" s="2">
        <f t="shared" si="78"/>
        <v>347</v>
      </c>
      <c r="K360" s="44">
        <f t="shared" si="79"/>
        <v>6.9243826282994192E-3</v>
      </c>
      <c r="L360" s="41">
        <f t="shared" si="80"/>
        <v>0.4</v>
      </c>
      <c r="M360" s="42">
        <f t="shared" si="77"/>
        <v>1</v>
      </c>
      <c r="N360" s="43">
        <f>(VLOOKUP(MONTH('Amortization Model 101'!$B360),Seasonality,2,TRUE))</f>
        <v>0.86</v>
      </c>
      <c r="O360" s="50">
        <f t="shared" si="88"/>
        <v>2.3819876241350001E-3</v>
      </c>
    </row>
    <row r="361" spans="2:15" ht="15" x14ac:dyDescent="0.25">
      <c r="B361" s="57">
        <f t="shared" si="81"/>
        <v>52932</v>
      </c>
      <c r="C361" s="36">
        <f t="shared" si="82"/>
        <v>167932.52121601184</v>
      </c>
      <c r="D361" s="39">
        <f t="shared" si="89"/>
        <v>13374.521942780444</v>
      </c>
      <c r="E361" s="36">
        <f t="shared" si="83"/>
        <v>839.66260608005916</v>
      </c>
      <c r="F361" s="36">
        <f t="shared" si="84"/>
        <v>12534.859336700385</v>
      </c>
      <c r="G361" s="36">
        <f t="shared" si="85"/>
        <v>0</v>
      </c>
      <c r="H361" s="40">
        <f t="shared" si="86"/>
        <v>387.37183334236244</v>
      </c>
      <c r="I361" s="36">
        <f t="shared" si="87"/>
        <v>155010.2900459691</v>
      </c>
      <c r="J361" s="2">
        <f t="shared" si="78"/>
        <v>348</v>
      </c>
      <c r="K361" s="44">
        <f t="shared" si="79"/>
        <v>6.9243826282994192E-3</v>
      </c>
      <c r="L361" s="41">
        <f t="shared" si="80"/>
        <v>0.4</v>
      </c>
      <c r="M361" s="42">
        <f t="shared" si="77"/>
        <v>1</v>
      </c>
      <c r="N361" s="43">
        <f>(VLOOKUP(MONTH('Amortization Model 101'!$B361),Seasonality,2,TRUE))</f>
        <v>0.9</v>
      </c>
      <c r="O361" s="50">
        <f t="shared" si="88"/>
        <v>2.4927777461877911E-3</v>
      </c>
    </row>
    <row r="362" spans="2:15" ht="15" x14ac:dyDescent="0.25">
      <c r="B362" s="57">
        <f t="shared" si="81"/>
        <v>52963</v>
      </c>
      <c r="C362" s="36">
        <f t="shared" si="82"/>
        <v>155010.2900459691</v>
      </c>
      <c r="D362" s="39">
        <f t="shared" si="89"/>
        <v>13341.182232115581</v>
      </c>
      <c r="E362" s="36">
        <f t="shared" si="83"/>
        <v>775.0514502298455</v>
      </c>
      <c r="F362" s="36">
        <f t="shared" si="84"/>
        <v>12566.130781885737</v>
      </c>
      <c r="G362" s="36">
        <f t="shared" si="85"/>
        <v>0</v>
      </c>
      <c r="H362" s="38">
        <f t="shared" si="86"/>
        <v>351.13627884029273</v>
      </c>
      <c r="I362" s="36">
        <f t="shared" si="87"/>
        <v>142093.02298524306</v>
      </c>
      <c r="J362" s="2">
        <f t="shared" si="78"/>
        <v>349</v>
      </c>
      <c r="K362" s="44">
        <f t="shared" si="79"/>
        <v>6.9243826282994192E-3</v>
      </c>
      <c r="L362" s="41">
        <f t="shared" si="80"/>
        <v>0.4</v>
      </c>
      <c r="M362" s="42">
        <f t="shared" si="77"/>
        <v>1</v>
      </c>
      <c r="N362" s="43">
        <f>(VLOOKUP(MONTH('Amortization Model 101'!$B362),Seasonality,2,TRUE))</f>
        <v>0.89</v>
      </c>
      <c r="O362" s="50">
        <f t="shared" si="88"/>
        <v>2.4650802156745933E-3</v>
      </c>
    </row>
    <row r="363" spans="2:15" ht="15" x14ac:dyDescent="0.25">
      <c r="B363" s="57">
        <f t="shared" si="81"/>
        <v>52994</v>
      </c>
      <c r="C363" s="36">
        <f t="shared" si="82"/>
        <v>142093.02298524306</v>
      </c>
      <c r="D363" s="39">
        <f t="shared" si="89"/>
        <v>13308.295147741484</v>
      </c>
      <c r="E363" s="36">
        <f t="shared" si="83"/>
        <v>710.46511492621528</v>
      </c>
      <c r="F363" s="36">
        <f t="shared" si="84"/>
        <v>12597.830032815269</v>
      </c>
      <c r="G363" s="36">
        <f t="shared" si="85"/>
        <v>0</v>
      </c>
      <c r="H363" s="38">
        <f t="shared" si="86"/>
        <v>322.80273523010607</v>
      </c>
      <c r="I363" s="36">
        <f t="shared" si="87"/>
        <v>129172.3902171977</v>
      </c>
      <c r="J363" s="2">
        <f t="shared" si="78"/>
        <v>350</v>
      </c>
      <c r="K363" s="44">
        <f t="shared" si="79"/>
        <v>6.9243826282994192E-3</v>
      </c>
      <c r="L363" s="41">
        <f t="shared" si="80"/>
        <v>0.4</v>
      </c>
      <c r="M363" s="42">
        <f t="shared" si="77"/>
        <v>1</v>
      </c>
      <c r="N363" s="43">
        <f>(VLOOKUP(MONTH('Amortization Model 101'!$B363),Seasonality,2,TRUE))</f>
        <v>0.9</v>
      </c>
      <c r="O363" s="50">
        <f t="shared" si="88"/>
        <v>2.4927777461877911E-3</v>
      </c>
    </row>
    <row r="364" spans="2:15" ht="15" x14ac:dyDescent="0.25">
      <c r="B364" s="57">
        <f t="shared" si="81"/>
        <v>53022</v>
      </c>
      <c r="C364" s="36">
        <f t="shared" si="82"/>
        <v>129172.3902171977</v>
      </c>
      <c r="D364" s="39">
        <f t="shared" si="89"/>
        <v>13275.120525757497</v>
      </c>
      <c r="E364" s="36">
        <f t="shared" si="83"/>
        <v>645.86195108598838</v>
      </c>
      <c r="F364" s="36">
        <f t="shared" si="84"/>
        <v>12629.258574671509</v>
      </c>
      <c r="G364" s="36">
        <f t="shared" si="85"/>
        <v>0</v>
      </c>
      <c r="H364" s="38">
        <f t="shared" si="86"/>
        <v>306.65590975338586</v>
      </c>
      <c r="I364" s="36">
        <f t="shared" si="87"/>
        <v>116236.4757327728</v>
      </c>
      <c r="J364" s="2">
        <f t="shared" si="78"/>
        <v>351</v>
      </c>
      <c r="K364" s="44">
        <f t="shared" si="79"/>
        <v>6.9243826282994192E-3</v>
      </c>
      <c r="L364" s="41">
        <f t="shared" si="80"/>
        <v>0.4</v>
      </c>
      <c r="M364" s="42">
        <f t="shared" si="77"/>
        <v>1</v>
      </c>
      <c r="N364" s="43">
        <f>(VLOOKUP(MONTH('Amortization Model 101'!$B364),Seasonality,2,TRUE))</f>
        <v>0.95</v>
      </c>
      <c r="O364" s="50">
        <f t="shared" si="88"/>
        <v>2.6312653987537794E-3</v>
      </c>
    </row>
    <row r="365" spans="2:15" ht="15" x14ac:dyDescent="0.25">
      <c r="B365" s="57">
        <f t="shared" si="81"/>
        <v>53053</v>
      </c>
      <c r="C365" s="36">
        <f t="shared" si="82"/>
        <v>116236.4757327728</v>
      </c>
      <c r="D365" s="39">
        <f t="shared" si="89"/>
        <v>13240.190160453783</v>
      </c>
      <c r="E365" s="36">
        <f t="shared" si="83"/>
        <v>581.18237866386391</v>
      </c>
      <c r="F365" s="36">
        <f t="shared" si="84"/>
        <v>12659.00778178992</v>
      </c>
      <c r="G365" s="36">
        <f t="shared" si="85"/>
        <v>0</v>
      </c>
      <c r="H365" s="38">
        <f t="shared" si="86"/>
        <v>275.40864758900187</v>
      </c>
      <c r="I365" s="36">
        <f t="shared" si="87"/>
        <v>103302.05930339388</v>
      </c>
      <c r="J365" s="2">
        <f t="shared" si="78"/>
        <v>352</v>
      </c>
      <c r="K365" s="44">
        <f t="shared" si="79"/>
        <v>6.9243826282994192E-3</v>
      </c>
      <c r="L365" s="41">
        <f t="shared" si="80"/>
        <v>0.4</v>
      </c>
      <c r="M365" s="42">
        <f t="shared" si="77"/>
        <v>1</v>
      </c>
      <c r="N365" s="43">
        <f>(VLOOKUP(MONTH('Amortization Model 101'!$B365),Seasonality,2,TRUE))</f>
        <v>0.96</v>
      </c>
      <c r="O365" s="50">
        <f t="shared" si="88"/>
        <v>2.6589629292669767E-3</v>
      </c>
    </row>
    <row r="366" spans="2:15" ht="15" x14ac:dyDescent="0.25">
      <c r="B366" s="57">
        <f t="shared" si="81"/>
        <v>53083</v>
      </c>
      <c r="C366" s="36">
        <f t="shared" si="82"/>
        <v>103302.05930339388</v>
      </c>
      <c r="D366" s="39">
        <f t="shared" si="89"/>
        <v>13204.984985640693</v>
      </c>
      <c r="E366" s="36">
        <f t="shared" si="83"/>
        <v>516.51029651696933</v>
      </c>
      <c r="F366" s="36">
        <f t="shared" si="84"/>
        <v>12688.474689123723</v>
      </c>
      <c r="G366" s="36">
        <f t="shared" si="85"/>
        <v>0</v>
      </c>
      <c r="H366" s="38">
        <f t="shared" si="86"/>
        <v>266.03588762498055</v>
      </c>
      <c r="I366" s="36">
        <f t="shared" si="87"/>
        <v>90347.548726645182</v>
      </c>
      <c r="J366" s="2">
        <f t="shared" si="78"/>
        <v>353</v>
      </c>
      <c r="K366" s="44">
        <f t="shared" si="79"/>
        <v>6.9243826282994192E-3</v>
      </c>
      <c r="L366" s="41">
        <f t="shared" si="80"/>
        <v>0.4</v>
      </c>
      <c r="M366" s="42">
        <f t="shared" si="77"/>
        <v>1</v>
      </c>
      <c r="N366" s="43">
        <f>(VLOOKUP(MONTH('Amortization Model 101'!$B366),Seasonality,2,TRUE))</f>
        <v>1.06</v>
      </c>
      <c r="O366" s="50">
        <f t="shared" si="88"/>
        <v>2.9359382343989537E-3</v>
      </c>
    </row>
    <row r="367" spans="2:15" ht="15" x14ac:dyDescent="0.25">
      <c r="B367" s="57">
        <f t="shared" si="81"/>
        <v>53114</v>
      </c>
      <c r="C367" s="36">
        <f t="shared" si="82"/>
        <v>90347.548726645182</v>
      </c>
      <c r="D367" s="39">
        <f t="shared" si="89"/>
        <v>13166.215965336689</v>
      </c>
      <c r="E367" s="36">
        <f t="shared" si="83"/>
        <v>451.73774363322588</v>
      </c>
      <c r="F367" s="36">
        <f t="shared" si="84"/>
        <v>12714.478221703463</v>
      </c>
      <c r="G367" s="36">
        <f t="shared" si="85"/>
        <v>0</v>
      </c>
      <c r="H367" s="38">
        <f t="shared" si="86"/>
        <v>234.37663296667964</v>
      </c>
      <c r="I367" s="36">
        <f t="shared" si="87"/>
        <v>77398.693871975032</v>
      </c>
      <c r="J367" s="2">
        <f t="shared" si="78"/>
        <v>354</v>
      </c>
      <c r="K367" s="44">
        <f t="shared" si="79"/>
        <v>6.9243826282994192E-3</v>
      </c>
      <c r="L367" s="41">
        <f t="shared" si="80"/>
        <v>0.4</v>
      </c>
      <c r="M367" s="42">
        <f t="shared" si="77"/>
        <v>1</v>
      </c>
      <c r="N367" s="43">
        <f>(VLOOKUP(MONTH('Amortization Model 101'!$B367),Seasonality,2,TRUE))</f>
        <v>1.0900000000000001</v>
      </c>
      <c r="O367" s="50">
        <f t="shared" si="88"/>
        <v>3.019030825938547E-3</v>
      </c>
    </row>
    <row r="368" spans="2:15" ht="15" x14ac:dyDescent="0.25">
      <c r="B368" s="57">
        <f t="shared" si="81"/>
        <v>53144</v>
      </c>
      <c r="C368" s="36">
        <f t="shared" si="82"/>
        <v>77398.693871975032</v>
      </c>
      <c r="D368" s="39">
        <f t="shared" si="89"/>
        <v>13126.46675347637</v>
      </c>
      <c r="E368" s="36">
        <f t="shared" si="83"/>
        <v>386.99346935987518</v>
      </c>
      <c r="F368" s="36">
        <f t="shared" si="84"/>
        <v>12739.473284116495</v>
      </c>
      <c r="G368" s="36">
        <f t="shared" si="85"/>
        <v>0</v>
      </c>
      <c r="H368" s="38">
        <f t="shared" si="86"/>
        <v>196.99908087109705</v>
      </c>
      <c r="I368" s="36">
        <f t="shared" si="87"/>
        <v>64462.221506987444</v>
      </c>
      <c r="J368" s="2">
        <f t="shared" si="78"/>
        <v>355</v>
      </c>
      <c r="K368" s="44">
        <f t="shared" si="79"/>
        <v>6.9243826282994192E-3</v>
      </c>
      <c r="L368" s="41">
        <f t="shared" si="80"/>
        <v>0.4</v>
      </c>
      <c r="M368" s="42">
        <f t="shared" si="77"/>
        <v>1</v>
      </c>
      <c r="N368" s="43">
        <f>(VLOOKUP(MONTH('Amortization Model 101'!$B368),Seasonality,2,TRUE))</f>
        <v>1.1000000000000001</v>
      </c>
      <c r="O368" s="50">
        <f t="shared" si="88"/>
        <v>3.0467283564517447E-3</v>
      </c>
    </row>
    <row r="369" spans="2:15" ht="15" x14ac:dyDescent="0.25">
      <c r="B369" s="57">
        <f t="shared" si="81"/>
        <v>53175</v>
      </c>
      <c r="C369" s="36">
        <f t="shared" si="82"/>
        <v>64462.221506987444</v>
      </c>
      <c r="D369" s="39">
        <f t="shared" si="89"/>
        <v>13086.473974998535</v>
      </c>
      <c r="E369" s="36">
        <f t="shared" si="83"/>
        <v>322.31110753493721</v>
      </c>
      <c r="F369" s="36">
        <f t="shared" si="84"/>
        <v>12764.162867463598</v>
      </c>
      <c r="G369" s="36">
        <f t="shared" si="85"/>
        <v>0</v>
      </c>
      <c r="H369" s="38">
        <f t="shared" si="86"/>
        <v>164.66948401374887</v>
      </c>
      <c r="I369" s="36">
        <f t="shared" si="87"/>
        <v>51533.3891555101</v>
      </c>
      <c r="J369" s="2">
        <f t="shared" si="78"/>
        <v>356</v>
      </c>
      <c r="K369" s="44">
        <f t="shared" si="79"/>
        <v>6.9243826282994192E-3</v>
      </c>
      <c r="L369" s="41">
        <f t="shared" si="80"/>
        <v>0.4</v>
      </c>
      <c r="M369" s="42">
        <f t="shared" si="77"/>
        <v>1</v>
      </c>
      <c r="N369" s="43">
        <f>(VLOOKUP(MONTH('Amortization Model 101'!$B369),Seasonality,2,TRUE))</f>
        <v>1.1499999999999999</v>
      </c>
      <c r="O369" s="50">
        <f t="shared" si="88"/>
        <v>3.1852160090177326E-3</v>
      </c>
    </row>
    <row r="370" spans="2:15" ht="15" x14ac:dyDescent="0.25">
      <c r="B370" s="57">
        <f t="shared" si="81"/>
        <v>53206</v>
      </c>
      <c r="C370" s="36">
        <f t="shared" si="82"/>
        <v>51533.3891555101</v>
      </c>
      <c r="D370" s="39">
        <f t="shared" si="89"/>
        <v>13044.790728591779</v>
      </c>
      <c r="E370" s="36">
        <f t="shared" si="83"/>
        <v>257.6669457775505</v>
      </c>
      <c r="F370" s="36">
        <f t="shared" si="84"/>
        <v>12787.123782814229</v>
      </c>
      <c r="G370" s="36">
        <f t="shared" si="85"/>
        <v>0</v>
      </c>
      <c r="H370" s="38">
        <f t="shared" si="86"/>
        <v>121.2688730198949</v>
      </c>
      <c r="I370" s="36">
        <f t="shared" si="87"/>
        <v>38624.996499675974</v>
      </c>
      <c r="J370" s="2">
        <f t="shared" si="78"/>
        <v>357</v>
      </c>
      <c r="K370" s="44">
        <f t="shared" si="79"/>
        <v>6.9243826282994192E-3</v>
      </c>
      <c r="L370" s="41">
        <f t="shared" si="80"/>
        <v>0.4</v>
      </c>
      <c r="M370" s="42">
        <f t="shared" si="77"/>
        <v>1</v>
      </c>
      <c r="N370" s="43">
        <f>(VLOOKUP(MONTH('Amortization Model 101'!$B370),Seasonality,2,TRUE))</f>
        <v>1.1299999999999999</v>
      </c>
      <c r="O370" s="50">
        <f t="shared" si="88"/>
        <v>3.1298209479913371E-3</v>
      </c>
    </row>
    <row r="371" spans="2:15" ht="15" x14ac:dyDescent="0.25">
      <c r="B371" s="57">
        <f t="shared" si="81"/>
        <v>53236</v>
      </c>
      <c r="C371" s="36">
        <f t="shared" si="82"/>
        <v>38624.996499675974</v>
      </c>
      <c r="D371" s="39">
        <f t="shared" si="89"/>
        <v>13003.962869307266</v>
      </c>
      <c r="E371" s="36">
        <f t="shared" si="83"/>
        <v>193.12498249837986</v>
      </c>
      <c r="F371" s="36">
        <f t="shared" si="84"/>
        <v>12810.837886808886</v>
      </c>
      <c r="G371" s="36">
        <f t="shared" si="85"/>
        <v>0</v>
      </c>
      <c r="H371" s="38">
        <f t="shared" si="86"/>
        <v>72.2138330310935</v>
      </c>
      <c r="I371" s="36">
        <f t="shared" si="87"/>
        <v>25741.944779835998</v>
      </c>
      <c r="J371" s="2">
        <f t="shared" si="78"/>
        <v>358</v>
      </c>
      <c r="K371" s="44">
        <f t="shared" si="79"/>
        <v>6.9243826282994192E-3</v>
      </c>
      <c r="L371" s="41">
        <f t="shared" si="80"/>
        <v>0.4</v>
      </c>
      <c r="M371" s="42">
        <f t="shared" si="77"/>
        <v>1</v>
      </c>
      <c r="N371" s="43">
        <f>(VLOOKUP(MONTH('Amortization Model 101'!$B371),Seasonality,2,TRUE))</f>
        <v>1.01</v>
      </c>
      <c r="O371" s="50">
        <f t="shared" si="88"/>
        <v>2.7974505818329654E-3</v>
      </c>
    </row>
    <row r="372" spans="2:15" ht="15" x14ac:dyDescent="0.25">
      <c r="B372" s="57">
        <f t="shared" si="81"/>
        <v>53267</v>
      </c>
      <c r="C372" s="36">
        <f t="shared" si="82"/>
        <v>25741.944779835998</v>
      </c>
      <c r="D372" s="39">
        <f t="shared" si="89"/>
        <v>12967.584925812394</v>
      </c>
      <c r="E372" s="36">
        <f t="shared" si="83"/>
        <v>128.70972389917998</v>
      </c>
      <c r="F372" s="36">
        <f t="shared" si="84"/>
        <v>12838.875201913215</v>
      </c>
      <c r="G372" s="36">
        <f t="shared" si="85"/>
        <v>0</v>
      </c>
      <c r="H372" s="38">
        <f t="shared" si="86"/>
        <v>30.734952047964889</v>
      </c>
      <c r="I372" s="36">
        <f t="shared" si="87"/>
        <v>12872.334625874817</v>
      </c>
      <c r="J372" s="2">
        <f t="shared" si="78"/>
        <v>359</v>
      </c>
      <c r="K372" s="44">
        <f t="shared" si="79"/>
        <v>6.9243826282994192E-3</v>
      </c>
      <c r="L372" s="41">
        <f t="shared" si="80"/>
        <v>0.4</v>
      </c>
      <c r="M372" s="42">
        <f t="shared" si="77"/>
        <v>1</v>
      </c>
      <c r="N372" s="43">
        <f>(VLOOKUP(MONTH('Amortization Model 101'!$B372),Seasonality,2,TRUE))</f>
        <v>0.86</v>
      </c>
      <c r="O372" s="50">
        <f t="shared" si="88"/>
        <v>2.3819876241350001E-3</v>
      </c>
    </row>
    <row r="373" spans="2:15" ht="15" x14ac:dyDescent="0.25">
      <c r="B373" s="58">
        <f t="shared" si="81"/>
        <v>53297</v>
      </c>
      <c r="C373" s="36">
        <f t="shared" si="82"/>
        <v>12872.334625874817</v>
      </c>
      <c r="D373" s="39">
        <f t="shared" si="89"/>
        <v>12936.69629900419</v>
      </c>
      <c r="E373" s="36">
        <f t="shared" si="83"/>
        <v>64.361673129374083</v>
      </c>
      <c r="F373" s="36">
        <f t="shared" si="84"/>
        <v>12872.334625874817</v>
      </c>
      <c r="G373" s="36">
        <f t="shared" si="85"/>
        <v>0</v>
      </c>
      <c r="H373" s="40">
        <f t="shared" si="86"/>
        <v>0</v>
      </c>
      <c r="I373" s="36">
        <f t="shared" si="87"/>
        <v>0</v>
      </c>
      <c r="J373" s="2">
        <f t="shared" si="78"/>
        <v>360</v>
      </c>
      <c r="K373" s="51">
        <f t="shared" si="79"/>
        <v>6.9243826282994192E-3</v>
      </c>
      <c r="L373" s="52">
        <f t="shared" si="80"/>
        <v>0.4</v>
      </c>
      <c r="M373" s="53">
        <f t="shared" si="77"/>
        <v>1</v>
      </c>
      <c r="N373" s="54">
        <f>(VLOOKUP(MONTH('Amortization Model 101'!$B373),Seasonality,2,TRUE))</f>
        <v>0.9</v>
      </c>
      <c r="O373" s="55">
        <f t="shared" si="88"/>
        <v>2.4927777461877911E-3</v>
      </c>
    </row>
    <row r="374" spans="2:15" x14ac:dyDescent="0.2">
      <c r="H374" s="1"/>
      <c r="J374" s="2"/>
    </row>
    <row r="375" spans="2:15" x14ac:dyDescent="0.2">
      <c r="H375" s="1"/>
      <c r="J375" s="2"/>
    </row>
    <row r="376" spans="2:15" x14ac:dyDescent="0.2">
      <c r="H376" s="1"/>
      <c r="J376" s="2"/>
    </row>
    <row r="377" spans="2:15" x14ac:dyDescent="0.2">
      <c r="H377" s="1"/>
      <c r="J377" s="2"/>
    </row>
    <row r="378" spans="2:15" x14ac:dyDescent="0.2">
      <c r="H378" s="1"/>
      <c r="J378" s="2"/>
    </row>
    <row r="379" spans="2:15" x14ac:dyDescent="0.2">
      <c r="H379" s="1"/>
      <c r="J379" s="2"/>
    </row>
    <row r="380" spans="2:15" x14ac:dyDescent="0.2">
      <c r="H380" s="1"/>
      <c r="J380" s="2"/>
    </row>
    <row r="381" spans="2:15" x14ac:dyDescent="0.2">
      <c r="H381" s="1"/>
      <c r="J381" s="2"/>
    </row>
    <row r="382" spans="2:15" x14ac:dyDescent="0.2">
      <c r="H382" s="1"/>
      <c r="J382" s="2"/>
    </row>
    <row r="383" spans="2:15" x14ac:dyDescent="0.2">
      <c r="H383" s="1"/>
      <c r="J383" s="2"/>
    </row>
    <row r="384" spans="2:15" x14ac:dyDescent="0.2">
      <c r="H384" s="1"/>
      <c r="J384" s="2"/>
    </row>
    <row r="385" spans="8:10" x14ac:dyDescent="0.2">
      <c r="H385" s="1"/>
      <c r="J385" s="2"/>
    </row>
    <row r="386" spans="8:10" x14ac:dyDescent="0.2">
      <c r="H386" s="1"/>
      <c r="J386" s="2"/>
    </row>
    <row r="387" spans="8:10" x14ac:dyDescent="0.2">
      <c r="H387" s="1"/>
      <c r="J387" s="2"/>
    </row>
    <row r="388" spans="8:10" x14ac:dyDescent="0.2">
      <c r="H388" s="1"/>
      <c r="J388" s="2"/>
    </row>
    <row r="389" spans="8:10" x14ac:dyDescent="0.2">
      <c r="H389" s="1"/>
      <c r="J389" s="2"/>
    </row>
    <row r="390" spans="8:10" x14ac:dyDescent="0.2">
      <c r="H390" s="1"/>
      <c r="J390" s="2"/>
    </row>
    <row r="391" spans="8:10" x14ac:dyDescent="0.2">
      <c r="H391" s="1"/>
      <c r="J391" s="2"/>
    </row>
    <row r="392" spans="8:10" x14ac:dyDescent="0.2">
      <c r="H392" s="1"/>
      <c r="J392" s="2"/>
    </row>
    <row r="393" spans="8:10" x14ac:dyDescent="0.2">
      <c r="H393" s="1"/>
      <c r="J393" s="2"/>
    </row>
    <row r="394" spans="8:10" x14ac:dyDescent="0.2">
      <c r="H394" s="1"/>
      <c r="J394" s="2"/>
    </row>
    <row r="395" spans="8:10" x14ac:dyDescent="0.2">
      <c r="H395" s="1"/>
      <c r="J395" s="2"/>
    </row>
    <row r="396" spans="8:10" x14ac:dyDescent="0.2">
      <c r="H396" s="1"/>
      <c r="J396" s="2"/>
    </row>
    <row r="397" spans="8:10" x14ac:dyDescent="0.2">
      <c r="H397" s="1"/>
      <c r="J397" s="2"/>
    </row>
    <row r="398" spans="8:10" x14ac:dyDescent="0.2">
      <c r="H398" s="1"/>
      <c r="J398" s="2"/>
    </row>
    <row r="399" spans="8:10" x14ac:dyDescent="0.2">
      <c r="H399" s="1"/>
      <c r="J399" s="2"/>
    </row>
    <row r="400" spans="8:10" x14ac:dyDescent="0.2">
      <c r="H400" s="1"/>
      <c r="J400" s="2"/>
    </row>
    <row r="401" spans="8:10" x14ac:dyDescent="0.2">
      <c r="H401" s="1"/>
      <c r="J401" s="2"/>
    </row>
    <row r="402" spans="8:10" x14ac:dyDescent="0.2">
      <c r="H402" s="1"/>
      <c r="J402" s="2"/>
    </row>
    <row r="403" spans="8:10" x14ac:dyDescent="0.2">
      <c r="H403" s="1"/>
      <c r="J403" s="2"/>
    </row>
    <row r="404" spans="8:10" x14ac:dyDescent="0.2">
      <c r="H404" s="1"/>
      <c r="J404" s="2"/>
    </row>
    <row r="405" spans="8:10" x14ac:dyDescent="0.2">
      <c r="H405" s="1"/>
      <c r="J405" s="2"/>
    </row>
    <row r="406" spans="8:10" x14ac:dyDescent="0.2">
      <c r="H406" s="1"/>
      <c r="J406" s="2"/>
    </row>
    <row r="407" spans="8:10" x14ac:dyDescent="0.2">
      <c r="H407" s="1"/>
      <c r="J407" s="2"/>
    </row>
    <row r="408" spans="8:10" x14ac:dyDescent="0.2">
      <c r="H408" s="1"/>
      <c r="J408" s="2"/>
    </row>
    <row r="409" spans="8:10" x14ac:dyDescent="0.2">
      <c r="H409" s="1"/>
      <c r="J409" s="2"/>
    </row>
    <row r="410" spans="8:10" x14ac:dyDescent="0.2">
      <c r="H410" s="1"/>
      <c r="J410" s="2"/>
    </row>
    <row r="411" spans="8:10" x14ac:dyDescent="0.2">
      <c r="H411" s="1"/>
      <c r="J411" s="2"/>
    </row>
    <row r="412" spans="8:10" x14ac:dyDescent="0.2">
      <c r="H412" s="1"/>
      <c r="J412" s="2"/>
    </row>
    <row r="413" spans="8:10" x14ac:dyDescent="0.2">
      <c r="H413" s="1"/>
      <c r="J413" s="2"/>
    </row>
    <row r="414" spans="8:10" x14ac:dyDescent="0.2">
      <c r="H414" s="1"/>
      <c r="J414" s="2"/>
    </row>
    <row r="415" spans="8:10" x14ac:dyDescent="0.2">
      <c r="H415" s="1"/>
      <c r="J415" s="2"/>
    </row>
    <row r="416" spans="8:10" x14ac:dyDescent="0.2">
      <c r="H416" s="1"/>
      <c r="J416" s="2"/>
    </row>
    <row r="417" spans="8:10" x14ac:dyDescent="0.2">
      <c r="H417" s="1"/>
      <c r="J417" s="2"/>
    </row>
    <row r="418" spans="8:10" x14ac:dyDescent="0.2">
      <c r="H418" s="1"/>
      <c r="J418" s="2"/>
    </row>
    <row r="419" spans="8:10" x14ac:dyDescent="0.2">
      <c r="H419" s="1"/>
      <c r="J419" s="2"/>
    </row>
    <row r="420" spans="8:10" x14ac:dyDescent="0.2">
      <c r="H420" s="1"/>
      <c r="J420" s="2"/>
    </row>
    <row r="421" spans="8:10" x14ac:dyDescent="0.2">
      <c r="H421" s="1"/>
      <c r="J421" s="2"/>
    </row>
    <row r="422" spans="8:10" x14ac:dyDescent="0.2">
      <c r="H422" s="1"/>
      <c r="J422" s="2"/>
    </row>
    <row r="423" spans="8:10" x14ac:dyDescent="0.2">
      <c r="H423" s="1"/>
      <c r="J423" s="2"/>
    </row>
    <row r="424" spans="8:10" x14ac:dyDescent="0.2">
      <c r="H424" s="1"/>
      <c r="J424" s="2"/>
    </row>
    <row r="425" spans="8:10" x14ac:dyDescent="0.2">
      <c r="H425" s="1"/>
      <c r="J425" s="2"/>
    </row>
    <row r="426" spans="8:10" x14ac:dyDescent="0.2">
      <c r="H426" s="1"/>
      <c r="J426" s="2"/>
    </row>
    <row r="427" spans="8:10" x14ac:dyDescent="0.2">
      <c r="H427" s="1"/>
      <c r="J427" s="2"/>
    </row>
    <row r="428" spans="8:10" x14ac:dyDescent="0.2">
      <c r="H428" s="1"/>
      <c r="J428" s="2"/>
    </row>
    <row r="429" spans="8:10" x14ac:dyDescent="0.2">
      <c r="H429" s="1"/>
      <c r="J429" s="2"/>
    </row>
    <row r="430" spans="8:10" x14ac:dyDescent="0.2">
      <c r="H430" s="1"/>
      <c r="J430" s="2"/>
    </row>
    <row r="431" spans="8:10" x14ac:dyDescent="0.2">
      <c r="H431" s="1"/>
      <c r="J431" s="2"/>
    </row>
    <row r="432" spans="8:10" x14ac:dyDescent="0.2">
      <c r="H432" s="1"/>
      <c r="J432" s="2"/>
    </row>
    <row r="433" spans="8:10" x14ac:dyDescent="0.2">
      <c r="H433" s="1"/>
      <c r="J433" s="2"/>
    </row>
    <row r="434" spans="8:10" x14ac:dyDescent="0.2">
      <c r="H434" s="1"/>
      <c r="J434" s="2"/>
    </row>
    <row r="435" spans="8:10" x14ac:dyDescent="0.2">
      <c r="H435" s="1"/>
      <c r="J435" s="2"/>
    </row>
    <row r="436" spans="8:10" x14ac:dyDescent="0.2">
      <c r="H436" s="1"/>
      <c r="J436" s="2"/>
    </row>
    <row r="437" spans="8:10" x14ac:dyDescent="0.2">
      <c r="H437" s="1"/>
      <c r="J437" s="2"/>
    </row>
    <row r="438" spans="8:10" x14ac:dyDescent="0.2">
      <c r="H438" s="1"/>
      <c r="J438" s="2"/>
    </row>
    <row r="439" spans="8:10" x14ac:dyDescent="0.2">
      <c r="H439" s="1"/>
      <c r="J439" s="2"/>
    </row>
    <row r="440" spans="8:10" x14ac:dyDescent="0.2">
      <c r="H440" s="1"/>
      <c r="J440" s="2"/>
    </row>
    <row r="441" spans="8:10" x14ac:dyDescent="0.2">
      <c r="H441" s="1"/>
      <c r="J441" s="2"/>
    </row>
    <row r="442" spans="8:10" x14ac:dyDescent="0.2">
      <c r="H442" s="1"/>
      <c r="J442" s="2"/>
    </row>
    <row r="443" spans="8:10" x14ac:dyDescent="0.2">
      <c r="H443" s="1"/>
      <c r="J443" s="2"/>
    </row>
    <row r="444" spans="8:10" x14ac:dyDescent="0.2">
      <c r="H444" s="1"/>
      <c r="J444" s="2"/>
    </row>
    <row r="445" spans="8:10" x14ac:dyDescent="0.2">
      <c r="H445" s="1"/>
      <c r="J445" s="2"/>
    </row>
    <row r="446" spans="8:10" x14ac:dyDescent="0.2">
      <c r="H446" s="1"/>
      <c r="J446" s="2"/>
    </row>
    <row r="447" spans="8:10" x14ac:dyDescent="0.2">
      <c r="H447" s="1"/>
      <c r="J447" s="2"/>
    </row>
    <row r="448" spans="8:10" x14ac:dyDescent="0.2">
      <c r="H448" s="1"/>
      <c r="J448" s="2"/>
    </row>
    <row r="449" spans="8:10" x14ac:dyDescent="0.2">
      <c r="H449" s="1"/>
      <c r="J449" s="2"/>
    </row>
    <row r="450" spans="8:10" x14ac:dyDescent="0.2">
      <c r="H450" s="1"/>
      <c r="J450" s="2"/>
    </row>
    <row r="451" spans="8:10" x14ac:dyDescent="0.2">
      <c r="H451" s="1"/>
      <c r="J451" s="2"/>
    </row>
    <row r="452" spans="8:10" x14ac:dyDescent="0.2">
      <c r="H452" s="1"/>
      <c r="J452" s="2"/>
    </row>
    <row r="453" spans="8:10" x14ac:dyDescent="0.2">
      <c r="H453" s="1"/>
      <c r="J453" s="2"/>
    </row>
    <row r="454" spans="8:10" x14ac:dyDescent="0.2">
      <c r="H454" s="1"/>
      <c r="J454" s="2"/>
    </row>
    <row r="455" spans="8:10" x14ac:dyDescent="0.2">
      <c r="H455" s="1"/>
      <c r="J455" s="2"/>
    </row>
    <row r="456" spans="8:10" x14ac:dyDescent="0.2">
      <c r="H456" s="1"/>
      <c r="J456" s="2"/>
    </row>
    <row r="457" spans="8:10" x14ac:dyDescent="0.2">
      <c r="H457" s="1"/>
      <c r="J457" s="2"/>
    </row>
    <row r="458" spans="8:10" x14ac:dyDescent="0.2">
      <c r="H458" s="1"/>
      <c r="J458" s="2"/>
    </row>
    <row r="459" spans="8:10" x14ac:dyDescent="0.2">
      <c r="H459" s="1"/>
      <c r="J459" s="2"/>
    </row>
    <row r="460" spans="8:10" x14ac:dyDescent="0.2">
      <c r="H460" s="1"/>
      <c r="J460" s="2"/>
    </row>
    <row r="461" spans="8:10" x14ac:dyDescent="0.2">
      <c r="H461" s="1"/>
      <c r="J461" s="2"/>
    </row>
  </sheetData>
  <mergeCells count="1">
    <mergeCell ref="B3:C3"/>
  </mergeCells>
  <conditionalFormatting sqref="I14:J373 C14:G373">
    <cfRule type="expression" dxfId="65" priority="37">
      <formula>MOD($J14,12)=0</formula>
    </cfRule>
  </conditionalFormatting>
  <conditionalFormatting sqref="H14:H24 H26:H36 H38:H48 H362:H372 H350:H360 H326:H336 H338:H348 H314:H324 H302:H312 H290:H300 H278:H288 H266:H276 H218:H228 H230:H240 H242:H252 H254:H264 H182:H192 H170:H180 H194:H204 H206:H216 H158:H168 H146:H156 H134:H144 H122:H132 H110:H120 H98:H108 H86:H96 H74:H84 H50:H60 H62:H72">
    <cfRule type="cellIs" dxfId="64" priority="34" operator="equal">
      <formula>0</formula>
    </cfRule>
    <cfRule type="expression" dxfId="63" priority="35">
      <formula>MOD($I14,12)=0</formula>
    </cfRule>
  </conditionalFormatting>
  <conditionalFormatting sqref="H25">
    <cfRule type="expression" dxfId="62" priority="31">
      <formula>MOD($J25,12)=0</formula>
    </cfRule>
  </conditionalFormatting>
  <conditionalFormatting sqref="H37">
    <cfRule type="expression" dxfId="61" priority="30">
      <formula>MOD($J37,12)=0</formula>
    </cfRule>
  </conditionalFormatting>
  <conditionalFormatting sqref="H373">
    <cfRule type="expression" dxfId="60" priority="29">
      <formula>MOD($J373,12)=0</formula>
    </cfRule>
  </conditionalFormatting>
  <conditionalFormatting sqref="H361">
    <cfRule type="expression" dxfId="59" priority="28">
      <formula>MOD($J361,12)=0</formula>
    </cfRule>
  </conditionalFormatting>
  <conditionalFormatting sqref="H349">
    <cfRule type="expression" dxfId="58" priority="27">
      <formula>MOD($J349,12)=0</formula>
    </cfRule>
  </conditionalFormatting>
  <conditionalFormatting sqref="H325">
    <cfRule type="expression" dxfId="57" priority="26">
      <formula>MOD($J325,12)=0</formula>
    </cfRule>
  </conditionalFormatting>
  <conditionalFormatting sqref="H337">
    <cfRule type="expression" dxfId="56" priority="25">
      <formula>MOD($J337,12)=0</formula>
    </cfRule>
  </conditionalFormatting>
  <conditionalFormatting sqref="H313">
    <cfRule type="expression" dxfId="55" priority="24">
      <formula>MOD($J313,12)=0</formula>
    </cfRule>
  </conditionalFormatting>
  <conditionalFormatting sqref="H301">
    <cfRule type="expression" dxfId="54" priority="23">
      <formula>MOD($J301,12)=0</formula>
    </cfRule>
  </conditionalFormatting>
  <conditionalFormatting sqref="H289">
    <cfRule type="expression" dxfId="53" priority="22">
      <formula>MOD($J289,12)=0</formula>
    </cfRule>
  </conditionalFormatting>
  <conditionalFormatting sqref="H277">
    <cfRule type="expression" dxfId="52" priority="20">
      <formula>MOD($J277,12)=0</formula>
    </cfRule>
  </conditionalFormatting>
  <conditionalFormatting sqref="H265">
    <cfRule type="expression" dxfId="51" priority="19">
      <formula>MOD($J265,12)=0</formula>
    </cfRule>
  </conditionalFormatting>
  <conditionalFormatting sqref="H217">
    <cfRule type="expression" dxfId="50" priority="18">
      <formula>MOD($J217,12)=0</formula>
    </cfRule>
  </conditionalFormatting>
  <conditionalFormatting sqref="H229">
    <cfRule type="expression" dxfId="49" priority="17">
      <formula>MOD($J229,12)=0</formula>
    </cfRule>
  </conditionalFormatting>
  <conditionalFormatting sqref="H241">
    <cfRule type="expression" dxfId="48" priority="16">
      <formula>MOD($J241,12)=0</formula>
    </cfRule>
  </conditionalFormatting>
  <conditionalFormatting sqref="H253">
    <cfRule type="expression" dxfId="47" priority="15">
      <formula>MOD($J253,12)=0</formula>
    </cfRule>
  </conditionalFormatting>
  <conditionalFormatting sqref="H181">
    <cfRule type="expression" dxfId="46" priority="14">
      <formula>MOD($J181,12)=0</formula>
    </cfRule>
  </conditionalFormatting>
  <conditionalFormatting sqref="H169">
    <cfRule type="expression" dxfId="45" priority="13">
      <formula>MOD($J169,12)=0</formula>
    </cfRule>
  </conditionalFormatting>
  <conditionalFormatting sqref="H193">
    <cfRule type="expression" dxfId="44" priority="12">
      <formula>MOD($J193,12)=0</formula>
    </cfRule>
  </conditionalFormatting>
  <conditionalFormatting sqref="H205">
    <cfRule type="expression" dxfId="43" priority="11">
      <formula>MOD($J205,12)=0</formula>
    </cfRule>
  </conditionalFormatting>
  <conditionalFormatting sqref="H157">
    <cfRule type="expression" dxfId="42" priority="10">
      <formula>MOD($J157,12)=0</formula>
    </cfRule>
  </conditionalFormatting>
  <conditionalFormatting sqref="H145">
    <cfRule type="expression" dxfId="41" priority="9">
      <formula>MOD($J145,12)=0</formula>
    </cfRule>
  </conditionalFormatting>
  <conditionalFormatting sqref="H133">
    <cfRule type="expression" dxfId="40" priority="8">
      <formula>MOD($J133,12)=0</formula>
    </cfRule>
  </conditionalFormatting>
  <conditionalFormatting sqref="H121">
    <cfRule type="expression" dxfId="39" priority="7">
      <formula>MOD($J121,12)=0</formula>
    </cfRule>
  </conditionalFormatting>
  <conditionalFormatting sqref="H109">
    <cfRule type="expression" dxfId="38" priority="6">
      <formula>MOD($J109,12)=0</formula>
    </cfRule>
  </conditionalFormatting>
  <conditionalFormatting sqref="H97">
    <cfRule type="expression" dxfId="37" priority="5">
      <formula>MOD($J97,12)=0</formula>
    </cfRule>
  </conditionalFormatting>
  <conditionalFormatting sqref="H85">
    <cfRule type="expression" dxfId="36" priority="4">
      <formula>MOD($J85,12)=0</formula>
    </cfRule>
  </conditionalFormatting>
  <conditionalFormatting sqref="H73">
    <cfRule type="expression" dxfId="35" priority="3">
      <formula>MOD($J73,12)=0</formula>
    </cfRule>
  </conditionalFormatting>
  <conditionalFormatting sqref="H49">
    <cfRule type="expression" dxfId="34" priority="2">
      <formula>MOD($J49,12)=0</formula>
    </cfRule>
  </conditionalFormatting>
  <conditionalFormatting sqref="H61">
    <cfRule type="expression" dxfId="33" priority="1">
      <formula>MOD($J61,12)=0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'4-Factor Model'!$B$6:$B$16</xm:f>
          </x14:formula1>
          <xm:sqref>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403A-2ADF-4F1C-BA08-B5BD1752D70B}">
  <dimension ref="A1:O461"/>
  <sheetViews>
    <sheetView showGridLines="0" zoomScaleNormal="100" workbookViewId="0">
      <selection activeCell="S8" sqref="S8"/>
    </sheetView>
  </sheetViews>
  <sheetFormatPr defaultRowHeight="12.75" x14ac:dyDescent="0.2"/>
  <cols>
    <col min="1" max="1" width="1.85546875" customWidth="1"/>
    <col min="2" max="2" width="10.7109375" customWidth="1"/>
    <col min="3" max="3" width="16.42578125" customWidth="1"/>
    <col min="4" max="4" width="15.140625" customWidth="1"/>
    <col min="5" max="5" width="16" customWidth="1"/>
    <col min="6" max="6" width="16.85546875" customWidth="1"/>
    <col min="7" max="7" width="15.42578125" customWidth="1"/>
    <col min="8" max="8" width="14.42578125" customWidth="1"/>
    <col min="9" max="9" width="16.85546875" customWidth="1"/>
    <col min="10" max="10" width="11.5703125" customWidth="1"/>
    <col min="11" max="11" width="13.140625" customWidth="1"/>
    <col min="13" max="13" width="10.7109375" customWidth="1"/>
    <col min="14" max="14" width="12" customWidth="1"/>
    <col min="15" max="15" width="11.42578125" customWidth="1"/>
    <col min="17" max="17" width="11.42578125" bestFit="1" customWidth="1"/>
    <col min="22" max="22" width="12" customWidth="1"/>
  </cols>
  <sheetData>
    <row r="1" spans="1:15" x14ac:dyDescent="0.2">
      <c r="C1" s="31"/>
    </row>
    <row r="2" spans="1:15" ht="16.5" customHeight="1" x14ac:dyDescent="0.25">
      <c r="A2" s="7" t="s">
        <v>0</v>
      </c>
      <c r="C2" t="s">
        <v>0</v>
      </c>
      <c r="E2" s="5" t="s">
        <v>17</v>
      </c>
      <c r="F2" s="72">
        <v>42370</v>
      </c>
    </row>
    <row r="3" spans="1:15" ht="15" x14ac:dyDescent="0.25">
      <c r="A3" s="7" t="s">
        <v>0</v>
      </c>
      <c r="B3" s="79" t="s">
        <v>10</v>
      </c>
      <c r="C3" s="79"/>
      <c r="E3" s="4" t="s">
        <v>23</v>
      </c>
      <c r="F3" s="73">
        <v>360</v>
      </c>
      <c r="G3" s="29" t="s">
        <v>40</v>
      </c>
      <c r="H3" s="77">
        <f>SUMPRODUCT($F$20:$F$413+$H$20:$H$413,$J$20:$J$413)/$F$4</f>
        <v>131.19342750326584</v>
      </c>
    </row>
    <row r="4" spans="1:15" ht="13.5" customHeight="1" x14ac:dyDescent="0.25">
      <c r="E4" s="4" t="s">
        <v>4</v>
      </c>
      <c r="F4" s="74">
        <v>10000000</v>
      </c>
      <c r="G4" s="29" t="s">
        <v>41</v>
      </c>
      <c r="H4" s="78">
        <f>H3/12</f>
        <v>10.932785625272153</v>
      </c>
    </row>
    <row r="5" spans="1:15" ht="15" customHeight="1" x14ac:dyDescent="0.25">
      <c r="E5" s="4" t="s">
        <v>11</v>
      </c>
      <c r="F5" s="75">
        <v>0.06</v>
      </c>
    </row>
    <row r="6" spans="1:15" ht="15" customHeight="1" x14ac:dyDescent="0.25">
      <c r="E6" s="5" t="s">
        <v>13</v>
      </c>
      <c r="F6" s="75">
        <v>0</v>
      </c>
    </row>
    <row r="7" spans="1:15" ht="15" customHeight="1" x14ac:dyDescent="0.25">
      <c r="E7" s="5" t="s">
        <v>2</v>
      </c>
      <c r="F7" s="8">
        <f>+F5-F6</f>
        <v>0.06</v>
      </c>
    </row>
    <row r="8" spans="1:15" x14ac:dyDescent="0.2">
      <c r="C8" t="s">
        <v>0</v>
      </c>
      <c r="E8" s="5" t="s">
        <v>14</v>
      </c>
      <c r="F8" s="76">
        <v>0.08</v>
      </c>
    </row>
    <row r="10" spans="1:15" x14ac:dyDescent="0.2">
      <c r="H10" s="6"/>
    </row>
    <row r="11" spans="1:15" x14ac:dyDescent="0.2">
      <c r="D11" s="3"/>
      <c r="E11" s="3"/>
      <c r="F11" s="3"/>
      <c r="G11" s="3"/>
      <c r="H11" s="6"/>
    </row>
    <row r="12" spans="1:15" x14ac:dyDescent="0.2">
      <c r="D12" s="3"/>
      <c r="E12" s="3"/>
      <c r="F12" s="3"/>
      <c r="G12" s="3"/>
      <c r="H12" s="6"/>
      <c r="K12" s="32">
        <f>ROUND($F$5-F8,2)</f>
        <v>-0.02</v>
      </c>
    </row>
    <row r="13" spans="1:15" x14ac:dyDescent="0.2">
      <c r="B13" s="33" t="s">
        <v>16</v>
      </c>
      <c r="C13" s="33" t="s">
        <v>4</v>
      </c>
      <c r="D13" s="33" t="s">
        <v>3</v>
      </c>
      <c r="E13" s="33" t="s">
        <v>5</v>
      </c>
      <c r="F13" s="33" t="s">
        <v>6</v>
      </c>
      <c r="G13" s="33" t="s">
        <v>1</v>
      </c>
      <c r="H13" s="33" t="s">
        <v>7</v>
      </c>
      <c r="I13" s="33" t="s">
        <v>8</v>
      </c>
      <c r="J13" s="33" t="s">
        <v>9</v>
      </c>
      <c r="K13" s="33" t="s">
        <v>21</v>
      </c>
      <c r="L13" s="33" t="s">
        <v>22</v>
      </c>
      <c r="M13" s="33" t="s">
        <v>18</v>
      </c>
      <c r="N13" s="33" t="s">
        <v>19</v>
      </c>
      <c r="O13" s="33" t="s">
        <v>39</v>
      </c>
    </row>
    <row r="14" spans="1:15" ht="15" x14ac:dyDescent="0.25">
      <c r="B14" s="56">
        <f>+F2</f>
        <v>42370</v>
      </c>
      <c r="C14" s="36">
        <f>+F4</f>
        <v>10000000</v>
      </c>
      <c r="D14" s="37">
        <f>-PMT($F$5/12,$F$3,F4)</f>
        <v>59955.052515275231</v>
      </c>
      <c r="E14" s="36">
        <f t="shared" ref="E14:E77" si="0">($F$7*C14)/12</f>
        <v>50000</v>
      </c>
      <c r="F14" s="36">
        <f>D14-E14-G14</f>
        <v>9955.0525152752307</v>
      </c>
      <c r="G14" s="36">
        <f>($F$6*C14)/12</f>
        <v>0</v>
      </c>
      <c r="H14" s="38">
        <f>+O14*(C14-F14)</f>
        <v>1294.7517263689549</v>
      </c>
      <c r="I14" s="36">
        <f>IF(J14&gt;$F$3,0,C14-F14-H14)</f>
        <v>9988750.1957583558</v>
      </c>
      <c r="J14" s="2">
        <v>1</v>
      </c>
      <c r="K14" s="45">
        <f>1-((1-(0.3-0.16*ATAN(123.11*(0.02-$K$12))))^(1/12))</f>
        <v>6.9898891304054356E-3</v>
      </c>
      <c r="L14" s="46">
        <f>VLOOKUP(ROUNDUP(C14/$F$4,1),Burnout,2,FALSE)</f>
        <v>1</v>
      </c>
      <c r="M14" s="47">
        <f t="shared" ref="M14:M77" si="1">MIN(J14/VLOOKUP($F$5-$F$8,Seasoning,2,TRUE),1)</f>
        <v>2.0833333333333332E-2</v>
      </c>
      <c r="N14" s="48">
        <f>(VLOOKUP(MONTH('Amortization Model S Shape'!$B14),Seasonality,2,TRUE))</f>
        <v>0.89</v>
      </c>
      <c r="O14" s="49">
        <f>PRODUCT(K14:N14)</f>
        <v>1.2960419429293411E-4</v>
      </c>
    </row>
    <row r="15" spans="1:15" ht="15" x14ac:dyDescent="0.25">
      <c r="B15" s="57">
        <f>IF(C15&gt;0,EDATE(B14,1),"")</f>
        <v>42401</v>
      </c>
      <c r="C15" s="36">
        <f>+I14</f>
        <v>9988750.1957583558</v>
      </c>
      <c r="D15" s="39">
        <f>-PMT($F$5/12,$F$3-J14,$C15)</f>
        <v>59947.282089000197</v>
      </c>
      <c r="E15" s="36">
        <f t="shared" si="0"/>
        <v>49943.750978791773</v>
      </c>
      <c r="F15" s="36">
        <f>D15-E15-G15</f>
        <v>10003.531110208423</v>
      </c>
      <c r="G15" s="36">
        <f>($F$6*C15)/12</f>
        <v>0</v>
      </c>
      <c r="H15" s="38">
        <f>+O15*(C15-F15)</f>
        <v>2615.6374817360092</v>
      </c>
      <c r="I15" s="36">
        <f>IF(J15&gt;$F$3,0,C15-F15-H15)</f>
        <v>9976131.0271664113</v>
      </c>
      <c r="J15" s="2">
        <f t="shared" ref="J15:J78" si="2">+J14+1</f>
        <v>2</v>
      </c>
      <c r="K15" s="44">
        <f t="shared" ref="K15:K78" si="3">1-((1-(0.3-0.16*ATAN(123.11*(0.02-$K$12))))^(1/12))</f>
        <v>6.9898891304054356E-3</v>
      </c>
      <c r="L15" s="41">
        <f t="shared" ref="L15:L78" si="4">VLOOKUP(ROUND(C15/$F$4,1),Burnout,2,FALSE)</f>
        <v>1</v>
      </c>
      <c r="M15" s="42">
        <f t="shared" si="1"/>
        <v>4.1666666666666664E-2</v>
      </c>
      <c r="N15" s="43">
        <f>(VLOOKUP(MONTH('Amortization Model S Shape'!$B15),Seasonality,2,TRUE))</f>
        <v>0.9</v>
      </c>
      <c r="O15" s="50">
        <f>PRODUCT(K15:N15)</f>
        <v>2.6212084239020383E-4</v>
      </c>
    </row>
    <row r="16" spans="1:15" ht="15" x14ac:dyDescent="0.25">
      <c r="B16" s="57">
        <f t="shared" ref="B16:B79" si="5">IF(C16&gt;0,EDATE(B15,1),"")</f>
        <v>42430</v>
      </c>
      <c r="C16" s="36">
        <f t="shared" ref="C16:C79" si="6">+I15</f>
        <v>9976131.0271664113</v>
      </c>
      <c r="D16" s="39">
        <f t="shared" ref="D16:D17" si="7">-PMT($F$5/12,$F$3-J15,$C16)</f>
        <v>59931.568656920026</v>
      </c>
      <c r="E16" s="36">
        <f t="shared" si="0"/>
        <v>49880.655135832058</v>
      </c>
      <c r="F16" s="36">
        <f>D16-E16-G16</f>
        <v>10050.913521087969</v>
      </c>
      <c r="G16" s="36">
        <f t="shared" ref="G16:G79" si="8">($F$6*C16)/12</f>
        <v>0</v>
      </c>
      <c r="H16" s="38">
        <f>+O16*(C16-F16)</f>
        <v>4136.1690816352029</v>
      </c>
      <c r="I16" s="36">
        <f t="shared" ref="I16:I79" si="9">IF(J16&gt;$F$3,0,C16-F16-H16)</f>
        <v>9961943.9445636868</v>
      </c>
      <c r="J16" s="2">
        <f t="shared" si="2"/>
        <v>3</v>
      </c>
      <c r="K16" s="44">
        <f t="shared" si="3"/>
        <v>6.9898891304054356E-3</v>
      </c>
      <c r="L16" s="41">
        <f t="shared" si="4"/>
        <v>1</v>
      </c>
      <c r="M16" s="42">
        <f t="shared" si="1"/>
        <v>6.25E-2</v>
      </c>
      <c r="N16" s="43">
        <f>(VLOOKUP(MONTH('Amortization Model S Shape'!$B16),Seasonality,2,TRUE))</f>
        <v>0.95</v>
      </c>
      <c r="O16" s="50">
        <f t="shared" ref="O16:O79" si="10">PRODUCT(K16:N16)</f>
        <v>4.1502466711782274E-4</v>
      </c>
    </row>
    <row r="17" spans="2:15" ht="15" x14ac:dyDescent="0.25">
      <c r="B17" s="57">
        <f t="shared" si="5"/>
        <v>42461</v>
      </c>
      <c r="C17" s="36">
        <f t="shared" si="6"/>
        <v>9961943.9445636868</v>
      </c>
      <c r="D17" s="39">
        <f t="shared" si="7"/>
        <v>59906.695577588333</v>
      </c>
      <c r="E17" s="36">
        <f t="shared" si="0"/>
        <v>49809.71972281843</v>
      </c>
      <c r="F17" s="36">
        <f t="shared" ref="F17:F80" si="11">D17-E17-G17</f>
        <v>10096.975854769902</v>
      </c>
      <c r="G17" s="36">
        <f t="shared" si="8"/>
        <v>0</v>
      </c>
      <c r="H17" s="38">
        <f t="shared" ref="H17:H80" si="12">+O17*(C17-F17)</f>
        <v>5564.9845563229392</v>
      </c>
      <c r="I17" s="36">
        <f t="shared" si="9"/>
        <v>9946281.9841525946</v>
      </c>
      <c r="J17" s="2">
        <f t="shared" si="2"/>
        <v>4</v>
      </c>
      <c r="K17" s="44">
        <f t="shared" si="3"/>
        <v>6.9898891304054356E-3</v>
      </c>
      <c r="L17" s="41">
        <f t="shared" si="4"/>
        <v>1</v>
      </c>
      <c r="M17" s="42">
        <f t="shared" si="1"/>
        <v>8.3333333333333329E-2</v>
      </c>
      <c r="N17" s="43">
        <f>(VLOOKUP(MONTH('Amortization Model S Shape'!$B17),Seasonality,2,TRUE))</f>
        <v>0.96</v>
      </c>
      <c r="O17" s="50">
        <f t="shared" si="10"/>
        <v>5.5919113043243482E-4</v>
      </c>
    </row>
    <row r="18" spans="2:15" ht="15" x14ac:dyDescent="0.25">
      <c r="B18" s="57">
        <f t="shared" si="5"/>
        <v>42491</v>
      </c>
      <c r="C18" s="36">
        <f t="shared" si="6"/>
        <v>9946281.9841525946</v>
      </c>
      <c r="D18" s="39">
        <f>-PMT($F$5/12,$F$3-J17,$C18)</f>
        <v>59873.196284767837</v>
      </c>
      <c r="E18" s="36">
        <f t="shared" si="0"/>
        <v>49731.40992076297</v>
      </c>
      <c r="F18" s="36">
        <f t="shared" si="11"/>
        <v>10141.786364004867</v>
      </c>
      <c r="G18" s="36">
        <f t="shared" si="8"/>
        <v>0</v>
      </c>
      <c r="H18" s="38">
        <f t="shared" si="12"/>
        <v>7668.7155696572299</v>
      </c>
      <c r="I18" s="36">
        <f t="shared" si="9"/>
        <v>9928471.4822189342</v>
      </c>
      <c r="J18" s="2">
        <f t="shared" si="2"/>
        <v>5</v>
      </c>
      <c r="K18" s="44">
        <f t="shared" si="3"/>
        <v>6.9898891304054356E-3</v>
      </c>
      <c r="L18" s="41">
        <f t="shared" si="4"/>
        <v>1</v>
      </c>
      <c r="M18" s="42">
        <f t="shared" si="1"/>
        <v>0.10416666666666667</v>
      </c>
      <c r="N18" s="43">
        <f>(VLOOKUP(MONTH('Amortization Model S Shape'!$B18),Seasonality,2,TRUE))</f>
        <v>1.06</v>
      </c>
      <c r="O18" s="50">
        <f t="shared" si="10"/>
        <v>7.7180025814893355E-4</v>
      </c>
    </row>
    <row r="19" spans="2:15" ht="15" x14ac:dyDescent="0.25">
      <c r="B19" s="57">
        <f t="shared" si="5"/>
        <v>42522</v>
      </c>
      <c r="C19" s="36">
        <f t="shared" si="6"/>
        <v>9928471.4822189342</v>
      </c>
      <c r="D19" s="39">
        <f t="shared" ref="D19:D82" si="13">-PMT($F$5/12,$F$3-J18,$C19)</f>
        <v>59826.986136419058</v>
      </c>
      <c r="E19" s="36">
        <f t="shared" si="0"/>
        <v>49642.357411094672</v>
      </c>
      <c r="F19" s="36">
        <f t="shared" si="11"/>
        <v>10184.628725324386</v>
      </c>
      <c r="G19" s="36">
        <f t="shared" si="8"/>
        <v>0</v>
      </c>
      <c r="H19" s="38">
        <f t="shared" si="12"/>
        <v>9445.9025952163938</v>
      </c>
      <c r="I19" s="36">
        <f t="shared" si="9"/>
        <v>9908840.950898394</v>
      </c>
      <c r="J19" s="2">
        <f t="shared" si="2"/>
        <v>6</v>
      </c>
      <c r="K19" s="44">
        <f t="shared" si="3"/>
        <v>6.9898891304054356E-3</v>
      </c>
      <c r="L19" s="41">
        <f t="shared" si="4"/>
        <v>1</v>
      </c>
      <c r="M19" s="42">
        <f t="shared" si="1"/>
        <v>0.125</v>
      </c>
      <c r="N19" s="43">
        <f>(VLOOKUP(MONTH('Amortization Model S Shape'!$B19),Seasonality,2,TRUE))</f>
        <v>1.0900000000000001</v>
      </c>
      <c r="O19" s="50">
        <f t="shared" si="10"/>
        <v>9.5237239401774068E-4</v>
      </c>
    </row>
    <row r="20" spans="2:15" ht="15" x14ac:dyDescent="0.25">
      <c r="B20" s="57">
        <f t="shared" si="5"/>
        <v>42552</v>
      </c>
      <c r="C20" s="36">
        <f t="shared" si="6"/>
        <v>9908840.950898394</v>
      </c>
      <c r="D20" s="39">
        <f t="shared" si="13"/>
        <v>59770.008566405457</v>
      </c>
      <c r="E20" s="36">
        <f t="shared" si="0"/>
        <v>49544.20475449197</v>
      </c>
      <c r="F20" s="36">
        <f t="shared" si="11"/>
        <v>10225.803811913487</v>
      </c>
      <c r="G20" s="36">
        <f t="shared" si="8"/>
        <v>0</v>
      </c>
      <c r="H20" s="38">
        <f t="shared" si="12"/>
        <v>11099.26484697261</v>
      </c>
      <c r="I20" s="36">
        <f t="shared" si="9"/>
        <v>9887515.8822395075</v>
      </c>
      <c r="J20" s="2">
        <f t="shared" si="2"/>
        <v>7</v>
      </c>
      <c r="K20" s="44">
        <f t="shared" si="3"/>
        <v>6.9898891304054356E-3</v>
      </c>
      <c r="L20" s="41">
        <f t="shared" si="4"/>
        <v>1</v>
      </c>
      <c r="M20" s="42">
        <f t="shared" si="1"/>
        <v>0.14583333333333334</v>
      </c>
      <c r="N20" s="43">
        <f>(VLOOKUP(MONTH('Amortization Model S Shape'!$B20),Seasonality,2,TRUE))</f>
        <v>1.1000000000000001</v>
      </c>
      <c r="O20" s="50">
        <f t="shared" si="10"/>
        <v>1.1212947146692054E-3</v>
      </c>
    </row>
    <row r="21" spans="2:15" ht="15" x14ac:dyDescent="0.25">
      <c r="B21" s="57">
        <f t="shared" si="5"/>
        <v>42583</v>
      </c>
      <c r="C21" s="36">
        <f t="shared" si="6"/>
        <v>9887515.8822395075</v>
      </c>
      <c r="D21" s="39">
        <f t="shared" si="13"/>
        <v>59702.988771704215</v>
      </c>
      <c r="E21" s="36">
        <f t="shared" si="0"/>
        <v>49437.579411197534</v>
      </c>
      <c r="F21" s="36">
        <f t="shared" si="11"/>
        <v>10265.409360506681</v>
      </c>
      <c r="G21" s="36">
        <f t="shared" si="8"/>
        <v>0</v>
      </c>
      <c r="H21" s="38">
        <f t="shared" si="12"/>
        <v>13232.836429411531</v>
      </c>
      <c r="I21" s="36">
        <f t="shared" si="9"/>
        <v>9864017.6364495885</v>
      </c>
      <c r="J21" s="2">
        <f t="shared" si="2"/>
        <v>8</v>
      </c>
      <c r="K21" s="44">
        <f t="shared" si="3"/>
        <v>6.9898891304054356E-3</v>
      </c>
      <c r="L21" s="41">
        <f t="shared" si="4"/>
        <v>1</v>
      </c>
      <c r="M21" s="42">
        <f t="shared" si="1"/>
        <v>0.16666666666666666</v>
      </c>
      <c r="N21" s="43">
        <f>(VLOOKUP(MONTH('Amortization Model S Shape'!$B21),Seasonality,2,TRUE))</f>
        <v>1.1499999999999999</v>
      </c>
      <c r="O21" s="50">
        <f t="shared" si="10"/>
        <v>1.3397287499943749E-3</v>
      </c>
    </row>
    <row r="22" spans="2:15" ht="15" x14ac:dyDescent="0.25">
      <c r="B22" s="57">
        <f t="shared" si="5"/>
        <v>42614</v>
      </c>
      <c r="C22" s="36">
        <f t="shared" si="6"/>
        <v>9864017.6364495885</v>
      </c>
      <c r="D22" s="39">
        <f t="shared" si="13"/>
        <v>59623.002961186161</v>
      </c>
      <c r="E22" s="36">
        <f t="shared" si="0"/>
        <v>49320.088182247942</v>
      </c>
      <c r="F22" s="36">
        <f t="shared" si="11"/>
        <v>10302.914778938219</v>
      </c>
      <c r="G22" s="36">
        <f t="shared" si="8"/>
        <v>0</v>
      </c>
      <c r="H22" s="38">
        <f t="shared" si="12"/>
        <v>14593.181619871408</v>
      </c>
      <c r="I22" s="36">
        <f t="shared" si="9"/>
        <v>9839121.5400507785</v>
      </c>
      <c r="J22" s="2">
        <f t="shared" si="2"/>
        <v>9</v>
      </c>
      <c r="K22" s="44">
        <f t="shared" si="3"/>
        <v>6.9898891304054356E-3</v>
      </c>
      <c r="L22" s="41">
        <f t="shared" si="4"/>
        <v>1</v>
      </c>
      <c r="M22" s="42">
        <f t="shared" si="1"/>
        <v>0.1875</v>
      </c>
      <c r="N22" s="43">
        <f>(VLOOKUP(MONTH('Amortization Model S Shape'!$B22),Seasonality,2,TRUE))</f>
        <v>1.1299999999999999</v>
      </c>
      <c r="O22" s="50">
        <f t="shared" si="10"/>
        <v>1.4809827595046515E-3</v>
      </c>
    </row>
    <row r="23" spans="2:15" ht="15" x14ac:dyDescent="0.25">
      <c r="B23" s="57">
        <f t="shared" si="5"/>
        <v>42644</v>
      </c>
      <c r="C23" s="36">
        <f t="shared" si="6"/>
        <v>9839121.5400507785</v>
      </c>
      <c r="D23" s="39">
        <f t="shared" si="13"/>
        <v>59534.702321730751</v>
      </c>
      <c r="E23" s="36">
        <f t="shared" si="0"/>
        <v>49195.607700253895</v>
      </c>
      <c r="F23" s="36">
        <f t="shared" si="11"/>
        <v>10339.094621476856</v>
      </c>
      <c r="G23" s="36">
        <f t="shared" si="8"/>
        <v>0</v>
      </c>
      <c r="H23" s="38">
        <f>+O23*(C23-F23)</f>
        <v>14456.066786714644</v>
      </c>
      <c r="I23" s="36">
        <f t="shared" si="9"/>
        <v>9814326.378642587</v>
      </c>
      <c r="J23" s="2">
        <f t="shared" si="2"/>
        <v>10</v>
      </c>
      <c r="K23" s="44">
        <f t="shared" si="3"/>
        <v>6.9898891304054356E-3</v>
      </c>
      <c r="L23" s="41">
        <f t="shared" si="4"/>
        <v>1</v>
      </c>
      <c r="M23" s="42">
        <f t="shared" si="1"/>
        <v>0.20833333333333334</v>
      </c>
      <c r="N23" s="43">
        <f>(VLOOKUP(MONTH('Amortization Model S Shape'!$B23),Seasonality,2,TRUE))</f>
        <v>1.01</v>
      </c>
      <c r="O23" s="50">
        <f t="shared" si="10"/>
        <v>1.4707891711894772E-3</v>
      </c>
    </row>
    <row r="24" spans="2:15" ht="15" x14ac:dyDescent="0.25">
      <c r="B24" s="57">
        <f t="shared" si="5"/>
        <v>42675</v>
      </c>
      <c r="C24" s="36">
        <f t="shared" si="6"/>
        <v>9814326.378642587</v>
      </c>
      <c r="D24" s="39">
        <f t="shared" si="13"/>
        <v>59447.139326245961</v>
      </c>
      <c r="E24" s="36">
        <f t="shared" si="0"/>
        <v>49071.631893212936</v>
      </c>
      <c r="F24" s="36">
        <f t="shared" si="11"/>
        <v>10375.507433033024</v>
      </c>
      <c r="G24" s="36">
        <f t="shared" si="8"/>
        <v>0</v>
      </c>
      <c r="H24" s="38">
        <f t="shared" si="12"/>
        <v>13505.831047852698</v>
      </c>
      <c r="I24" s="36">
        <f t="shared" si="9"/>
        <v>9790445.0401617009</v>
      </c>
      <c r="J24" s="2">
        <f t="shared" si="2"/>
        <v>11</v>
      </c>
      <c r="K24" s="44">
        <f t="shared" si="3"/>
        <v>6.9898891304054356E-3</v>
      </c>
      <c r="L24" s="41">
        <f t="shared" si="4"/>
        <v>1</v>
      </c>
      <c r="M24" s="42">
        <f t="shared" si="1"/>
        <v>0.22916666666666666</v>
      </c>
      <c r="N24" s="43">
        <f>(VLOOKUP(MONTH('Amortization Model S Shape'!$B24),Seasonality,2,TRUE))</f>
        <v>0.86</v>
      </c>
      <c r="O24" s="50">
        <f t="shared" si="10"/>
        <v>1.3775906494507379E-3</v>
      </c>
    </row>
    <row r="25" spans="2:15" ht="15" x14ac:dyDescent="0.25">
      <c r="B25" s="57">
        <f t="shared" si="5"/>
        <v>42705</v>
      </c>
      <c r="C25" s="36">
        <f t="shared" si="6"/>
        <v>9790445.0401617009</v>
      </c>
      <c r="D25" s="39">
        <f t="shared" si="13"/>
        <v>59365.245502973528</v>
      </c>
      <c r="E25" s="36">
        <f t="shared" si="0"/>
        <v>48952.225200808498</v>
      </c>
      <c r="F25" s="36">
        <f t="shared" si="11"/>
        <v>10413.02030216503</v>
      </c>
      <c r="G25" s="36">
        <f t="shared" si="8"/>
        <v>0</v>
      </c>
      <c r="H25" s="40">
        <f t="shared" si="12"/>
        <v>15381.301389892489</v>
      </c>
      <c r="I25" s="36">
        <f t="shared" si="9"/>
        <v>9764650.718469644</v>
      </c>
      <c r="J25" s="2">
        <f t="shared" si="2"/>
        <v>12</v>
      </c>
      <c r="K25" s="44">
        <f t="shared" si="3"/>
        <v>6.9898891304054356E-3</v>
      </c>
      <c r="L25" s="41">
        <f t="shared" si="4"/>
        <v>1</v>
      </c>
      <c r="M25" s="42">
        <f t="shared" si="1"/>
        <v>0.25</v>
      </c>
      <c r="N25" s="43">
        <f>(VLOOKUP(MONTH('Amortization Model S Shape'!$B25),Seasonality,2,TRUE))</f>
        <v>0.9</v>
      </c>
      <c r="O25" s="50">
        <f t="shared" si="10"/>
        <v>1.572725054341223E-3</v>
      </c>
    </row>
    <row r="26" spans="2:15" ht="15" x14ac:dyDescent="0.25">
      <c r="B26" s="57">
        <f t="shared" si="5"/>
        <v>42736</v>
      </c>
      <c r="C26" s="36">
        <f t="shared" si="6"/>
        <v>9764650.718469644</v>
      </c>
      <c r="D26" s="39">
        <f t="shared" si="13"/>
        <v>59271.880294013885</v>
      </c>
      <c r="E26" s="36">
        <f t="shared" si="0"/>
        <v>48823.253592348221</v>
      </c>
      <c r="F26" s="36">
        <f t="shared" si="11"/>
        <v>10448.626701665664</v>
      </c>
      <c r="G26" s="36">
        <f t="shared" si="8"/>
        <v>0</v>
      </c>
      <c r="H26" s="38">
        <f t="shared" si="12"/>
        <v>16434.411539962537</v>
      </c>
      <c r="I26" s="36">
        <f t="shared" si="9"/>
        <v>9737767.6802280154</v>
      </c>
      <c r="J26" s="2">
        <f t="shared" si="2"/>
        <v>13</v>
      </c>
      <c r="K26" s="44">
        <f t="shared" si="3"/>
        <v>6.9898891304054356E-3</v>
      </c>
      <c r="L26" s="41">
        <f t="shared" si="4"/>
        <v>1</v>
      </c>
      <c r="M26" s="42">
        <f t="shared" si="1"/>
        <v>0.27083333333333331</v>
      </c>
      <c r="N26" s="43">
        <f>(VLOOKUP(MONTH('Amortization Model S Shape'!$B26),Seasonality,2,TRUE))</f>
        <v>0.89</v>
      </c>
      <c r="O26" s="50">
        <f t="shared" si="10"/>
        <v>1.6848545258081435E-3</v>
      </c>
    </row>
    <row r="27" spans="2:15" ht="15" x14ac:dyDescent="0.25">
      <c r="B27" s="57">
        <f t="shared" si="5"/>
        <v>42767</v>
      </c>
      <c r="C27" s="36">
        <f t="shared" si="6"/>
        <v>9737767.6802280154</v>
      </c>
      <c r="D27" s="39">
        <f t="shared" si="13"/>
        <v>59172.015798247347</v>
      </c>
      <c r="E27" s="36">
        <f t="shared" si="0"/>
        <v>48688.83840114007</v>
      </c>
      <c r="F27" s="36">
        <f t="shared" si="11"/>
        <v>10483.177397107276</v>
      </c>
      <c r="G27" s="36">
        <f t="shared" si="8"/>
        <v>0</v>
      </c>
      <c r="H27" s="38">
        <f t="shared" si="12"/>
        <v>17848.06805635849</v>
      </c>
      <c r="I27" s="36">
        <f t="shared" si="9"/>
        <v>9709436.4347745497</v>
      </c>
      <c r="J27" s="2">
        <f t="shared" si="2"/>
        <v>14</v>
      </c>
      <c r="K27" s="44">
        <f t="shared" si="3"/>
        <v>6.9898891304054356E-3</v>
      </c>
      <c r="L27" s="41">
        <f t="shared" si="4"/>
        <v>1</v>
      </c>
      <c r="M27" s="42">
        <f t="shared" si="1"/>
        <v>0.29166666666666669</v>
      </c>
      <c r="N27" s="43">
        <f>(VLOOKUP(MONTH('Amortization Model S Shape'!$B27),Seasonality,2,TRUE))</f>
        <v>0.9</v>
      </c>
      <c r="O27" s="50">
        <f t="shared" si="10"/>
        <v>1.8348458967314271E-3</v>
      </c>
    </row>
    <row r="28" spans="2:15" ht="15" x14ac:dyDescent="0.25">
      <c r="B28" s="57">
        <f t="shared" si="5"/>
        <v>42795</v>
      </c>
      <c r="C28" s="36">
        <f t="shared" si="6"/>
        <v>9709436.4347745497</v>
      </c>
      <c r="D28" s="39">
        <f t="shared" si="13"/>
        <v>59063.444267858613</v>
      </c>
      <c r="E28" s="36">
        <f t="shared" si="0"/>
        <v>48547.182173872745</v>
      </c>
      <c r="F28" s="36">
        <f t="shared" si="11"/>
        <v>10516.262093985868</v>
      </c>
      <c r="G28" s="36">
        <f t="shared" si="8"/>
        <v>0</v>
      </c>
      <c r="H28" s="38">
        <f t="shared" si="12"/>
        <v>20126.455580345435</v>
      </c>
      <c r="I28" s="36">
        <f t="shared" si="9"/>
        <v>9678793.7171002179</v>
      </c>
      <c r="J28" s="2">
        <f t="shared" si="2"/>
        <v>15</v>
      </c>
      <c r="K28" s="44">
        <f t="shared" si="3"/>
        <v>6.9898891304054356E-3</v>
      </c>
      <c r="L28" s="41">
        <f t="shared" si="4"/>
        <v>1</v>
      </c>
      <c r="M28" s="42">
        <f t="shared" si="1"/>
        <v>0.3125</v>
      </c>
      <c r="N28" s="43">
        <f>(VLOOKUP(MONTH('Amortization Model S Shape'!$B28),Seasonality,2,TRUE))</f>
        <v>0.95</v>
      </c>
      <c r="O28" s="50">
        <f t="shared" si="10"/>
        <v>2.0751233355891137E-3</v>
      </c>
    </row>
    <row r="29" spans="2:15" ht="15" x14ac:dyDescent="0.25">
      <c r="B29" s="57">
        <f t="shared" si="5"/>
        <v>42826</v>
      </c>
      <c r="C29" s="36">
        <f t="shared" si="6"/>
        <v>9678793.7171002179</v>
      </c>
      <c r="D29" s="39">
        <f t="shared" si="13"/>
        <v>58940.880336378104</v>
      </c>
      <c r="E29" s="36">
        <f t="shared" si="0"/>
        <v>48393.968585501083</v>
      </c>
      <c r="F29" s="36">
        <f t="shared" si="11"/>
        <v>10546.911750877021</v>
      </c>
      <c r="G29" s="36">
        <f t="shared" si="8"/>
        <v>0</v>
      </c>
      <c r="H29" s="38">
        <f t="shared" si="12"/>
        <v>21625.591441532299</v>
      </c>
      <c r="I29" s="36">
        <f t="shared" si="9"/>
        <v>9646621.2139078081</v>
      </c>
      <c r="J29" s="2">
        <f t="shared" si="2"/>
        <v>16</v>
      </c>
      <c r="K29" s="44">
        <f t="shared" si="3"/>
        <v>6.9898891304054356E-3</v>
      </c>
      <c r="L29" s="41">
        <f t="shared" si="4"/>
        <v>1</v>
      </c>
      <c r="M29" s="42">
        <f t="shared" si="1"/>
        <v>0.33333333333333331</v>
      </c>
      <c r="N29" s="43">
        <f>(VLOOKUP(MONTH('Amortization Model S Shape'!$B29),Seasonality,2,TRUE))</f>
        <v>0.96</v>
      </c>
      <c r="O29" s="50">
        <f t="shared" si="10"/>
        <v>2.2367645217297393E-3</v>
      </c>
    </row>
    <row r="30" spans="2:15" ht="15" x14ac:dyDescent="0.25">
      <c r="B30" s="57">
        <f t="shared" si="5"/>
        <v>42856</v>
      </c>
      <c r="C30" s="36">
        <f t="shared" si="6"/>
        <v>9646621.2139078081</v>
      </c>
      <c r="D30" s="39">
        <f t="shared" si="13"/>
        <v>58809.043466362178</v>
      </c>
      <c r="E30" s="36">
        <f t="shared" si="0"/>
        <v>48233.106069539041</v>
      </c>
      <c r="F30" s="36">
        <f t="shared" si="11"/>
        <v>10575.937396823138</v>
      </c>
      <c r="G30" s="36">
        <f t="shared" si="8"/>
        <v>0</v>
      </c>
      <c r="H30" s="38">
        <f t="shared" si="12"/>
        <v>25286.147588616372</v>
      </c>
      <c r="I30" s="36">
        <f t="shared" si="9"/>
        <v>9610759.1289223693</v>
      </c>
      <c r="J30" s="2">
        <f t="shared" si="2"/>
        <v>17</v>
      </c>
      <c r="K30" s="44">
        <f t="shared" si="3"/>
        <v>6.9898891304054356E-3</v>
      </c>
      <c r="L30" s="41">
        <f t="shared" si="4"/>
        <v>1</v>
      </c>
      <c r="M30" s="42">
        <f t="shared" si="1"/>
        <v>0.35416666666666669</v>
      </c>
      <c r="N30" s="43">
        <f>(VLOOKUP(MONTH('Amortization Model S Shape'!$B30),Seasonality,2,TRUE))</f>
        <v>1.06</v>
      </c>
      <c r="O30" s="50">
        <f t="shared" si="10"/>
        <v>2.6241208777063743E-3</v>
      </c>
    </row>
    <row r="31" spans="2:15" ht="15" x14ac:dyDescent="0.25">
      <c r="B31" s="57">
        <f t="shared" si="5"/>
        <v>42887</v>
      </c>
      <c r="C31" s="36">
        <f t="shared" si="6"/>
        <v>9610759.1289223693</v>
      </c>
      <c r="D31" s="39">
        <f t="shared" si="13"/>
        <v>58654.721427604156</v>
      </c>
      <c r="E31" s="36">
        <f t="shared" si="0"/>
        <v>48053.795644611848</v>
      </c>
      <c r="F31" s="36">
        <f t="shared" si="11"/>
        <v>10600.925782992308</v>
      </c>
      <c r="G31" s="36">
        <f t="shared" si="8"/>
        <v>0</v>
      </c>
      <c r="H31" s="38">
        <f t="shared" si="12"/>
        <v>27428.776952618704</v>
      </c>
      <c r="I31" s="36">
        <f t="shared" si="9"/>
        <v>9572729.426186759</v>
      </c>
      <c r="J31" s="2">
        <f t="shared" si="2"/>
        <v>18</v>
      </c>
      <c r="K31" s="44">
        <f t="shared" si="3"/>
        <v>6.9898891304054356E-3</v>
      </c>
      <c r="L31" s="41">
        <f t="shared" si="4"/>
        <v>1</v>
      </c>
      <c r="M31" s="42">
        <f t="shared" si="1"/>
        <v>0.375</v>
      </c>
      <c r="N31" s="43">
        <f>(VLOOKUP(MONTH('Amortization Model S Shape'!$B31),Seasonality,2,TRUE))</f>
        <v>1.0900000000000001</v>
      </c>
      <c r="O31" s="50">
        <f t="shared" si="10"/>
        <v>2.8571171820532221E-3</v>
      </c>
    </row>
    <row r="32" spans="2:15" ht="15" x14ac:dyDescent="0.25">
      <c r="B32" s="57">
        <f t="shared" si="5"/>
        <v>42917</v>
      </c>
      <c r="C32" s="36">
        <f t="shared" si="6"/>
        <v>9572729.426186759</v>
      </c>
      <c r="D32" s="39">
        <f t="shared" si="13"/>
        <v>58487.138015204808</v>
      </c>
      <c r="E32" s="36">
        <f t="shared" si="0"/>
        <v>47863.647130933794</v>
      </c>
      <c r="F32" s="36">
        <f t="shared" si="11"/>
        <v>10623.490884271014</v>
      </c>
      <c r="G32" s="36">
        <f t="shared" si="8"/>
        <v>0</v>
      </c>
      <c r="H32" s="38">
        <f t="shared" si="12"/>
        <v>29102.405440124665</v>
      </c>
      <c r="I32" s="36">
        <f t="shared" si="9"/>
        <v>9533003.5298623648</v>
      </c>
      <c r="J32" s="2">
        <f t="shared" si="2"/>
        <v>19</v>
      </c>
      <c r="K32" s="44">
        <f t="shared" si="3"/>
        <v>6.9898891304054356E-3</v>
      </c>
      <c r="L32" s="41">
        <f t="shared" si="4"/>
        <v>1</v>
      </c>
      <c r="M32" s="42">
        <f t="shared" si="1"/>
        <v>0.39583333333333331</v>
      </c>
      <c r="N32" s="43">
        <f>(VLOOKUP(MONTH('Amortization Model S Shape'!$B32),Seasonality,2,TRUE))</f>
        <v>1.1000000000000001</v>
      </c>
      <c r="O32" s="50">
        <f t="shared" si="10"/>
        <v>3.0435142255307002E-3</v>
      </c>
    </row>
    <row r="33" spans="2:15" ht="15" x14ac:dyDescent="0.25">
      <c r="B33" s="57">
        <f t="shared" si="5"/>
        <v>42948</v>
      </c>
      <c r="C33" s="36">
        <f t="shared" si="6"/>
        <v>9533003.5298623648</v>
      </c>
      <c r="D33" s="39">
        <f t="shared" si="13"/>
        <v>58309.13157864497</v>
      </c>
      <c r="E33" s="36">
        <f t="shared" si="0"/>
        <v>47665.017649311827</v>
      </c>
      <c r="F33" s="36">
        <f t="shared" si="11"/>
        <v>10644.113929333143</v>
      </c>
      <c r="G33" s="36">
        <f t="shared" si="8"/>
        <v>0</v>
      </c>
      <c r="H33" s="38">
        <f t="shared" si="12"/>
        <v>31893.44669326282</v>
      </c>
      <c r="I33" s="36">
        <f t="shared" si="9"/>
        <v>9490465.9692397695</v>
      </c>
      <c r="J33" s="2">
        <f t="shared" si="2"/>
        <v>20</v>
      </c>
      <c r="K33" s="44">
        <f t="shared" si="3"/>
        <v>6.9898891304054356E-3</v>
      </c>
      <c r="L33" s="41">
        <f t="shared" si="4"/>
        <v>1</v>
      </c>
      <c r="M33" s="42">
        <f t="shared" si="1"/>
        <v>0.41666666666666669</v>
      </c>
      <c r="N33" s="43">
        <f>(VLOOKUP(MONTH('Amortization Model S Shape'!$B33),Seasonality,2,TRUE))</f>
        <v>1.1499999999999999</v>
      </c>
      <c r="O33" s="50">
        <f t="shared" si="10"/>
        <v>3.3493218749859376E-3</v>
      </c>
    </row>
    <row r="34" spans="2:15" ht="15" x14ac:dyDescent="0.25">
      <c r="B34" s="57">
        <f t="shared" si="5"/>
        <v>42979</v>
      </c>
      <c r="C34" s="36">
        <f t="shared" si="6"/>
        <v>9490465.9692397695</v>
      </c>
      <c r="D34" s="39">
        <f t="shared" si="13"/>
        <v>58113.835528737174</v>
      </c>
      <c r="E34" s="36">
        <f t="shared" si="0"/>
        <v>47452.329846198845</v>
      </c>
      <c r="F34" s="36">
        <f t="shared" si="11"/>
        <v>10661.505682538329</v>
      </c>
      <c r="G34" s="36">
        <f t="shared" si="8"/>
        <v>0</v>
      </c>
      <c r="H34" s="38">
        <f t="shared" si="12"/>
        <v>32431.076309948083</v>
      </c>
      <c r="I34" s="36">
        <f t="shared" si="9"/>
        <v>9447373.387247283</v>
      </c>
      <c r="J34" s="2">
        <f t="shared" si="2"/>
        <v>21</v>
      </c>
      <c r="K34" s="44">
        <f t="shared" si="3"/>
        <v>6.9898891304054356E-3</v>
      </c>
      <c r="L34" s="41">
        <f t="shared" si="4"/>
        <v>0.99</v>
      </c>
      <c r="M34" s="42">
        <f t="shared" si="1"/>
        <v>0.4375</v>
      </c>
      <c r="N34" s="43">
        <f>(VLOOKUP(MONTH('Amortization Model S Shape'!$B34),Seasonality,2,TRUE))</f>
        <v>1.1299999999999999</v>
      </c>
      <c r="O34" s="50">
        <f t="shared" si="10"/>
        <v>3.421070174455745E-3</v>
      </c>
    </row>
    <row r="35" spans="2:15" ht="15" x14ac:dyDescent="0.25">
      <c r="B35" s="57">
        <f t="shared" si="5"/>
        <v>43009</v>
      </c>
      <c r="C35" s="36">
        <f t="shared" si="6"/>
        <v>9447373.387247283</v>
      </c>
      <c r="D35" s="39">
        <f t="shared" si="13"/>
        <v>57915.024019286589</v>
      </c>
      <c r="E35" s="36">
        <f t="shared" si="0"/>
        <v>47236.866936236416</v>
      </c>
      <c r="F35" s="36">
        <f t="shared" si="11"/>
        <v>10678.157083050173</v>
      </c>
      <c r="G35" s="36">
        <f t="shared" si="8"/>
        <v>0</v>
      </c>
      <c r="H35" s="38">
        <f t="shared" si="12"/>
        <v>30229.309582510574</v>
      </c>
      <c r="I35" s="36">
        <f t="shared" si="9"/>
        <v>9406465.9205817226</v>
      </c>
      <c r="J35" s="2">
        <f t="shared" si="2"/>
        <v>22</v>
      </c>
      <c r="K35" s="44">
        <f t="shared" si="3"/>
        <v>6.9898891304054356E-3</v>
      </c>
      <c r="L35" s="41">
        <f t="shared" si="4"/>
        <v>0.99</v>
      </c>
      <c r="M35" s="42">
        <f t="shared" si="1"/>
        <v>0.45833333333333331</v>
      </c>
      <c r="N35" s="43">
        <f>(VLOOKUP(MONTH('Amortization Model S Shape'!$B35),Seasonality,2,TRUE))</f>
        <v>1.01</v>
      </c>
      <c r="O35" s="50">
        <f t="shared" si="10"/>
        <v>3.2033788148506806E-3</v>
      </c>
    </row>
    <row r="36" spans="2:15" ht="15" x14ac:dyDescent="0.25">
      <c r="B36" s="57">
        <f t="shared" si="5"/>
        <v>43040</v>
      </c>
      <c r="C36" s="36">
        <f t="shared" si="6"/>
        <v>9406465.9205817226</v>
      </c>
      <c r="D36" s="39">
        <f t="shared" si="13"/>
        <v>57729.500258281645</v>
      </c>
      <c r="E36" s="36">
        <f t="shared" si="0"/>
        <v>47032.329602908612</v>
      </c>
      <c r="F36" s="36">
        <f t="shared" si="11"/>
        <v>10697.170655373033</v>
      </c>
      <c r="G36" s="36">
        <f t="shared" si="8"/>
        <v>0</v>
      </c>
      <c r="H36" s="38">
        <f t="shared" si="12"/>
        <v>26793.092970800975</v>
      </c>
      <c r="I36" s="36">
        <f t="shared" si="9"/>
        <v>9368975.6569555476</v>
      </c>
      <c r="J36" s="2">
        <f t="shared" si="2"/>
        <v>23</v>
      </c>
      <c r="K36" s="44">
        <f t="shared" si="3"/>
        <v>6.9898891304054356E-3</v>
      </c>
      <c r="L36" s="41">
        <f t="shared" si="4"/>
        <v>0.99</v>
      </c>
      <c r="M36" s="42">
        <f t="shared" si="1"/>
        <v>0.47916666666666669</v>
      </c>
      <c r="N36" s="43">
        <f>(VLOOKUP(MONTH('Amortization Model S Shape'!$B36),Seasonality,2,TRUE))</f>
        <v>0.86</v>
      </c>
      <c r="O36" s="50">
        <f t="shared" si="10"/>
        <v>2.8516126443630277E-3</v>
      </c>
    </row>
    <row r="37" spans="2:15" ht="15" x14ac:dyDescent="0.25">
      <c r="B37" s="57">
        <f t="shared" si="5"/>
        <v>43070</v>
      </c>
      <c r="C37" s="36">
        <f t="shared" si="6"/>
        <v>9368975.6569555476</v>
      </c>
      <c r="D37" s="39">
        <f t="shared" si="13"/>
        <v>57564.87808539236</v>
      </c>
      <c r="E37" s="36">
        <f t="shared" si="0"/>
        <v>46844.87828477774</v>
      </c>
      <c r="F37" s="36">
        <f t="shared" si="11"/>
        <v>10719.99980061462</v>
      </c>
      <c r="G37" s="36">
        <f t="shared" si="8"/>
        <v>0</v>
      </c>
      <c r="H37" s="40">
        <f t="shared" si="12"/>
        <v>29141.567011137337</v>
      </c>
      <c r="I37" s="36">
        <f t="shared" si="9"/>
        <v>9329114.0901437961</v>
      </c>
      <c r="J37" s="2">
        <f t="shared" si="2"/>
        <v>24</v>
      </c>
      <c r="K37" s="44">
        <f t="shared" si="3"/>
        <v>6.9898891304054356E-3</v>
      </c>
      <c r="L37" s="41">
        <f t="shared" si="4"/>
        <v>0.99</v>
      </c>
      <c r="M37" s="42">
        <f t="shared" si="1"/>
        <v>0.5</v>
      </c>
      <c r="N37" s="43">
        <f>(VLOOKUP(MONTH('Amortization Model S Shape'!$B37),Seasonality,2,TRUE))</f>
        <v>0.9</v>
      </c>
      <c r="O37" s="50">
        <f t="shared" si="10"/>
        <v>3.1139956075956214E-3</v>
      </c>
    </row>
    <row r="38" spans="2:15" ht="15" x14ac:dyDescent="0.25">
      <c r="B38" s="57">
        <f t="shared" si="5"/>
        <v>43101</v>
      </c>
      <c r="C38" s="36">
        <f t="shared" si="6"/>
        <v>9329114.0901437961</v>
      </c>
      <c r="D38" s="39">
        <f t="shared" si="13"/>
        <v>57385.621307882677</v>
      </c>
      <c r="E38" s="36">
        <f t="shared" si="0"/>
        <v>46645.57045071898</v>
      </c>
      <c r="F38" s="36">
        <f t="shared" si="11"/>
        <v>10740.050857163696</v>
      </c>
      <c r="G38" s="36">
        <f t="shared" si="8"/>
        <v>0</v>
      </c>
      <c r="H38" s="38">
        <f t="shared" si="12"/>
        <v>29890.583897177967</v>
      </c>
      <c r="I38" s="36">
        <f t="shared" si="9"/>
        <v>9288483.455389455</v>
      </c>
      <c r="J38" s="2">
        <f t="shared" si="2"/>
        <v>25</v>
      </c>
      <c r="K38" s="44">
        <f t="shared" si="3"/>
        <v>6.9898891304054356E-3</v>
      </c>
      <c r="L38" s="41">
        <f t="shared" si="4"/>
        <v>0.99</v>
      </c>
      <c r="M38" s="42">
        <f t="shared" si="1"/>
        <v>0.52083333333333337</v>
      </c>
      <c r="N38" s="43">
        <f>(VLOOKUP(MONTH('Amortization Model S Shape'!$B38),Seasonality,2,TRUE))</f>
        <v>0.89</v>
      </c>
      <c r="O38" s="50">
        <f t="shared" si="10"/>
        <v>3.2077038087501195E-3</v>
      </c>
    </row>
    <row r="39" spans="2:15" ht="15" x14ac:dyDescent="0.25">
      <c r="B39" s="57">
        <f t="shared" si="5"/>
        <v>43132</v>
      </c>
      <c r="C39" s="36">
        <f t="shared" si="6"/>
        <v>9288483.455389455</v>
      </c>
      <c r="D39" s="39">
        <f t="shared" si="13"/>
        <v>57201.545231845892</v>
      </c>
      <c r="E39" s="36">
        <f t="shared" si="0"/>
        <v>46442.417276947272</v>
      </c>
      <c r="F39" s="36">
        <f t="shared" si="11"/>
        <v>10759.12795489862</v>
      </c>
      <c r="G39" s="36">
        <f t="shared" si="8"/>
        <v>0</v>
      </c>
      <c r="H39" s="38">
        <f t="shared" si="12"/>
        <v>31298.358871123768</v>
      </c>
      <c r="I39" s="36">
        <f t="shared" si="9"/>
        <v>9246425.9685634319</v>
      </c>
      <c r="J39" s="2">
        <f t="shared" si="2"/>
        <v>26</v>
      </c>
      <c r="K39" s="44">
        <f t="shared" si="3"/>
        <v>6.9898891304054356E-3</v>
      </c>
      <c r="L39" s="41">
        <f t="shared" si="4"/>
        <v>0.99</v>
      </c>
      <c r="M39" s="42">
        <f t="shared" si="1"/>
        <v>0.54166666666666663</v>
      </c>
      <c r="N39" s="43">
        <f>(VLOOKUP(MONTH('Amortization Model S Shape'!$B39),Seasonality,2,TRUE))</f>
        <v>0.9</v>
      </c>
      <c r="O39" s="50">
        <f t="shared" si="10"/>
        <v>3.373495241561923E-3</v>
      </c>
    </row>
    <row r="40" spans="2:15" ht="15" x14ac:dyDescent="0.25">
      <c r="B40" s="57">
        <f t="shared" si="5"/>
        <v>43160</v>
      </c>
      <c r="C40" s="36">
        <f t="shared" si="6"/>
        <v>9246425.9685634319</v>
      </c>
      <c r="D40" s="39">
        <f t="shared" si="13"/>
        <v>57008.576091196272</v>
      </c>
      <c r="E40" s="36">
        <f t="shared" si="0"/>
        <v>46232.129842817165</v>
      </c>
      <c r="F40" s="36">
        <f t="shared" si="11"/>
        <v>10776.446248379107</v>
      </c>
      <c r="G40" s="36">
        <f t="shared" si="8"/>
        <v>0</v>
      </c>
      <c r="H40" s="38">
        <f t="shared" si="12"/>
        <v>34152.229304365741</v>
      </c>
      <c r="I40" s="36">
        <f t="shared" si="9"/>
        <v>9201497.2930106875</v>
      </c>
      <c r="J40" s="2">
        <f t="shared" si="2"/>
        <v>27</v>
      </c>
      <c r="K40" s="44">
        <f t="shared" si="3"/>
        <v>6.9898891304054356E-3</v>
      </c>
      <c r="L40" s="41">
        <f t="shared" si="4"/>
        <v>0.99</v>
      </c>
      <c r="M40" s="42">
        <f t="shared" si="1"/>
        <v>0.5625</v>
      </c>
      <c r="N40" s="43">
        <f>(VLOOKUP(MONTH('Amortization Model S Shape'!$B40),Seasonality,2,TRUE))</f>
        <v>0.95</v>
      </c>
      <c r="O40" s="50">
        <f t="shared" si="10"/>
        <v>3.6978697840198004E-3</v>
      </c>
    </row>
    <row r="41" spans="2:15" ht="15" x14ac:dyDescent="0.25">
      <c r="B41" s="57">
        <f t="shared" si="5"/>
        <v>43191</v>
      </c>
      <c r="C41" s="36">
        <f t="shared" si="6"/>
        <v>9201497.2930106875</v>
      </c>
      <c r="D41" s="39">
        <f t="shared" si="13"/>
        <v>56797.765800238645</v>
      </c>
      <c r="E41" s="36">
        <f t="shared" si="0"/>
        <v>46007.486465053436</v>
      </c>
      <c r="F41" s="36">
        <f t="shared" si="11"/>
        <v>10790.279335185209</v>
      </c>
      <c r="G41" s="36">
        <f t="shared" si="8"/>
        <v>0</v>
      </c>
      <c r="H41" s="38">
        <f t="shared" si="12"/>
        <v>35615.777582042043</v>
      </c>
      <c r="I41" s="36">
        <f t="shared" si="9"/>
        <v>9155091.2360934597</v>
      </c>
      <c r="J41" s="2">
        <f t="shared" si="2"/>
        <v>28</v>
      </c>
      <c r="K41" s="44">
        <f t="shared" si="3"/>
        <v>6.9898891304054356E-3</v>
      </c>
      <c r="L41" s="41">
        <f t="shared" si="4"/>
        <v>0.99</v>
      </c>
      <c r="M41" s="42">
        <f t="shared" si="1"/>
        <v>0.58333333333333337</v>
      </c>
      <c r="N41" s="43">
        <f>(VLOOKUP(MONTH('Amortization Model S Shape'!$B41),Seasonality,2,TRUE))</f>
        <v>0.96</v>
      </c>
      <c r="O41" s="50">
        <f t="shared" si="10"/>
        <v>3.8751945338967734E-3</v>
      </c>
    </row>
    <row r="42" spans="2:15" ht="15" x14ac:dyDescent="0.25">
      <c r="B42" s="57">
        <f t="shared" si="5"/>
        <v>43221</v>
      </c>
      <c r="C42" s="36">
        <f t="shared" si="6"/>
        <v>9155091.2360934597</v>
      </c>
      <c r="D42" s="39">
        <f t="shared" si="13"/>
        <v>56577.663408672001</v>
      </c>
      <c r="E42" s="36">
        <f t="shared" si="0"/>
        <v>45775.456180467299</v>
      </c>
      <c r="F42" s="36">
        <f t="shared" si="11"/>
        <v>10802.207228204701</v>
      </c>
      <c r="G42" s="36">
        <f t="shared" si="8"/>
        <v>0</v>
      </c>
      <c r="H42" s="38">
        <f t="shared" si="12"/>
        <v>40524.536123068785</v>
      </c>
      <c r="I42" s="36">
        <f t="shared" si="9"/>
        <v>9103764.4927421864</v>
      </c>
      <c r="J42" s="2">
        <f t="shared" si="2"/>
        <v>29</v>
      </c>
      <c r="K42" s="44">
        <f t="shared" si="3"/>
        <v>6.9898891304054356E-3</v>
      </c>
      <c r="L42" s="41">
        <f t="shared" si="4"/>
        <v>0.99</v>
      </c>
      <c r="M42" s="42">
        <f t="shared" si="1"/>
        <v>0.60416666666666663</v>
      </c>
      <c r="N42" s="43">
        <f>(VLOOKUP(MONTH('Amortization Model S Shape'!$B42),Seasonality,2,TRUE))</f>
        <v>1.06</v>
      </c>
      <c r="O42" s="50">
        <f t="shared" si="10"/>
        <v>4.4316770822911758E-3</v>
      </c>
    </row>
    <row r="43" spans="2:15" ht="15" x14ac:dyDescent="0.25">
      <c r="B43" s="57">
        <f t="shared" si="5"/>
        <v>43252</v>
      </c>
      <c r="C43" s="36">
        <f t="shared" si="6"/>
        <v>9103764.4927421864</v>
      </c>
      <c r="D43" s="39">
        <f t="shared" si="13"/>
        <v>56326.929474374207</v>
      </c>
      <c r="E43" s="36">
        <f t="shared" si="0"/>
        <v>45518.822463710931</v>
      </c>
      <c r="F43" s="36">
        <f t="shared" si="11"/>
        <v>10808.107010663276</v>
      </c>
      <c r="G43" s="36">
        <f t="shared" si="8"/>
        <v>0</v>
      </c>
      <c r="H43" s="38">
        <f t="shared" si="12"/>
        <v>42866.409176801266</v>
      </c>
      <c r="I43" s="36">
        <f t="shared" si="9"/>
        <v>9050089.9765547235</v>
      </c>
      <c r="J43" s="2">
        <f t="shared" si="2"/>
        <v>30</v>
      </c>
      <c r="K43" s="44">
        <f t="shared" si="3"/>
        <v>6.9898891304054356E-3</v>
      </c>
      <c r="L43" s="41">
        <f t="shared" si="4"/>
        <v>0.99</v>
      </c>
      <c r="M43" s="42">
        <f t="shared" si="1"/>
        <v>0.625</v>
      </c>
      <c r="N43" s="43">
        <f>(VLOOKUP(MONTH('Amortization Model S Shape'!$B43),Seasonality,2,TRUE))</f>
        <v>1.0900000000000001</v>
      </c>
      <c r="O43" s="50">
        <f t="shared" si="10"/>
        <v>4.7142433503878159E-3</v>
      </c>
    </row>
    <row r="44" spans="2:15" ht="15" x14ac:dyDescent="0.25">
      <c r="B44" s="57">
        <f t="shared" si="5"/>
        <v>43282</v>
      </c>
      <c r="C44" s="36">
        <f t="shared" si="6"/>
        <v>9050089.9765547235</v>
      </c>
      <c r="D44" s="39">
        <f t="shared" si="13"/>
        <v>56061.390621651888</v>
      </c>
      <c r="E44" s="36">
        <f t="shared" si="0"/>
        <v>45250.449882773617</v>
      </c>
      <c r="F44" s="36">
        <f t="shared" si="11"/>
        <v>10810.940738878271</v>
      </c>
      <c r="G44" s="36">
        <f t="shared" si="8"/>
        <v>0</v>
      </c>
      <c r="H44" s="38">
        <f t="shared" si="12"/>
        <v>44437.786332205324</v>
      </c>
      <c r="I44" s="36">
        <f t="shared" si="9"/>
        <v>8994841.2494836394</v>
      </c>
      <c r="J44" s="2">
        <f t="shared" si="2"/>
        <v>31</v>
      </c>
      <c r="K44" s="44">
        <f t="shared" si="3"/>
        <v>6.9898891304054356E-3</v>
      </c>
      <c r="L44" s="41">
        <f t="shared" si="4"/>
        <v>0.99</v>
      </c>
      <c r="M44" s="42">
        <f t="shared" si="1"/>
        <v>0.64583333333333337</v>
      </c>
      <c r="N44" s="43">
        <f>(VLOOKUP(MONTH('Amortization Model S Shape'!$B44),Seasonality,2,TRUE))</f>
        <v>1.1000000000000001</v>
      </c>
      <c r="O44" s="50">
        <f t="shared" si="10"/>
        <v>4.9160763990282741E-3</v>
      </c>
    </row>
    <row r="45" spans="2:15" ht="15" x14ac:dyDescent="0.25">
      <c r="B45" s="57">
        <f t="shared" si="5"/>
        <v>43313</v>
      </c>
      <c r="C45" s="36">
        <f t="shared" si="6"/>
        <v>8994841.2494836394</v>
      </c>
      <c r="D45" s="39">
        <f t="shared" si="13"/>
        <v>55785.788542320079</v>
      </c>
      <c r="E45" s="36">
        <f t="shared" si="0"/>
        <v>44974.206247418195</v>
      </c>
      <c r="F45" s="36">
        <f t="shared" si="11"/>
        <v>10811.582294901884</v>
      </c>
      <c r="G45" s="36">
        <f t="shared" si="8"/>
        <v>0</v>
      </c>
      <c r="H45" s="38">
        <f t="shared" si="12"/>
        <v>47663.204830303177</v>
      </c>
      <c r="I45" s="36">
        <f t="shared" si="9"/>
        <v>8936366.4623584338</v>
      </c>
      <c r="J45" s="2">
        <f t="shared" si="2"/>
        <v>32</v>
      </c>
      <c r="K45" s="44">
        <f t="shared" si="3"/>
        <v>6.9898891304054356E-3</v>
      </c>
      <c r="L45" s="41">
        <f t="shared" si="4"/>
        <v>0.99</v>
      </c>
      <c r="M45" s="42">
        <f t="shared" si="1"/>
        <v>0.66666666666666663</v>
      </c>
      <c r="N45" s="43">
        <f>(VLOOKUP(MONTH('Amortization Model S Shape'!$B45),Seasonality,2,TRUE))</f>
        <v>1.1499999999999999</v>
      </c>
      <c r="O45" s="50">
        <f t="shared" si="10"/>
        <v>5.3053258499777241E-3</v>
      </c>
    </row>
    <row r="46" spans="2:15" ht="15" x14ac:dyDescent="0.25">
      <c r="B46" s="57">
        <f t="shared" si="5"/>
        <v>43344</v>
      </c>
      <c r="C46" s="36">
        <f t="shared" si="6"/>
        <v>8936366.4623584338</v>
      </c>
      <c r="D46" s="39">
        <f t="shared" si="13"/>
        <v>55489.826756305112</v>
      </c>
      <c r="E46" s="36">
        <f t="shared" si="0"/>
        <v>44681.832311792161</v>
      </c>
      <c r="F46" s="36">
        <f t="shared" si="11"/>
        <v>10807.994444512951</v>
      </c>
      <c r="G46" s="36">
        <f t="shared" si="8"/>
        <v>0</v>
      </c>
      <c r="H46" s="38">
        <f t="shared" si="12"/>
        <v>47983.511502050496</v>
      </c>
      <c r="I46" s="36">
        <f t="shared" si="9"/>
        <v>8877574.9564118702</v>
      </c>
      <c r="J46" s="2">
        <f t="shared" si="2"/>
        <v>33</v>
      </c>
      <c r="K46" s="44">
        <f t="shared" si="3"/>
        <v>6.9898891304054356E-3</v>
      </c>
      <c r="L46" s="41">
        <f t="shared" si="4"/>
        <v>0.99</v>
      </c>
      <c r="M46" s="42">
        <f t="shared" si="1"/>
        <v>0.6875</v>
      </c>
      <c r="N46" s="43">
        <f>(VLOOKUP(MONTH('Amortization Model S Shape'!$B46),Seasonality,2,TRUE))</f>
        <v>1.1299999999999999</v>
      </c>
      <c r="O46" s="50">
        <f t="shared" si="10"/>
        <v>5.375967417001885E-3</v>
      </c>
    </row>
    <row r="47" spans="2:15" ht="15" x14ac:dyDescent="0.25">
      <c r="B47" s="57">
        <f t="shared" si="5"/>
        <v>43374</v>
      </c>
      <c r="C47" s="36">
        <f t="shared" si="6"/>
        <v>8877574.9564118702</v>
      </c>
      <c r="D47" s="39">
        <f t="shared" si="13"/>
        <v>55191.515255688129</v>
      </c>
      <c r="E47" s="36">
        <f t="shared" si="0"/>
        <v>44387.874782059349</v>
      </c>
      <c r="F47" s="36">
        <f t="shared" si="11"/>
        <v>10803.64047362878</v>
      </c>
      <c r="G47" s="36">
        <f t="shared" si="8"/>
        <v>0</v>
      </c>
      <c r="H47" s="38">
        <f t="shared" si="12"/>
        <v>43896.515056658034</v>
      </c>
      <c r="I47" s="36">
        <f t="shared" si="9"/>
        <v>8822874.8008815832</v>
      </c>
      <c r="J47" s="2">
        <f t="shared" si="2"/>
        <v>34</v>
      </c>
      <c r="K47" s="44">
        <f t="shared" si="3"/>
        <v>6.9898891304054356E-3</v>
      </c>
      <c r="L47" s="41">
        <f t="shared" si="4"/>
        <v>0.99</v>
      </c>
      <c r="M47" s="42">
        <f t="shared" si="1"/>
        <v>0.70833333333333337</v>
      </c>
      <c r="N47" s="43">
        <f>(VLOOKUP(MONTH('Amortization Model S Shape'!$B47),Seasonality,2,TRUE))</f>
        <v>1.01</v>
      </c>
      <c r="O47" s="50">
        <f t="shared" si="10"/>
        <v>4.9506763502237799E-3</v>
      </c>
    </row>
    <row r="48" spans="2:15" ht="15" x14ac:dyDescent="0.25">
      <c r="B48" s="57">
        <f t="shared" si="5"/>
        <v>43405</v>
      </c>
      <c r="C48" s="36">
        <f t="shared" si="6"/>
        <v>8822874.8008815832</v>
      </c>
      <c r="D48" s="39">
        <f t="shared" si="13"/>
        <v>54918.279926378782</v>
      </c>
      <c r="E48" s="36">
        <f t="shared" si="0"/>
        <v>44114.37400440791</v>
      </c>
      <c r="F48" s="36">
        <f t="shared" si="11"/>
        <v>10803.905921970872</v>
      </c>
      <c r="G48" s="36">
        <f t="shared" si="8"/>
        <v>0</v>
      </c>
      <c r="H48" s="38">
        <f t="shared" si="12"/>
        <v>38239.193371659072</v>
      </c>
      <c r="I48" s="36">
        <f t="shared" si="9"/>
        <v>8773831.7015879527</v>
      </c>
      <c r="J48" s="2">
        <f t="shared" si="2"/>
        <v>35</v>
      </c>
      <c r="K48" s="44">
        <f t="shared" si="3"/>
        <v>6.9898891304054356E-3</v>
      </c>
      <c r="L48" s="41">
        <f t="shared" si="4"/>
        <v>0.99</v>
      </c>
      <c r="M48" s="42">
        <f t="shared" si="1"/>
        <v>0.72916666666666663</v>
      </c>
      <c r="N48" s="43">
        <f>(VLOOKUP(MONTH('Amortization Model S Shape'!$B48),Seasonality,2,TRUE))</f>
        <v>0.86</v>
      </c>
      <c r="O48" s="50">
        <f t="shared" si="10"/>
        <v>4.3394105457698244E-3</v>
      </c>
    </row>
    <row r="49" spans="2:15" ht="15" x14ac:dyDescent="0.25">
      <c r="B49" s="57">
        <f t="shared" si="5"/>
        <v>43435</v>
      </c>
      <c r="C49" s="36">
        <f t="shared" si="6"/>
        <v>8773831.7015879527</v>
      </c>
      <c r="D49" s="39">
        <f t="shared" si="13"/>
        <v>54679.966963310719</v>
      </c>
      <c r="E49" s="36">
        <f t="shared" si="0"/>
        <v>43869.158507939756</v>
      </c>
      <c r="F49" s="36">
        <f t="shared" si="11"/>
        <v>10810.808455370963</v>
      </c>
      <c r="G49" s="36">
        <f t="shared" si="8"/>
        <v>0</v>
      </c>
      <c r="H49" s="40">
        <f t="shared" si="12"/>
        <v>40932.012855725283</v>
      </c>
      <c r="I49" s="36">
        <f t="shared" si="9"/>
        <v>8722088.8802768569</v>
      </c>
      <c r="J49" s="2">
        <f t="shared" si="2"/>
        <v>36</v>
      </c>
      <c r="K49" s="44">
        <f t="shared" si="3"/>
        <v>6.9898891304054356E-3</v>
      </c>
      <c r="L49" s="41">
        <f t="shared" si="4"/>
        <v>0.99</v>
      </c>
      <c r="M49" s="42">
        <f t="shared" si="1"/>
        <v>0.75</v>
      </c>
      <c r="N49" s="43">
        <f>(VLOOKUP(MONTH('Amortization Model S Shape'!$B49),Seasonality,2,TRUE))</f>
        <v>0.9</v>
      </c>
      <c r="O49" s="50">
        <f t="shared" si="10"/>
        <v>4.6709934113934324E-3</v>
      </c>
    </row>
    <row r="50" spans="2:15" ht="15" x14ac:dyDescent="0.25">
      <c r="B50" s="57">
        <f t="shared" si="5"/>
        <v>43466</v>
      </c>
      <c r="C50" s="36">
        <f t="shared" si="6"/>
        <v>8722088.8802768569</v>
      </c>
      <c r="D50" s="39">
        <f t="shared" si="13"/>
        <v>54424.557197889881</v>
      </c>
      <c r="E50" s="36">
        <f t="shared" si="0"/>
        <v>43610.44440138428</v>
      </c>
      <c r="F50" s="36">
        <f t="shared" si="11"/>
        <v>10814.1127965056</v>
      </c>
      <c r="G50" s="36">
        <f t="shared" si="8"/>
        <v>0</v>
      </c>
      <c r="H50" s="38">
        <f t="shared" si="12"/>
        <v>41355.920091058986</v>
      </c>
      <c r="I50" s="36">
        <f t="shared" si="9"/>
        <v>8669918.847389292</v>
      </c>
      <c r="J50" s="2">
        <f t="shared" si="2"/>
        <v>37</v>
      </c>
      <c r="K50" s="44">
        <f t="shared" si="3"/>
        <v>6.9898891304054356E-3</v>
      </c>
      <c r="L50" s="41">
        <f t="shared" si="4"/>
        <v>0.99</v>
      </c>
      <c r="M50" s="42">
        <f t="shared" si="1"/>
        <v>0.77083333333333337</v>
      </c>
      <c r="N50" s="43">
        <f>(VLOOKUP(MONTH('Amortization Model S Shape'!$B50),Seasonality,2,TRUE))</f>
        <v>0.89</v>
      </c>
      <c r="O50" s="50">
        <f t="shared" si="10"/>
        <v>4.7474016369501767E-3</v>
      </c>
    </row>
    <row r="51" spans="2:15" ht="15" x14ac:dyDescent="0.25">
      <c r="B51" s="57">
        <f t="shared" si="5"/>
        <v>43497</v>
      </c>
      <c r="C51" s="36">
        <f t="shared" si="6"/>
        <v>8669918.847389292</v>
      </c>
      <c r="D51" s="39">
        <f t="shared" si="13"/>
        <v>54166.181965958327</v>
      </c>
      <c r="E51" s="36">
        <f t="shared" si="0"/>
        <v>43349.594236946454</v>
      </c>
      <c r="F51" s="36">
        <f t="shared" si="11"/>
        <v>10816.587729011873</v>
      </c>
      <c r="G51" s="36">
        <f t="shared" si="8"/>
        <v>0</v>
      </c>
      <c r="H51" s="38">
        <f t="shared" si="12"/>
        <v>42693.643470313771</v>
      </c>
      <c r="I51" s="36">
        <f t="shared" si="9"/>
        <v>8616408.616189966</v>
      </c>
      <c r="J51" s="2">
        <f t="shared" si="2"/>
        <v>38</v>
      </c>
      <c r="K51" s="44">
        <f t="shared" si="3"/>
        <v>6.9898891304054356E-3</v>
      </c>
      <c r="L51" s="41">
        <f t="shared" si="4"/>
        <v>0.99</v>
      </c>
      <c r="M51" s="42">
        <f t="shared" si="1"/>
        <v>0.79166666666666663</v>
      </c>
      <c r="N51" s="43">
        <f>(VLOOKUP(MONTH('Amortization Model S Shape'!$B51),Seasonality,2,TRUE))</f>
        <v>0.9</v>
      </c>
      <c r="O51" s="50">
        <f t="shared" si="10"/>
        <v>4.9304930453597344E-3</v>
      </c>
    </row>
    <row r="52" spans="2:15" ht="15" x14ac:dyDescent="0.25">
      <c r="B52" s="57">
        <f t="shared" si="5"/>
        <v>43525</v>
      </c>
      <c r="C52" s="36">
        <f t="shared" si="6"/>
        <v>8616408.616189966</v>
      </c>
      <c r="D52" s="39">
        <f t="shared" si="13"/>
        <v>53899.115982481475</v>
      </c>
      <c r="E52" s="36">
        <f t="shared" si="0"/>
        <v>43082.043080949828</v>
      </c>
      <c r="F52" s="36">
        <f t="shared" si="11"/>
        <v>10817.072901531646</v>
      </c>
      <c r="G52" s="36">
        <f t="shared" si="8"/>
        <v>0</v>
      </c>
      <c r="H52" s="38">
        <f t="shared" si="12"/>
        <v>45965.626693339334</v>
      </c>
      <c r="I52" s="36">
        <f t="shared" si="9"/>
        <v>8559625.9165950939</v>
      </c>
      <c r="J52" s="2">
        <f t="shared" si="2"/>
        <v>39</v>
      </c>
      <c r="K52" s="44">
        <f t="shared" si="3"/>
        <v>6.9898891304054356E-3</v>
      </c>
      <c r="L52" s="41">
        <f t="shared" si="4"/>
        <v>0.99</v>
      </c>
      <c r="M52" s="42">
        <f t="shared" si="1"/>
        <v>0.8125</v>
      </c>
      <c r="N52" s="43">
        <f>(VLOOKUP(MONTH('Amortization Model S Shape'!$B52),Seasonality,2,TRUE))</f>
        <v>0.95</v>
      </c>
      <c r="O52" s="50">
        <f t="shared" si="10"/>
        <v>5.3413674658063775E-3</v>
      </c>
    </row>
    <row r="53" spans="2:15" ht="15" x14ac:dyDescent="0.25">
      <c r="B53" s="57">
        <f t="shared" si="5"/>
        <v>43556</v>
      </c>
      <c r="C53" s="36">
        <f t="shared" si="6"/>
        <v>8559625.9165950939</v>
      </c>
      <c r="D53" s="39">
        <f t="shared" si="13"/>
        <v>53611.220997936915</v>
      </c>
      <c r="E53" s="36">
        <f t="shared" si="0"/>
        <v>42798.129582975467</v>
      </c>
      <c r="F53" s="36">
        <f t="shared" si="11"/>
        <v>10813.091414961447</v>
      </c>
      <c r="G53" s="36">
        <f t="shared" si="8"/>
        <v>0</v>
      </c>
      <c r="H53" s="38">
        <f t="shared" si="12"/>
        <v>47326.161044920969</v>
      </c>
      <c r="I53" s="36">
        <f t="shared" si="9"/>
        <v>8501486.6641352102</v>
      </c>
      <c r="J53" s="2">
        <f t="shared" si="2"/>
        <v>40</v>
      </c>
      <c r="K53" s="44">
        <f t="shared" si="3"/>
        <v>6.9898891304054356E-3</v>
      </c>
      <c r="L53" s="41">
        <f t="shared" si="4"/>
        <v>0.99</v>
      </c>
      <c r="M53" s="42">
        <f t="shared" si="1"/>
        <v>0.83333333333333337</v>
      </c>
      <c r="N53" s="43">
        <f>(VLOOKUP(MONTH('Amortization Model S Shape'!$B53),Seasonality,2,TRUE))</f>
        <v>0.96</v>
      </c>
      <c r="O53" s="50">
        <f t="shared" si="10"/>
        <v>5.5359921912811047E-3</v>
      </c>
    </row>
    <row r="54" spans="2:15" ht="15" x14ac:dyDescent="0.25">
      <c r="B54" s="57">
        <f t="shared" si="5"/>
        <v>43586</v>
      </c>
      <c r="C54" s="36">
        <f t="shared" si="6"/>
        <v>8501486.6641352102</v>
      </c>
      <c r="D54" s="39">
        <f t="shared" si="13"/>
        <v>53314.429697127285</v>
      </c>
      <c r="E54" s="36">
        <f t="shared" si="0"/>
        <v>42507.433320676049</v>
      </c>
      <c r="F54" s="36">
        <f t="shared" si="11"/>
        <v>10806.996376451236</v>
      </c>
      <c r="G54" s="36">
        <f t="shared" si="8"/>
        <v>0</v>
      </c>
      <c r="H54" s="38">
        <f t="shared" si="12"/>
        <v>53198.136909102352</v>
      </c>
      <c r="I54" s="36">
        <f t="shared" si="9"/>
        <v>8437481.5308496561</v>
      </c>
      <c r="J54" s="2">
        <f t="shared" si="2"/>
        <v>41</v>
      </c>
      <c r="K54" s="44">
        <f t="shared" si="3"/>
        <v>6.9898891304054356E-3</v>
      </c>
      <c r="L54" s="41">
        <f t="shared" si="4"/>
        <v>0.99</v>
      </c>
      <c r="M54" s="42">
        <f t="shared" si="1"/>
        <v>0.85416666666666663</v>
      </c>
      <c r="N54" s="43">
        <f>(VLOOKUP(MONTH('Amortization Model S Shape'!$B54),Seasonality,2,TRUE))</f>
        <v>1.06</v>
      </c>
      <c r="O54" s="50">
        <f t="shared" si="10"/>
        <v>6.2654744956530421E-3</v>
      </c>
    </row>
    <row r="55" spans="2:15" ht="15" x14ac:dyDescent="0.25">
      <c r="B55" s="57">
        <f t="shared" si="5"/>
        <v>43617</v>
      </c>
      <c r="C55" s="36">
        <f t="shared" si="6"/>
        <v>8437481.5308496561</v>
      </c>
      <c r="D55" s="39">
        <f t="shared" si="13"/>
        <v>52980.389497609642</v>
      </c>
      <c r="E55" s="36">
        <f t="shared" si="0"/>
        <v>42187.40765424828</v>
      </c>
      <c r="F55" s="36">
        <f t="shared" si="11"/>
        <v>10792.981843361362</v>
      </c>
      <c r="G55" s="36">
        <f t="shared" si="8"/>
        <v>0</v>
      </c>
      <c r="H55" s="38">
        <f t="shared" si="12"/>
        <v>55053.870452824784</v>
      </c>
      <c r="I55" s="36">
        <f t="shared" si="9"/>
        <v>8371634.6785534695</v>
      </c>
      <c r="J55" s="2">
        <f t="shared" si="2"/>
        <v>42</v>
      </c>
      <c r="K55" s="44">
        <f t="shared" si="3"/>
        <v>6.9898891304054356E-3</v>
      </c>
      <c r="L55" s="41">
        <f t="shared" si="4"/>
        <v>0.98</v>
      </c>
      <c r="M55" s="42">
        <f t="shared" si="1"/>
        <v>0.875</v>
      </c>
      <c r="N55" s="43">
        <f>(VLOOKUP(MONTH('Amortization Model S Shape'!$B55),Seasonality,2,TRUE))</f>
        <v>1.0900000000000001</v>
      </c>
      <c r="O55" s="50">
        <f t="shared" si="10"/>
        <v>6.5332746229617008E-3</v>
      </c>
    </row>
    <row r="56" spans="2:15" ht="15" x14ac:dyDescent="0.25">
      <c r="B56" s="57">
        <f t="shared" si="5"/>
        <v>43647</v>
      </c>
      <c r="C56" s="36">
        <f t="shared" si="6"/>
        <v>8371634.6785534695</v>
      </c>
      <c r="D56" s="39">
        <f t="shared" si="13"/>
        <v>52634.254063390283</v>
      </c>
      <c r="E56" s="36">
        <f t="shared" si="0"/>
        <v>41858.173392767341</v>
      </c>
      <c r="F56" s="36">
        <f t="shared" si="11"/>
        <v>10776.080670622941</v>
      </c>
      <c r="G56" s="36">
        <f t="shared" si="8"/>
        <v>0</v>
      </c>
      <c r="H56" s="38">
        <f t="shared" si="12"/>
        <v>56437.419066533766</v>
      </c>
      <c r="I56" s="36">
        <f t="shared" si="9"/>
        <v>8304421.1788163129</v>
      </c>
      <c r="J56" s="2">
        <f t="shared" si="2"/>
        <v>43</v>
      </c>
      <c r="K56" s="44">
        <f t="shared" si="3"/>
        <v>6.9898891304054356E-3</v>
      </c>
      <c r="L56" s="41">
        <f t="shared" si="4"/>
        <v>0.98</v>
      </c>
      <c r="M56" s="42">
        <f t="shared" si="1"/>
        <v>0.89583333333333337</v>
      </c>
      <c r="N56" s="43">
        <f>(VLOOKUP(MONTH('Amortization Model S Shape'!$B56),Seasonality,2,TRUE))</f>
        <v>1.1000000000000001</v>
      </c>
      <c r="O56" s="50">
        <f t="shared" si="10"/>
        <v>6.7501941823086163E-3</v>
      </c>
    </row>
    <row r="57" spans="2:15" ht="15" x14ac:dyDescent="0.25">
      <c r="B57" s="57">
        <f t="shared" si="5"/>
        <v>43678</v>
      </c>
      <c r="C57" s="36">
        <f t="shared" si="6"/>
        <v>8304421.1788163129</v>
      </c>
      <c r="D57" s="39">
        <f t="shared" si="13"/>
        <v>52278.962627821435</v>
      </c>
      <c r="E57" s="36">
        <f t="shared" si="0"/>
        <v>41522.105894081564</v>
      </c>
      <c r="F57" s="36">
        <f t="shared" si="11"/>
        <v>10756.856733739871</v>
      </c>
      <c r="G57" s="36">
        <f t="shared" si="8"/>
        <v>0</v>
      </c>
      <c r="H57" s="38">
        <f t="shared" si="12"/>
        <v>59889.694284170837</v>
      </c>
      <c r="I57" s="36">
        <f t="shared" si="9"/>
        <v>8233774.6277984018</v>
      </c>
      <c r="J57" s="2">
        <f t="shared" si="2"/>
        <v>44</v>
      </c>
      <c r="K57" s="44">
        <f t="shared" si="3"/>
        <v>6.9898891304054356E-3</v>
      </c>
      <c r="L57" s="41">
        <f t="shared" si="4"/>
        <v>0.98</v>
      </c>
      <c r="M57" s="42">
        <f t="shared" si="1"/>
        <v>0.91666666666666663</v>
      </c>
      <c r="N57" s="43">
        <f>(VLOOKUP(MONTH('Amortization Model S Shape'!$B57),Seasonality,2,TRUE))</f>
        <v>1.1499999999999999</v>
      </c>
      <c r="O57" s="50">
        <f t="shared" si="10"/>
        <v>7.2211379624696811E-3</v>
      </c>
    </row>
    <row r="58" spans="2:15" ht="15" x14ac:dyDescent="0.25">
      <c r="B58" s="57">
        <f t="shared" si="5"/>
        <v>43709</v>
      </c>
      <c r="C58" s="36">
        <f t="shared" si="6"/>
        <v>8233774.6277984018</v>
      </c>
      <c r="D58" s="39">
        <f t="shared" si="13"/>
        <v>51901.449026151131</v>
      </c>
      <c r="E58" s="36">
        <f t="shared" si="0"/>
        <v>41168.873138992007</v>
      </c>
      <c r="F58" s="36">
        <f t="shared" si="11"/>
        <v>10732.575887159124</v>
      </c>
      <c r="G58" s="36">
        <f t="shared" si="8"/>
        <v>0</v>
      </c>
      <c r="H58" s="38">
        <f t="shared" si="12"/>
        <v>59673.099196855292</v>
      </c>
      <c r="I58" s="36">
        <f t="shared" si="9"/>
        <v>8163368.9527143873</v>
      </c>
      <c r="J58" s="2">
        <f t="shared" si="2"/>
        <v>45</v>
      </c>
      <c r="K58" s="44">
        <f t="shared" si="3"/>
        <v>6.9898891304054356E-3</v>
      </c>
      <c r="L58" s="41">
        <f t="shared" si="4"/>
        <v>0.98</v>
      </c>
      <c r="M58" s="42">
        <f t="shared" si="1"/>
        <v>0.9375</v>
      </c>
      <c r="N58" s="43">
        <f>(VLOOKUP(MONTH('Amortization Model S Shape'!$B58),Seasonality,2,TRUE))</f>
        <v>1.1299999999999999</v>
      </c>
      <c r="O58" s="50">
        <f t="shared" si="10"/>
        <v>7.2568155215727926E-3</v>
      </c>
    </row>
    <row r="59" spans="2:15" ht="15" x14ac:dyDescent="0.25">
      <c r="B59" s="57">
        <f t="shared" si="5"/>
        <v>43739</v>
      </c>
      <c r="C59" s="36">
        <f t="shared" si="6"/>
        <v>8163368.9527143873</v>
      </c>
      <c r="D59" s="39">
        <f t="shared" si="13"/>
        <v>51524.809785266043</v>
      </c>
      <c r="E59" s="36">
        <f t="shared" si="0"/>
        <v>40816.844763571935</v>
      </c>
      <c r="F59" s="36">
        <f t="shared" si="11"/>
        <v>10707.965021694108</v>
      </c>
      <c r="G59" s="36">
        <f t="shared" si="8"/>
        <v>0</v>
      </c>
      <c r="H59" s="38">
        <f t="shared" si="12"/>
        <v>54054.731500824557</v>
      </c>
      <c r="I59" s="36">
        <f t="shared" si="9"/>
        <v>8098606.2561918683</v>
      </c>
      <c r="J59" s="2">
        <f t="shared" si="2"/>
        <v>46</v>
      </c>
      <c r="K59" s="44">
        <f t="shared" si="3"/>
        <v>6.9898891304054356E-3</v>
      </c>
      <c r="L59" s="41">
        <f t="shared" si="4"/>
        <v>0.98</v>
      </c>
      <c r="M59" s="42">
        <f t="shared" si="1"/>
        <v>0.95833333333333337</v>
      </c>
      <c r="N59" s="43">
        <f>(VLOOKUP(MONTH('Amortization Model S Shape'!$B59),Seasonality,2,TRUE))</f>
        <v>1.01</v>
      </c>
      <c r="O59" s="50">
        <f t="shared" si="10"/>
        <v>6.6303175837221628E-3</v>
      </c>
    </row>
    <row r="60" spans="2:15" ht="15" x14ac:dyDescent="0.25">
      <c r="B60" s="57">
        <f t="shared" si="5"/>
        <v>43770</v>
      </c>
      <c r="C60" s="36">
        <f t="shared" si="6"/>
        <v>8098606.2561918683</v>
      </c>
      <c r="D60" s="39">
        <f t="shared" si="13"/>
        <v>51183.18393294885</v>
      </c>
      <c r="E60" s="36">
        <f t="shared" si="0"/>
        <v>40493.031280959338</v>
      </c>
      <c r="F60" s="36">
        <f t="shared" si="11"/>
        <v>10690.152651989512</v>
      </c>
      <c r="G60" s="36">
        <f t="shared" si="8"/>
        <v>0</v>
      </c>
      <c r="H60" s="38">
        <f t="shared" si="12"/>
        <v>46653.912704880131</v>
      </c>
      <c r="I60" s="36">
        <f t="shared" si="9"/>
        <v>8041262.1908349982</v>
      </c>
      <c r="J60" s="2">
        <f t="shared" si="2"/>
        <v>47</v>
      </c>
      <c r="K60" s="44">
        <f t="shared" si="3"/>
        <v>6.9898891304054356E-3</v>
      </c>
      <c r="L60" s="41">
        <f t="shared" si="4"/>
        <v>0.98</v>
      </c>
      <c r="M60" s="42">
        <f t="shared" si="1"/>
        <v>0.97916666666666663</v>
      </c>
      <c r="N60" s="43">
        <f>(VLOOKUP(MONTH('Amortization Model S Shape'!$B60),Seasonality,2,TRUE))</f>
        <v>0.86</v>
      </c>
      <c r="O60" s="50">
        <f t="shared" si="10"/>
        <v>5.7683477557909984E-3</v>
      </c>
    </row>
    <row r="61" spans="2:15" ht="15" x14ac:dyDescent="0.25">
      <c r="B61" s="57">
        <f t="shared" si="5"/>
        <v>43800</v>
      </c>
      <c r="C61" s="36">
        <f t="shared" si="6"/>
        <v>8041262.1908349982</v>
      </c>
      <c r="D61" s="39">
        <f t="shared" si="13"/>
        <v>50887.941528774987</v>
      </c>
      <c r="E61" s="36">
        <f t="shared" si="0"/>
        <v>40206.310954174987</v>
      </c>
      <c r="F61" s="36">
        <f t="shared" si="11"/>
        <v>10681.6305746</v>
      </c>
      <c r="G61" s="36">
        <f t="shared" si="8"/>
        <v>0</v>
      </c>
      <c r="H61" s="40">
        <f t="shared" si="12"/>
        <v>49509.189372266243</v>
      </c>
      <c r="I61" s="36">
        <f t="shared" si="9"/>
        <v>7981071.3708881317</v>
      </c>
      <c r="J61" s="2">
        <f t="shared" si="2"/>
        <v>48</v>
      </c>
      <c r="K61" s="44">
        <f t="shared" si="3"/>
        <v>6.9898891304054356E-3</v>
      </c>
      <c r="L61" s="41">
        <f t="shared" si="4"/>
        <v>0.98</v>
      </c>
      <c r="M61" s="42">
        <f t="shared" si="1"/>
        <v>1</v>
      </c>
      <c r="N61" s="43">
        <f>(VLOOKUP(MONTH('Amortization Model S Shape'!$B61),Seasonality,2,TRUE))</f>
        <v>0.9</v>
      </c>
      <c r="O61" s="50">
        <f t="shared" si="10"/>
        <v>6.1650822130175937E-3</v>
      </c>
    </row>
    <row r="62" spans="2:15" ht="15" x14ac:dyDescent="0.25">
      <c r="B62" s="57">
        <f t="shared" si="5"/>
        <v>43831</v>
      </c>
      <c r="C62" s="36">
        <f t="shared" si="6"/>
        <v>7981071.3708881317</v>
      </c>
      <c r="D62" s="39">
        <f t="shared" si="13"/>
        <v>50574.213185598848</v>
      </c>
      <c r="E62" s="36">
        <f t="shared" si="0"/>
        <v>39905.356854440659</v>
      </c>
      <c r="F62" s="36">
        <f t="shared" si="11"/>
        <v>10668.856331158189</v>
      </c>
      <c r="G62" s="36">
        <f t="shared" si="8"/>
        <v>0</v>
      </c>
      <c r="H62" s="38">
        <f t="shared" si="12"/>
        <v>48592.206920051613</v>
      </c>
      <c r="I62" s="36">
        <f t="shared" si="9"/>
        <v>7921810.3076369213</v>
      </c>
      <c r="J62" s="2">
        <f t="shared" si="2"/>
        <v>49</v>
      </c>
      <c r="K62" s="44">
        <f t="shared" si="3"/>
        <v>6.9898891304054356E-3</v>
      </c>
      <c r="L62" s="41">
        <f t="shared" si="4"/>
        <v>0.98</v>
      </c>
      <c r="M62" s="42">
        <f t="shared" si="1"/>
        <v>1</v>
      </c>
      <c r="N62" s="43">
        <f>(VLOOKUP(MONTH('Amortization Model S Shape'!$B62),Seasonality,2,TRUE))</f>
        <v>0.89</v>
      </c>
      <c r="O62" s="50">
        <f t="shared" si="10"/>
        <v>6.0965812995396208E-3</v>
      </c>
    </row>
    <row r="63" spans="2:15" ht="15" x14ac:dyDescent="0.25">
      <c r="B63" s="57">
        <f t="shared" si="5"/>
        <v>43862</v>
      </c>
      <c r="C63" s="36">
        <f t="shared" si="6"/>
        <v>7921810.3076369213</v>
      </c>
      <c r="D63" s="39">
        <f t="shared" si="13"/>
        <v>50265.8833832526</v>
      </c>
      <c r="E63" s="36">
        <f t="shared" si="0"/>
        <v>39609.051538184605</v>
      </c>
      <c r="F63" s="36">
        <f t="shared" si="11"/>
        <v>10656.831845067994</v>
      </c>
      <c r="G63" s="36">
        <f t="shared" si="8"/>
        <v>0</v>
      </c>
      <c r="H63" s="38">
        <f t="shared" si="12"/>
        <v>48772.911578056664</v>
      </c>
      <c r="I63" s="36">
        <f t="shared" si="9"/>
        <v>7862380.5642137965</v>
      </c>
      <c r="J63" s="2">
        <f t="shared" si="2"/>
        <v>50</v>
      </c>
      <c r="K63" s="44">
        <f t="shared" si="3"/>
        <v>6.9898891304054356E-3</v>
      </c>
      <c r="L63" s="41">
        <f t="shared" si="4"/>
        <v>0.98</v>
      </c>
      <c r="M63" s="42">
        <f t="shared" si="1"/>
        <v>1</v>
      </c>
      <c r="N63" s="43">
        <f>(VLOOKUP(MONTH('Amortization Model S Shape'!$B63),Seasonality,2,TRUE))</f>
        <v>0.9</v>
      </c>
      <c r="O63" s="50">
        <f t="shared" si="10"/>
        <v>6.1650822130175937E-3</v>
      </c>
    </row>
    <row r="64" spans="2:15" ht="15" x14ac:dyDescent="0.25">
      <c r="B64" s="57">
        <f t="shared" si="5"/>
        <v>43891</v>
      </c>
      <c r="C64" s="36">
        <f t="shared" si="6"/>
        <v>7862380.5642137965</v>
      </c>
      <c r="D64" s="39">
        <f t="shared" si="13"/>
        <v>49955.990079684889</v>
      </c>
      <c r="E64" s="36">
        <f t="shared" si="0"/>
        <v>39311.902821068979</v>
      </c>
      <c r="F64" s="36">
        <f t="shared" si="11"/>
        <v>10644.087258615909</v>
      </c>
      <c r="G64" s="36">
        <f t="shared" si="8"/>
        <v>0</v>
      </c>
      <c r="H64" s="38">
        <f t="shared" si="12"/>
        <v>51095.856500676578</v>
      </c>
      <c r="I64" s="36">
        <f t="shared" si="9"/>
        <v>7800640.6204545042</v>
      </c>
      <c r="J64" s="2">
        <f t="shared" si="2"/>
        <v>51</v>
      </c>
      <c r="K64" s="44">
        <f t="shared" si="3"/>
        <v>6.9898891304054356E-3</v>
      </c>
      <c r="L64" s="41">
        <f t="shared" si="4"/>
        <v>0.98</v>
      </c>
      <c r="M64" s="42">
        <f t="shared" si="1"/>
        <v>1</v>
      </c>
      <c r="N64" s="43">
        <f>(VLOOKUP(MONTH('Amortization Model S Shape'!$B64),Seasonality,2,TRUE))</f>
        <v>0.95</v>
      </c>
      <c r="O64" s="50">
        <f t="shared" si="10"/>
        <v>6.5075867804074601E-3</v>
      </c>
    </row>
    <row r="65" spans="2:15" ht="15" x14ac:dyDescent="0.25">
      <c r="B65" s="57">
        <f t="shared" si="5"/>
        <v>43922</v>
      </c>
      <c r="C65" s="36">
        <f t="shared" si="6"/>
        <v>7800640.6204545042</v>
      </c>
      <c r="D65" s="39">
        <f t="shared" si="13"/>
        <v>49630.897139040171</v>
      </c>
      <c r="E65" s="36">
        <f t="shared" si="0"/>
        <v>39003.20310227252</v>
      </c>
      <c r="F65" s="36">
        <f t="shared" si="11"/>
        <v>10627.694036767651</v>
      </c>
      <c r="G65" s="36">
        <f t="shared" si="8"/>
        <v>0</v>
      </c>
      <c r="H65" s="38">
        <f t="shared" si="12"/>
        <v>51227.808140624125</v>
      </c>
      <c r="I65" s="36">
        <f t="shared" si="9"/>
        <v>7738785.118277112</v>
      </c>
      <c r="J65" s="2">
        <f t="shared" si="2"/>
        <v>52</v>
      </c>
      <c r="K65" s="44">
        <f t="shared" si="3"/>
        <v>6.9898891304054356E-3</v>
      </c>
      <c r="L65" s="41">
        <f t="shared" si="4"/>
        <v>0.98</v>
      </c>
      <c r="M65" s="42">
        <f t="shared" si="1"/>
        <v>1</v>
      </c>
      <c r="N65" s="43">
        <f>(VLOOKUP(MONTH('Amortization Model S Shape'!$B65),Seasonality,2,TRUE))</f>
        <v>0.96</v>
      </c>
      <c r="O65" s="50">
        <f t="shared" si="10"/>
        <v>6.576087693885433E-3</v>
      </c>
    </row>
    <row r="66" spans="2:15" ht="15" x14ac:dyDescent="0.25">
      <c r="B66" s="57">
        <f t="shared" si="5"/>
        <v>43952</v>
      </c>
      <c r="C66" s="36">
        <f t="shared" si="6"/>
        <v>7738785.118277112</v>
      </c>
      <c r="D66" s="39">
        <f t="shared" si="13"/>
        <v>49304.520007127627</v>
      </c>
      <c r="E66" s="36">
        <f t="shared" si="0"/>
        <v>38693.92559138556</v>
      </c>
      <c r="F66" s="36">
        <f t="shared" si="11"/>
        <v>10610.594415742067</v>
      </c>
      <c r="G66" s="36">
        <f t="shared" si="8"/>
        <v>0</v>
      </c>
      <c r="H66" s="38">
        <f t="shared" si="12"/>
        <v>56115.023526580728</v>
      </c>
      <c r="I66" s="36">
        <f t="shared" si="9"/>
        <v>7672059.500334789</v>
      </c>
      <c r="J66" s="2">
        <f t="shared" si="2"/>
        <v>53</v>
      </c>
      <c r="K66" s="44">
        <f t="shared" si="3"/>
        <v>6.9898891304054356E-3</v>
      </c>
      <c r="L66" s="41">
        <f t="shared" si="4"/>
        <v>0.98</v>
      </c>
      <c r="M66" s="42">
        <f t="shared" si="1"/>
        <v>1</v>
      </c>
      <c r="N66" s="43">
        <f>(VLOOKUP(MONTH('Amortization Model S Shape'!$B66),Seasonality,2,TRUE))</f>
        <v>1.06</v>
      </c>
      <c r="O66" s="50">
        <f t="shared" si="10"/>
        <v>7.2610968286651667E-3</v>
      </c>
    </row>
    <row r="67" spans="2:15" ht="15" x14ac:dyDescent="0.25">
      <c r="B67" s="57">
        <f t="shared" si="5"/>
        <v>43983</v>
      </c>
      <c r="C67" s="36">
        <f t="shared" si="6"/>
        <v>7672059.500334789</v>
      </c>
      <c r="D67" s="39">
        <f t="shared" si="13"/>
        <v>48946.515113265013</v>
      </c>
      <c r="E67" s="36">
        <f t="shared" si="0"/>
        <v>38360.297501673944</v>
      </c>
      <c r="F67" s="36">
        <f t="shared" si="11"/>
        <v>10586.21761159107</v>
      </c>
      <c r="G67" s="36">
        <f t="shared" si="8"/>
        <v>0</v>
      </c>
      <c r="H67" s="38">
        <f t="shared" si="12"/>
        <v>57205.153111445194</v>
      </c>
      <c r="I67" s="36">
        <f t="shared" si="9"/>
        <v>7604268.1296117529</v>
      </c>
      <c r="J67" s="2">
        <f t="shared" si="2"/>
        <v>54</v>
      </c>
      <c r="K67" s="44">
        <f t="shared" si="3"/>
        <v>6.9898891304054356E-3</v>
      </c>
      <c r="L67" s="41">
        <f t="shared" si="4"/>
        <v>0.98</v>
      </c>
      <c r="M67" s="42">
        <f t="shared" si="1"/>
        <v>1</v>
      </c>
      <c r="N67" s="43">
        <f>(VLOOKUP(MONTH('Amortization Model S Shape'!$B67),Seasonality,2,TRUE))</f>
        <v>1.0900000000000001</v>
      </c>
      <c r="O67" s="50">
        <f t="shared" si="10"/>
        <v>7.4665995690990864E-3</v>
      </c>
    </row>
    <row r="68" spans="2:15" ht="15" x14ac:dyDescent="0.25">
      <c r="B68" s="57">
        <f t="shared" si="5"/>
        <v>44013</v>
      </c>
      <c r="C68" s="36">
        <f t="shared" si="6"/>
        <v>7604268.1296117529</v>
      </c>
      <c r="D68" s="39">
        <f t="shared" si="13"/>
        <v>48581.051084611405</v>
      </c>
      <c r="E68" s="36">
        <f t="shared" si="0"/>
        <v>38021.340648058766</v>
      </c>
      <c r="F68" s="36">
        <f t="shared" si="11"/>
        <v>10559.710436552639</v>
      </c>
      <c r="G68" s="36">
        <f t="shared" si="8"/>
        <v>0</v>
      </c>
      <c r="H68" s="38">
        <f t="shared" si="12"/>
        <v>57219.355973876533</v>
      </c>
      <c r="I68" s="36">
        <f t="shared" si="9"/>
        <v>7536489.0632013241</v>
      </c>
      <c r="J68" s="2">
        <f t="shared" si="2"/>
        <v>55</v>
      </c>
      <c r="K68" s="44">
        <f t="shared" si="3"/>
        <v>6.9898891304054356E-3</v>
      </c>
      <c r="L68" s="41">
        <f t="shared" si="4"/>
        <v>0.98</v>
      </c>
      <c r="M68" s="42">
        <f t="shared" si="1"/>
        <v>1</v>
      </c>
      <c r="N68" s="43">
        <f>(VLOOKUP(MONTH('Amortization Model S Shape'!$B68),Seasonality,2,TRUE))</f>
        <v>1.1000000000000001</v>
      </c>
      <c r="O68" s="50">
        <f t="shared" si="10"/>
        <v>7.5351004825770602E-3</v>
      </c>
    </row>
    <row r="69" spans="2:15" ht="15" x14ac:dyDescent="0.25">
      <c r="B69" s="57">
        <f t="shared" si="5"/>
        <v>44044</v>
      </c>
      <c r="C69" s="36">
        <f t="shared" si="6"/>
        <v>7536489.0632013241</v>
      </c>
      <c r="D69" s="39">
        <f t="shared" si="13"/>
        <v>48214.987983139654</v>
      </c>
      <c r="E69" s="36">
        <f t="shared" si="0"/>
        <v>37682.445316006619</v>
      </c>
      <c r="F69" s="36">
        <f t="shared" si="11"/>
        <v>10532.542667133035</v>
      </c>
      <c r="G69" s="36">
        <f t="shared" si="8"/>
        <v>0</v>
      </c>
      <c r="H69" s="38">
        <f t="shared" si="12"/>
        <v>59286.513091991648</v>
      </c>
      <c r="I69" s="36">
        <f t="shared" si="9"/>
        <v>7466670.0074421996</v>
      </c>
      <c r="J69" s="2">
        <f t="shared" si="2"/>
        <v>56</v>
      </c>
      <c r="K69" s="44">
        <f t="shared" si="3"/>
        <v>6.9898891304054356E-3</v>
      </c>
      <c r="L69" s="41">
        <f t="shared" si="4"/>
        <v>0.98</v>
      </c>
      <c r="M69" s="42">
        <f t="shared" si="1"/>
        <v>1</v>
      </c>
      <c r="N69" s="43">
        <f>(VLOOKUP(MONTH('Amortization Model S Shape'!$B69),Seasonality,2,TRUE))</f>
        <v>1.1499999999999999</v>
      </c>
      <c r="O69" s="50">
        <f t="shared" si="10"/>
        <v>7.877605049966924E-3</v>
      </c>
    </row>
    <row r="70" spans="2:15" ht="15" x14ac:dyDescent="0.25">
      <c r="B70" s="57">
        <f t="shared" si="5"/>
        <v>44075</v>
      </c>
      <c r="C70" s="36">
        <f t="shared" si="6"/>
        <v>7466670.0074421996</v>
      </c>
      <c r="D70" s="39">
        <f t="shared" si="13"/>
        <v>47835.169350319578</v>
      </c>
      <c r="E70" s="36">
        <f t="shared" si="0"/>
        <v>37333.350037210992</v>
      </c>
      <c r="F70" s="36">
        <f t="shared" si="11"/>
        <v>10501.819313108586</v>
      </c>
      <c r="G70" s="36">
        <f t="shared" si="8"/>
        <v>0</v>
      </c>
      <c r="H70" s="38">
        <f t="shared" si="12"/>
        <v>57126.308492952696</v>
      </c>
      <c r="I70" s="36">
        <f t="shared" si="9"/>
        <v>7399041.8796361377</v>
      </c>
      <c r="J70" s="2">
        <f t="shared" si="2"/>
        <v>57</v>
      </c>
      <c r="K70" s="44">
        <f t="shared" si="3"/>
        <v>6.9898891304054356E-3</v>
      </c>
      <c r="L70" s="41">
        <f t="shared" si="4"/>
        <v>0.97</v>
      </c>
      <c r="M70" s="42">
        <f t="shared" si="1"/>
        <v>1</v>
      </c>
      <c r="N70" s="43">
        <f>(VLOOKUP(MONTH('Amortization Model S Shape'!$B70),Seasonality,2,TRUE))</f>
        <v>1.1299999999999999</v>
      </c>
      <c r="O70" s="50">
        <f t="shared" si="10"/>
        <v>7.6616174758373963E-3</v>
      </c>
    </row>
    <row r="71" spans="2:15" ht="15" x14ac:dyDescent="0.25">
      <c r="B71" s="57">
        <f t="shared" si="5"/>
        <v>44105</v>
      </c>
      <c r="C71" s="36">
        <f t="shared" si="6"/>
        <v>7399041.8796361377</v>
      </c>
      <c r="D71" s="39">
        <f t="shared" si="13"/>
        <v>47468.674580865532</v>
      </c>
      <c r="E71" s="36">
        <f t="shared" si="0"/>
        <v>36995.20939818069</v>
      </c>
      <c r="F71" s="36">
        <f t="shared" si="11"/>
        <v>10473.465182684842</v>
      </c>
      <c r="G71" s="36">
        <f t="shared" si="8"/>
        <v>0</v>
      </c>
      <c r="H71" s="38">
        <f t="shared" si="12"/>
        <v>50596.874986241368</v>
      </c>
      <c r="I71" s="36">
        <f t="shared" si="9"/>
        <v>7337971.5394672109</v>
      </c>
      <c r="J71" s="2">
        <f t="shared" si="2"/>
        <v>58</v>
      </c>
      <c r="K71" s="44">
        <f t="shared" si="3"/>
        <v>6.9898891304054356E-3</v>
      </c>
      <c r="L71" s="41">
        <f t="shared" si="4"/>
        <v>0.97</v>
      </c>
      <c r="M71" s="42">
        <f t="shared" si="1"/>
        <v>1</v>
      </c>
      <c r="N71" s="43">
        <f>(VLOOKUP(MONTH('Amortization Model S Shape'!$B71),Seasonality,2,TRUE))</f>
        <v>1.01</v>
      </c>
      <c r="O71" s="50">
        <f t="shared" si="10"/>
        <v>6.8479943810582046E-3</v>
      </c>
    </row>
    <row r="72" spans="2:15" ht="15" x14ac:dyDescent="0.25">
      <c r="B72" s="57">
        <f t="shared" si="5"/>
        <v>44136</v>
      </c>
      <c r="C72" s="36">
        <f t="shared" si="6"/>
        <v>7337971.5394672109</v>
      </c>
      <c r="D72" s="39">
        <f t="shared" si="13"/>
        <v>47143.609364059477</v>
      </c>
      <c r="E72" s="36">
        <f t="shared" si="0"/>
        <v>36689.857697336054</v>
      </c>
      <c r="F72" s="36">
        <f t="shared" si="11"/>
        <v>10453.751666723423</v>
      </c>
      <c r="G72" s="36">
        <f t="shared" si="8"/>
        <v>0</v>
      </c>
      <c r="H72" s="38">
        <f t="shared" si="12"/>
        <v>42726.503513512012</v>
      </c>
      <c r="I72" s="36">
        <f t="shared" si="9"/>
        <v>7284791.2842869749</v>
      </c>
      <c r="J72" s="2">
        <f t="shared" si="2"/>
        <v>59</v>
      </c>
      <c r="K72" s="44">
        <f t="shared" si="3"/>
        <v>6.9898891304054356E-3</v>
      </c>
      <c r="L72" s="41">
        <f t="shared" si="4"/>
        <v>0.97</v>
      </c>
      <c r="M72" s="42">
        <f t="shared" si="1"/>
        <v>1</v>
      </c>
      <c r="N72" s="43">
        <f>(VLOOKUP(MONTH('Amortization Model S Shape'!$B72),Seasonality,2,TRUE))</f>
        <v>0.86</v>
      </c>
      <c r="O72" s="50">
        <f t="shared" si="10"/>
        <v>5.8309655125842142E-3</v>
      </c>
    </row>
    <row r="73" spans="2:15" ht="15" x14ac:dyDescent="0.25">
      <c r="B73" s="57">
        <f t="shared" si="5"/>
        <v>44166</v>
      </c>
      <c r="C73" s="36">
        <f t="shared" si="6"/>
        <v>7284791.2842869749</v>
      </c>
      <c r="D73" s="39">
        <f t="shared" si="13"/>
        <v>46868.716603718902</v>
      </c>
      <c r="E73" s="36">
        <f t="shared" si="0"/>
        <v>36423.956421434872</v>
      </c>
      <c r="F73" s="36">
        <f t="shared" si="11"/>
        <v>10444.76018228403</v>
      </c>
      <c r="G73" s="36">
        <f t="shared" si="8"/>
        <v>0</v>
      </c>
      <c r="H73" s="40">
        <f t="shared" si="12"/>
        <v>44389.322485787408</v>
      </c>
      <c r="I73" s="36">
        <f t="shared" si="9"/>
        <v>7229957.2016189033</v>
      </c>
      <c r="J73" s="2">
        <f t="shared" si="2"/>
        <v>60</v>
      </c>
      <c r="K73" s="44">
        <f t="shared" si="3"/>
        <v>6.9898891304054356E-3</v>
      </c>
      <c r="L73" s="41">
        <f t="shared" si="4"/>
        <v>0.97</v>
      </c>
      <c r="M73" s="42">
        <f t="shared" si="1"/>
        <v>1</v>
      </c>
      <c r="N73" s="43">
        <f>(VLOOKUP(MONTH('Amortization Model S Shape'!$B73),Seasonality,2,TRUE))</f>
        <v>0.9</v>
      </c>
      <c r="O73" s="50">
        <f t="shared" si="10"/>
        <v>6.1021732108439445E-3</v>
      </c>
    </row>
    <row r="74" spans="2:15" ht="15" x14ac:dyDescent="0.25">
      <c r="B74" s="57">
        <f t="shared" si="5"/>
        <v>44197</v>
      </c>
      <c r="C74" s="36">
        <f t="shared" si="6"/>
        <v>7229957.2016189033</v>
      </c>
      <c r="D74" s="39">
        <f t="shared" si="13"/>
        <v>46582.715576833049</v>
      </c>
      <c r="E74" s="36">
        <f t="shared" si="0"/>
        <v>36149.786008094517</v>
      </c>
      <c r="F74" s="36">
        <f t="shared" si="11"/>
        <v>10432.929568738531</v>
      </c>
      <c r="G74" s="36">
        <f t="shared" si="8"/>
        <v>0</v>
      </c>
      <c r="H74" s="38">
        <f t="shared" si="12"/>
        <v>43565.289967853896</v>
      </c>
      <c r="I74" s="36">
        <f t="shared" si="9"/>
        <v>7175958.9820823111</v>
      </c>
      <c r="J74" s="2">
        <f t="shared" si="2"/>
        <v>61</v>
      </c>
      <c r="K74" s="44">
        <f t="shared" si="3"/>
        <v>6.9898891304054356E-3</v>
      </c>
      <c r="L74" s="41">
        <f t="shared" si="4"/>
        <v>0.97</v>
      </c>
      <c r="M74" s="42">
        <f t="shared" si="1"/>
        <v>1</v>
      </c>
      <c r="N74" s="43">
        <f>(VLOOKUP(MONTH('Amortization Model S Shape'!$B74),Seasonality,2,TRUE))</f>
        <v>0.89</v>
      </c>
      <c r="O74" s="50">
        <f t="shared" si="10"/>
        <v>6.034371286279012E-3</v>
      </c>
    </row>
    <row r="75" spans="2:15" ht="15" x14ac:dyDescent="0.25">
      <c r="B75" s="57">
        <f t="shared" si="5"/>
        <v>44228</v>
      </c>
      <c r="C75" s="36">
        <f t="shared" si="6"/>
        <v>7175958.9820823111</v>
      </c>
      <c r="D75" s="39">
        <f t="shared" si="13"/>
        <v>46301.618175519303</v>
      </c>
      <c r="E75" s="36">
        <f t="shared" si="0"/>
        <v>35879.794910411554</v>
      </c>
      <c r="F75" s="36">
        <f t="shared" si="11"/>
        <v>10421.823265107749</v>
      </c>
      <c r="G75" s="36">
        <f t="shared" si="8"/>
        <v>0</v>
      </c>
      <c r="H75" s="38">
        <f t="shared" si="12"/>
        <v>43725.348891841175</v>
      </c>
      <c r="I75" s="36">
        <f t="shared" si="9"/>
        <v>7121811.8099253625</v>
      </c>
      <c r="J75" s="2">
        <f t="shared" si="2"/>
        <v>62</v>
      </c>
      <c r="K75" s="44">
        <f t="shared" si="3"/>
        <v>6.9898891304054356E-3</v>
      </c>
      <c r="L75" s="41">
        <f t="shared" si="4"/>
        <v>0.97</v>
      </c>
      <c r="M75" s="42">
        <f t="shared" si="1"/>
        <v>1</v>
      </c>
      <c r="N75" s="43">
        <f>(VLOOKUP(MONTH('Amortization Model S Shape'!$B75),Seasonality,2,TRUE))</f>
        <v>0.9</v>
      </c>
      <c r="O75" s="50">
        <f t="shared" si="10"/>
        <v>6.1021732108439445E-3</v>
      </c>
    </row>
    <row r="76" spans="2:15" ht="15" x14ac:dyDescent="0.25">
      <c r="B76" s="57">
        <f t="shared" si="5"/>
        <v>44256</v>
      </c>
      <c r="C76" s="36">
        <f t="shared" si="6"/>
        <v>7121811.8099253625</v>
      </c>
      <c r="D76" s="39">
        <f t="shared" si="13"/>
        <v>46019.077681469927</v>
      </c>
      <c r="E76" s="36">
        <f t="shared" si="0"/>
        <v>35609.059049626812</v>
      </c>
      <c r="F76" s="36">
        <f t="shared" si="11"/>
        <v>10410.018631843115</v>
      </c>
      <c r="G76" s="36">
        <f t="shared" si="8"/>
        <v>0</v>
      </c>
      <c r="H76" s="38">
        <f t="shared" si="12"/>
        <v>45805.839141400007</v>
      </c>
      <c r="I76" s="36">
        <f t="shared" si="9"/>
        <v>7065595.9521521199</v>
      </c>
      <c r="J76" s="2">
        <f t="shared" si="2"/>
        <v>63</v>
      </c>
      <c r="K76" s="44">
        <f t="shared" si="3"/>
        <v>6.9898891304054356E-3</v>
      </c>
      <c r="L76" s="41">
        <f t="shared" si="4"/>
        <v>0.97</v>
      </c>
      <c r="M76" s="42">
        <f t="shared" si="1"/>
        <v>1</v>
      </c>
      <c r="N76" s="43">
        <f>(VLOOKUP(MONTH('Amortization Model S Shape'!$B76),Seasonality,2,TRUE))</f>
        <v>0.95</v>
      </c>
      <c r="O76" s="50">
        <f t="shared" si="10"/>
        <v>6.4411828336686083E-3</v>
      </c>
    </row>
    <row r="77" spans="2:15" ht="15" x14ac:dyDescent="0.25">
      <c r="B77" s="57">
        <f t="shared" si="5"/>
        <v>44287</v>
      </c>
      <c r="C77" s="36">
        <f t="shared" si="6"/>
        <v>7065595.9521521199</v>
      </c>
      <c r="D77" s="39">
        <f t="shared" si="13"/>
        <v>45722.660388286786</v>
      </c>
      <c r="E77" s="36">
        <f t="shared" si="0"/>
        <v>35327.979760760594</v>
      </c>
      <c r="F77" s="36">
        <f t="shared" si="11"/>
        <v>10394.680627526192</v>
      </c>
      <c r="G77" s="36">
        <f t="shared" si="8"/>
        <v>0</v>
      </c>
      <c r="H77" s="38">
        <f t="shared" si="12"/>
        <v>45922.197542623479</v>
      </c>
      <c r="I77" s="36">
        <f t="shared" si="9"/>
        <v>7009279.0739819705</v>
      </c>
      <c r="J77" s="2">
        <f t="shared" si="2"/>
        <v>64</v>
      </c>
      <c r="K77" s="44">
        <f t="shared" si="3"/>
        <v>6.9898891304054356E-3</v>
      </c>
      <c r="L77" s="41">
        <f t="shared" si="4"/>
        <v>0.97</v>
      </c>
      <c r="M77" s="42">
        <f t="shared" si="1"/>
        <v>1</v>
      </c>
      <c r="N77" s="43">
        <f>(VLOOKUP(MONTH('Amortization Model S Shape'!$B77),Seasonality,2,TRUE))</f>
        <v>0.96</v>
      </c>
      <c r="O77" s="50">
        <f t="shared" si="10"/>
        <v>6.5089847582335408E-3</v>
      </c>
    </row>
    <row r="78" spans="2:15" ht="15" x14ac:dyDescent="0.25">
      <c r="B78" s="57">
        <f t="shared" si="5"/>
        <v>44317</v>
      </c>
      <c r="C78" s="36">
        <f t="shared" si="6"/>
        <v>7009279.0739819705</v>
      </c>
      <c r="D78" s="39">
        <f t="shared" si="13"/>
        <v>45425.052288713538</v>
      </c>
      <c r="E78" s="36">
        <f t="shared" ref="E78:E141" si="14">($F$7*C78)/12</f>
        <v>35046.395369909849</v>
      </c>
      <c r="F78" s="36">
        <f t="shared" si="11"/>
        <v>10378.656918803688</v>
      </c>
      <c r="G78" s="36">
        <f t="shared" si="8"/>
        <v>0</v>
      </c>
      <c r="H78" s="38">
        <f t="shared" si="12"/>
        <v>50301.125320210464</v>
      </c>
      <c r="I78" s="36">
        <f t="shared" si="9"/>
        <v>6948599.2917429572</v>
      </c>
      <c r="J78" s="2">
        <f t="shared" si="2"/>
        <v>65</v>
      </c>
      <c r="K78" s="44">
        <f t="shared" si="3"/>
        <v>6.9898891304054356E-3</v>
      </c>
      <c r="L78" s="41">
        <f t="shared" si="4"/>
        <v>0.97</v>
      </c>
      <c r="M78" s="42">
        <f t="shared" ref="M78:M141" si="15">MIN(J78/VLOOKUP($F$5-$F$8,Seasoning,2,TRUE),1)</f>
        <v>1</v>
      </c>
      <c r="N78" s="43">
        <f>(VLOOKUP(MONTH('Amortization Model S Shape'!$B78),Seasonality,2,TRUE))</f>
        <v>1.06</v>
      </c>
      <c r="O78" s="50">
        <f t="shared" si="10"/>
        <v>7.1870040038828683E-3</v>
      </c>
    </row>
    <row r="79" spans="2:15" ht="15" x14ac:dyDescent="0.25">
      <c r="B79" s="57">
        <f t="shared" si="5"/>
        <v>44348</v>
      </c>
      <c r="C79" s="36">
        <f t="shared" si="6"/>
        <v>6948599.2917429572</v>
      </c>
      <c r="D79" s="39">
        <f t="shared" si="13"/>
        <v>45098.582256037975</v>
      </c>
      <c r="E79" s="36">
        <f t="shared" si="14"/>
        <v>34742.996458714784</v>
      </c>
      <c r="F79" s="36">
        <f t="shared" si="11"/>
        <v>10355.58579732319</v>
      </c>
      <c r="G79" s="36">
        <f t="shared" si="8"/>
        <v>0</v>
      </c>
      <c r="H79" s="38">
        <f t="shared" si="12"/>
        <v>51276.464123637321</v>
      </c>
      <c r="I79" s="36">
        <f t="shared" si="9"/>
        <v>6886967.2418219969</v>
      </c>
      <c r="J79" s="2">
        <f t="shared" ref="J79:J142" si="16">+J78+1</f>
        <v>66</v>
      </c>
      <c r="K79" s="44">
        <f t="shared" ref="K79:K142" si="17">1-((1-(0.3-0.16*ATAN(123.11*(0.02-$K$12))))^(1/12))</f>
        <v>6.9898891304054356E-3</v>
      </c>
      <c r="L79" s="41">
        <f t="shared" ref="L79:L142" si="18">VLOOKUP(ROUND(C79/$F$4,1),Burnout,2,FALSE)</f>
        <v>0.97</v>
      </c>
      <c r="M79" s="42">
        <f t="shared" si="15"/>
        <v>1</v>
      </c>
      <c r="N79" s="43">
        <f>(VLOOKUP(MONTH('Amortization Model S Shape'!$B79),Seasonality,2,TRUE))</f>
        <v>1.0900000000000001</v>
      </c>
      <c r="O79" s="50">
        <f t="shared" si="10"/>
        <v>7.3904097775776669E-3</v>
      </c>
    </row>
    <row r="80" spans="2:15" ht="15" x14ac:dyDescent="0.25">
      <c r="B80" s="57">
        <f t="shared" ref="B80:B143" si="19">IF(C80&gt;0,EDATE(B79,1),"")</f>
        <v>44378</v>
      </c>
      <c r="C80" s="36">
        <f t="shared" ref="C80:C143" si="20">+I79</f>
        <v>6886967.2418219969</v>
      </c>
      <c r="D80" s="39">
        <f t="shared" si="13"/>
        <v>44765.285252778063</v>
      </c>
      <c r="E80" s="36">
        <f t="shared" si="14"/>
        <v>34434.836209109984</v>
      </c>
      <c r="F80" s="36">
        <f t="shared" si="11"/>
        <v>10330.449043668079</v>
      </c>
      <c r="G80" s="36">
        <f t="shared" ref="G80:G143" si="21">($F$6*C80)/12</f>
        <v>0</v>
      </c>
      <c r="H80" s="38">
        <f t="shared" si="12"/>
        <v>51287.41299928369</v>
      </c>
      <c r="I80" s="36">
        <f t="shared" ref="I80:I143" si="22">IF(J80&gt;$F$3,0,C80-F80-H80)</f>
        <v>6825349.3797790455</v>
      </c>
      <c r="J80" s="2">
        <f t="shared" si="16"/>
        <v>67</v>
      </c>
      <c r="K80" s="44">
        <f t="shared" si="17"/>
        <v>6.9898891304054356E-3</v>
      </c>
      <c r="L80" s="41">
        <f t="shared" si="18"/>
        <v>0.97</v>
      </c>
      <c r="M80" s="42">
        <f t="shared" si="15"/>
        <v>1</v>
      </c>
      <c r="N80" s="43">
        <f>(VLOOKUP(MONTH('Amortization Model S Shape'!$B80),Seasonality,2,TRUE))</f>
        <v>1.1000000000000001</v>
      </c>
      <c r="O80" s="50">
        <f t="shared" ref="O80:O143" si="23">PRODUCT(K80:N80)</f>
        <v>7.4582117021425995E-3</v>
      </c>
    </row>
    <row r="81" spans="2:15" ht="15" x14ac:dyDescent="0.25">
      <c r="B81" s="57">
        <f t="shared" si="19"/>
        <v>44409</v>
      </c>
      <c r="C81" s="36">
        <f t="shared" si="20"/>
        <v>6825349.3797790455</v>
      </c>
      <c r="D81" s="39">
        <f t="shared" si="13"/>
        <v>44431.416278456039</v>
      </c>
      <c r="E81" s="36">
        <f t="shared" si="14"/>
        <v>34126.746898895224</v>
      </c>
      <c r="F81" s="36">
        <f t="shared" ref="F81:F144" si="24">D81-E81-G81</f>
        <v>10304.669379560815</v>
      </c>
      <c r="G81" s="36">
        <f t="shared" si="21"/>
        <v>0</v>
      </c>
      <c r="H81" s="38">
        <f t="shared" ref="H81:H144" si="25">+O81*(C81-F81)</f>
        <v>53138.4119465322</v>
      </c>
      <c r="I81" s="36">
        <f t="shared" si="22"/>
        <v>6761906.2984529519</v>
      </c>
      <c r="J81" s="2">
        <f t="shared" si="16"/>
        <v>68</v>
      </c>
      <c r="K81" s="44">
        <f t="shared" si="17"/>
        <v>6.9898891304054356E-3</v>
      </c>
      <c r="L81" s="41">
        <f t="shared" si="18"/>
        <v>0.97</v>
      </c>
      <c r="M81" s="42">
        <f t="shared" si="15"/>
        <v>1</v>
      </c>
      <c r="N81" s="43">
        <f>(VLOOKUP(MONTH('Amortization Model S Shape'!$B81),Seasonality,2,TRUE))</f>
        <v>1.1499999999999999</v>
      </c>
      <c r="O81" s="50">
        <f t="shared" si="23"/>
        <v>7.7972213249672623E-3</v>
      </c>
    </row>
    <row r="82" spans="2:15" ht="15" x14ac:dyDescent="0.25">
      <c r="B82" s="57">
        <f t="shared" si="19"/>
        <v>44440</v>
      </c>
      <c r="C82" s="36">
        <f t="shared" si="20"/>
        <v>6761906.2984529519</v>
      </c>
      <c r="D82" s="39">
        <f t="shared" si="13"/>
        <v>44084.974691951167</v>
      </c>
      <c r="E82" s="36">
        <f t="shared" si="14"/>
        <v>33809.531492264759</v>
      </c>
      <c r="F82" s="36">
        <f t="shared" si="24"/>
        <v>10275.443199686408</v>
      </c>
      <c r="G82" s="36">
        <f t="shared" si="21"/>
        <v>0</v>
      </c>
      <c r="H82" s="38">
        <f t="shared" si="25"/>
        <v>51728.4129510114</v>
      </c>
      <c r="I82" s="36">
        <f t="shared" si="22"/>
        <v>6699902.442302254</v>
      </c>
      <c r="J82" s="2">
        <f t="shared" si="16"/>
        <v>69</v>
      </c>
      <c r="K82" s="44">
        <f t="shared" si="17"/>
        <v>6.9898891304054356E-3</v>
      </c>
      <c r="L82" s="41">
        <f t="shared" si="18"/>
        <v>0.97</v>
      </c>
      <c r="M82" s="42">
        <f t="shared" si="15"/>
        <v>1</v>
      </c>
      <c r="N82" s="43">
        <f>(VLOOKUP(MONTH('Amortization Model S Shape'!$B82),Seasonality,2,TRUE))</f>
        <v>1.1299999999999999</v>
      </c>
      <c r="O82" s="50">
        <f t="shared" si="23"/>
        <v>7.6616174758373963E-3</v>
      </c>
    </row>
    <row r="83" spans="2:15" ht="15" x14ac:dyDescent="0.25">
      <c r="B83" s="57">
        <f t="shared" si="19"/>
        <v>44470</v>
      </c>
      <c r="C83" s="36">
        <f t="shared" si="20"/>
        <v>6699902.442302254</v>
      </c>
      <c r="D83" s="39">
        <f t="shared" ref="D83:D146" si="26">-PMT($F$5/12,$F$3-J82,$C83)</f>
        <v>43747.212479429458</v>
      </c>
      <c r="E83" s="36">
        <f t="shared" si="14"/>
        <v>33499.512211511268</v>
      </c>
      <c r="F83" s="36">
        <f t="shared" si="24"/>
        <v>10247.70026791819</v>
      </c>
      <c r="G83" s="36">
        <f t="shared" si="21"/>
        <v>0</v>
      </c>
      <c r="H83" s="38">
        <f t="shared" si="25"/>
        <v>45810.718084670501</v>
      </c>
      <c r="I83" s="36">
        <f t="shared" si="22"/>
        <v>6643844.023949665</v>
      </c>
      <c r="J83" s="2">
        <f t="shared" si="16"/>
        <v>70</v>
      </c>
      <c r="K83" s="44">
        <f t="shared" si="17"/>
        <v>6.9898891304054356E-3</v>
      </c>
      <c r="L83" s="41">
        <f t="shared" si="18"/>
        <v>0.97</v>
      </c>
      <c r="M83" s="42">
        <f t="shared" si="15"/>
        <v>1</v>
      </c>
      <c r="N83" s="43">
        <f>(VLOOKUP(MONTH('Amortization Model S Shape'!$B83),Seasonality,2,TRUE))</f>
        <v>1.01</v>
      </c>
      <c r="O83" s="50">
        <f t="shared" si="23"/>
        <v>6.8479943810582046E-3</v>
      </c>
    </row>
    <row r="84" spans="2:15" ht="15" x14ac:dyDescent="0.25">
      <c r="B84" s="57">
        <f t="shared" si="19"/>
        <v>44501</v>
      </c>
      <c r="C84" s="36">
        <f t="shared" si="20"/>
        <v>6643844.023949665</v>
      </c>
      <c r="D84" s="39">
        <f t="shared" si="26"/>
        <v>43447.631814183362</v>
      </c>
      <c r="E84" s="36">
        <f t="shared" si="14"/>
        <v>33219.220119748323</v>
      </c>
      <c r="F84" s="36">
        <f t="shared" si="24"/>
        <v>10228.411694435039</v>
      </c>
      <c r="G84" s="36">
        <f t="shared" si="21"/>
        <v>0</v>
      </c>
      <c r="H84" s="38">
        <f t="shared" si="25"/>
        <v>38680.383858800458</v>
      </c>
      <c r="I84" s="36">
        <f t="shared" si="22"/>
        <v>6594935.2283964287</v>
      </c>
      <c r="J84" s="2">
        <f t="shared" si="16"/>
        <v>71</v>
      </c>
      <c r="K84" s="44">
        <f t="shared" si="17"/>
        <v>6.9898891304054356E-3</v>
      </c>
      <c r="L84" s="41">
        <f t="shared" si="18"/>
        <v>0.97</v>
      </c>
      <c r="M84" s="42">
        <f t="shared" si="15"/>
        <v>1</v>
      </c>
      <c r="N84" s="43">
        <f>(VLOOKUP(MONTH('Amortization Model S Shape'!$B84),Seasonality,2,TRUE))</f>
        <v>0.86</v>
      </c>
      <c r="O84" s="50">
        <f t="shared" si="23"/>
        <v>5.8309655125842142E-3</v>
      </c>
    </row>
    <row r="85" spans="2:15" ht="15" x14ac:dyDescent="0.25">
      <c r="B85" s="57">
        <f t="shared" si="19"/>
        <v>44531</v>
      </c>
      <c r="C85" s="36">
        <f t="shared" si="20"/>
        <v>6594935.2283964287</v>
      </c>
      <c r="D85" s="39">
        <f t="shared" si="26"/>
        <v>43194.29017147141</v>
      </c>
      <c r="E85" s="36">
        <f t="shared" si="14"/>
        <v>32974.676141982141</v>
      </c>
      <c r="F85" s="36">
        <f t="shared" si="24"/>
        <v>10219.614029489268</v>
      </c>
      <c r="G85" s="36">
        <f t="shared" si="21"/>
        <v>0</v>
      </c>
      <c r="H85" s="40">
        <f t="shared" si="25"/>
        <v>40181.07522301576</v>
      </c>
      <c r="I85" s="36">
        <f t="shared" si="22"/>
        <v>6544534.5391439237</v>
      </c>
      <c r="J85" s="2">
        <f t="shared" si="16"/>
        <v>72</v>
      </c>
      <c r="K85" s="44">
        <f t="shared" si="17"/>
        <v>6.9898891304054356E-3</v>
      </c>
      <c r="L85" s="41">
        <f t="shared" si="18"/>
        <v>0.97</v>
      </c>
      <c r="M85" s="42">
        <f t="shared" si="15"/>
        <v>1</v>
      </c>
      <c r="N85" s="43">
        <f>(VLOOKUP(MONTH('Amortization Model S Shape'!$B85),Seasonality,2,TRUE))</f>
        <v>0.9</v>
      </c>
      <c r="O85" s="50">
        <f t="shared" si="23"/>
        <v>6.1021732108439445E-3</v>
      </c>
    </row>
    <row r="86" spans="2:15" ht="15" x14ac:dyDescent="0.25">
      <c r="B86" s="57">
        <f t="shared" si="19"/>
        <v>44562</v>
      </c>
      <c r="C86" s="36">
        <f t="shared" si="20"/>
        <v>6544534.5391439237</v>
      </c>
      <c r="D86" s="39">
        <f t="shared" si="26"/>
        <v>42930.711131125623</v>
      </c>
      <c r="E86" s="36">
        <f t="shared" si="14"/>
        <v>32722.672695719619</v>
      </c>
      <c r="F86" s="36">
        <f t="shared" si="24"/>
        <v>10208.038435406004</v>
      </c>
      <c r="G86" s="36">
        <f t="shared" si="21"/>
        <v>0</v>
      </c>
      <c r="H86" s="38">
        <f t="shared" si="25"/>
        <v>39430.552211047492</v>
      </c>
      <c r="I86" s="36">
        <f t="shared" si="22"/>
        <v>6494895.9484974705</v>
      </c>
      <c r="J86" s="2">
        <f t="shared" si="16"/>
        <v>73</v>
      </c>
      <c r="K86" s="44">
        <f t="shared" si="17"/>
        <v>6.9898891304054356E-3</v>
      </c>
      <c r="L86" s="41">
        <f t="shared" si="18"/>
        <v>0.97</v>
      </c>
      <c r="M86" s="42">
        <f t="shared" si="15"/>
        <v>1</v>
      </c>
      <c r="N86" s="43">
        <f>(VLOOKUP(MONTH('Amortization Model S Shape'!$B86),Seasonality,2,TRUE))</f>
        <v>0.89</v>
      </c>
      <c r="O86" s="50">
        <f t="shared" si="23"/>
        <v>6.034371286279012E-3</v>
      </c>
    </row>
    <row r="87" spans="2:15" ht="15" x14ac:dyDescent="0.25">
      <c r="B87" s="57">
        <f t="shared" si="19"/>
        <v>44593</v>
      </c>
      <c r="C87" s="36">
        <f t="shared" si="20"/>
        <v>6494895.9484974705</v>
      </c>
      <c r="D87" s="39">
        <f t="shared" si="26"/>
        <v>42671.651280576429</v>
      </c>
      <c r="E87" s="36">
        <f t="shared" si="14"/>
        <v>32474.47974248735</v>
      </c>
      <c r="F87" s="36">
        <f t="shared" si="24"/>
        <v>10197.171538089078</v>
      </c>
      <c r="G87" s="36">
        <f t="shared" si="21"/>
        <v>0</v>
      </c>
      <c r="H87" s="38">
        <f t="shared" si="25"/>
        <v>39162.809227698832</v>
      </c>
      <c r="I87" s="36">
        <f t="shared" si="22"/>
        <v>6445535.9677316826</v>
      </c>
      <c r="J87" s="2">
        <f t="shared" si="16"/>
        <v>74</v>
      </c>
      <c r="K87" s="44">
        <f t="shared" si="17"/>
        <v>6.9898891304054356E-3</v>
      </c>
      <c r="L87" s="41">
        <f t="shared" si="18"/>
        <v>0.96</v>
      </c>
      <c r="M87" s="42">
        <f t="shared" si="15"/>
        <v>1</v>
      </c>
      <c r="N87" s="43">
        <f>(VLOOKUP(MONTH('Amortization Model S Shape'!$B87),Seasonality,2,TRUE))</f>
        <v>0.9</v>
      </c>
      <c r="O87" s="50">
        <f t="shared" si="23"/>
        <v>6.0392642086702962E-3</v>
      </c>
    </row>
    <row r="88" spans="2:15" ht="15" x14ac:dyDescent="0.25">
      <c r="B88" s="57">
        <f t="shared" si="19"/>
        <v>44621</v>
      </c>
      <c r="C88" s="36">
        <f t="shared" si="20"/>
        <v>6445535.9677316826</v>
      </c>
      <c r="D88" s="39">
        <f t="shared" si="26"/>
        <v>42413.945904272783</v>
      </c>
      <c r="E88" s="36">
        <f t="shared" si="14"/>
        <v>32227.679838658412</v>
      </c>
      <c r="F88" s="36">
        <f t="shared" si="24"/>
        <v>10186.266065614371</v>
      </c>
      <c r="G88" s="36">
        <f t="shared" si="21"/>
        <v>0</v>
      </c>
      <c r="H88" s="38">
        <f t="shared" si="25"/>
        <v>41023.931408190561</v>
      </c>
      <c r="I88" s="36">
        <f t="shared" si="22"/>
        <v>6394325.7702578781</v>
      </c>
      <c r="J88" s="2">
        <f t="shared" si="16"/>
        <v>75</v>
      </c>
      <c r="K88" s="44">
        <f t="shared" si="17"/>
        <v>6.9898891304054356E-3</v>
      </c>
      <c r="L88" s="41">
        <f t="shared" si="18"/>
        <v>0.96</v>
      </c>
      <c r="M88" s="42">
        <f t="shared" si="15"/>
        <v>1</v>
      </c>
      <c r="N88" s="43">
        <f>(VLOOKUP(MONTH('Amortization Model S Shape'!$B88),Seasonality,2,TRUE))</f>
        <v>0.95</v>
      </c>
      <c r="O88" s="50">
        <f t="shared" si="23"/>
        <v>6.3747788869297573E-3</v>
      </c>
    </row>
    <row r="89" spans="2:15" ht="15" x14ac:dyDescent="0.25">
      <c r="B89" s="57">
        <f t="shared" si="19"/>
        <v>44652</v>
      </c>
      <c r="C89" s="36">
        <f t="shared" si="20"/>
        <v>6394325.7702578781</v>
      </c>
      <c r="D89" s="39">
        <f t="shared" si="26"/>
        <v>42143.56637741084</v>
      </c>
      <c r="E89" s="36">
        <f t="shared" si="14"/>
        <v>31971.628851289392</v>
      </c>
      <c r="F89" s="36">
        <f t="shared" si="24"/>
        <v>10171.937526121448</v>
      </c>
      <c r="G89" s="36">
        <f t="shared" si="21"/>
        <v>0</v>
      </c>
      <c r="H89" s="38">
        <f t="shared" si="25"/>
        <v>41125.96452763967</v>
      </c>
      <c r="I89" s="36">
        <f t="shared" si="22"/>
        <v>6343027.8682041168</v>
      </c>
      <c r="J89" s="2">
        <f t="shared" si="16"/>
        <v>76</v>
      </c>
      <c r="K89" s="44">
        <f t="shared" si="17"/>
        <v>6.9898891304054356E-3</v>
      </c>
      <c r="L89" s="41">
        <f t="shared" si="18"/>
        <v>0.96</v>
      </c>
      <c r="M89" s="42">
        <f t="shared" si="15"/>
        <v>1</v>
      </c>
      <c r="N89" s="43">
        <f>(VLOOKUP(MONTH('Amortization Model S Shape'!$B89),Seasonality,2,TRUE))</f>
        <v>0.96</v>
      </c>
      <c r="O89" s="50">
        <f t="shared" si="23"/>
        <v>6.4418818225816495E-3</v>
      </c>
    </row>
    <row r="90" spans="2:15" ht="15" x14ac:dyDescent="0.25">
      <c r="B90" s="57">
        <f t="shared" si="19"/>
        <v>44682</v>
      </c>
      <c r="C90" s="36">
        <f t="shared" si="20"/>
        <v>6343027.8682041168</v>
      </c>
      <c r="D90" s="39">
        <f t="shared" si="26"/>
        <v>41872.082503225436</v>
      </c>
      <c r="E90" s="36">
        <f t="shared" si="14"/>
        <v>31715.139341020582</v>
      </c>
      <c r="F90" s="36">
        <f t="shared" si="24"/>
        <v>10156.943162204854</v>
      </c>
      <c r="G90" s="36">
        <f t="shared" si="21"/>
        <v>0</v>
      </c>
      <c r="H90" s="38">
        <f t="shared" si="25"/>
        <v>45045.148398531594</v>
      </c>
      <c r="I90" s="36">
        <f t="shared" si="22"/>
        <v>6287825.7766433805</v>
      </c>
      <c r="J90" s="2">
        <f t="shared" si="16"/>
        <v>77</v>
      </c>
      <c r="K90" s="44">
        <f t="shared" si="17"/>
        <v>6.9898891304054356E-3</v>
      </c>
      <c r="L90" s="41">
        <f t="shared" si="18"/>
        <v>0.96</v>
      </c>
      <c r="M90" s="42">
        <f t="shared" si="15"/>
        <v>1</v>
      </c>
      <c r="N90" s="43">
        <f>(VLOOKUP(MONTH('Amortization Model S Shape'!$B90),Seasonality,2,TRUE))</f>
        <v>1.06</v>
      </c>
      <c r="O90" s="50">
        <f t="shared" si="23"/>
        <v>7.1129111791005716E-3</v>
      </c>
    </row>
    <row r="91" spans="2:15" ht="15" x14ac:dyDescent="0.25">
      <c r="B91" s="57">
        <f t="shared" si="19"/>
        <v>44713</v>
      </c>
      <c r="C91" s="36">
        <f t="shared" si="20"/>
        <v>6287825.7766433805</v>
      </c>
      <c r="D91" s="39">
        <f t="shared" si="26"/>
        <v>41574.250099496021</v>
      </c>
      <c r="E91" s="36">
        <f t="shared" si="14"/>
        <v>31439.128883216905</v>
      </c>
      <c r="F91" s="36">
        <f t="shared" si="24"/>
        <v>10135.121216279116</v>
      </c>
      <c r="G91" s="36">
        <f t="shared" si="21"/>
        <v>0</v>
      </c>
      <c r="H91" s="38">
        <f t="shared" si="25"/>
        <v>45916.410458203449</v>
      </c>
      <c r="I91" s="36">
        <f t="shared" si="22"/>
        <v>6231774.2449688977</v>
      </c>
      <c r="J91" s="2">
        <f t="shared" si="16"/>
        <v>78</v>
      </c>
      <c r="K91" s="44">
        <f t="shared" si="17"/>
        <v>6.9898891304054356E-3</v>
      </c>
      <c r="L91" s="41">
        <f t="shared" si="18"/>
        <v>0.96</v>
      </c>
      <c r="M91" s="42">
        <f t="shared" si="15"/>
        <v>1</v>
      </c>
      <c r="N91" s="43">
        <f>(VLOOKUP(MONTH('Amortization Model S Shape'!$B91),Seasonality,2,TRUE))</f>
        <v>1.0900000000000001</v>
      </c>
      <c r="O91" s="50">
        <f t="shared" si="23"/>
        <v>7.3142199860562482E-3</v>
      </c>
    </row>
    <row r="92" spans="2:15" ht="15" x14ac:dyDescent="0.25">
      <c r="B92" s="57">
        <f t="shared" si="19"/>
        <v>44743</v>
      </c>
      <c r="C92" s="36">
        <f t="shared" si="20"/>
        <v>6231774.2449688977</v>
      </c>
      <c r="D92" s="39">
        <f t="shared" si="26"/>
        <v>41270.166888512991</v>
      </c>
      <c r="E92" s="36">
        <f t="shared" si="14"/>
        <v>31158.87122484449</v>
      </c>
      <c r="F92" s="36">
        <f t="shared" si="24"/>
        <v>10111.295663668501</v>
      </c>
      <c r="G92" s="36">
        <f t="shared" si="21"/>
        <v>0</v>
      </c>
      <c r="H92" s="38">
        <f t="shared" si="25"/>
        <v>45924.10333884896</v>
      </c>
      <c r="I92" s="36">
        <f t="shared" si="22"/>
        <v>6175738.8459663801</v>
      </c>
      <c r="J92" s="2">
        <f t="shared" si="16"/>
        <v>79</v>
      </c>
      <c r="K92" s="44">
        <f t="shared" si="17"/>
        <v>6.9898891304054356E-3</v>
      </c>
      <c r="L92" s="41">
        <f t="shared" si="18"/>
        <v>0.96</v>
      </c>
      <c r="M92" s="42">
        <f t="shared" si="15"/>
        <v>1</v>
      </c>
      <c r="N92" s="43">
        <f>(VLOOKUP(MONTH('Amortization Model S Shape'!$B92),Seasonality,2,TRUE))</f>
        <v>1.1000000000000001</v>
      </c>
      <c r="O92" s="50">
        <f t="shared" si="23"/>
        <v>7.3813229217081404E-3</v>
      </c>
    </row>
    <row r="93" spans="2:15" ht="15" x14ac:dyDescent="0.25">
      <c r="B93" s="57">
        <f t="shared" si="19"/>
        <v>44774</v>
      </c>
      <c r="C93" s="36">
        <f t="shared" si="20"/>
        <v>6175738.8459663801</v>
      </c>
      <c r="D93" s="39">
        <f t="shared" si="26"/>
        <v>40965.538459676092</v>
      </c>
      <c r="E93" s="36">
        <f t="shared" si="14"/>
        <v>30878.694229831901</v>
      </c>
      <c r="F93" s="36">
        <f t="shared" si="24"/>
        <v>10086.844229844191</v>
      </c>
      <c r="G93" s="36">
        <f t="shared" si="21"/>
        <v>0</v>
      </c>
      <c r="H93" s="38">
        <f t="shared" si="25"/>
        <v>47579.335195316002</v>
      </c>
      <c r="I93" s="36">
        <f t="shared" si="22"/>
        <v>6118072.6665412197</v>
      </c>
      <c r="J93" s="2">
        <f t="shared" si="16"/>
        <v>80</v>
      </c>
      <c r="K93" s="44">
        <f t="shared" si="17"/>
        <v>6.9898891304054356E-3</v>
      </c>
      <c r="L93" s="41">
        <f t="shared" si="18"/>
        <v>0.96</v>
      </c>
      <c r="M93" s="42">
        <f t="shared" si="15"/>
        <v>1</v>
      </c>
      <c r="N93" s="43">
        <f>(VLOOKUP(MONTH('Amortization Model S Shape'!$B93),Seasonality,2,TRUE))</f>
        <v>1.1499999999999999</v>
      </c>
      <c r="O93" s="50">
        <f t="shared" si="23"/>
        <v>7.7168375999676006E-3</v>
      </c>
    </row>
    <row r="94" spans="2:15" ht="15" x14ac:dyDescent="0.25">
      <c r="B94" s="57">
        <f t="shared" si="19"/>
        <v>44805</v>
      </c>
      <c r="C94" s="36">
        <f t="shared" si="20"/>
        <v>6118072.6665412197</v>
      </c>
      <c r="D94" s="39">
        <f t="shared" si="26"/>
        <v>40649.414052187538</v>
      </c>
      <c r="E94" s="36">
        <f t="shared" si="14"/>
        <v>30590.363332706096</v>
      </c>
      <c r="F94" s="36">
        <f t="shared" si="24"/>
        <v>10059.050719481442</v>
      </c>
      <c r="G94" s="36">
        <f t="shared" si="21"/>
        <v>0</v>
      </c>
      <c r="H94" s="38">
        <f t="shared" si="25"/>
        <v>46314.817842440512</v>
      </c>
      <c r="I94" s="36">
        <f t="shared" si="22"/>
        <v>6061698.7979792971</v>
      </c>
      <c r="J94" s="2">
        <f t="shared" si="16"/>
        <v>81</v>
      </c>
      <c r="K94" s="44">
        <f t="shared" si="17"/>
        <v>6.9898891304054356E-3</v>
      </c>
      <c r="L94" s="41">
        <f t="shared" si="18"/>
        <v>0.96</v>
      </c>
      <c r="M94" s="42">
        <f t="shared" si="15"/>
        <v>1</v>
      </c>
      <c r="N94" s="43">
        <f>(VLOOKUP(MONTH('Amortization Model S Shape'!$B94),Seasonality,2,TRUE))</f>
        <v>1.1299999999999999</v>
      </c>
      <c r="O94" s="50">
        <f t="shared" si="23"/>
        <v>7.5826317286638162E-3</v>
      </c>
    </row>
    <row r="95" spans="2:15" ht="15" x14ac:dyDescent="0.25">
      <c r="B95" s="57">
        <f t="shared" si="19"/>
        <v>44835</v>
      </c>
      <c r="C95" s="36">
        <f t="shared" si="20"/>
        <v>6061698.7979792971</v>
      </c>
      <c r="D95" s="39">
        <f t="shared" si="26"/>
        <v>40341.18451544382</v>
      </c>
      <c r="E95" s="36">
        <f t="shared" si="14"/>
        <v>30308.493989896484</v>
      </c>
      <c r="F95" s="36">
        <f t="shared" si="24"/>
        <v>10032.690525547336</v>
      </c>
      <c r="G95" s="36">
        <f t="shared" si="21"/>
        <v>0</v>
      </c>
      <c r="H95" s="38">
        <f t="shared" si="25"/>
        <v>41014.540700915786</v>
      </c>
      <c r="I95" s="36">
        <f t="shared" si="22"/>
        <v>6010651.5667528333</v>
      </c>
      <c r="J95" s="2">
        <f t="shared" si="16"/>
        <v>82</v>
      </c>
      <c r="K95" s="44">
        <f t="shared" si="17"/>
        <v>6.9898891304054356E-3</v>
      </c>
      <c r="L95" s="41">
        <f t="shared" si="18"/>
        <v>0.96</v>
      </c>
      <c r="M95" s="42">
        <f t="shared" si="15"/>
        <v>1</v>
      </c>
      <c r="N95" s="43">
        <f>(VLOOKUP(MONTH('Amortization Model S Shape'!$B95),Seasonality,2,TRUE))</f>
        <v>1.01</v>
      </c>
      <c r="O95" s="50">
        <f t="shared" si="23"/>
        <v>6.7773965008411105E-3</v>
      </c>
    </row>
    <row r="96" spans="2:15" ht="15" x14ac:dyDescent="0.25">
      <c r="B96" s="57">
        <f t="shared" si="19"/>
        <v>44866</v>
      </c>
      <c r="C96" s="36">
        <f t="shared" si="20"/>
        <v>6010651.5667528333</v>
      </c>
      <c r="D96" s="39">
        <f t="shared" si="26"/>
        <v>40067.77631266907</v>
      </c>
      <c r="E96" s="36">
        <f t="shared" si="14"/>
        <v>30053.257833764164</v>
      </c>
      <c r="F96" s="36">
        <f t="shared" si="24"/>
        <v>10014.518478904905</v>
      </c>
      <c r="G96" s="36">
        <f t="shared" si="21"/>
        <v>0</v>
      </c>
      <c r="H96" s="38">
        <f t="shared" si="25"/>
        <v>34628.791107978963</v>
      </c>
      <c r="I96" s="36">
        <f t="shared" si="22"/>
        <v>5966008.2571659498</v>
      </c>
      <c r="J96" s="2">
        <f t="shared" si="16"/>
        <v>83</v>
      </c>
      <c r="K96" s="44">
        <f t="shared" si="17"/>
        <v>6.9898891304054356E-3</v>
      </c>
      <c r="L96" s="41">
        <f t="shared" si="18"/>
        <v>0.96</v>
      </c>
      <c r="M96" s="42">
        <f t="shared" si="15"/>
        <v>1</v>
      </c>
      <c r="N96" s="43">
        <f>(VLOOKUP(MONTH('Amortization Model S Shape'!$B96),Seasonality,2,TRUE))</f>
        <v>0.86</v>
      </c>
      <c r="O96" s="50">
        <f t="shared" si="23"/>
        <v>5.7708524660627274E-3</v>
      </c>
    </row>
    <row r="97" spans="2:15" ht="15" x14ac:dyDescent="0.25">
      <c r="B97" s="57">
        <f t="shared" si="19"/>
        <v>44896</v>
      </c>
      <c r="C97" s="36">
        <f t="shared" si="20"/>
        <v>5966008.2571659498</v>
      </c>
      <c r="D97" s="39">
        <f t="shared" si="26"/>
        <v>39836.55108692545</v>
      </c>
      <c r="E97" s="36">
        <f t="shared" si="14"/>
        <v>29830.04128582975</v>
      </c>
      <c r="F97" s="36">
        <f t="shared" si="24"/>
        <v>10006.509801095701</v>
      </c>
      <c r="G97" s="36">
        <f t="shared" si="21"/>
        <v>0</v>
      </c>
      <c r="H97" s="40">
        <f t="shared" si="25"/>
        <v>35969.86817963831</v>
      </c>
      <c r="I97" s="36">
        <f t="shared" si="22"/>
        <v>5920031.8791852165</v>
      </c>
      <c r="J97" s="2">
        <f t="shared" si="16"/>
        <v>84</v>
      </c>
      <c r="K97" s="44">
        <f t="shared" si="17"/>
        <v>6.9898891304054356E-3</v>
      </c>
      <c r="L97" s="41">
        <f t="shared" si="18"/>
        <v>0.96</v>
      </c>
      <c r="M97" s="42">
        <f t="shared" si="15"/>
        <v>1</v>
      </c>
      <c r="N97" s="43">
        <f>(VLOOKUP(MONTH('Amortization Model S Shape'!$B97),Seasonality,2,TRUE))</f>
        <v>0.9</v>
      </c>
      <c r="O97" s="50">
        <f t="shared" si="23"/>
        <v>6.0392642086702962E-3</v>
      </c>
    </row>
    <row r="98" spans="2:15" ht="15" x14ac:dyDescent="0.25">
      <c r="B98" s="57">
        <f t="shared" si="19"/>
        <v>44927</v>
      </c>
      <c r="C98" s="36">
        <f t="shared" si="20"/>
        <v>5920031.8791852165</v>
      </c>
      <c r="D98" s="39">
        <f t="shared" si="26"/>
        <v>39595.967629749321</v>
      </c>
      <c r="E98" s="36">
        <f t="shared" si="14"/>
        <v>29600.159395926079</v>
      </c>
      <c r="F98" s="36">
        <f t="shared" si="24"/>
        <v>9995.8082338232416</v>
      </c>
      <c r="G98" s="36">
        <f t="shared" si="21"/>
        <v>0</v>
      </c>
      <c r="H98" s="38">
        <f t="shared" si="25"/>
        <v>35295.688545077755</v>
      </c>
      <c r="I98" s="36">
        <f t="shared" si="22"/>
        <v>5874740.3824063148</v>
      </c>
      <c r="J98" s="2">
        <f t="shared" si="16"/>
        <v>85</v>
      </c>
      <c r="K98" s="44">
        <f t="shared" si="17"/>
        <v>6.9898891304054356E-3</v>
      </c>
      <c r="L98" s="41">
        <f t="shared" si="18"/>
        <v>0.96</v>
      </c>
      <c r="M98" s="42">
        <f t="shared" si="15"/>
        <v>1</v>
      </c>
      <c r="N98" s="43">
        <f>(VLOOKUP(MONTH('Amortization Model S Shape'!$B98),Seasonality,2,TRUE))</f>
        <v>0.89</v>
      </c>
      <c r="O98" s="50">
        <f t="shared" si="23"/>
        <v>5.972161273018404E-3</v>
      </c>
    </row>
    <row r="99" spans="2:15" ht="15" x14ac:dyDescent="0.25">
      <c r="B99" s="57">
        <f t="shared" si="19"/>
        <v>44958</v>
      </c>
      <c r="C99" s="36">
        <f t="shared" si="20"/>
        <v>5874740.3824063148</v>
      </c>
      <c r="D99" s="39">
        <f t="shared" si="26"/>
        <v>39359.494125303238</v>
      </c>
      <c r="E99" s="36">
        <f t="shared" si="14"/>
        <v>29373.701912031571</v>
      </c>
      <c r="F99" s="36">
        <f t="shared" si="24"/>
        <v>9985.7922132716667</v>
      </c>
      <c r="G99" s="36">
        <f t="shared" si="21"/>
        <v>0</v>
      </c>
      <c r="H99" s="38">
        <f t="shared" si="25"/>
        <v>35418.802489187678</v>
      </c>
      <c r="I99" s="36">
        <f t="shared" si="22"/>
        <v>5829335.7877038559</v>
      </c>
      <c r="J99" s="2">
        <f t="shared" si="16"/>
        <v>86</v>
      </c>
      <c r="K99" s="44">
        <f t="shared" si="17"/>
        <v>6.9898891304054356E-3</v>
      </c>
      <c r="L99" s="41">
        <f t="shared" si="18"/>
        <v>0.96</v>
      </c>
      <c r="M99" s="42">
        <f t="shared" si="15"/>
        <v>1</v>
      </c>
      <c r="N99" s="43">
        <f>(VLOOKUP(MONTH('Amortization Model S Shape'!$B99),Seasonality,2,TRUE))</f>
        <v>0.9</v>
      </c>
      <c r="O99" s="50">
        <f t="shared" si="23"/>
        <v>6.0392642086702962E-3</v>
      </c>
    </row>
    <row r="100" spans="2:15" ht="15" x14ac:dyDescent="0.25">
      <c r="B100" s="57">
        <f t="shared" si="19"/>
        <v>44986</v>
      </c>
      <c r="C100" s="36">
        <f t="shared" si="20"/>
        <v>5829335.7877038559</v>
      </c>
      <c r="D100" s="39">
        <f t="shared" si="26"/>
        <v>39121.791741160923</v>
      </c>
      <c r="E100" s="36">
        <f t="shared" si="14"/>
        <v>29146.678938519279</v>
      </c>
      <c r="F100" s="36">
        <f t="shared" si="24"/>
        <v>9975.1128026416445</v>
      </c>
      <c r="G100" s="36">
        <f t="shared" si="21"/>
        <v>0</v>
      </c>
      <c r="H100" s="38">
        <f t="shared" si="25"/>
        <v>37097.137565789562</v>
      </c>
      <c r="I100" s="36">
        <f t="shared" si="22"/>
        <v>5782263.5373354247</v>
      </c>
      <c r="J100" s="2">
        <f t="shared" si="16"/>
        <v>87</v>
      </c>
      <c r="K100" s="44">
        <f t="shared" si="17"/>
        <v>6.9898891304054356E-3</v>
      </c>
      <c r="L100" s="41">
        <f t="shared" si="18"/>
        <v>0.96</v>
      </c>
      <c r="M100" s="42">
        <f t="shared" si="15"/>
        <v>1</v>
      </c>
      <c r="N100" s="43">
        <f>(VLOOKUP(MONTH('Amortization Model S Shape'!$B100),Seasonality,2,TRUE))</f>
        <v>0.95</v>
      </c>
      <c r="O100" s="50">
        <f t="shared" si="23"/>
        <v>6.3747788869297573E-3</v>
      </c>
    </row>
    <row r="101" spans="2:15" ht="15" x14ac:dyDescent="0.25">
      <c r="B101" s="57">
        <f t="shared" si="19"/>
        <v>45017</v>
      </c>
      <c r="C101" s="36">
        <f t="shared" si="20"/>
        <v>5782263.5373354247</v>
      </c>
      <c r="D101" s="39">
        <f t="shared" si="26"/>
        <v>38872.398969150505</v>
      </c>
      <c r="E101" s="36">
        <f t="shared" si="14"/>
        <v>28911.317686677125</v>
      </c>
      <c r="F101" s="36">
        <f t="shared" si="24"/>
        <v>9961.0812824733803</v>
      </c>
      <c r="G101" s="36">
        <f t="shared" si="21"/>
        <v>0</v>
      </c>
      <c r="H101" s="38">
        <f t="shared" si="25"/>
        <v>37184.490266090921</v>
      </c>
      <c r="I101" s="36">
        <f t="shared" si="22"/>
        <v>5735117.9657868603</v>
      </c>
      <c r="J101" s="2">
        <f t="shared" si="16"/>
        <v>88</v>
      </c>
      <c r="K101" s="44">
        <f t="shared" si="17"/>
        <v>6.9898891304054356E-3</v>
      </c>
      <c r="L101" s="41">
        <f t="shared" si="18"/>
        <v>0.96</v>
      </c>
      <c r="M101" s="42">
        <f t="shared" si="15"/>
        <v>1</v>
      </c>
      <c r="N101" s="43">
        <f>(VLOOKUP(MONTH('Amortization Model S Shape'!$B101),Seasonality,2,TRUE))</f>
        <v>0.96</v>
      </c>
      <c r="O101" s="50">
        <f t="shared" si="23"/>
        <v>6.4418818225816495E-3</v>
      </c>
    </row>
    <row r="102" spans="2:15" ht="15" x14ac:dyDescent="0.25">
      <c r="B102" s="57">
        <f t="shared" si="19"/>
        <v>45047</v>
      </c>
      <c r="C102" s="36">
        <f t="shared" si="20"/>
        <v>5735117.9657868603</v>
      </c>
      <c r="D102" s="39">
        <f t="shared" si="26"/>
        <v>38621.987568831006</v>
      </c>
      <c r="E102" s="36">
        <f t="shared" si="14"/>
        <v>28675.589828934302</v>
      </c>
      <c r="F102" s="36">
        <f t="shared" si="24"/>
        <v>9946.3977398967036</v>
      </c>
      <c r="G102" s="36">
        <f t="shared" si="21"/>
        <v>0</v>
      </c>
      <c r="H102" s="38">
        <f t="shared" si="25"/>
        <v>40722.636848629998</v>
      </c>
      <c r="I102" s="36">
        <f t="shared" si="22"/>
        <v>5684448.9311983334</v>
      </c>
      <c r="J102" s="2">
        <f t="shared" si="16"/>
        <v>89</v>
      </c>
      <c r="K102" s="44">
        <f t="shared" si="17"/>
        <v>6.9898891304054356E-3</v>
      </c>
      <c r="L102" s="41">
        <f t="shared" si="18"/>
        <v>0.96</v>
      </c>
      <c r="M102" s="42">
        <f t="shared" si="15"/>
        <v>1</v>
      </c>
      <c r="N102" s="43">
        <f>(VLOOKUP(MONTH('Amortization Model S Shape'!$B102),Seasonality,2,TRUE))</f>
        <v>1.06</v>
      </c>
      <c r="O102" s="50">
        <f t="shared" si="23"/>
        <v>7.1129111791005716E-3</v>
      </c>
    </row>
    <row r="103" spans="2:15" ht="15" x14ac:dyDescent="0.25">
      <c r="B103" s="57">
        <f t="shared" si="19"/>
        <v>45078</v>
      </c>
      <c r="C103" s="36">
        <f t="shared" si="20"/>
        <v>5684448.9311983334</v>
      </c>
      <c r="D103" s="39">
        <f t="shared" si="26"/>
        <v>38347.27280169358</v>
      </c>
      <c r="E103" s="36">
        <f t="shared" si="14"/>
        <v>28422.244655991668</v>
      </c>
      <c r="F103" s="36">
        <f t="shared" si="24"/>
        <v>9925.0281457019119</v>
      </c>
      <c r="G103" s="36">
        <f t="shared" si="21"/>
        <v>0</v>
      </c>
      <c r="H103" s="38">
        <f t="shared" si="25"/>
        <v>41504.716143061465</v>
      </c>
      <c r="I103" s="36">
        <f t="shared" si="22"/>
        <v>5633019.1869095704</v>
      </c>
      <c r="J103" s="2">
        <f t="shared" si="16"/>
        <v>90</v>
      </c>
      <c r="K103" s="44">
        <f t="shared" si="17"/>
        <v>6.9898891304054356E-3</v>
      </c>
      <c r="L103" s="41">
        <f t="shared" si="18"/>
        <v>0.96</v>
      </c>
      <c r="M103" s="42">
        <f t="shared" si="15"/>
        <v>1</v>
      </c>
      <c r="N103" s="43">
        <f>(VLOOKUP(MONTH('Amortization Model S Shape'!$B103),Seasonality,2,TRUE))</f>
        <v>1.0900000000000001</v>
      </c>
      <c r="O103" s="50">
        <f t="shared" si="23"/>
        <v>7.3142199860562482E-3</v>
      </c>
    </row>
    <row r="104" spans="2:15" ht="15" x14ac:dyDescent="0.25">
      <c r="B104" s="57">
        <f t="shared" si="19"/>
        <v>45108</v>
      </c>
      <c r="C104" s="36">
        <f t="shared" si="20"/>
        <v>5633019.1869095704</v>
      </c>
      <c r="D104" s="39">
        <f t="shared" si="26"/>
        <v>38066.792412556686</v>
      </c>
      <c r="E104" s="36">
        <f t="shared" si="14"/>
        <v>28165.095934547851</v>
      </c>
      <c r="F104" s="36">
        <f t="shared" si="24"/>
        <v>9901.6964780088347</v>
      </c>
      <c r="G104" s="36">
        <f t="shared" si="21"/>
        <v>0</v>
      </c>
      <c r="H104" s="38">
        <f t="shared" si="25"/>
        <v>41506.046023580435</v>
      </c>
      <c r="I104" s="36">
        <f t="shared" si="22"/>
        <v>5581611.4444079809</v>
      </c>
      <c r="J104" s="2">
        <f t="shared" si="16"/>
        <v>91</v>
      </c>
      <c r="K104" s="44">
        <f t="shared" si="17"/>
        <v>6.9898891304054356E-3</v>
      </c>
      <c r="L104" s="41">
        <f t="shared" si="18"/>
        <v>0.96</v>
      </c>
      <c r="M104" s="42">
        <f t="shared" si="15"/>
        <v>1</v>
      </c>
      <c r="N104" s="43">
        <f>(VLOOKUP(MONTH('Amortization Model S Shape'!$B104),Seasonality,2,TRUE))</f>
        <v>1.1000000000000001</v>
      </c>
      <c r="O104" s="50">
        <f t="shared" si="23"/>
        <v>7.3813229217081404E-3</v>
      </c>
    </row>
    <row r="105" spans="2:15" ht="15" x14ac:dyDescent="0.25">
      <c r="B105" s="57">
        <f t="shared" si="19"/>
        <v>45139</v>
      </c>
      <c r="C105" s="36">
        <f t="shared" si="20"/>
        <v>5581611.4444079809</v>
      </c>
      <c r="D105" s="39">
        <f t="shared" si="26"/>
        <v>37785.809125165972</v>
      </c>
      <c r="E105" s="36">
        <f t="shared" si="14"/>
        <v>27908.057222039904</v>
      </c>
      <c r="F105" s="36">
        <f t="shared" si="24"/>
        <v>9877.7519031260672</v>
      </c>
      <c r="G105" s="36">
        <f t="shared" si="21"/>
        <v>0</v>
      </c>
      <c r="H105" s="38">
        <f t="shared" si="25"/>
        <v>42996.164055327783</v>
      </c>
      <c r="I105" s="36">
        <f t="shared" si="22"/>
        <v>5528737.528449527</v>
      </c>
      <c r="J105" s="2">
        <f t="shared" si="16"/>
        <v>92</v>
      </c>
      <c r="K105" s="44">
        <f t="shared" si="17"/>
        <v>6.9898891304054356E-3</v>
      </c>
      <c r="L105" s="41">
        <f t="shared" si="18"/>
        <v>0.96</v>
      </c>
      <c r="M105" s="42">
        <f t="shared" si="15"/>
        <v>1</v>
      </c>
      <c r="N105" s="43">
        <f>(VLOOKUP(MONTH('Amortization Model S Shape'!$B105),Seasonality,2,TRUE))</f>
        <v>1.1499999999999999</v>
      </c>
      <c r="O105" s="50">
        <f t="shared" si="23"/>
        <v>7.7168375999676006E-3</v>
      </c>
    </row>
    <row r="106" spans="2:15" ht="15" x14ac:dyDescent="0.25">
      <c r="B106" s="57">
        <f t="shared" si="19"/>
        <v>45170</v>
      </c>
      <c r="C106" s="36">
        <f t="shared" si="20"/>
        <v>5528737.528449527</v>
      </c>
      <c r="D106" s="39">
        <f t="shared" si="26"/>
        <v>37494.222172563692</v>
      </c>
      <c r="E106" s="36">
        <f t="shared" si="14"/>
        <v>27643.687642247634</v>
      </c>
      <c r="F106" s="36">
        <f t="shared" si="24"/>
        <v>9850.5345303160575</v>
      </c>
      <c r="G106" s="36">
        <f t="shared" si="21"/>
        <v>0</v>
      </c>
      <c r="H106" s="38">
        <f t="shared" si="25"/>
        <v>41847.687627001877</v>
      </c>
      <c r="I106" s="36">
        <f t="shared" si="22"/>
        <v>5477039.3062922088</v>
      </c>
      <c r="J106" s="2">
        <f t="shared" si="16"/>
        <v>93</v>
      </c>
      <c r="K106" s="44">
        <f t="shared" si="17"/>
        <v>6.9898891304054356E-3</v>
      </c>
      <c r="L106" s="41">
        <f t="shared" si="18"/>
        <v>0.96</v>
      </c>
      <c r="M106" s="42">
        <f t="shared" si="15"/>
        <v>1</v>
      </c>
      <c r="N106" s="43">
        <f>(VLOOKUP(MONTH('Amortization Model S Shape'!$B106),Seasonality,2,TRUE))</f>
        <v>1.1299999999999999</v>
      </c>
      <c r="O106" s="50">
        <f t="shared" si="23"/>
        <v>7.5826317286638162E-3</v>
      </c>
    </row>
    <row r="107" spans="2:15" ht="15" x14ac:dyDescent="0.25">
      <c r="B107" s="57">
        <f t="shared" si="19"/>
        <v>45200</v>
      </c>
      <c r="C107" s="36">
        <f t="shared" si="20"/>
        <v>5477039.3062922088</v>
      </c>
      <c r="D107" s="39">
        <f t="shared" si="26"/>
        <v>37209.917293876439</v>
      </c>
      <c r="E107" s="36">
        <f t="shared" si="14"/>
        <v>27385.196531461042</v>
      </c>
      <c r="F107" s="36">
        <f t="shared" si="24"/>
        <v>9824.7207624153962</v>
      </c>
      <c r="G107" s="36">
        <f t="shared" si="21"/>
        <v>0</v>
      </c>
      <c r="H107" s="38">
        <f t="shared" si="25"/>
        <v>36667.507240886713</v>
      </c>
      <c r="I107" s="36">
        <f t="shared" si="22"/>
        <v>5430547.0782889063</v>
      </c>
      <c r="J107" s="2">
        <f t="shared" si="16"/>
        <v>94</v>
      </c>
      <c r="K107" s="44">
        <f t="shared" si="17"/>
        <v>6.9898891304054356E-3</v>
      </c>
      <c r="L107" s="41">
        <f t="shared" si="18"/>
        <v>0.95</v>
      </c>
      <c r="M107" s="42">
        <f t="shared" si="15"/>
        <v>1</v>
      </c>
      <c r="N107" s="43">
        <f>(VLOOKUP(MONTH('Amortization Model S Shape'!$B107),Seasonality,2,TRUE))</f>
        <v>1.01</v>
      </c>
      <c r="O107" s="50">
        <f t="shared" si="23"/>
        <v>6.7067986206240156E-3</v>
      </c>
    </row>
    <row r="108" spans="2:15" ht="15" x14ac:dyDescent="0.25">
      <c r="B108" s="57">
        <f t="shared" si="19"/>
        <v>45231</v>
      </c>
      <c r="C108" s="36">
        <f t="shared" si="20"/>
        <v>5430547.0782889063</v>
      </c>
      <c r="D108" s="39">
        <f t="shared" si="26"/>
        <v>36960.357871896325</v>
      </c>
      <c r="E108" s="36">
        <f t="shared" si="14"/>
        <v>27152.73539144453</v>
      </c>
      <c r="F108" s="36">
        <f t="shared" si="24"/>
        <v>9807.6224804517951</v>
      </c>
      <c r="G108" s="36">
        <f t="shared" si="21"/>
        <v>0</v>
      </c>
      <c r="H108" s="38">
        <f t="shared" si="25"/>
        <v>30956.430493347871</v>
      </c>
      <c r="I108" s="36">
        <f t="shared" si="22"/>
        <v>5389783.0253151059</v>
      </c>
      <c r="J108" s="2">
        <f t="shared" si="16"/>
        <v>95</v>
      </c>
      <c r="K108" s="44">
        <f t="shared" si="17"/>
        <v>6.9898891304054356E-3</v>
      </c>
      <c r="L108" s="41">
        <f t="shared" si="18"/>
        <v>0.95</v>
      </c>
      <c r="M108" s="42">
        <f t="shared" si="15"/>
        <v>1</v>
      </c>
      <c r="N108" s="43">
        <f>(VLOOKUP(MONTH('Amortization Model S Shape'!$B108),Seasonality,2,TRUE))</f>
        <v>0.86</v>
      </c>
      <c r="O108" s="50">
        <f t="shared" si="23"/>
        <v>5.7107394195412406E-3</v>
      </c>
    </row>
    <row r="109" spans="2:15" ht="15" x14ac:dyDescent="0.25">
      <c r="B109" s="57">
        <f t="shared" si="19"/>
        <v>45261</v>
      </c>
      <c r="C109" s="36">
        <f t="shared" si="20"/>
        <v>5389783.0253151059</v>
      </c>
      <c r="D109" s="39">
        <f t="shared" si="26"/>
        <v>36749.286899236933</v>
      </c>
      <c r="E109" s="36">
        <f t="shared" si="14"/>
        <v>26948.915126575532</v>
      </c>
      <c r="F109" s="36">
        <f t="shared" si="24"/>
        <v>9800.3717726614013</v>
      </c>
      <c r="G109" s="36">
        <f t="shared" si="21"/>
        <v>0</v>
      </c>
      <c r="H109" s="40">
        <f t="shared" si="25"/>
        <v>32152.687342360037</v>
      </c>
      <c r="I109" s="36">
        <f t="shared" si="22"/>
        <v>5347829.9662000844</v>
      </c>
      <c r="J109" s="2">
        <f t="shared" si="16"/>
        <v>96</v>
      </c>
      <c r="K109" s="44">
        <f t="shared" si="17"/>
        <v>6.9898891304054356E-3</v>
      </c>
      <c r="L109" s="41">
        <f t="shared" si="18"/>
        <v>0.95</v>
      </c>
      <c r="M109" s="42">
        <f t="shared" si="15"/>
        <v>1</v>
      </c>
      <c r="N109" s="43">
        <f>(VLOOKUP(MONTH('Amortization Model S Shape'!$B109),Seasonality,2,TRUE))</f>
        <v>0.9</v>
      </c>
      <c r="O109" s="50">
        <f t="shared" si="23"/>
        <v>5.9763552064966479E-3</v>
      </c>
    </row>
    <row r="110" spans="2:15" ht="15" x14ac:dyDescent="0.25">
      <c r="B110" s="57">
        <f t="shared" si="19"/>
        <v>45292</v>
      </c>
      <c r="C110" s="36">
        <f t="shared" si="20"/>
        <v>5347829.9662000844</v>
      </c>
      <c r="D110" s="39">
        <f t="shared" si="26"/>
        <v>36529.660107141644</v>
      </c>
      <c r="E110" s="36">
        <f t="shared" si="14"/>
        <v>26739.149831000421</v>
      </c>
      <c r="F110" s="36">
        <f t="shared" si="24"/>
        <v>9790.5102761412236</v>
      </c>
      <c r="G110" s="36">
        <f t="shared" si="21"/>
        <v>0</v>
      </c>
      <c r="H110" s="38">
        <f t="shared" si="25"/>
        <v>31547.553007174527</v>
      </c>
      <c r="I110" s="36">
        <f t="shared" si="22"/>
        <v>5306491.9029167686</v>
      </c>
      <c r="J110" s="2">
        <f t="shared" si="16"/>
        <v>97</v>
      </c>
      <c r="K110" s="44">
        <f t="shared" si="17"/>
        <v>6.9898891304054356E-3</v>
      </c>
      <c r="L110" s="41">
        <f t="shared" si="18"/>
        <v>0.95</v>
      </c>
      <c r="M110" s="42">
        <f t="shared" si="15"/>
        <v>1</v>
      </c>
      <c r="N110" s="43">
        <f>(VLOOKUP(MONTH('Amortization Model S Shape'!$B110),Seasonality,2,TRUE))</f>
        <v>0.89</v>
      </c>
      <c r="O110" s="50">
        <f t="shared" si="23"/>
        <v>5.9099512597577961E-3</v>
      </c>
    </row>
    <row r="111" spans="2:15" ht="15" x14ac:dyDescent="0.25">
      <c r="B111" s="57">
        <f t="shared" si="19"/>
        <v>45323</v>
      </c>
      <c r="C111" s="36">
        <f t="shared" si="20"/>
        <v>5306491.9029167686</v>
      </c>
      <c r="D111" s="39">
        <f t="shared" si="26"/>
        <v>36313.771596372913</v>
      </c>
      <c r="E111" s="36">
        <f t="shared" si="14"/>
        <v>26532.459514583843</v>
      </c>
      <c r="F111" s="36">
        <f t="shared" si="24"/>
        <v>9781.3120817890704</v>
      </c>
      <c r="G111" s="36">
        <f t="shared" si="21"/>
        <v>0</v>
      </c>
      <c r="H111" s="38">
        <f t="shared" si="25"/>
        <v>31655.023916842569</v>
      </c>
      <c r="I111" s="36">
        <f t="shared" si="22"/>
        <v>5265055.5669181375</v>
      </c>
      <c r="J111" s="2">
        <f t="shared" si="16"/>
        <v>98</v>
      </c>
      <c r="K111" s="44">
        <f t="shared" si="17"/>
        <v>6.9898891304054356E-3</v>
      </c>
      <c r="L111" s="41">
        <f t="shared" si="18"/>
        <v>0.95</v>
      </c>
      <c r="M111" s="42">
        <f t="shared" si="15"/>
        <v>1</v>
      </c>
      <c r="N111" s="43">
        <f>(VLOOKUP(MONTH('Amortization Model S Shape'!$B111),Seasonality,2,TRUE))</f>
        <v>0.9</v>
      </c>
      <c r="O111" s="50">
        <f t="shared" si="23"/>
        <v>5.9763552064966479E-3</v>
      </c>
    </row>
    <row r="112" spans="2:15" ht="15" x14ac:dyDescent="0.25">
      <c r="B112" s="57">
        <f t="shared" si="19"/>
        <v>45352</v>
      </c>
      <c r="C112" s="36">
        <f t="shared" si="20"/>
        <v>5265055.5669181375</v>
      </c>
      <c r="D112" s="39">
        <f t="shared" si="26"/>
        <v>36096.747598425405</v>
      </c>
      <c r="E112" s="36">
        <f t="shared" si="14"/>
        <v>26325.277834590685</v>
      </c>
      <c r="F112" s="36">
        <f t="shared" si="24"/>
        <v>9771.4697638347207</v>
      </c>
      <c r="G112" s="36">
        <f t="shared" si="21"/>
        <v>0</v>
      </c>
      <c r="H112" s="38">
        <f t="shared" si="25"/>
        <v>33152.302502071987</v>
      </c>
      <c r="I112" s="36">
        <f t="shared" si="22"/>
        <v>5222131.7946522301</v>
      </c>
      <c r="J112" s="2">
        <f t="shared" si="16"/>
        <v>99</v>
      </c>
      <c r="K112" s="44">
        <f t="shared" si="17"/>
        <v>6.9898891304054356E-3</v>
      </c>
      <c r="L112" s="41">
        <f t="shared" si="18"/>
        <v>0.95</v>
      </c>
      <c r="M112" s="42">
        <f t="shared" si="15"/>
        <v>1</v>
      </c>
      <c r="N112" s="43">
        <f>(VLOOKUP(MONTH('Amortization Model S Shape'!$B112),Seasonality,2,TRUE))</f>
        <v>0.95</v>
      </c>
      <c r="O112" s="50">
        <f t="shared" si="23"/>
        <v>6.3083749401909054E-3</v>
      </c>
    </row>
    <row r="113" spans="2:15" ht="15" x14ac:dyDescent="0.25">
      <c r="B113" s="57">
        <f t="shared" si="19"/>
        <v>45383</v>
      </c>
      <c r="C113" s="36">
        <f t="shared" si="20"/>
        <v>5222131.7946522301</v>
      </c>
      <c r="D113" s="39">
        <f t="shared" si="26"/>
        <v>35869.035780453101</v>
      </c>
      <c r="E113" s="36">
        <f t="shared" si="14"/>
        <v>26110.65897326115</v>
      </c>
      <c r="F113" s="36">
        <f t="shared" si="24"/>
        <v>9758.3768071919512</v>
      </c>
      <c r="G113" s="36">
        <f t="shared" si="21"/>
        <v>0</v>
      </c>
      <c r="H113" s="38">
        <f t="shared" si="25"/>
        <v>33227.728014872446</v>
      </c>
      <c r="I113" s="36">
        <f t="shared" si="22"/>
        <v>5179145.6898301654</v>
      </c>
      <c r="J113" s="2">
        <f t="shared" si="16"/>
        <v>100</v>
      </c>
      <c r="K113" s="44">
        <f t="shared" si="17"/>
        <v>6.9898891304054356E-3</v>
      </c>
      <c r="L113" s="41">
        <f t="shared" si="18"/>
        <v>0.95</v>
      </c>
      <c r="M113" s="42">
        <f t="shared" si="15"/>
        <v>1</v>
      </c>
      <c r="N113" s="43">
        <f>(VLOOKUP(MONTH('Amortization Model S Shape'!$B113),Seasonality,2,TRUE))</f>
        <v>0.96</v>
      </c>
      <c r="O113" s="50">
        <f t="shared" si="23"/>
        <v>6.3747788869297573E-3</v>
      </c>
    </row>
    <row r="114" spans="2:15" ht="15" x14ac:dyDescent="0.25">
      <c r="B114" s="57">
        <f t="shared" si="19"/>
        <v>45413</v>
      </c>
      <c r="C114" s="36">
        <f t="shared" si="20"/>
        <v>5179145.6898301654</v>
      </c>
      <c r="D114" s="39">
        <f t="shared" si="26"/>
        <v>35640.378608465333</v>
      </c>
      <c r="E114" s="36">
        <f t="shared" si="14"/>
        <v>25895.728449150829</v>
      </c>
      <c r="F114" s="36">
        <f t="shared" si="24"/>
        <v>9744.650159314504</v>
      </c>
      <c r="G114" s="36">
        <f t="shared" si="21"/>
        <v>0</v>
      </c>
      <c r="H114" s="38">
        <f t="shared" si="25"/>
        <v>36386.474918867156</v>
      </c>
      <c r="I114" s="36">
        <f t="shared" si="22"/>
        <v>5133014.5647519836</v>
      </c>
      <c r="J114" s="2">
        <f t="shared" si="16"/>
        <v>101</v>
      </c>
      <c r="K114" s="44">
        <f t="shared" si="17"/>
        <v>6.9898891304054356E-3</v>
      </c>
      <c r="L114" s="41">
        <f t="shared" si="18"/>
        <v>0.95</v>
      </c>
      <c r="M114" s="42">
        <f t="shared" si="15"/>
        <v>1</v>
      </c>
      <c r="N114" s="43">
        <f>(VLOOKUP(MONTH('Amortization Model S Shape'!$B114),Seasonality,2,TRUE))</f>
        <v>1.06</v>
      </c>
      <c r="O114" s="50">
        <f t="shared" si="23"/>
        <v>7.038818354318274E-3</v>
      </c>
    </row>
    <row r="115" spans="2:15" ht="15" x14ac:dyDescent="0.25">
      <c r="B115" s="57">
        <f t="shared" si="19"/>
        <v>45444</v>
      </c>
      <c r="C115" s="36">
        <f t="shared" si="20"/>
        <v>5133014.5647519836</v>
      </c>
      <c r="D115" s="39">
        <f t="shared" si="26"/>
        <v>35389.512457361219</v>
      </c>
      <c r="E115" s="36">
        <f t="shared" si="14"/>
        <v>25665.072823759914</v>
      </c>
      <c r="F115" s="36">
        <f t="shared" si="24"/>
        <v>9724.4396336013051</v>
      </c>
      <c r="G115" s="36">
        <f t="shared" si="21"/>
        <v>0</v>
      </c>
      <c r="H115" s="38">
        <f t="shared" si="25"/>
        <v>37082.528620968973</v>
      </c>
      <c r="I115" s="36">
        <f t="shared" si="22"/>
        <v>5086207.5964974137</v>
      </c>
      <c r="J115" s="2">
        <f t="shared" si="16"/>
        <v>102</v>
      </c>
      <c r="K115" s="44">
        <f t="shared" si="17"/>
        <v>6.9898891304054356E-3</v>
      </c>
      <c r="L115" s="41">
        <f t="shared" si="18"/>
        <v>0.95</v>
      </c>
      <c r="M115" s="42">
        <f t="shared" si="15"/>
        <v>1</v>
      </c>
      <c r="N115" s="43">
        <f>(VLOOKUP(MONTH('Amortization Model S Shape'!$B115),Seasonality,2,TRUE))</f>
        <v>1.0900000000000001</v>
      </c>
      <c r="O115" s="50">
        <f t="shared" si="23"/>
        <v>7.2380301945348287E-3</v>
      </c>
    </row>
    <row r="116" spans="2:15" ht="15" x14ac:dyDescent="0.25">
      <c r="B116" s="57">
        <f t="shared" si="19"/>
        <v>45474</v>
      </c>
      <c r="C116" s="36">
        <f t="shared" si="20"/>
        <v>5086207.5964974137</v>
      </c>
      <c r="D116" s="39">
        <f t="shared" si="26"/>
        <v>35133.362097624973</v>
      </c>
      <c r="E116" s="36">
        <f t="shared" si="14"/>
        <v>25431.037982487065</v>
      </c>
      <c r="F116" s="36">
        <f t="shared" si="24"/>
        <v>9702.3241151379079</v>
      </c>
      <c r="G116" s="36">
        <f t="shared" si="21"/>
        <v>0</v>
      </c>
      <c r="H116" s="38">
        <f t="shared" si="25"/>
        <v>37080.998429944942</v>
      </c>
      <c r="I116" s="36">
        <f t="shared" si="22"/>
        <v>5039424.2739523314</v>
      </c>
      <c r="J116" s="2">
        <f t="shared" si="16"/>
        <v>103</v>
      </c>
      <c r="K116" s="44">
        <f t="shared" si="17"/>
        <v>6.9898891304054356E-3</v>
      </c>
      <c r="L116" s="41">
        <f t="shared" si="18"/>
        <v>0.95</v>
      </c>
      <c r="M116" s="42">
        <f t="shared" si="15"/>
        <v>1</v>
      </c>
      <c r="N116" s="43">
        <f>(VLOOKUP(MONTH('Amortization Model S Shape'!$B116),Seasonality,2,TRUE))</f>
        <v>1.1000000000000001</v>
      </c>
      <c r="O116" s="50">
        <f t="shared" si="23"/>
        <v>7.3044341412736805E-3</v>
      </c>
    </row>
    <row r="117" spans="2:15" ht="15" x14ac:dyDescent="0.25">
      <c r="B117" s="57">
        <f t="shared" si="19"/>
        <v>45505</v>
      </c>
      <c r="C117" s="36">
        <f t="shared" si="20"/>
        <v>5039424.2739523314</v>
      </c>
      <c r="D117" s="39">
        <f t="shared" si="26"/>
        <v>34876.732768021357</v>
      </c>
      <c r="E117" s="36">
        <f t="shared" si="14"/>
        <v>25197.121369761659</v>
      </c>
      <c r="F117" s="36">
        <f t="shared" si="24"/>
        <v>9679.611398259698</v>
      </c>
      <c r="G117" s="36">
        <f t="shared" si="21"/>
        <v>0</v>
      </c>
      <c r="H117" s="38">
        <f t="shared" si="25"/>
        <v>38409.413118460339</v>
      </c>
      <c r="I117" s="36">
        <f t="shared" si="22"/>
        <v>4991335.2494356111</v>
      </c>
      <c r="J117" s="2">
        <f t="shared" si="16"/>
        <v>104</v>
      </c>
      <c r="K117" s="44">
        <f t="shared" si="17"/>
        <v>6.9898891304054356E-3</v>
      </c>
      <c r="L117" s="41">
        <f t="shared" si="18"/>
        <v>0.95</v>
      </c>
      <c r="M117" s="42">
        <f t="shared" si="15"/>
        <v>1</v>
      </c>
      <c r="N117" s="43">
        <f>(VLOOKUP(MONTH('Amortization Model S Shape'!$B117),Seasonality,2,TRUE))</f>
        <v>1.1499999999999999</v>
      </c>
      <c r="O117" s="50">
        <f t="shared" si="23"/>
        <v>7.636453874967938E-3</v>
      </c>
    </row>
    <row r="118" spans="2:15" ht="15" x14ac:dyDescent="0.25">
      <c r="B118" s="57">
        <f t="shared" si="19"/>
        <v>45536</v>
      </c>
      <c r="C118" s="36">
        <f t="shared" si="20"/>
        <v>4991335.2494356111</v>
      </c>
      <c r="D118" s="39">
        <f t="shared" si="26"/>
        <v>34610.398206928767</v>
      </c>
      <c r="E118" s="36">
        <f t="shared" si="14"/>
        <v>24956.676247178053</v>
      </c>
      <c r="F118" s="36">
        <f t="shared" si="24"/>
        <v>9653.7219597507137</v>
      </c>
      <c r="G118" s="36">
        <f t="shared" si="21"/>
        <v>0</v>
      </c>
      <c r="H118" s="38">
        <f t="shared" si="25"/>
        <v>37380.774574708368</v>
      </c>
      <c r="I118" s="36">
        <f t="shared" si="22"/>
        <v>4944300.7529011518</v>
      </c>
      <c r="J118" s="2">
        <f t="shared" si="16"/>
        <v>105</v>
      </c>
      <c r="K118" s="44">
        <f t="shared" si="17"/>
        <v>6.9898891304054356E-3</v>
      </c>
      <c r="L118" s="41">
        <f t="shared" si="18"/>
        <v>0.95</v>
      </c>
      <c r="M118" s="42">
        <f t="shared" si="15"/>
        <v>1</v>
      </c>
      <c r="N118" s="43">
        <f>(VLOOKUP(MONTH('Amortization Model S Shape'!$B118),Seasonality,2,TRUE))</f>
        <v>1.1299999999999999</v>
      </c>
      <c r="O118" s="50">
        <f t="shared" si="23"/>
        <v>7.5036459814902343E-3</v>
      </c>
    </row>
    <row r="119" spans="2:15" ht="15" x14ac:dyDescent="0.25">
      <c r="B119" s="57">
        <f t="shared" si="19"/>
        <v>45566</v>
      </c>
      <c r="C119" s="36">
        <f t="shared" si="20"/>
        <v>4944300.7529011518</v>
      </c>
      <c r="D119" s="39">
        <f t="shared" si="26"/>
        <v>34350.694031505569</v>
      </c>
      <c r="E119" s="36">
        <f t="shared" si="14"/>
        <v>24721.50376450576</v>
      </c>
      <c r="F119" s="36">
        <f t="shared" si="24"/>
        <v>9629.190266999809</v>
      </c>
      <c r="G119" s="36">
        <f t="shared" si="21"/>
        <v>0</v>
      </c>
      <c r="H119" s="38">
        <f t="shared" si="25"/>
        <v>33095.848429507292</v>
      </c>
      <c r="I119" s="36">
        <f t="shared" si="22"/>
        <v>4901575.7142046448</v>
      </c>
      <c r="J119" s="2">
        <f t="shared" si="16"/>
        <v>106</v>
      </c>
      <c r="K119" s="44">
        <f t="shared" si="17"/>
        <v>6.9898891304054356E-3</v>
      </c>
      <c r="L119" s="41">
        <f t="shared" si="18"/>
        <v>0.95</v>
      </c>
      <c r="M119" s="42">
        <f t="shared" si="15"/>
        <v>1</v>
      </c>
      <c r="N119" s="43">
        <f>(VLOOKUP(MONTH('Amortization Model S Shape'!$B119),Seasonality,2,TRUE))</f>
        <v>1.01</v>
      </c>
      <c r="O119" s="50">
        <f t="shared" si="23"/>
        <v>6.7067986206240156E-3</v>
      </c>
    </row>
    <row r="120" spans="2:15" ht="15" x14ac:dyDescent="0.25">
      <c r="B120" s="57">
        <f t="shared" si="19"/>
        <v>45597</v>
      </c>
      <c r="C120" s="36">
        <f t="shared" si="20"/>
        <v>4901575.7142046448</v>
      </c>
      <c r="D120" s="39">
        <f t="shared" si="26"/>
        <v>34120.310844157597</v>
      </c>
      <c r="E120" s="36">
        <f t="shared" si="14"/>
        <v>24507.878571023222</v>
      </c>
      <c r="F120" s="36">
        <f t="shared" si="24"/>
        <v>9612.4322731343746</v>
      </c>
      <c r="G120" s="36">
        <f t="shared" si="21"/>
        <v>0</v>
      </c>
      <c r="H120" s="38">
        <f t="shared" si="25"/>
        <v>27936.727553074616</v>
      </c>
      <c r="I120" s="36">
        <f t="shared" si="22"/>
        <v>4864026.5543784359</v>
      </c>
      <c r="J120" s="2">
        <f t="shared" si="16"/>
        <v>107</v>
      </c>
      <c r="K120" s="44">
        <f t="shared" si="17"/>
        <v>6.9898891304054356E-3</v>
      </c>
      <c r="L120" s="41">
        <f t="shared" si="18"/>
        <v>0.95</v>
      </c>
      <c r="M120" s="42">
        <f t="shared" si="15"/>
        <v>1</v>
      </c>
      <c r="N120" s="43">
        <f>(VLOOKUP(MONTH('Amortization Model S Shape'!$B120),Seasonality,2,TRUE))</f>
        <v>0.86</v>
      </c>
      <c r="O120" s="50">
        <f t="shared" si="23"/>
        <v>5.7107394195412406E-3</v>
      </c>
    </row>
    <row r="121" spans="2:15" ht="15" x14ac:dyDescent="0.25">
      <c r="B121" s="57">
        <f t="shared" si="19"/>
        <v>45627</v>
      </c>
      <c r="C121" s="36">
        <f t="shared" si="20"/>
        <v>4864026.5543784359</v>
      </c>
      <c r="D121" s="39">
        <f t="shared" si="26"/>
        <v>33925.458640012861</v>
      </c>
      <c r="E121" s="36">
        <f t="shared" si="14"/>
        <v>24320.132771892178</v>
      </c>
      <c r="F121" s="36">
        <f t="shared" si="24"/>
        <v>9605.3258681206826</v>
      </c>
      <c r="G121" s="36">
        <f t="shared" si="21"/>
        <v>0</v>
      </c>
      <c r="H121" s="40">
        <f t="shared" si="25"/>
        <v>29011.745583535478</v>
      </c>
      <c r="I121" s="36">
        <f t="shared" si="22"/>
        <v>4825409.4829267804</v>
      </c>
      <c r="J121" s="2">
        <f t="shared" si="16"/>
        <v>108</v>
      </c>
      <c r="K121" s="44">
        <f t="shared" si="17"/>
        <v>6.9898891304054356E-3</v>
      </c>
      <c r="L121" s="41">
        <f t="shared" si="18"/>
        <v>0.95</v>
      </c>
      <c r="M121" s="42">
        <f t="shared" si="15"/>
        <v>1</v>
      </c>
      <c r="N121" s="43">
        <f>(VLOOKUP(MONTH('Amortization Model S Shape'!$B121),Seasonality,2,TRUE))</f>
        <v>0.9</v>
      </c>
      <c r="O121" s="50">
        <f t="shared" si="23"/>
        <v>5.9763552064966479E-3</v>
      </c>
    </row>
    <row r="122" spans="2:15" ht="15" x14ac:dyDescent="0.25">
      <c r="B122" s="57">
        <f t="shared" si="19"/>
        <v>45658</v>
      </c>
      <c r="C122" s="36">
        <f t="shared" si="20"/>
        <v>4825409.4829267804</v>
      </c>
      <c r="D122" s="39">
        <f t="shared" si="26"/>
        <v>33722.708048636836</v>
      </c>
      <c r="E122" s="36">
        <f t="shared" si="14"/>
        <v>24127.0474146339</v>
      </c>
      <c r="F122" s="36">
        <f t="shared" si="24"/>
        <v>9595.6606340029357</v>
      </c>
      <c r="G122" s="36">
        <f t="shared" si="21"/>
        <v>0</v>
      </c>
      <c r="H122" s="38">
        <f t="shared" si="25"/>
        <v>28461.224965818208</v>
      </c>
      <c r="I122" s="36">
        <f t="shared" si="22"/>
        <v>4787352.5973269595</v>
      </c>
      <c r="J122" s="2">
        <f t="shared" si="16"/>
        <v>109</v>
      </c>
      <c r="K122" s="44">
        <f t="shared" si="17"/>
        <v>6.9898891304054356E-3</v>
      </c>
      <c r="L122" s="41">
        <f t="shared" si="18"/>
        <v>0.95</v>
      </c>
      <c r="M122" s="42">
        <f t="shared" si="15"/>
        <v>1</v>
      </c>
      <c r="N122" s="43">
        <f>(VLOOKUP(MONTH('Amortization Model S Shape'!$B122),Seasonality,2,TRUE))</f>
        <v>0.89</v>
      </c>
      <c r="O122" s="50">
        <f t="shared" si="23"/>
        <v>5.9099512597577961E-3</v>
      </c>
    </row>
    <row r="123" spans="2:15" ht="15" x14ac:dyDescent="0.25">
      <c r="B123" s="57">
        <f t="shared" si="19"/>
        <v>45689</v>
      </c>
      <c r="C123" s="36">
        <f t="shared" si="20"/>
        <v>4787352.5973269595</v>
      </c>
      <c r="D123" s="39">
        <f t="shared" si="26"/>
        <v>33523.408487722358</v>
      </c>
      <c r="E123" s="36">
        <f t="shared" si="14"/>
        <v>23936.762986634796</v>
      </c>
      <c r="F123" s="36">
        <f t="shared" si="24"/>
        <v>9586.6455010875616</v>
      </c>
      <c r="G123" s="36">
        <f t="shared" si="21"/>
        <v>0</v>
      </c>
      <c r="H123" s="38">
        <f t="shared" si="25"/>
        <v>28553.626421616962</v>
      </c>
      <c r="I123" s="36">
        <f t="shared" si="22"/>
        <v>4749212.3254042547</v>
      </c>
      <c r="J123" s="2">
        <f t="shared" si="16"/>
        <v>110</v>
      </c>
      <c r="K123" s="44">
        <f t="shared" si="17"/>
        <v>6.9898891304054356E-3</v>
      </c>
      <c r="L123" s="41">
        <f t="shared" si="18"/>
        <v>0.95</v>
      </c>
      <c r="M123" s="42">
        <f t="shared" si="15"/>
        <v>1</v>
      </c>
      <c r="N123" s="43">
        <f>(VLOOKUP(MONTH('Amortization Model S Shape'!$B123),Seasonality,2,TRUE))</f>
        <v>0.9</v>
      </c>
      <c r="O123" s="50">
        <f t="shared" si="23"/>
        <v>5.9763552064966479E-3</v>
      </c>
    </row>
    <row r="124" spans="2:15" ht="15" x14ac:dyDescent="0.25">
      <c r="B124" s="57">
        <f t="shared" si="19"/>
        <v>45717</v>
      </c>
      <c r="C124" s="36">
        <f t="shared" si="20"/>
        <v>4749212.3254042547</v>
      </c>
      <c r="D124" s="39">
        <f t="shared" si="26"/>
        <v>33323.060690867242</v>
      </c>
      <c r="E124" s="36">
        <f t="shared" si="14"/>
        <v>23746.061627021274</v>
      </c>
      <c r="F124" s="36">
        <f t="shared" si="24"/>
        <v>9576.9990638459676</v>
      </c>
      <c r="G124" s="36">
        <f t="shared" si="21"/>
        <v>0</v>
      </c>
      <c r="H124" s="38">
        <f t="shared" si="25"/>
        <v>29899.396718329379</v>
      </c>
      <c r="I124" s="36">
        <f t="shared" si="22"/>
        <v>4709735.9296220792</v>
      </c>
      <c r="J124" s="2">
        <f t="shared" si="16"/>
        <v>111</v>
      </c>
      <c r="K124" s="44">
        <f t="shared" si="17"/>
        <v>6.9898891304054356E-3</v>
      </c>
      <c r="L124" s="41">
        <f t="shared" si="18"/>
        <v>0.95</v>
      </c>
      <c r="M124" s="42">
        <f t="shared" si="15"/>
        <v>1</v>
      </c>
      <c r="N124" s="43">
        <f>(VLOOKUP(MONTH('Amortization Model S Shape'!$B124),Seasonality,2,TRUE))</f>
        <v>0.95</v>
      </c>
      <c r="O124" s="50">
        <f t="shared" si="23"/>
        <v>6.3083749401909054E-3</v>
      </c>
    </row>
    <row r="125" spans="2:15" ht="15" x14ac:dyDescent="0.25">
      <c r="B125" s="57">
        <f t="shared" si="19"/>
        <v>45748</v>
      </c>
      <c r="C125" s="36">
        <f t="shared" si="20"/>
        <v>4709735.9296220792</v>
      </c>
      <c r="D125" s="39">
        <f t="shared" si="26"/>
        <v>33112.846329874512</v>
      </c>
      <c r="E125" s="36">
        <f t="shared" si="14"/>
        <v>23548.679648110396</v>
      </c>
      <c r="F125" s="36">
        <f t="shared" si="24"/>
        <v>9564.1666817641162</v>
      </c>
      <c r="G125" s="36">
        <f t="shared" si="21"/>
        <v>0</v>
      </c>
      <c r="H125" s="38">
        <f t="shared" si="25"/>
        <v>29962.555719335338</v>
      </c>
      <c r="I125" s="36">
        <f t="shared" si="22"/>
        <v>4670209.20722098</v>
      </c>
      <c r="J125" s="2">
        <f t="shared" si="16"/>
        <v>112</v>
      </c>
      <c r="K125" s="44">
        <f t="shared" si="17"/>
        <v>6.9898891304054356E-3</v>
      </c>
      <c r="L125" s="41">
        <f t="shared" si="18"/>
        <v>0.95</v>
      </c>
      <c r="M125" s="42">
        <f t="shared" si="15"/>
        <v>1</v>
      </c>
      <c r="N125" s="43">
        <f>(VLOOKUP(MONTH('Amortization Model S Shape'!$B125),Seasonality,2,TRUE))</f>
        <v>0.96</v>
      </c>
      <c r="O125" s="50">
        <f t="shared" si="23"/>
        <v>6.3747788869297573E-3</v>
      </c>
    </row>
    <row r="126" spans="2:15" ht="15" x14ac:dyDescent="0.25">
      <c r="B126" s="57">
        <f t="shared" si="19"/>
        <v>45778</v>
      </c>
      <c r="C126" s="36">
        <f t="shared" si="20"/>
        <v>4670209.20722098</v>
      </c>
      <c r="D126" s="39">
        <f t="shared" si="26"/>
        <v>32901.759256204678</v>
      </c>
      <c r="E126" s="36">
        <f t="shared" si="14"/>
        <v>23351.046036104901</v>
      </c>
      <c r="F126" s="36">
        <f t="shared" si="24"/>
        <v>9550.7132200997767</v>
      </c>
      <c r="G126" s="36">
        <f t="shared" si="21"/>
        <v>0</v>
      </c>
      <c r="H126" s="38">
        <f t="shared" si="25"/>
        <v>32805.528550782758</v>
      </c>
      <c r="I126" s="36">
        <f t="shared" si="22"/>
        <v>4627852.9654500969</v>
      </c>
      <c r="J126" s="2">
        <f t="shared" si="16"/>
        <v>113</v>
      </c>
      <c r="K126" s="44">
        <f t="shared" si="17"/>
        <v>6.9898891304054356E-3</v>
      </c>
      <c r="L126" s="41">
        <f t="shared" si="18"/>
        <v>0.95</v>
      </c>
      <c r="M126" s="42">
        <f t="shared" si="15"/>
        <v>1</v>
      </c>
      <c r="N126" s="43">
        <f>(VLOOKUP(MONTH('Amortization Model S Shape'!$B126),Seasonality,2,TRUE))</f>
        <v>1.06</v>
      </c>
      <c r="O126" s="50">
        <f t="shared" si="23"/>
        <v>7.038818354318274E-3</v>
      </c>
    </row>
    <row r="127" spans="2:15" ht="15" x14ac:dyDescent="0.25">
      <c r="B127" s="57">
        <f t="shared" si="19"/>
        <v>45809</v>
      </c>
      <c r="C127" s="36">
        <f t="shared" si="20"/>
        <v>4627852.9654500969</v>
      </c>
      <c r="D127" s="39">
        <f t="shared" si="26"/>
        <v>32670.169749262743</v>
      </c>
      <c r="E127" s="36">
        <f t="shared" si="14"/>
        <v>23139.264827250485</v>
      </c>
      <c r="F127" s="36">
        <f t="shared" si="24"/>
        <v>9530.9049220122579</v>
      </c>
      <c r="G127" s="36">
        <f t="shared" si="21"/>
        <v>0</v>
      </c>
      <c r="H127" s="38">
        <f t="shared" si="25"/>
        <v>33427.554522188584</v>
      </c>
      <c r="I127" s="36">
        <f t="shared" si="22"/>
        <v>4584894.5060058963</v>
      </c>
      <c r="J127" s="2">
        <f t="shared" si="16"/>
        <v>114</v>
      </c>
      <c r="K127" s="44">
        <f t="shared" si="17"/>
        <v>6.9898891304054356E-3</v>
      </c>
      <c r="L127" s="41">
        <f t="shared" si="18"/>
        <v>0.95</v>
      </c>
      <c r="M127" s="42">
        <f t="shared" si="15"/>
        <v>1</v>
      </c>
      <c r="N127" s="43">
        <f>(VLOOKUP(MONTH('Amortization Model S Shape'!$B127),Seasonality,2,TRUE))</f>
        <v>1.0900000000000001</v>
      </c>
      <c r="O127" s="50">
        <f t="shared" si="23"/>
        <v>7.2380301945348287E-3</v>
      </c>
    </row>
    <row r="128" spans="2:15" ht="15" x14ac:dyDescent="0.25">
      <c r="B128" s="57">
        <f t="shared" si="19"/>
        <v>45839</v>
      </c>
      <c r="C128" s="36">
        <f t="shared" si="20"/>
        <v>4584894.5060058963</v>
      </c>
      <c r="D128" s="39">
        <f t="shared" si="26"/>
        <v>32433.702074157005</v>
      </c>
      <c r="E128" s="36">
        <f t="shared" si="14"/>
        <v>22924.472530029481</v>
      </c>
      <c r="F128" s="36">
        <f t="shared" si="24"/>
        <v>9509.2295441275237</v>
      </c>
      <c r="G128" s="36">
        <f t="shared" si="21"/>
        <v>0</v>
      </c>
      <c r="H128" s="38">
        <f t="shared" si="25"/>
        <v>33420.600422868265</v>
      </c>
      <c r="I128" s="36">
        <f t="shared" si="22"/>
        <v>4541964.6760389004</v>
      </c>
      <c r="J128" s="2">
        <f t="shared" si="16"/>
        <v>115</v>
      </c>
      <c r="K128" s="44">
        <f t="shared" si="17"/>
        <v>6.9898891304054356E-3</v>
      </c>
      <c r="L128" s="41">
        <f t="shared" si="18"/>
        <v>0.95</v>
      </c>
      <c r="M128" s="42">
        <f t="shared" si="15"/>
        <v>1</v>
      </c>
      <c r="N128" s="43">
        <f>(VLOOKUP(MONTH('Amortization Model S Shape'!$B128),Seasonality,2,TRUE))</f>
        <v>1.1000000000000001</v>
      </c>
      <c r="O128" s="50">
        <f t="shared" si="23"/>
        <v>7.3044341412736805E-3</v>
      </c>
    </row>
    <row r="129" spans="2:15" ht="15" x14ac:dyDescent="0.25">
      <c r="B129" s="57">
        <f t="shared" si="19"/>
        <v>45870</v>
      </c>
      <c r="C129" s="36">
        <f t="shared" si="20"/>
        <v>4541964.6760389004</v>
      </c>
      <c r="D129" s="39">
        <f t="shared" si="26"/>
        <v>32196.792233398632</v>
      </c>
      <c r="E129" s="36">
        <f t="shared" si="14"/>
        <v>22709.823380194503</v>
      </c>
      <c r="F129" s="36">
        <f t="shared" si="24"/>
        <v>9486.9688532041291</v>
      </c>
      <c r="G129" s="36">
        <f t="shared" si="21"/>
        <v>0</v>
      </c>
      <c r="H129" s="38">
        <f t="shared" si="25"/>
        <v>34612.056950244005</v>
      </c>
      <c r="I129" s="36">
        <f t="shared" si="22"/>
        <v>4497865.6502354518</v>
      </c>
      <c r="J129" s="2">
        <f t="shared" si="16"/>
        <v>116</v>
      </c>
      <c r="K129" s="44">
        <f t="shared" si="17"/>
        <v>6.9898891304054356E-3</v>
      </c>
      <c r="L129" s="41">
        <f t="shared" si="18"/>
        <v>0.95</v>
      </c>
      <c r="M129" s="42">
        <f t="shared" si="15"/>
        <v>1</v>
      </c>
      <c r="N129" s="43">
        <f>(VLOOKUP(MONTH('Amortization Model S Shape'!$B129),Seasonality,2,TRUE))</f>
        <v>1.1499999999999999</v>
      </c>
      <c r="O129" s="50">
        <f t="shared" si="23"/>
        <v>7.636453874967938E-3</v>
      </c>
    </row>
    <row r="130" spans="2:15" ht="15" x14ac:dyDescent="0.25">
      <c r="B130" s="57">
        <f t="shared" si="19"/>
        <v>45901</v>
      </c>
      <c r="C130" s="36">
        <f t="shared" si="20"/>
        <v>4497865.6502354518</v>
      </c>
      <c r="D130" s="39">
        <f t="shared" si="26"/>
        <v>31950.922914586346</v>
      </c>
      <c r="E130" s="36">
        <f t="shared" si="14"/>
        <v>22489.328251177256</v>
      </c>
      <c r="F130" s="36">
        <f t="shared" si="24"/>
        <v>9461.5946634090906</v>
      </c>
      <c r="G130" s="36">
        <f t="shared" si="21"/>
        <v>0</v>
      </c>
      <c r="H130" s="38">
        <f t="shared" si="25"/>
        <v>31906.795315166171</v>
      </c>
      <c r="I130" s="36">
        <f t="shared" si="22"/>
        <v>4456497.2602568762</v>
      </c>
      <c r="J130" s="2">
        <f t="shared" si="16"/>
        <v>117</v>
      </c>
      <c r="K130" s="44">
        <f t="shared" si="17"/>
        <v>6.9898891304054356E-3</v>
      </c>
      <c r="L130" s="41">
        <f t="shared" si="18"/>
        <v>0.9</v>
      </c>
      <c r="M130" s="42">
        <f t="shared" si="15"/>
        <v>1</v>
      </c>
      <c r="N130" s="43">
        <f>(VLOOKUP(MONTH('Amortization Model S Shape'!$B130),Seasonality,2,TRUE))</f>
        <v>1.1299999999999999</v>
      </c>
      <c r="O130" s="50">
        <f t="shared" si="23"/>
        <v>7.1087172456223277E-3</v>
      </c>
    </row>
    <row r="131" spans="2:15" ht="15" x14ac:dyDescent="0.25">
      <c r="B131" s="57">
        <f t="shared" si="19"/>
        <v>45931</v>
      </c>
      <c r="C131" s="36">
        <f t="shared" si="20"/>
        <v>4456497.2602568762</v>
      </c>
      <c r="D131" s="39">
        <f t="shared" si="26"/>
        <v>31723.79283784988</v>
      </c>
      <c r="E131" s="36">
        <f t="shared" si="14"/>
        <v>22282.486301284382</v>
      </c>
      <c r="F131" s="36">
        <f t="shared" si="24"/>
        <v>9441.3065365654984</v>
      </c>
      <c r="G131" s="36">
        <f t="shared" si="21"/>
        <v>0</v>
      </c>
      <c r="H131" s="38">
        <f t="shared" si="25"/>
        <v>28255.745118551869</v>
      </c>
      <c r="I131" s="36">
        <f t="shared" si="22"/>
        <v>4418800.2086017588</v>
      </c>
      <c r="J131" s="2">
        <f t="shared" si="16"/>
        <v>118</v>
      </c>
      <c r="K131" s="44">
        <f t="shared" si="17"/>
        <v>6.9898891304054356E-3</v>
      </c>
      <c r="L131" s="41">
        <f t="shared" si="18"/>
        <v>0.9</v>
      </c>
      <c r="M131" s="42">
        <f t="shared" si="15"/>
        <v>1</v>
      </c>
      <c r="N131" s="43">
        <f>(VLOOKUP(MONTH('Amortization Model S Shape'!$B131),Seasonality,2,TRUE))</f>
        <v>1.01</v>
      </c>
      <c r="O131" s="50">
        <f t="shared" si="23"/>
        <v>6.3538092195385412E-3</v>
      </c>
    </row>
    <row r="132" spans="2:15" ht="15" x14ac:dyDescent="0.25">
      <c r="B132" s="57">
        <f t="shared" si="19"/>
        <v>45962</v>
      </c>
      <c r="C132" s="36">
        <f t="shared" si="20"/>
        <v>4418800.2086017588</v>
      </c>
      <c r="D132" s="39">
        <f t="shared" si="26"/>
        <v>31522.225910438017</v>
      </c>
      <c r="E132" s="36">
        <f t="shared" si="14"/>
        <v>22094.001043008797</v>
      </c>
      <c r="F132" s="36">
        <f t="shared" si="24"/>
        <v>9428.2248674292205</v>
      </c>
      <c r="G132" s="36">
        <f t="shared" si="21"/>
        <v>0</v>
      </c>
      <c r="H132" s="38">
        <f t="shared" si="25"/>
        <v>23855.470486988583</v>
      </c>
      <c r="I132" s="36">
        <f t="shared" si="22"/>
        <v>4385516.5132473409</v>
      </c>
      <c r="J132" s="2">
        <f t="shared" si="16"/>
        <v>119</v>
      </c>
      <c r="K132" s="44">
        <f t="shared" si="17"/>
        <v>6.9898891304054356E-3</v>
      </c>
      <c r="L132" s="41">
        <f t="shared" si="18"/>
        <v>0.9</v>
      </c>
      <c r="M132" s="42">
        <f t="shared" si="15"/>
        <v>1</v>
      </c>
      <c r="N132" s="43">
        <f>(VLOOKUP(MONTH('Amortization Model S Shape'!$B132),Seasonality,2,TRUE))</f>
        <v>0.86</v>
      </c>
      <c r="O132" s="50">
        <f t="shared" si="23"/>
        <v>5.4101741869338072E-3</v>
      </c>
    </row>
    <row r="133" spans="2:15" ht="15" x14ac:dyDescent="0.25">
      <c r="B133" s="57">
        <f t="shared" si="19"/>
        <v>45992</v>
      </c>
      <c r="C133" s="36">
        <f t="shared" si="20"/>
        <v>4385516.5132473409</v>
      </c>
      <c r="D133" s="39">
        <f t="shared" si="26"/>
        <v>31351.685177502673</v>
      </c>
      <c r="E133" s="36">
        <f t="shared" si="14"/>
        <v>21927.582566236702</v>
      </c>
      <c r="F133" s="36">
        <f t="shared" si="24"/>
        <v>9424.1026112659711</v>
      </c>
      <c r="G133" s="36">
        <f t="shared" si="21"/>
        <v>0</v>
      </c>
      <c r="H133" s="40">
        <f t="shared" si="25"/>
        <v>24776.604627551405</v>
      </c>
      <c r="I133" s="36">
        <f t="shared" si="22"/>
        <v>4351315.8060085233</v>
      </c>
      <c r="J133" s="2">
        <f t="shared" si="16"/>
        <v>120</v>
      </c>
      <c r="K133" s="44">
        <f t="shared" si="17"/>
        <v>6.9898891304054356E-3</v>
      </c>
      <c r="L133" s="41">
        <f t="shared" si="18"/>
        <v>0.9</v>
      </c>
      <c r="M133" s="42">
        <f t="shared" si="15"/>
        <v>1</v>
      </c>
      <c r="N133" s="43">
        <f>(VLOOKUP(MONTH('Amortization Model S Shape'!$B133),Seasonality,2,TRUE))</f>
        <v>0.9</v>
      </c>
      <c r="O133" s="50">
        <f t="shared" si="23"/>
        <v>5.661810195628403E-3</v>
      </c>
    </row>
    <row r="134" spans="2:15" ht="15" x14ac:dyDescent="0.25">
      <c r="B134" s="57">
        <f t="shared" si="19"/>
        <v>46023</v>
      </c>
      <c r="C134" s="36">
        <f t="shared" si="20"/>
        <v>4351315.8060085233</v>
      </c>
      <c r="D134" s="39">
        <f t="shared" si="26"/>
        <v>31174.177886714555</v>
      </c>
      <c r="E134" s="36">
        <f t="shared" si="14"/>
        <v>21756.579030042616</v>
      </c>
      <c r="F134" s="36">
        <f t="shared" si="24"/>
        <v>9417.5988566719388</v>
      </c>
      <c r="G134" s="36">
        <f t="shared" si="21"/>
        <v>0</v>
      </c>
      <c r="H134" s="38">
        <f t="shared" si="25"/>
        <v>24309.859053881559</v>
      </c>
      <c r="I134" s="36">
        <f t="shared" si="22"/>
        <v>4317588.3480979698</v>
      </c>
      <c r="J134" s="2">
        <f t="shared" si="16"/>
        <v>121</v>
      </c>
      <c r="K134" s="44">
        <f t="shared" si="17"/>
        <v>6.9898891304054356E-3</v>
      </c>
      <c r="L134" s="41">
        <f t="shared" si="18"/>
        <v>0.9</v>
      </c>
      <c r="M134" s="42">
        <f t="shared" si="15"/>
        <v>1</v>
      </c>
      <c r="N134" s="43">
        <f>(VLOOKUP(MONTH('Amortization Model S Shape'!$B134),Seasonality,2,TRUE))</f>
        <v>0.89</v>
      </c>
      <c r="O134" s="50">
        <f t="shared" si="23"/>
        <v>5.5989011934547538E-3</v>
      </c>
    </row>
    <row r="135" spans="2:15" ht="15" x14ac:dyDescent="0.25">
      <c r="B135" s="57">
        <f t="shared" si="19"/>
        <v>46054</v>
      </c>
      <c r="C135" s="36">
        <f t="shared" si="20"/>
        <v>4317588.3480979698</v>
      </c>
      <c r="D135" s="39">
        <f t="shared" si="26"/>
        <v>30999.636744939657</v>
      </c>
      <c r="E135" s="36">
        <f t="shared" si="14"/>
        <v>21587.941740489849</v>
      </c>
      <c r="F135" s="36">
        <f t="shared" si="24"/>
        <v>9411.695004449808</v>
      </c>
      <c r="G135" s="36">
        <f t="shared" si="21"/>
        <v>0</v>
      </c>
      <c r="H135" s="38">
        <f t="shared" si="25"/>
        <v>24392.078499053139</v>
      </c>
      <c r="I135" s="36">
        <f t="shared" si="22"/>
        <v>4283784.574594466</v>
      </c>
      <c r="J135" s="2">
        <f t="shared" si="16"/>
        <v>122</v>
      </c>
      <c r="K135" s="44">
        <f t="shared" si="17"/>
        <v>6.9898891304054356E-3</v>
      </c>
      <c r="L135" s="41">
        <f t="shared" si="18"/>
        <v>0.9</v>
      </c>
      <c r="M135" s="42">
        <f t="shared" si="15"/>
        <v>1</v>
      </c>
      <c r="N135" s="43">
        <f>(VLOOKUP(MONTH('Amortization Model S Shape'!$B135),Seasonality,2,TRUE))</f>
        <v>0.9</v>
      </c>
      <c r="O135" s="50">
        <f t="shared" si="23"/>
        <v>5.661810195628403E-3</v>
      </c>
    </row>
    <row r="136" spans="2:15" ht="15" x14ac:dyDescent="0.25">
      <c r="B136" s="57">
        <f t="shared" si="19"/>
        <v>46082</v>
      </c>
      <c r="C136" s="36">
        <f t="shared" si="20"/>
        <v>4283784.574594466</v>
      </c>
      <c r="D136" s="39">
        <f t="shared" si="26"/>
        <v>30824.122685556376</v>
      </c>
      <c r="E136" s="36">
        <f t="shared" si="14"/>
        <v>21418.922872972329</v>
      </c>
      <c r="F136" s="36">
        <f t="shared" si="24"/>
        <v>9405.1998125840473</v>
      </c>
      <c r="G136" s="36">
        <f t="shared" si="21"/>
        <v>0</v>
      </c>
      <c r="H136" s="38">
        <f t="shared" si="25"/>
        <v>25545.209431019586</v>
      </c>
      <c r="I136" s="36">
        <f t="shared" si="22"/>
        <v>4248834.1653508628</v>
      </c>
      <c r="J136" s="2">
        <f t="shared" si="16"/>
        <v>123</v>
      </c>
      <c r="K136" s="44">
        <f t="shared" si="17"/>
        <v>6.9898891304054356E-3</v>
      </c>
      <c r="L136" s="41">
        <f t="shared" si="18"/>
        <v>0.9</v>
      </c>
      <c r="M136" s="42">
        <f t="shared" si="15"/>
        <v>1</v>
      </c>
      <c r="N136" s="43">
        <f>(VLOOKUP(MONTH('Amortization Model S Shape'!$B136),Seasonality,2,TRUE))</f>
        <v>0.95</v>
      </c>
      <c r="O136" s="50">
        <f t="shared" si="23"/>
        <v>5.9763552064966471E-3</v>
      </c>
    </row>
    <row r="137" spans="2:15" ht="15" x14ac:dyDescent="0.25">
      <c r="B137" s="57">
        <f t="shared" si="19"/>
        <v>46113</v>
      </c>
      <c r="C137" s="36">
        <f t="shared" si="20"/>
        <v>4248834.1653508628</v>
      </c>
      <c r="D137" s="39">
        <f t="shared" si="26"/>
        <v>30639.906779458863</v>
      </c>
      <c r="E137" s="36">
        <f t="shared" si="14"/>
        <v>21244.170826754311</v>
      </c>
      <c r="F137" s="36">
        <f t="shared" si="24"/>
        <v>9395.7359527045519</v>
      </c>
      <c r="G137" s="36">
        <f t="shared" si="21"/>
        <v>0</v>
      </c>
      <c r="H137" s="38">
        <f t="shared" si="25"/>
        <v>25603.088771525712</v>
      </c>
      <c r="I137" s="36">
        <f t="shared" si="22"/>
        <v>4213835.3406266328</v>
      </c>
      <c r="J137" s="2">
        <f t="shared" si="16"/>
        <v>124</v>
      </c>
      <c r="K137" s="44">
        <f t="shared" si="17"/>
        <v>6.9898891304054356E-3</v>
      </c>
      <c r="L137" s="41">
        <f t="shared" si="18"/>
        <v>0.9</v>
      </c>
      <c r="M137" s="42">
        <f t="shared" si="15"/>
        <v>1</v>
      </c>
      <c r="N137" s="43">
        <f>(VLOOKUP(MONTH('Amortization Model S Shape'!$B137),Seasonality,2,TRUE))</f>
        <v>0.96</v>
      </c>
      <c r="O137" s="50">
        <f t="shared" si="23"/>
        <v>6.0392642086702962E-3</v>
      </c>
    </row>
    <row r="138" spans="2:15" ht="15" x14ac:dyDescent="0.25">
      <c r="B138" s="57">
        <f t="shared" si="19"/>
        <v>46143</v>
      </c>
      <c r="C138" s="36">
        <f t="shared" si="20"/>
        <v>4213835.3406266328</v>
      </c>
      <c r="D138" s="39">
        <f t="shared" si="26"/>
        <v>30454.864287088676</v>
      </c>
      <c r="E138" s="36">
        <f t="shared" si="14"/>
        <v>21069.176703133166</v>
      </c>
      <c r="F138" s="36">
        <f t="shared" si="24"/>
        <v>9385.6875839555105</v>
      </c>
      <c r="G138" s="36">
        <f t="shared" si="21"/>
        <v>0</v>
      </c>
      <c r="H138" s="38">
        <f t="shared" si="25"/>
        <v>28036.75963039948</v>
      </c>
      <c r="I138" s="36">
        <f t="shared" si="22"/>
        <v>4176412.8934122776</v>
      </c>
      <c r="J138" s="2">
        <f t="shared" si="16"/>
        <v>125</v>
      </c>
      <c r="K138" s="44">
        <f t="shared" si="17"/>
        <v>6.9898891304054356E-3</v>
      </c>
      <c r="L138" s="41">
        <f t="shared" si="18"/>
        <v>0.9</v>
      </c>
      <c r="M138" s="42">
        <f t="shared" si="15"/>
        <v>1</v>
      </c>
      <c r="N138" s="43">
        <f>(VLOOKUP(MONTH('Amortization Model S Shape'!$B138),Seasonality,2,TRUE))</f>
        <v>1.06</v>
      </c>
      <c r="O138" s="50">
        <f t="shared" si="23"/>
        <v>6.6683542304067861E-3</v>
      </c>
    </row>
    <row r="139" spans="2:15" ht="15" x14ac:dyDescent="0.25">
      <c r="B139" s="57">
        <f t="shared" si="19"/>
        <v>46174</v>
      </c>
      <c r="C139" s="36">
        <f t="shared" si="20"/>
        <v>4176412.8934122776</v>
      </c>
      <c r="D139" s="39">
        <f t="shared" si="26"/>
        <v>30251.780463983407</v>
      </c>
      <c r="E139" s="36">
        <f t="shared" si="14"/>
        <v>20882.064467061387</v>
      </c>
      <c r="F139" s="36">
        <f t="shared" si="24"/>
        <v>9369.7159969220193</v>
      </c>
      <c r="G139" s="36">
        <f t="shared" si="21"/>
        <v>0</v>
      </c>
      <c r="H139" s="38">
        <f t="shared" si="25"/>
        <v>28573.753585322556</v>
      </c>
      <c r="I139" s="36">
        <f t="shared" si="22"/>
        <v>4138469.4238300328</v>
      </c>
      <c r="J139" s="2">
        <f t="shared" si="16"/>
        <v>126</v>
      </c>
      <c r="K139" s="44">
        <f t="shared" si="17"/>
        <v>6.9898891304054356E-3</v>
      </c>
      <c r="L139" s="41">
        <f t="shared" si="18"/>
        <v>0.9</v>
      </c>
      <c r="M139" s="42">
        <f t="shared" si="15"/>
        <v>1</v>
      </c>
      <c r="N139" s="43">
        <f>(VLOOKUP(MONTH('Amortization Model S Shape'!$B139),Seasonality,2,TRUE))</f>
        <v>1.0900000000000001</v>
      </c>
      <c r="O139" s="50">
        <f t="shared" si="23"/>
        <v>6.8570812369277328E-3</v>
      </c>
    </row>
    <row r="140" spans="2:15" ht="15" x14ac:dyDescent="0.25">
      <c r="B140" s="57">
        <f t="shared" si="19"/>
        <v>46204</v>
      </c>
      <c r="C140" s="36">
        <f t="shared" si="20"/>
        <v>4138469.4238300328</v>
      </c>
      <c r="D140" s="39">
        <f t="shared" si="26"/>
        <v>30044.341547780168</v>
      </c>
      <c r="E140" s="36">
        <f t="shared" si="14"/>
        <v>20692.347119150163</v>
      </c>
      <c r="F140" s="36">
        <f t="shared" si="24"/>
        <v>9351.9944286300051</v>
      </c>
      <c r="G140" s="36">
        <f t="shared" si="21"/>
        <v>0</v>
      </c>
      <c r="H140" s="38">
        <f t="shared" si="25"/>
        <v>28573.452307561096</v>
      </c>
      <c r="I140" s="36">
        <f t="shared" si="22"/>
        <v>4100543.9770938419</v>
      </c>
      <c r="J140" s="2">
        <f t="shared" si="16"/>
        <v>127</v>
      </c>
      <c r="K140" s="44">
        <f t="shared" si="17"/>
        <v>6.9898891304054356E-3</v>
      </c>
      <c r="L140" s="41">
        <f t="shared" si="18"/>
        <v>0.9</v>
      </c>
      <c r="M140" s="42">
        <f t="shared" si="15"/>
        <v>1</v>
      </c>
      <c r="N140" s="43">
        <f>(VLOOKUP(MONTH('Amortization Model S Shape'!$B140),Seasonality,2,TRUE))</f>
        <v>1.1000000000000001</v>
      </c>
      <c r="O140" s="50">
        <f t="shared" si="23"/>
        <v>6.9199902391013819E-3</v>
      </c>
    </row>
    <row r="141" spans="2:15" ht="15" x14ac:dyDescent="0.25">
      <c r="B141" s="57">
        <f t="shared" si="19"/>
        <v>46235</v>
      </c>
      <c r="C141" s="36">
        <f t="shared" si="20"/>
        <v>4100543.9770938419</v>
      </c>
      <c r="D141" s="39">
        <f t="shared" si="26"/>
        <v>29836.434997529304</v>
      </c>
      <c r="E141" s="36">
        <f t="shared" si="14"/>
        <v>20502.719885469207</v>
      </c>
      <c r="F141" s="36">
        <f t="shared" si="24"/>
        <v>9333.7151120600975</v>
      </c>
      <c r="G141" s="36">
        <f t="shared" si="21"/>
        <v>0</v>
      </c>
      <c r="H141" s="38">
        <f t="shared" si="25"/>
        <v>29598.004855344665</v>
      </c>
      <c r="I141" s="36">
        <f t="shared" si="22"/>
        <v>4061612.257126437</v>
      </c>
      <c r="J141" s="2">
        <f t="shared" si="16"/>
        <v>128</v>
      </c>
      <c r="K141" s="44">
        <f t="shared" si="17"/>
        <v>6.9898891304054356E-3</v>
      </c>
      <c r="L141" s="41">
        <f t="shared" si="18"/>
        <v>0.9</v>
      </c>
      <c r="M141" s="42">
        <f t="shared" si="15"/>
        <v>1</v>
      </c>
      <c r="N141" s="43">
        <f>(VLOOKUP(MONTH('Amortization Model S Shape'!$B141),Seasonality,2,TRUE))</f>
        <v>1.1499999999999999</v>
      </c>
      <c r="O141" s="50">
        <f t="shared" si="23"/>
        <v>7.2345352499696251E-3</v>
      </c>
    </row>
    <row r="142" spans="2:15" ht="15" x14ac:dyDescent="0.25">
      <c r="B142" s="57">
        <f t="shared" si="19"/>
        <v>46266</v>
      </c>
      <c r="C142" s="36">
        <f t="shared" si="20"/>
        <v>4061612.257126437</v>
      </c>
      <c r="D142" s="39">
        <f t="shared" si="26"/>
        <v>29620.58225680625</v>
      </c>
      <c r="E142" s="36">
        <f t="shared" ref="E142:E205" si="27">($F$7*C142)/12</f>
        <v>20308.061285632186</v>
      </c>
      <c r="F142" s="36">
        <f t="shared" si="24"/>
        <v>9312.5209711740645</v>
      </c>
      <c r="G142" s="36">
        <f t="shared" si="21"/>
        <v>0</v>
      </c>
      <c r="H142" s="38">
        <f t="shared" si="25"/>
        <v>28806.653018837729</v>
      </c>
      <c r="I142" s="36">
        <f t="shared" si="22"/>
        <v>4023493.0831364254</v>
      </c>
      <c r="J142" s="2">
        <f t="shared" si="16"/>
        <v>129</v>
      </c>
      <c r="K142" s="44">
        <f t="shared" si="17"/>
        <v>6.9898891304054356E-3</v>
      </c>
      <c r="L142" s="41">
        <f t="shared" si="18"/>
        <v>0.9</v>
      </c>
      <c r="M142" s="42">
        <f t="shared" ref="M142:M205" si="28">MIN(J142/VLOOKUP($F$5-$F$8,Seasoning,2,TRUE),1)</f>
        <v>1</v>
      </c>
      <c r="N142" s="43">
        <f>(VLOOKUP(MONTH('Amortization Model S Shape'!$B142),Seasonality,2,TRUE))</f>
        <v>1.1299999999999999</v>
      </c>
      <c r="O142" s="50">
        <f t="shared" si="23"/>
        <v>7.1087172456223277E-3</v>
      </c>
    </row>
    <row r="143" spans="2:15" ht="15" x14ac:dyDescent="0.25">
      <c r="B143" s="57">
        <f t="shared" si="19"/>
        <v>46296</v>
      </c>
      <c r="C143" s="36">
        <f t="shared" si="20"/>
        <v>4023493.0831364254</v>
      </c>
      <c r="D143" s="39">
        <f t="shared" si="26"/>
        <v>29410.017912891919</v>
      </c>
      <c r="E143" s="36">
        <f t="shared" si="27"/>
        <v>20117.465415682127</v>
      </c>
      <c r="F143" s="36">
        <f t="shared" si="24"/>
        <v>9292.5524972097919</v>
      </c>
      <c r="G143" s="36">
        <f t="shared" si="21"/>
        <v>0</v>
      </c>
      <c r="H143" s="38">
        <f t="shared" si="25"/>
        <v>25505.46434065195</v>
      </c>
      <c r="I143" s="36">
        <f t="shared" si="22"/>
        <v>3988695.0662985635</v>
      </c>
      <c r="J143" s="2">
        <f t="shared" ref="J143:J206" si="29">+J142+1</f>
        <v>130</v>
      </c>
      <c r="K143" s="44">
        <f t="shared" ref="K143:K206" si="30">1-((1-(0.3-0.16*ATAN(123.11*(0.02-$K$12))))^(1/12))</f>
        <v>6.9898891304054356E-3</v>
      </c>
      <c r="L143" s="41">
        <f t="shared" ref="L143:L206" si="31">VLOOKUP(ROUND(C143/$F$4,1),Burnout,2,FALSE)</f>
        <v>0.9</v>
      </c>
      <c r="M143" s="42">
        <f t="shared" si="28"/>
        <v>1</v>
      </c>
      <c r="N143" s="43">
        <f>(VLOOKUP(MONTH('Amortization Model S Shape'!$B143),Seasonality,2,TRUE))</f>
        <v>1.01</v>
      </c>
      <c r="O143" s="50">
        <f t="shared" si="23"/>
        <v>6.3538092195385412E-3</v>
      </c>
    </row>
    <row r="144" spans="2:15" ht="15" x14ac:dyDescent="0.25">
      <c r="B144" s="57">
        <f t="shared" ref="B144:B207" si="32">IF(C144&gt;0,EDATE(B143,1),"")</f>
        <v>46327</v>
      </c>
      <c r="C144" s="36">
        <f t="shared" ref="C144:C207" si="33">+I143</f>
        <v>3988695.0662985635</v>
      </c>
      <c r="D144" s="39">
        <f t="shared" si="26"/>
        <v>29223.152269930193</v>
      </c>
      <c r="E144" s="36">
        <f t="shared" si="27"/>
        <v>19943.475331492817</v>
      </c>
      <c r="F144" s="36">
        <f t="shared" si="24"/>
        <v>9279.6769384373765</v>
      </c>
      <c r="G144" s="36">
        <f t="shared" ref="G144:G207" si="34">($F$6*C144)/12</f>
        <v>0</v>
      </c>
      <c r="H144" s="38">
        <f t="shared" si="25"/>
        <v>21529.330418603298</v>
      </c>
      <c r="I144" s="36">
        <f t="shared" ref="I144:I207" si="35">IF(J144&gt;$F$3,0,C144-F144-H144)</f>
        <v>3957886.0589415226</v>
      </c>
      <c r="J144" s="2">
        <f t="shared" si="29"/>
        <v>131</v>
      </c>
      <c r="K144" s="44">
        <f t="shared" si="30"/>
        <v>6.9898891304054356E-3</v>
      </c>
      <c r="L144" s="41">
        <f t="shared" si="31"/>
        <v>0.9</v>
      </c>
      <c r="M144" s="42">
        <f t="shared" si="28"/>
        <v>1</v>
      </c>
      <c r="N144" s="43">
        <f>(VLOOKUP(MONTH('Amortization Model S Shape'!$B144),Seasonality,2,TRUE))</f>
        <v>0.86</v>
      </c>
      <c r="O144" s="50">
        <f t="shared" ref="O144:O207" si="36">PRODUCT(K144:N144)</f>
        <v>5.4101741869338072E-3</v>
      </c>
    </row>
    <row r="145" spans="2:15" ht="15" x14ac:dyDescent="0.25">
      <c r="B145" s="57">
        <f t="shared" si="32"/>
        <v>46357</v>
      </c>
      <c r="C145" s="36">
        <f t="shared" si="33"/>
        <v>3957886.0589415226</v>
      </c>
      <c r="D145" s="39">
        <f t="shared" si="26"/>
        <v>29065.049925858573</v>
      </c>
      <c r="E145" s="36">
        <f t="shared" si="27"/>
        <v>19789.43029470761</v>
      </c>
      <c r="F145" s="36">
        <f t="shared" ref="F145:F208" si="37">D145-E145-G145</f>
        <v>9275.619631150963</v>
      </c>
      <c r="G145" s="36">
        <f t="shared" si="34"/>
        <v>0</v>
      </c>
      <c r="H145" s="40">
        <f t="shared" ref="H145:H208" si="38">+O145*(C145-F145)</f>
        <v>22356.282843852212</v>
      </c>
      <c r="I145" s="36">
        <f t="shared" si="35"/>
        <v>3926254.1564665195</v>
      </c>
      <c r="J145" s="2">
        <f t="shared" si="29"/>
        <v>132</v>
      </c>
      <c r="K145" s="44">
        <f t="shared" si="30"/>
        <v>6.9898891304054356E-3</v>
      </c>
      <c r="L145" s="41">
        <f t="shared" si="31"/>
        <v>0.9</v>
      </c>
      <c r="M145" s="42">
        <f t="shared" si="28"/>
        <v>1</v>
      </c>
      <c r="N145" s="43">
        <f>(VLOOKUP(MONTH('Amortization Model S Shape'!$B145),Seasonality,2,TRUE))</f>
        <v>0.9</v>
      </c>
      <c r="O145" s="50">
        <f t="shared" si="36"/>
        <v>5.661810195628403E-3</v>
      </c>
    </row>
    <row r="146" spans="2:15" ht="15" x14ac:dyDescent="0.25">
      <c r="B146" s="57">
        <f t="shared" si="32"/>
        <v>46388</v>
      </c>
      <c r="C146" s="36">
        <f t="shared" si="33"/>
        <v>3926254.1564665195</v>
      </c>
      <c r="D146" s="39">
        <f t="shared" si="26"/>
        <v>28900.489129851903</v>
      </c>
      <c r="E146" s="36">
        <f t="shared" si="27"/>
        <v>19631.270782332595</v>
      </c>
      <c r="F146" s="36">
        <f t="shared" si="37"/>
        <v>9269.2183475193087</v>
      </c>
      <c r="G146" s="36">
        <f t="shared" si="34"/>
        <v>0</v>
      </c>
      <c r="H146" s="38">
        <f t="shared" si="38"/>
        <v>21930.811644778765</v>
      </c>
      <c r="I146" s="36">
        <f t="shared" si="35"/>
        <v>3895054.1264742217</v>
      </c>
      <c r="J146" s="2">
        <f t="shared" si="29"/>
        <v>133</v>
      </c>
      <c r="K146" s="44">
        <f t="shared" si="30"/>
        <v>6.9898891304054356E-3</v>
      </c>
      <c r="L146" s="41">
        <f t="shared" si="31"/>
        <v>0.9</v>
      </c>
      <c r="M146" s="42">
        <f t="shared" si="28"/>
        <v>1</v>
      </c>
      <c r="N146" s="43">
        <f>(VLOOKUP(MONTH('Amortization Model S Shape'!$B146),Seasonality,2,TRUE))</f>
        <v>0.89</v>
      </c>
      <c r="O146" s="50">
        <f t="shared" si="36"/>
        <v>5.5989011934547538E-3</v>
      </c>
    </row>
    <row r="147" spans="2:15" ht="15" x14ac:dyDescent="0.25">
      <c r="B147" s="57">
        <f t="shared" si="32"/>
        <v>46419</v>
      </c>
      <c r="C147" s="36">
        <f t="shared" si="33"/>
        <v>3895054.1264742217</v>
      </c>
      <c r="D147" s="39">
        <f t="shared" ref="D147:D210" si="39">-PMT($F$5/12,$F$3-J146,$C147)</f>
        <v>28738.678146771348</v>
      </c>
      <c r="E147" s="36">
        <f t="shared" si="27"/>
        <v>19475.270632371106</v>
      </c>
      <c r="F147" s="36">
        <f t="shared" si="37"/>
        <v>9263.4075144002418</v>
      </c>
      <c r="G147" s="36">
        <f t="shared" si="34"/>
        <v>0</v>
      </c>
      <c r="H147" s="38">
        <f t="shared" si="38"/>
        <v>22000.609510684939</v>
      </c>
      <c r="I147" s="36">
        <f t="shared" si="35"/>
        <v>3863790.1094491365</v>
      </c>
      <c r="J147" s="2">
        <f t="shared" si="29"/>
        <v>134</v>
      </c>
      <c r="K147" s="44">
        <f t="shared" si="30"/>
        <v>6.9898891304054356E-3</v>
      </c>
      <c r="L147" s="41">
        <f t="shared" si="31"/>
        <v>0.9</v>
      </c>
      <c r="M147" s="42">
        <f t="shared" si="28"/>
        <v>1</v>
      </c>
      <c r="N147" s="43">
        <f>(VLOOKUP(MONTH('Amortization Model S Shape'!$B147),Seasonality,2,TRUE))</f>
        <v>0.9</v>
      </c>
      <c r="O147" s="50">
        <f t="shared" si="36"/>
        <v>5.661810195628403E-3</v>
      </c>
    </row>
    <row r="148" spans="2:15" ht="15" x14ac:dyDescent="0.25">
      <c r="B148" s="57">
        <f t="shared" si="32"/>
        <v>46447</v>
      </c>
      <c r="C148" s="36">
        <f t="shared" si="33"/>
        <v>3863790.1094491365</v>
      </c>
      <c r="D148" s="39">
        <f t="shared" si="39"/>
        <v>28575.965205831071</v>
      </c>
      <c r="E148" s="36">
        <f t="shared" si="27"/>
        <v>19318.950547245684</v>
      </c>
      <c r="F148" s="36">
        <f t="shared" si="37"/>
        <v>9257.0146585853872</v>
      </c>
      <c r="G148" s="36">
        <f t="shared" si="34"/>
        <v>0</v>
      </c>
      <c r="H148" s="38">
        <f t="shared" si="38"/>
        <v>23036.058929665145</v>
      </c>
      <c r="I148" s="36">
        <f t="shared" si="35"/>
        <v>3831497.0358608863</v>
      </c>
      <c r="J148" s="2">
        <f t="shared" si="29"/>
        <v>135</v>
      </c>
      <c r="K148" s="44">
        <f t="shared" si="30"/>
        <v>6.9898891304054356E-3</v>
      </c>
      <c r="L148" s="41">
        <f t="shared" si="31"/>
        <v>0.9</v>
      </c>
      <c r="M148" s="42">
        <f t="shared" si="28"/>
        <v>1</v>
      </c>
      <c r="N148" s="43">
        <f>(VLOOKUP(MONTH('Amortization Model S Shape'!$B148),Seasonality,2,TRUE))</f>
        <v>0.95</v>
      </c>
      <c r="O148" s="50">
        <f t="shared" si="36"/>
        <v>5.9763552064966471E-3</v>
      </c>
    </row>
    <row r="149" spans="2:15" ht="15" x14ac:dyDescent="0.25">
      <c r="B149" s="57">
        <f t="shared" si="32"/>
        <v>46478</v>
      </c>
      <c r="C149" s="36">
        <f t="shared" si="33"/>
        <v>3831497.0358608863</v>
      </c>
      <c r="D149" s="39">
        <f t="shared" si="39"/>
        <v>28405.185087392543</v>
      </c>
      <c r="E149" s="36">
        <f t="shared" si="27"/>
        <v>19157.485179304433</v>
      </c>
      <c r="F149" s="36">
        <f t="shared" si="37"/>
        <v>9247.6999080881105</v>
      </c>
      <c r="G149" s="36">
        <f t="shared" si="34"/>
        <v>0</v>
      </c>
      <c r="H149" s="38">
        <f t="shared" si="38"/>
        <v>23083.573611233543</v>
      </c>
      <c r="I149" s="36">
        <f t="shared" si="35"/>
        <v>3799165.762341565</v>
      </c>
      <c r="J149" s="2">
        <f t="shared" si="29"/>
        <v>136</v>
      </c>
      <c r="K149" s="44">
        <f t="shared" si="30"/>
        <v>6.9898891304054356E-3</v>
      </c>
      <c r="L149" s="41">
        <f t="shared" si="31"/>
        <v>0.9</v>
      </c>
      <c r="M149" s="42">
        <f t="shared" si="28"/>
        <v>1</v>
      </c>
      <c r="N149" s="43">
        <f>(VLOOKUP(MONTH('Amortization Model S Shape'!$B149),Seasonality,2,TRUE))</f>
        <v>0.96</v>
      </c>
      <c r="O149" s="50">
        <f t="shared" si="36"/>
        <v>6.0392642086702962E-3</v>
      </c>
    </row>
    <row r="150" spans="2:15" ht="15" x14ac:dyDescent="0.25">
      <c r="B150" s="57">
        <f t="shared" si="32"/>
        <v>46508</v>
      </c>
      <c r="C150" s="36">
        <f t="shared" si="33"/>
        <v>3799165.762341565</v>
      </c>
      <c r="D150" s="39">
        <f t="shared" si="39"/>
        <v>28233.6386697536</v>
      </c>
      <c r="E150" s="36">
        <f t="shared" si="27"/>
        <v>18995.828811707823</v>
      </c>
      <c r="F150" s="36">
        <f t="shared" si="37"/>
        <v>9237.8098580457772</v>
      </c>
      <c r="G150" s="36">
        <f t="shared" si="34"/>
        <v>0</v>
      </c>
      <c r="H150" s="38">
        <f t="shared" si="38"/>
        <v>25272.582094880403</v>
      </c>
      <c r="I150" s="36">
        <f t="shared" si="35"/>
        <v>3764655.3703886387</v>
      </c>
      <c r="J150" s="2">
        <f t="shared" si="29"/>
        <v>137</v>
      </c>
      <c r="K150" s="44">
        <f t="shared" si="30"/>
        <v>6.9898891304054356E-3</v>
      </c>
      <c r="L150" s="41">
        <f t="shared" si="31"/>
        <v>0.9</v>
      </c>
      <c r="M150" s="42">
        <f t="shared" si="28"/>
        <v>1</v>
      </c>
      <c r="N150" s="43">
        <f>(VLOOKUP(MONTH('Amortization Model S Shape'!$B150),Seasonality,2,TRUE))</f>
        <v>1.06</v>
      </c>
      <c r="O150" s="50">
        <f t="shared" si="36"/>
        <v>6.6683542304067861E-3</v>
      </c>
    </row>
    <row r="151" spans="2:15" ht="15" x14ac:dyDescent="0.25">
      <c r="B151" s="57">
        <f t="shared" si="32"/>
        <v>46539</v>
      </c>
      <c r="C151" s="36">
        <f t="shared" si="33"/>
        <v>3764655.3703886387</v>
      </c>
      <c r="D151" s="39">
        <f t="shared" si="39"/>
        <v>28045.366765890369</v>
      </c>
      <c r="E151" s="36">
        <f t="shared" si="27"/>
        <v>18823.276851943192</v>
      </c>
      <c r="F151" s="36">
        <f t="shared" si="37"/>
        <v>9222.0899139471767</v>
      </c>
      <c r="G151" s="36">
        <f t="shared" si="34"/>
        <v>0</v>
      </c>
      <c r="H151" s="38">
        <f t="shared" si="38"/>
        <v>25751.311084076973</v>
      </c>
      <c r="I151" s="36">
        <f t="shared" si="35"/>
        <v>3729681.9693906149</v>
      </c>
      <c r="J151" s="2">
        <f t="shared" si="29"/>
        <v>138</v>
      </c>
      <c r="K151" s="44">
        <f t="shared" si="30"/>
        <v>6.9898891304054356E-3</v>
      </c>
      <c r="L151" s="41">
        <f t="shared" si="31"/>
        <v>0.9</v>
      </c>
      <c r="M151" s="42">
        <f t="shared" si="28"/>
        <v>1</v>
      </c>
      <c r="N151" s="43">
        <f>(VLOOKUP(MONTH('Amortization Model S Shape'!$B151),Seasonality,2,TRUE))</f>
        <v>1.0900000000000001</v>
      </c>
      <c r="O151" s="50">
        <f t="shared" si="36"/>
        <v>6.8570812369277328E-3</v>
      </c>
    </row>
    <row r="152" spans="2:15" ht="15" x14ac:dyDescent="0.25">
      <c r="B152" s="57">
        <f t="shared" si="32"/>
        <v>46569</v>
      </c>
      <c r="C152" s="36">
        <f t="shared" si="33"/>
        <v>3729681.9693906149</v>
      </c>
      <c r="D152" s="39">
        <f t="shared" si="39"/>
        <v>27853.057407657234</v>
      </c>
      <c r="E152" s="36">
        <f t="shared" si="27"/>
        <v>18648.409846953073</v>
      </c>
      <c r="F152" s="36">
        <f t="shared" si="37"/>
        <v>9204.6475607041612</v>
      </c>
      <c r="G152" s="36">
        <f t="shared" si="34"/>
        <v>0</v>
      </c>
      <c r="H152" s="38">
        <f t="shared" si="38"/>
        <v>25745.666751861034</v>
      </c>
      <c r="I152" s="36">
        <f t="shared" si="35"/>
        <v>3694731.6550780497</v>
      </c>
      <c r="J152" s="2">
        <f t="shared" si="29"/>
        <v>139</v>
      </c>
      <c r="K152" s="44">
        <f t="shared" si="30"/>
        <v>6.9898891304054356E-3</v>
      </c>
      <c r="L152" s="41">
        <f t="shared" si="31"/>
        <v>0.9</v>
      </c>
      <c r="M152" s="42">
        <f t="shared" si="28"/>
        <v>1</v>
      </c>
      <c r="N152" s="43">
        <f>(VLOOKUP(MONTH('Amortization Model S Shape'!$B152),Seasonality,2,TRUE))</f>
        <v>1.1000000000000001</v>
      </c>
      <c r="O152" s="50">
        <f t="shared" si="36"/>
        <v>6.9199902391013819E-3</v>
      </c>
    </row>
    <row r="153" spans="2:15" ht="15" x14ac:dyDescent="0.25">
      <c r="B153" s="57">
        <f t="shared" si="32"/>
        <v>46600</v>
      </c>
      <c r="C153" s="36">
        <f t="shared" si="33"/>
        <v>3694731.6550780497</v>
      </c>
      <c r="D153" s="39">
        <f t="shared" si="39"/>
        <v>27660.314522267116</v>
      </c>
      <c r="E153" s="36">
        <f t="shared" si="27"/>
        <v>18473.658275390248</v>
      </c>
      <c r="F153" s="36">
        <f t="shared" si="37"/>
        <v>9186.656246876868</v>
      </c>
      <c r="G153" s="36">
        <f t="shared" si="34"/>
        <v>0</v>
      </c>
      <c r="H153" s="38">
        <f t="shared" si="38"/>
        <v>26663.205209393382</v>
      </c>
      <c r="I153" s="36">
        <f t="shared" si="35"/>
        <v>3658881.7936217794</v>
      </c>
      <c r="J153" s="2">
        <f t="shared" si="29"/>
        <v>140</v>
      </c>
      <c r="K153" s="44">
        <f t="shared" si="30"/>
        <v>6.9898891304054356E-3</v>
      </c>
      <c r="L153" s="41">
        <f t="shared" si="31"/>
        <v>0.9</v>
      </c>
      <c r="M153" s="42">
        <f t="shared" si="28"/>
        <v>1</v>
      </c>
      <c r="N153" s="43">
        <f>(VLOOKUP(MONTH('Amortization Model S Shape'!$B153),Seasonality,2,TRUE))</f>
        <v>1.1499999999999999</v>
      </c>
      <c r="O153" s="50">
        <f t="shared" si="36"/>
        <v>7.2345352499696251E-3</v>
      </c>
    </row>
    <row r="154" spans="2:15" ht="15" x14ac:dyDescent="0.25">
      <c r="B154" s="57">
        <f t="shared" si="32"/>
        <v>46631</v>
      </c>
      <c r="C154" s="36">
        <f t="shared" si="33"/>
        <v>3658881.7936217794</v>
      </c>
      <c r="D154" s="39">
        <f t="shared" si="39"/>
        <v>27460.20500183052</v>
      </c>
      <c r="E154" s="36">
        <f t="shared" si="27"/>
        <v>18294.408968108895</v>
      </c>
      <c r="F154" s="36">
        <f t="shared" si="37"/>
        <v>9165.7960337216246</v>
      </c>
      <c r="G154" s="36">
        <f t="shared" si="34"/>
        <v>0</v>
      </c>
      <c r="H154" s="38">
        <f t="shared" si="38"/>
        <v>25944.799053677925</v>
      </c>
      <c r="I154" s="36">
        <f t="shared" si="35"/>
        <v>3623771.1985343802</v>
      </c>
      <c r="J154" s="2">
        <f t="shared" si="29"/>
        <v>141</v>
      </c>
      <c r="K154" s="44">
        <f t="shared" si="30"/>
        <v>6.9898891304054356E-3</v>
      </c>
      <c r="L154" s="41">
        <f t="shared" si="31"/>
        <v>0.9</v>
      </c>
      <c r="M154" s="42">
        <f t="shared" si="28"/>
        <v>1</v>
      </c>
      <c r="N154" s="43">
        <f>(VLOOKUP(MONTH('Amortization Model S Shape'!$B154),Seasonality,2,TRUE))</f>
        <v>1.1299999999999999</v>
      </c>
      <c r="O154" s="50">
        <f t="shared" si="36"/>
        <v>7.1087172456223277E-3</v>
      </c>
    </row>
    <row r="155" spans="2:15" ht="15" x14ac:dyDescent="0.25">
      <c r="B155" s="57">
        <f t="shared" si="32"/>
        <v>46661</v>
      </c>
      <c r="C155" s="36">
        <f t="shared" si="33"/>
        <v>3623771.1985343802</v>
      </c>
      <c r="D155" s="39">
        <f t="shared" si="39"/>
        <v>27264.998168965689</v>
      </c>
      <c r="E155" s="36">
        <f t="shared" si="27"/>
        <v>18118.855992671899</v>
      </c>
      <c r="F155" s="36">
        <f t="shared" si="37"/>
        <v>9146.1421762937898</v>
      </c>
      <c r="G155" s="36">
        <f t="shared" si="34"/>
        <v>0</v>
      </c>
      <c r="H155" s="38">
        <f t="shared" si="38"/>
        <v>22966.638008263028</v>
      </c>
      <c r="I155" s="36">
        <f t="shared" si="35"/>
        <v>3591658.4183498234</v>
      </c>
      <c r="J155" s="2">
        <f t="shared" si="29"/>
        <v>142</v>
      </c>
      <c r="K155" s="44">
        <f t="shared" si="30"/>
        <v>6.9898891304054356E-3</v>
      </c>
      <c r="L155" s="41">
        <f t="shared" si="31"/>
        <v>0.9</v>
      </c>
      <c r="M155" s="42">
        <f t="shared" si="28"/>
        <v>1</v>
      </c>
      <c r="N155" s="43">
        <f>(VLOOKUP(MONTH('Amortization Model S Shape'!$B155),Seasonality,2,TRUE))</f>
        <v>1.01</v>
      </c>
      <c r="O155" s="50">
        <f t="shared" si="36"/>
        <v>6.3538092195385412E-3</v>
      </c>
    </row>
    <row r="156" spans="2:15" ht="15" x14ac:dyDescent="0.25">
      <c r="B156" s="57">
        <f t="shared" si="32"/>
        <v>46692</v>
      </c>
      <c r="C156" s="36">
        <f t="shared" si="33"/>
        <v>3591658.4183498234</v>
      </c>
      <c r="D156" s="39">
        <f t="shared" si="39"/>
        <v>27091.761572229014</v>
      </c>
      <c r="E156" s="36">
        <f t="shared" si="27"/>
        <v>17958.292091749117</v>
      </c>
      <c r="F156" s="36">
        <f t="shared" si="37"/>
        <v>9133.4694804798964</v>
      </c>
      <c r="G156" s="36">
        <f t="shared" si="34"/>
        <v>0</v>
      </c>
      <c r="H156" s="38">
        <f t="shared" si="38"/>
        <v>19382.08400241928</v>
      </c>
      <c r="I156" s="36">
        <f t="shared" si="35"/>
        <v>3563142.864866924</v>
      </c>
      <c r="J156" s="2">
        <f t="shared" si="29"/>
        <v>143</v>
      </c>
      <c r="K156" s="44">
        <f t="shared" si="30"/>
        <v>6.9898891304054356E-3</v>
      </c>
      <c r="L156" s="41">
        <f t="shared" si="31"/>
        <v>0.9</v>
      </c>
      <c r="M156" s="42">
        <f t="shared" si="28"/>
        <v>1</v>
      </c>
      <c r="N156" s="43">
        <f>(VLOOKUP(MONTH('Amortization Model S Shape'!$B156),Seasonality,2,TRUE))</f>
        <v>0.86</v>
      </c>
      <c r="O156" s="50">
        <f t="shared" si="36"/>
        <v>5.4101741869338072E-3</v>
      </c>
    </row>
    <row r="157" spans="2:15" ht="15" x14ac:dyDescent="0.25">
      <c r="B157" s="57">
        <f t="shared" si="32"/>
        <v>46722</v>
      </c>
      <c r="C157" s="36">
        <f t="shared" si="33"/>
        <v>3563142.864866924</v>
      </c>
      <c r="D157" s="39">
        <f t="shared" si="39"/>
        <v>26945.190423092376</v>
      </c>
      <c r="E157" s="36">
        <f t="shared" si="27"/>
        <v>17815.714324334618</v>
      </c>
      <c r="F157" s="36">
        <f t="shared" si="37"/>
        <v>9129.4760987577574</v>
      </c>
      <c r="G157" s="36">
        <f t="shared" si="34"/>
        <v>0</v>
      </c>
      <c r="H157" s="40">
        <f t="shared" si="38"/>
        <v>20122.149239927454</v>
      </c>
      <c r="I157" s="36">
        <f t="shared" si="35"/>
        <v>3533891.2395282388</v>
      </c>
      <c r="J157" s="2">
        <f t="shared" si="29"/>
        <v>144</v>
      </c>
      <c r="K157" s="44">
        <f t="shared" si="30"/>
        <v>6.9898891304054356E-3</v>
      </c>
      <c r="L157" s="41">
        <f t="shared" si="31"/>
        <v>0.9</v>
      </c>
      <c r="M157" s="42">
        <f t="shared" si="28"/>
        <v>1</v>
      </c>
      <c r="N157" s="43">
        <f>(VLOOKUP(MONTH('Amortization Model S Shape'!$B157),Seasonality,2,TRUE))</f>
        <v>0.9</v>
      </c>
      <c r="O157" s="50">
        <f t="shared" si="36"/>
        <v>5.661810195628403E-3</v>
      </c>
    </row>
    <row r="158" spans="2:15" ht="15" x14ac:dyDescent="0.25">
      <c r="B158" s="57">
        <f t="shared" si="32"/>
        <v>46753</v>
      </c>
      <c r="C158" s="36">
        <f t="shared" si="33"/>
        <v>3533891.2395282388</v>
      </c>
      <c r="D158" s="39">
        <f t="shared" si="39"/>
        <v>26792.631869231762</v>
      </c>
      <c r="E158" s="36">
        <f t="shared" si="27"/>
        <v>17669.456197641193</v>
      </c>
      <c r="F158" s="36">
        <f t="shared" si="37"/>
        <v>9123.1756715905685</v>
      </c>
      <c r="G158" s="36">
        <f t="shared" si="34"/>
        <v>0</v>
      </c>
      <c r="H158" s="38">
        <f t="shared" si="38"/>
        <v>19734.828119378191</v>
      </c>
      <c r="I158" s="36">
        <f t="shared" si="35"/>
        <v>3505033.2357372702</v>
      </c>
      <c r="J158" s="2">
        <f t="shared" si="29"/>
        <v>145</v>
      </c>
      <c r="K158" s="44">
        <f t="shared" si="30"/>
        <v>6.9898891304054356E-3</v>
      </c>
      <c r="L158" s="41">
        <f t="shared" si="31"/>
        <v>0.9</v>
      </c>
      <c r="M158" s="42">
        <f t="shared" si="28"/>
        <v>1</v>
      </c>
      <c r="N158" s="43">
        <f>(VLOOKUP(MONTH('Amortization Model S Shape'!$B158),Seasonality,2,TRUE))</f>
        <v>0.89</v>
      </c>
      <c r="O158" s="50">
        <f t="shared" si="36"/>
        <v>5.5989011934547538E-3</v>
      </c>
    </row>
    <row r="159" spans="2:15" ht="15" x14ac:dyDescent="0.25">
      <c r="B159" s="57">
        <f t="shared" si="32"/>
        <v>46784</v>
      </c>
      <c r="C159" s="36">
        <f t="shared" si="33"/>
        <v>3505033.2357372702</v>
      </c>
      <c r="D159" s="39">
        <f t="shared" si="39"/>
        <v>26642.622570683328</v>
      </c>
      <c r="E159" s="36">
        <f t="shared" si="27"/>
        <v>17525.166178686351</v>
      </c>
      <c r="F159" s="36">
        <f t="shared" si="37"/>
        <v>9117.4563919969769</v>
      </c>
      <c r="G159" s="36">
        <f t="shared" si="34"/>
        <v>0</v>
      </c>
      <c r="H159" s="38">
        <f t="shared" si="38"/>
        <v>19793.211602555282</v>
      </c>
      <c r="I159" s="36">
        <f t="shared" si="35"/>
        <v>3476122.5677427179</v>
      </c>
      <c r="J159" s="2">
        <f t="shared" si="29"/>
        <v>146</v>
      </c>
      <c r="K159" s="44">
        <f t="shared" si="30"/>
        <v>6.9898891304054356E-3</v>
      </c>
      <c r="L159" s="41">
        <f t="shared" si="31"/>
        <v>0.9</v>
      </c>
      <c r="M159" s="42">
        <f t="shared" si="28"/>
        <v>1</v>
      </c>
      <c r="N159" s="43">
        <f>(VLOOKUP(MONTH('Amortization Model S Shape'!$B159),Seasonality,2,TRUE))</f>
        <v>0.9</v>
      </c>
      <c r="O159" s="50">
        <f t="shared" si="36"/>
        <v>5.661810195628403E-3</v>
      </c>
    </row>
    <row r="160" spans="2:15" ht="15" x14ac:dyDescent="0.25">
      <c r="B160" s="57">
        <f t="shared" si="32"/>
        <v>46813</v>
      </c>
      <c r="C160" s="36">
        <f t="shared" si="33"/>
        <v>3476122.5677427179</v>
      </c>
      <c r="D160" s="39">
        <f t="shared" si="39"/>
        <v>26491.777098574352</v>
      </c>
      <c r="E160" s="36">
        <f t="shared" si="27"/>
        <v>17380.612838713587</v>
      </c>
      <c r="F160" s="36">
        <f t="shared" si="37"/>
        <v>9111.164259860765</v>
      </c>
      <c r="G160" s="36">
        <f t="shared" si="34"/>
        <v>0</v>
      </c>
      <c r="H160" s="38">
        <f t="shared" si="38"/>
        <v>13813.394434792013</v>
      </c>
      <c r="I160" s="36">
        <f t="shared" si="35"/>
        <v>3453198.0090480652</v>
      </c>
      <c r="J160" s="2">
        <f t="shared" si="29"/>
        <v>147</v>
      </c>
      <c r="K160" s="44">
        <f t="shared" si="30"/>
        <v>6.9898891304054356E-3</v>
      </c>
      <c r="L160" s="41">
        <f t="shared" si="31"/>
        <v>0.6</v>
      </c>
      <c r="M160" s="42">
        <f t="shared" si="28"/>
        <v>1</v>
      </c>
      <c r="N160" s="43">
        <f>(VLOOKUP(MONTH('Amortization Model S Shape'!$B160),Seasonality,2,TRUE))</f>
        <v>0.95</v>
      </c>
      <c r="O160" s="50">
        <f t="shared" si="36"/>
        <v>3.9842368043310978E-3</v>
      </c>
    </row>
    <row r="161" spans="2:15" ht="15" x14ac:dyDescent="0.25">
      <c r="B161" s="57">
        <f t="shared" si="32"/>
        <v>46844</v>
      </c>
      <c r="C161" s="36">
        <f t="shared" si="33"/>
        <v>3453198.0090480652</v>
      </c>
      <c r="D161" s="39">
        <f t="shared" si="39"/>
        <v>26386.227585246081</v>
      </c>
      <c r="E161" s="36">
        <f t="shared" si="27"/>
        <v>17265.990045240327</v>
      </c>
      <c r="F161" s="36">
        <f t="shared" si="37"/>
        <v>9120.2375400057535</v>
      </c>
      <c r="G161" s="36">
        <f t="shared" si="34"/>
        <v>0</v>
      </c>
      <c r="H161" s="38">
        <f t="shared" si="38"/>
        <v>13866.463744897052</v>
      </c>
      <c r="I161" s="36">
        <f t="shared" si="35"/>
        <v>3430211.3077631625</v>
      </c>
      <c r="J161" s="2">
        <f t="shared" si="29"/>
        <v>148</v>
      </c>
      <c r="K161" s="44">
        <f t="shared" si="30"/>
        <v>6.9898891304054356E-3</v>
      </c>
      <c r="L161" s="41">
        <f t="shared" si="31"/>
        <v>0.6</v>
      </c>
      <c r="M161" s="42">
        <f t="shared" si="28"/>
        <v>1</v>
      </c>
      <c r="N161" s="43">
        <f>(VLOOKUP(MONTH('Amortization Model S Shape'!$B161),Seasonality,2,TRUE))</f>
        <v>0.96</v>
      </c>
      <c r="O161" s="50">
        <f t="shared" si="36"/>
        <v>4.0261761391135308E-3</v>
      </c>
    </row>
    <row r="162" spans="2:15" ht="15" x14ac:dyDescent="0.25">
      <c r="B162" s="57">
        <f t="shared" si="32"/>
        <v>46874</v>
      </c>
      <c r="C162" s="36">
        <f t="shared" si="33"/>
        <v>3430211.3077631625</v>
      </c>
      <c r="D162" s="39">
        <f t="shared" si="39"/>
        <v>26279.991985341145</v>
      </c>
      <c r="E162" s="36">
        <f t="shared" si="27"/>
        <v>17151.05653881581</v>
      </c>
      <c r="F162" s="36">
        <f t="shared" si="37"/>
        <v>9128.9354465253346</v>
      </c>
      <c r="G162" s="36">
        <f t="shared" si="34"/>
        <v>0</v>
      </c>
      <c r="H162" s="38">
        <f t="shared" si="38"/>
        <v>15208.659406671819</v>
      </c>
      <c r="I162" s="36">
        <f t="shared" si="35"/>
        <v>3405873.7129099653</v>
      </c>
      <c r="J162" s="2">
        <f t="shared" si="29"/>
        <v>149</v>
      </c>
      <c r="K162" s="44">
        <f t="shared" si="30"/>
        <v>6.9898891304054356E-3</v>
      </c>
      <c r="L162" s="41">
        <f t="shared" si="31"/>
        <v>0.6</v>
      </c>
      <c r="M162" s="42">
        <f t="shared" si="28"/>
        <v>1</v>
      </c>
      <c r="N162" s="43">
        <f>(VLOOKUP(MONTH('Amortization Model S Shape'!$B162),Seasonality,2,TRUE))</f>
        <v>1.06</v>
      </c>
      <c r="O162" s="50">
        <f t="shared" si="36"/>
        <v>4.4455694869378571E-3</v>
      </c>
    </row>
    <row r="163" spans="2:15" ht="15" x14ac:dyDescent="0.25">
      <c r="B163" s="57">
        <f t="shared" si="32"/>
        <v>46905</v>
      </c>
      <c r="C163" s="36">
        <f t="shared" si="33"/>
        <v>3405873.7129099653</v>
      </c>
      <c r="D163" s="39">
        <f t="shared" si="39"/>
        <v>26163.16245485414</v>
      </c>
      <c r="E163" s="36">
        <f t="shared" si="27"/>
        <v>17029.368564549826</v>
      </c>
      <c r="F163" s="36">
        <f t="shared" si="37"/>
        <v>9133.7938903043141</v>
      </c>
      <c r="G163" s="36">
        <f t="shared" si="34"/>
        <v>0</v>
      </c>
      <c r="H163" s="38">
        <f t="shared" si="38"/>
        <v>15527.81437695543</v>
      </c>
      <c r="I163" s="36">
        <f t="shared" si="35"/>
        <v>3381212.1046427055</v>
      </c>
      <c r="J163" s="2">
        <f t="shared" si="29"/>
        <v>150</v>
      </c>
      <c r="K163" s="44">
        <f t="shared" si="30"/>
        <v>6.9898891304054356E-3</v>
      </c>
      <c r="L163" s="41">
        <f t="shared" si="31"/>
        <v>0.6</v>
      </c>
      <c r="M163" s="42">
        <f t="shared" si="28"/>
        <v>1</v>
      </c>
      <c r="N163" s="43">
        <f>(VLOOKUP(MONTH('Amortization Model S Shape'!$B163),Seasonality,2,TRUE))</f>
        <v>1.0900000000000001</v>
      </c>
      <c r="O163" s="50">
        <f t="shared" si="36"/>
        <v>4.5713874912851555E-3</v>
      </c>
    </row>
    <row r="164" spans="2:15" ht="15" x14ac:dyDescent="0.25">
      <c r="B164" s="57">
        <f t="shared" si="32"/>
        <v>46935</v>
      </c>
      <c r="C164" s="36">
        <f t="shared" si="33"/>
        <v>3381212.1046427055</v>
      </c>
      <c r="D164" s="39">
        <f t="shared" si="39"/>
        <v>26043.560501275551</v>
      </c>
      <c r="E164" s="36">
        <f t="shared" si="27"/>
        <v>16906.060523213528</v>
      </c>
      <c r="F164" s="36">
        <f t="shared" si="37"/>
        <v>9137.4999780620237</v>
      </c>
      <c r="G164" s="36">
        <f t="shared" si="34"/>
        <v>0</v>
      </c>
      <c r="H164" s="38">
        <f t="shared" si="38"/>
        <v>15556.482233200655</v>
      </c>
      <c r="I164" s="36">
        <f t="shared" si="35"/>
        <v>3356518.1224314426</v>
      </c>
      <c r="J164" s="2">
        <f t="shared" si="29"/>
        <v>151</v>
      </c>
      <c r="K164" s="44">
        <f t="shared" si="30"/>
        <v>6.9898891304054356E-3</v>
      </c>
      <c r="L164" s="41">
        <f t="shared" si="31"/>
        <v>0.6</v>
      </c>
      <c r="M164" s="42">
        <f t="shared" si="28"/>
        <v>1</v>
      </c>
      <c r="N164" s="43">
        <f>(VLOOKUP(MONTH('Amortization Model S Shape'!$B164),Seasonality,2,TRUE))</f>
        <v>1.1000000000000001</v>
      </c>
      <c r="O164" s="50">
        <f t="shared" si="36"/>
        <v>4.6133268260675877E-3</v>
      </c>
    </row>
    <row r="165" spans="2:15" ht="15" x14ac:dyDescent="0.25">
      <c r="B165" s="57">
        <f t="shared" si="32"/>
        <v>46966</v>
      </c>
      <c r="C165" s="36">
        <f t="shared" si="33"/>
        <v>3356518.1224314426</v>
      </c>
      <c r="D165" s="39">
        <f t="shared" si="39"/>
        <v>25923.4130449687</v>
      </c>
      <c r="E165" s="36">
        <f t="shared" si="27"/>
        <v>16782.590612157212</v>
      </c>
      <c r="F165" s="36">
        <f t="shared" si="37"/>
        <v>9140.8224328114884</v>
      </c>
      <c r="G165" s="36">
        <f t="shared" si="34"/>
        <v>0</v>
      </c>
      <c r="H165" s="38">
        <f t="shared" si="38"/>
        <v>16144.479381192165</v>
      </c>
      <c r="I165" s="36">
        <f t="shared" si="35"/>
        <v>3331232.8206174392</v>
      </c>
      <c r="J165" s="2">
        <f t="shared" si="29"/>
        <v>152</v>
      </c>
      <c r="K165" s="44">
        <f t="shared" si="30"/>
        <v>6.9898891304054356E-3</v>
      </c>
      <c r="L165" s="41">
        <f t="shared" si="31"/>
        <v>0.6</v>
      </c>
      <c r="M165" s="42">
        <f t="shared" si="28"/>
        <v>1</v>
      </c>
      <c r="N165" s="43">
        <f>(VLOOKUP(MONTH('Amortization Model S Shape'!$B165),Seasonality,2,TRUE))</f>
        <v>1.1499999999999999</v>
      </c>
      <c r="O165" s="50">
        <f t="shared" si="36"/>
        <v>4.8230234999797504E-3</v>
      </c>
    </row>
    <row r="166" spans="2:15" ht="15" x14ac:dyDescent="0.25">
      <c r="B166" s="57">
        <f t="shared" si="32"/>
        <v>46997</v>
      </c>
      <c r="C166" s="36">
        <f t="shared" si="33"/>
        <v>3331232.8206174392</v>
      </c>
      <c r="D166" s="39">
        <f t="shared" si="39"/>
        <v>25798.383814653142</v>
      </c>
      <c r="E166" s="36">
        <f t="shared" si="27"/>
        <v>16656.164103087194</v>
      </c>
      <c r="F166" s="36">
        <f t="shared" si="37"/>
        <v>9142.2197115659474</v>
      </c>
      <c r="G166" s="36">
        <f t="shared" si="34"/>
        <v>0</v>
      </c>
      <c r="H166" s="38">
        <f t="shared" si="38"/>
        <v>15743.86849745295</v>
      </c>
      <c r="I166" s="36">
        <f t="shared" si="35"/>
        <v>3306346.7324084202</v>
      </c>
      <c r="J166" s="2">
        <f t="shared" si="29"/>
        <v>153</v>
      </c>
      <c r="K166" s="44">
        <f t="shared" si="30"/>
        <v>6.9898891304054356E-3</v>
      </c>
      <c r="L166" s="41">
        <f t="shared" si="31"/>
        <v>0.6</v>
      </c>
      <c r="M166" s="42">
        <f t="shared" si="28"/>
        <v>1</v>
      </c>
      <c r="N166" s="43">
        <f>(VLOOKUP(MONTH('Amortization Model S Shape'!$B166),Seasonality,2,TRUE))</f>
        <v>1.1299999999999999</v>
      </c>
      <c r="O166" s="50">
        <f t="shared" si="36"/>
        <v>4.7391448304148851E-3</v>
      </c>
    </row>
    <row r="167" spans="2:15" ht="15" x14ac:dyDescent="0.25">
      <c r="B167" s="57">
        <f t="shared" si="32"/>
        <v>47027</v>
      </c>
      <c r="C167" s="36">
        <f t="shared" si="33"/>
        <v>3306346.7324084202</v>
      </c>
      <c r="D167" s="39">
        <f t="shared" si="39"/>
        <v>25676.121537364867</v>
      </c>
      <c r="E167" s="36">
        <f t="shared" si="27"/>
        <v>16531.733662042101</v>
      </c>
      <c r="F167" s="36">
        <f t="shared" si="37"/>
        <v>9144.3878753227655</v>
      </c>
      <c r="G167" s="36">
        <f t="shared" si="34"/>
        <v>0</v>
      </c>
      <c r="H167" s="38">
        <f t="shared" si="38"/>
        <v>13966.529770252326</v>
      </c>
      <c r="I167" s="36">
        <f t="shared" si="35"/>
        <v>3283235.8147628452</v>
      </c>
      <c r="J167" s="2">
        <f t="shared" si="29"/>
        <v>154</v>
      </c>
      <c r="K167" s="44">
        <f t="shared" si="30"/>
        <v>6.9898891304054356E-3</v>
      </c>
      <c r="L167" s="41">
        <f t="shared" si="31"/>
        <v>0.6</v>
      </c>
      <c r="M167" s="42">
        <f t="shared" si="28"/>
        <v>1</v>
      </c>
      <c r="N167" s="43">
        <f>(VLOOKUP(MONTH('Amortization Model S Shape'!$B167),Seasonality,2,TRUE))</f>
        <v>1.01</v>
      </c>
      <c r="O167" s="50">
        <f t="shared" si="36"/>
        <v>4.2358728130256944E-3</v>
      </c>
    </row>
    <row r="168" spans="2:15" ht="15" x14ac:dyDescent="0.25">
      <c r="B168" s="57">
        <f t="shared" si="32"/>
        <v>47058</v>
      </c>
      <c r="C168" s="36">
        <f t="shared" si="33"/>
        <v>3283235.8147628452</v>
      </c>
      <c r="D168" s="39">
        <f t="shared" si="39"/>
        <v>25567.360752200795</v>
      </c>
      <c r="E168" s="36">
        <f t="shared" si="27"/>
        <v>16416.179073814226</v>
      </c>
      <c r="F168" s="36">
        <f t="shared" si="37"/>
        <v>9151.1816783865688</v>
      </c>
      <c r="G168" s="36">
        <f t="shared" si="34"/>
        <v>0</v>
      </c>
      <c r="H168" s="38">
        <f t="shared" si="38"/>
        <v>11808.912111833455</v>
      </c>
      <c r="I168" s="36">
        <f t="shared" si="35"/>
        <v>3262275.7209726255</v>
      </c>
      <c r="J168" s="2">
        <f t="shared" si="29"/>
        <v>155</v>
      </c>
      <c r="K168" s="44">
        <f t="shared" si="30"/>
        <v>6.9898891304054356E-3</v>
      </c>
      <c r="L168" s="41">
        <f t="shared" si="31"/>
        <v>0.6</v>
      </c>
      <c r="M168" s="42">
        <f t="shared" si="28"/>
        <v>1</v>
      </c>
      <c r="N168" s="43">
        <f>(VLOOKUP(MONTH('Amortization Model S Shape'!$B168),Seasonality,2,TRUE))</f>
        <v>0.86</v>
      </c>
      <c r="O168" s="50">
        <f t="shared" si="36"/>
        <v>3.6067827912892045E-3</v>
      </c>
    </row>
    <row r="169" spans="2:15" ht="15" x14ac:dyDescent="0.25">
      <c r="B169" s="57">
        <f t="shared" si="32"/>
        <v>47088</v>
      </c>
      <c r="C169" s="36">
        <f t="shared" si="33"/>
        <v>3262275.7209726255</v>
      </c>
      <c r="D169" s="39">
        <f t="shared" si="39"/>
        <v>25475.144835421081</v>
      </c>
      <c r="E169" s="36">
        <f t="shared" si="27"/>
        <v>16311.378604863128</v>
      </c>
      <c r="F169" s="36">
        <f t="shared" si="37"/>
        <v>9163.7662305579524</v>
      </c>
      <c r="G169" s="36">
        <f t="shared" si="34"/>
        <v>0</v>
      </c>
      <c r="H169" s="40">
        <f t="shared" si="38"/>
        <v>12279.001621919522</v>
      </c>
      <c r="I169" s="36">
        <f t="shared" si="35"/>
        <v>3240832.9531201478</v>
      </c>
      <c r="J169" s="2">
        <f t="shared" si="29"/>
        <v>156</v>
      </c>
      <c r="K169" s="44">
        <f t="shared" si="30"/>
        <v>6.9898891304054356E-3</v>
      </c>
      <c r="L169" s="41">
        <f t="shared" si="31"/>
        <v>0.6</v>
      </c>
      <c r="M169" s="42">
        <f t="shared" si="28"/>
        <v>1</v>
      </c>
      <c r="N169" s="43">
        <f>(VLOOKUP(MONTH('Amortization Model S Shape'!$B169),Seasonality,2,TRUE))</f>
        <v>0.9</v>
      </c>
      <c r="O169" s="50">
        <f t="shared" si="36"/>
        <v>3.7745401304189355E-3</v>
      </c>
    </row>
    <row r="170" spans="2:15" ht="15" x14ac:dyDescent="0.25">
      <c r="B170" s="57">
        <f t="shared" si="32"/>
        <v>47119</v>
      </c>
      <c r="C170" s="36">
        <f t="shared" si="33"/>
        <v>3240832.9531201478</v>
      </c>
      <c r="D170" s="39">
        <f t="shared" si="39"/>
        <v>25378.987878911546</v>
      </c>
      <c r="E170" s="36">
        <f t="shared" si="27"/>
        <v>16204.164765600739</v>
      </c>
      <c r="F170" s="36">
        <f t="shared" si="37"/>
        <v>9174.8231133108075</v>
      </c>
      <c r="G170" s="36">
        <f t="shared" si="34"/>
        <v>0</v>
      </c>
      <c r="H170" s="38">
        <f t="shared" si="38"/>
        <v>12062.489707288694</v>
      </c>
      <c r="I170" s="36">
        <f t="shared" si="35"/>
        <v>3219595.6402995484</v>
      </c>
      <c r="J170" s="2">
        <f t="shared" si="29"/>
        <v>157</v>
      </c>
      <c r="K170" s="44">
        <f t="shared" si="30"/>
        <v>6.9898891304054356E-3</v>
      </c>
      <c r="L170" s="41">
        <f t="shared" si="31"/>
        <v>0.6</v>
      </c>
      <c r="M170" s="42">
        <f t="shared" si="28"/>
        <v>1</v>
      </c>
      <c r="N170" s="43">
        <f>(VLOOKUP(MONTH('Amortization Model S Shape'!$B170),Seasonality,2,TRUE))</f>
        <v>0.89</v>
      </c>
      <c r="O170" s="50">
        <f t="shared" si="36"/>
        <v>3.7326007956365028E-3</v>
      </c>
    </row>
    <row r="171" spans="2:15" ht="15" x14ac:dyDescent="0.25">
      <c r="B171" s="57">
        <f t="shared" si="32"/>
        <v>47150</v>
      </c>
      <c r="C171" s="36">
        <f t="shared" si="33"/>
        <v>3219595.6402995484</v>
      </c>
      <c r="D171" s="39">
        <f t="shared" si="39"/>
        <v>25284.258248562273</v>
      </c>
      <c r="E171" s="36">
        <f t="shared" si="27"/>
        <v>16097.978201497741</v>
      </c>
      <c r="F171" s="36">
        <f t="shared" si="37"/>
        <v>9186.2800470645325</v>
      </c>
      <c r="G171" s="36">
        <f t="shared" si="34"/>
        <v>0</v>
      </c>
      <c r="H171" s="38">
        <f t="shared" si="38"/>
        <v>12117.818965345581</v>
      </c>
      <c r="I171" s="36">
        <f t="shared" si="35"/>
        <v>3198291.5412871381</v>
      </c>
      <c r="J171" s="2">
        <f t="shared" si="29"/>
        <v>158</v>
      </c>
      <c r="K171" s="44">
        <f t="shared" si="30"/>
        <v>6.9898891304054356E-3</v>
      </c>
      <c r="L171" s="41">
        <f t="shared" si="31"/>
        <v>0.6</v>
      </c>
      <c r="M171" s="42">
        <f t="shared" si="28"/>
        <v>1</v>
      </c>
      <c r="N171" s="43">
        <f>(VLOOKUP(MONTH('Amortization Model S Shape'!$B171),Seasonality,2,TRUE))</f>
        <v>0.9</v>
      </c>
      <c r="O171" s="50">
        <f t="shared" si="36"/>
        <v>3.7745401304189355E-3</v>
      </c>
    </row>
    <row r="172" spans="2:15" ht="15" x14ac:dyDescent="0.25">
      <c r="B172" s="57">
        <f t="shared" si="32"/>
        <v>47178</v>
      </c>
      <c r="C172" s="36">
        <f t="shared" si="33"/>
        <v>3198291.5412871381</v>
      </c>
      <c r="D172" s="39">
        <f t="shared" si="39"/>
        <v>25188.821801135196</v>
      </c>
      <c r="E172" s="36">
        <f t="shared" si="27"/>
        <v>15991.457706435691</v>
      </c>
      <c r="F172" s="36">
        <f t="shared" si="37"/>
        <v>9197.3640946995056</v>
      </c>
      <c r="G172" s="36">
        <f t="shared" si="34"/>
        <v>0</v>
      </c>
      <c r="H172" s="38">
        <f t="shared" si="38"/>
        <v>12706.106393248112</v>
      </c>
      <c r="I172" s="36">
        <f t="shared" si="35"/>
        <v>3176388.0707991901</v>
      </c>
      <c r="J172" s="2">
        <f t="shared" si="29"/>
        <v>159</v>
      </c>
      <c r="K172" s="44">
        <f t="shared" si="30"/>
        <v>6.9898891304054356E-3</v>
      </c>
      <c r="L172" s="41">
        <f t="shared" si="31"/>
        <v>0.6</v>
      </c>
      <c r="M172" s="42">
        <f t="shared" si="28"/>
        <v>1</v>
      </c>
      <c r="N172" s="43">
        <f>(VLOOKUP(MONTH('Amortization Model S Shape'!$B172),Seasonality,2,TRUE))</f>
        <v>0.95</v>
      </c>
      <c r="O172" s="50">
        <f t="shared" si="36"/>
        <v>3.9842368043310978E-3</v>
      </c>
    </row>
    <row r="173" spans="2:15" ht="15" x14ac:dyDescent="0.25">
      <c r="B173" s="57">
        <f t="shared" si="32"/>
        <v>47209</v>
      </c>
      <c r="C173" s="36">
        <f t="shared" si="33"/>
        <v>3176388.0707991901</v>
      </c>
      <c r="D173" s="39">
        <f t="shared" si="39"/>
        <v>25088.463570257376</v>
      </c>
      <c r="E173" s="36">
        <f t="shared" si="27"/>
        <v>15881.940353995951</v>
      </c>
      <c r="F173" s="36">
        <f t="shared" si="37"/>
        <v>9206.5232162614247</v>
      </c>
      <c r="G173" s="36">
        <f t="shared" si="34"/>
        <v>0</v>
      </c>
      <c r="H173" s="38">
        <f t="shared" si="38"/>
        <v>12751.630775119052</v>
      </c>
      <c r="I173" s="36">
        <f t="shared" si="35"/>
        <v>3154429.9168078094</v>
      </c>
      <c r="J173" s="2">
        <f t="shared" si="29"/>
        <v>160</v>
      </c>
      <c r="K173" s="44">
        <f t="shared" si="30"/>
        <v>6.9898891304054356E-3</v>
      </c>
      <c r="L173" s="41">
        <f t="shared" si="31"/>
        <v>0.6</v>
      </c>
      <c r="M173" s="42">
        <f t="shared" si="28"/>
        <v>1</v>
      </c>
      <c r="N173" s="43">
        <f>(VLOOKUP(MONTH('Amortization Model S Shape'!$B173),Seasonality,2,TRUE))</f>
        <v>0.96</v>
      </c>
      <c r="O173" s="50">
        <f t="shared" si="36"/>
        <v>4.0261761391135308E-3</v>
      </c>
    </row>
    <row r="174" spans="2:15" ht="15" x14ac:dyDescent="0.25">
      <c r="B174" s="57">
        <f t="shared" si="32"/>
        <v>47239</v>
      </c>
      <c r="C174" s="36">
        <f t="shared" si="33"/>
        <v>3154429.9168078094</v>
      </c>
      <c r="D174" s="39">
        <f t="shared" si="39"/>
        <v>24987.452996863783</v>
      </c>
      <c r="E174" s="36">
        <f t="shared" si="27"/>
        <v>15772.149584039047</v>
      </c>
      <c r="F174" s="36">
        <f t="shared" si="37"/>
        <v>9215.3034128247364</v>
      </c>
      <c r="G174" s="36">
        <f t="shared" si="34"/>
        <v>0</v>
      </c>
      <c r="H174" s="38">
        <f t="shared" si="38"/>
        <v>13982.270115179792</v>
      </c>
      <c r="I174" s="36">
        <f t="shared" si="35"/>
        <v>3131232.3432798046</v>
      </c>
      <c r="J174" s="2">
        <f t="shared" si="29"/>
        <v>161</v>
      </c>
      <c r="K174" s="44">
        <f t="shared" si="30"/>
        <v>6.9898891304054356E-3</v>
      </c>
      <c r="L174" s="41">
        <f t="shared" si="31"/>
        <v>0.6</v>
      </c>
      <c r="M174" s="42">
        <f t="shared" si="28"/>
        <v>1</v>
      </c>
      <c r="N174" s="43">
        <f>(VLOOKUP(MONTH('Amortization Model S Shape'!$B174),Seasonality,2,TRUE))</f>
        <v>1.06</v>
      </c>
      <c r="O174" s="50">
        <f t="shared" si="36"/>
        <v>4.4455694869378571E-3</v>
      </c>
    </row>
    <row r="175" spans="2:15" ht="15" x14ac:dyDescent="0.25">
      <c r="B175" s="57">
        <f t="shared" si="32"/>
        <v>47270</v>
      </c>
      <c r="C175" s="36">
        <f t="shared" si="33"/>
        <v>3131232.3432798046</v>
      </c>
      <c r="D175" s="39">
        <f t="shared" si="39"/>
        <v>24876.369538264633</v>
      </c>
      <c r="E175" s="36">
        <f t="shared" si="27"/>
        <v>15656.161716399023</v>
      </c>
      <c r="F175" s="36">
        <f t="shared" si="37"/>
        <v>9220.2078218656097</v>
      </c>
      <c r="G175" s="36">
        <f t="shared" si="34"/>
        <v>0</v>
      </c>
      <c r="H175" s="38">
        <f t="shared" si="38"/>
        <v>14271.927223672879</v>
      </c>
      <c r="I175" s="36">
        <f t="shared" si="35"/>
        <v>3107740.2082342659</v>
      </c>
      <c r="J175" s="2">
        <f t="shared" si="29"/>
        <v>162</v>
      </c>
      <c r="K175" s="44">
        <f t="shared" si="30"/>
        <v>6.9898891304054356E-3</v>
      </c>
      <c r="L175" s="41">
        <f t="shared" si="31"/>
        <v>0.6</v>
      </c>
      <c r="M175" s="42">
        <f t="shared" si="28"/>
        <v>1</v>
      </c>
      <c r="N175" s="43">
        <f>(VLOOKUP(MONTH('Amortization Model S Shape'!$B175),Seasonality,2,TRUE))</f>
        <v>1.0900000000000001</v>
      </c>
      <c r="O175" s="50">
        <f t="shared" si="36"/>
        <v>4.5713874912851555E-3</v>
      </c>
    </row>
    <row r="176" spans="2:15" ht="15" x14ac:dyDescent="0.25">
      <c r="B176" s="57">
        <f t="shared" si="32"/>
        <v>47300</v>
      </c>
      <c r="C176" s="36">
        <f t="shared" si="33"/>
        <v>3107740.2082342659</v>
      </c>
      <c r="D176" s="39">
        <f t="shared" si="39"/>
        <v>24762.650013728824</v>
      </c>
      <c r="E176" s="36">
        <f t="shared" si="27"/>
        <v>15538.701041171329</v>
      </c>
      <c r="F176" s="36">
        <f t="shared" si="37"/>
        <v>9223.9489725574949</v>
      </c>
      <c r="G176" s="36">
        <f t="shared" si="34"/>
        <v>0</v>
      </c>
      <c r="H176" s="38">
        <f t="shared" si="38"/>
        <v>14294.468179858632</v>
      </c>
      <c r="I176" s="36">
        <f t="shared" si="35"/>
        <v>3084221.7910818495</v>
      </c>
      <c r="J176" s="2">
        <f t="shared" si="29"/>
        <v>163</v>
      </c>
      <c r="K176" s="44">
        <f t="shared" si="30"/>
        <v>6.9898891304054356E-3</v>
      </c>
      <c r="L176" s="41">
        <f t="shared" si="31"/>
        <v>0.6</v>
      </c>
      <c r="M176" s="42">
        <f t="shared" si="28"/>
        <v>1</v>
      </c>
      <c r="N176" s="43">
        <f>(VLOOKUP(MONTH('Amortization Model S Shape'!$B176),Seasonality,2,TRUE))</f>
        <v>1.1000000000000001</v>
      </c>
      <c r="O176" s="50">
        <f t="shared" si="36"/>
        <v>4.6133268260675877E-3</v>
      </c>
    </row>
    <row r="177" spans="2:15" ht="15" x14ac:dyDescent="0.25">
      <c r="B177" s="57">
        <f t="shared" si="32"/>
        <v>47331</v>
      </c>
      <c r="C177" s="36">
        <f t="shared" si="33"/>
        <v>3084221.7910818495</v>
      </c>
      <c r="D177" s="39">
        <f t="shared" si="39"/>
        <v>24648.411816135962</v>
      </c>
      <c r="E177" s="36">
        <f t="shared" si="27"/>
        <v>15421.108955409247</v>
      </c>
      <c r="F177" s="36">
        <f t="shared" si="37"/>
        <v>9227.3028607267152</v>
      </c>
      <c r="G177" s="36">
        <f t="shared" si="34"/>
        <v>0</v>
      </c>
      <c r="H177" s="38">
        <f t="shared" si="38"/>
        <v>14830.770678998681</v>
      </c>
      <c r="I177" s="36">
        <f t="shared" si="35"/>
        <v>3060163.717542124</v>
      </c>
      <c r="J177" s="2">
        <f t="shared" si="29"/>
        <v>164</v>
      </c>
      <c r="K177" s="44">
        <f t="shared" si="30"/>
        <v>6.9898891304054356E-3</v>
      </c>
      <c r="L177" s="41">
        <f t="shared" si="31"/>
        <v>0.6</v>
      </c>
      <c r="M177" s="42">
        <f t="shared" si="28"/>
        <v>1</v>
      </c>
      <c r="N177" s="43">
        <f>(VLOOKUP(MONTH('Amortization Model S Shape'!$B177),Seasonality,2,TRUE))</f>
        <v>1.1499999999999999</v>
      </c>
      <c r="O177" s="50">
        <f t="shared" si="36"/>
        <v>4.8230234999797504E-3</v>
      </c>
    </row>
    <row r="178" spans="2:15" ht="15" x14ac:dyDescent="0.25">
      <c r="B178" s="57">
        <f t="shared" si="32"/>
        <v>47362</v>
      </c>
      <c r="C178" s="36">
        <f t="shared" si="33"/>
        <v>3060163.717542124</v>
      </c>
      <c r="D178" s="39">
        <f t="shared" si="39"/>
        <v>24529.531946709558</v>
      </c>
      <c r="E178" s="36">
        <f t="shared" si="27"/>
        <v>15300.818587710621</v>
      </c>
      <c r="F178" s="36">
        <f t="shared" si="37"/>
        <v>9228.7133589989371</v>
      </c>
      <c r="G178" s="36">
        <f t="shared" si="34"/>
        <v>0</v>
      </c>
      <c r="H178" s="38">
        <f t="shared" si="38"/>
        <v>14458.822853006273</v>
      </c>
      <c r="I178" s="36">
        <f t="shared" si="35"/>
        <v>3036476.1813301188</v>
      </c>
      <c r="J178" s="2">
        <f t="shared" si="29"/>
        <v>165</v>
      </c>
      <c r="K178" s="44">
        <f t="shared" si="30"/>
        <v>6.9898891304054356E-3</v>
      </c>
      <c r="L178" s="41">
        <f t="shared" si="31"/>
        <v>0.6</v>
      </c>
      <c r="M178" s="42">
        <f t="shared" si="28"/>
        <v>1</v>
      </c>
      <c r="N178" s="43">
        <f>(VLOOKUP(MONTH('Amortization Model S Shape'!$B178),Seasonality,2,TRUE))</f>
        <v>1.1299999999999999</v>
      </c>
      <c r="O178" s="50">
        <f t="shared" si="36"/>
        <v>4.7391448304148851E-3</v>
      </c>
    </row>
    <row r="179" spans="2:15" ht="15" x14ac:dyDescent="0.25">
      <c r="B179" s="57">
        <f t="shared" si="32"/>
        <v>47392</v>
      </c>
      <c r="C179" s="36">
        <f t="shared" si="33"/>
        <v>3036476.1813301188</v>
      </c>
      <c r="D179" s="39">
        <f t="shared" si="39"/>
        <v>24413.28294219181</v>
      </c>
      <c r="E179" s="36">
        <f t="shared" si="27"/>
        <v>15182.380906650593</v>
      </c>
      <c r="F179" s="36">
        <f t="shared" si="37"/>
        <v>9230.9020355412176</v>
      </c>
      <c r="G179" s="36">
        <f t="shared" si="34"/>
        <v>0</v>
      </c>
      <c r="H179" s="38">
        <f t="shared" si="38"/>
        <v>12823.025976924275</v>
      </c>
      <c r="I179" s="36">
        <f t="shared" si="35"/>
        <v>3014422.2533176532</v>
      </c>
      <c r="J179" s="2">
        <f t="shared" si="29"/>
        <v>166</v>
      </c>
      <c r="K179" s="44">
        <f t="shared" si="30"/>
        <v>6.9898891304054356E-3</v>
      </c>
      <c r="L179" s="41">
        <f t="shared" si="31"/>
        <v>0.6</v>
      </c>
      <c r="M179" s="42">
        <f t="shared" si="28"/>
        <v>1</v>
      </c>
      <c r="N179" s="43">
        <f>(VLOOKUP(MONTH('Amortization Model S Shape'!$B179),Seasonality,2,TRUE))</f>
        <v>1.01</v>
      </c>
      <c r="O179" s="50">
        <f t="shared" si="36"/>
        <v>4.2358728130256944E-3</v>
      </c>
    </row>
    <row r="180" spans="2:15" ht="15" x14ac:dyDescent="0.25">
      <c r="B180" s="57">
        <f t="shared" si="32"/>
        <v>47423</v>
      </c>
      <c r="C180" s="36">
        <f t="shared" si="33"/>
        <v>3014422.2533176532</v>
      </c>
      <c r="D180" s="39">
        <f t="shared" si="39"/>
        <v>24309.871380700275</v>
      </c>
      <c r="E180" s="36">
        <f t="shared" si="27"/>
        <v>15072.111266588267</v>
      </c>
      <c r="F180" s="36">
        <f t="shared" si="37"/>
        <v>9237.7601141120085</v>
      </c>
      <c r="G180" s="36">
        <f t="shared" si="34"/>
        <v>0</v>
      </c>
      <c r="H180" s="38">
        <f t="shared" si="38"/>
        <v>10839.047714735701</v>
      </c>
      <c r="I180" s="36">
        <f t="shared" si="35"/>
        <v>2994345.4454888054</v>
      </c>
      <c r="J180" s="2">
        <f t="shared" si="29"/>
        <v>167</v>
      </c>
      <c r="K180" s="44">
        <f t="shared" si="30"/>
        <v>6.9898891304054356E-3</v>
      </c>
      <c r="L180" s="41">
        <f t="shared" si="31"/>
        <v>0.6</v>
      </c>
      <c r="M180" s="42">
        <f t="shared" si="28"/>
        <v>1</v>
      </c>
      <c r="N180" s="43">
        <f>(VLOOKUP(MONTH('Amortization Model S Shape'!$B180),Seasonality,2,TRUE))</f>
        <v>0.86</v>
      </c>
      <c r="O180" s="50">
        <f t="shared" si="36"/>
        <v>3.6067827912892045E-3</v>
      </c>
    </row>
    <row r="181" spans="2:15" ht="15" x14ac:dyDescent="0.25">
      <c r="B181" s="57">
        <f t="shared" si="32"/>
        <v>47453</v>
      </c>
      <c r="C181" s="36">
        <f t="shared" si="33"/>
        <v>2994345.4454888054</v>
      </c>
      <c r="D181" s="39">
        <f t="shared" si="39"/>
        <v>24222.190954945916</v>
      </c>
      <c r="E181" s="36">
        <f t="shared" si="27"/>
        <v>14971.727227444026</v>
      </c>
      <c r="F181" s="36">
        <f t="shared" si="37"/>
        <v>9250.4637275018904</v>
      </c>
      <c r="G181" s="36">
        <f t="shared" si="34"/>
        <v>0</v>
      </c>
      <c r="H181" s="40">
        <f t="shared" si="38"/>
        <v>11267.360801770221</v>
      </c>
      <c r="I181" s="36">
        <f t="shared" si="35"/>
        <v>2973827.6209595334</v>
      </c>
      <c r="J181" s="2">
        <f t="shared" si="29"/>
        <v>168</v>
      </c>
      <c r="K181" s="44">
        <f t="shared" si="30"/>
        <v>6.9898891304054356E-3</v>
      </c>
      <c r="L181" s="41">
        <f t="shared" si="31"/>
        <v>0.6</v>
      </c>
      <c r="M181" s="42">
        <f t="shared" si="28"/>
        <v>1</v>
      </c>
      <c r="N181" s="43">
        <f>(VLOOKUP(MONTH('Amortization Model S Shape'!$B181),Seasonality,2,TRUE))</f>
        <v>0.9</v>
      </c>
      <c r="O181" s="50">
        <f t="shared" si="36"/>
        <v>3.7745401304189355E-3</v>
      </c>
    </row>
    <row r="182" spans="2:15" ht="15" x14ac:dyDescent="0.25">
      <c r="B182" s="57">
        <f t="shared" si="32"/>
        <v>47484</v>
      </c>
      <c r="C182" s="36">
        <f t="shared" si="33"/>
        <v>2973827.6209595334</v>
      </c>
      <c r="D182" s="39">
        <f t="shared" si="39"/>
        <v>24130.763323139796</v>
      </c>
      <c r="E182" s="36">
        <f t="shared" si="27"/>
        <v>14869.138104797667</v>
      </c>
      <c r="F182" s="36">
        <f t="shared" si="37"/>
        <v>9261.6252183421293</v>
      </c>
      <c r="G182" s="36">
        <f t="shared" si="34"/>
        <v>0</v>
      </c>
      <c r="H182" s="38">
        <f t="shared" si="38"/>
        <v>11065.541394420492</v>
      </c>
      <c r="I182" s="36">
        <f t="shared" si="35"/>
        <v>2953500.4543467709</v>
      </c>
      <c r="J182" s="2">
        <f t="shared" si="29"/>
        <v>169</v>
      </c>
      <c r="K182" s="44">
        <f t="shared" si="30"/>
        <v>6.9898891304054356E-3</v>
      </c>
      <c r="L182" s="41">
        <f t="shared" si="31"/>
        <v>0.6</v>
      </c>
      <c r="M182" s="42">
        <f t="shared" si="28"/>
        <v>1</v>
      </c>
      <c r="N182" s="43">
        <f>(VLOOKUP(MONTH('Amortization Model S Shape'!$B182),Seasonality,2,TRUE))</f>
        <v>0.89</v>
      </c>
      <c r="O182" s="50">
        <f t="shared" si="36"/>
        <v>3.7326007956365028E-3</v>
      </c>
    </row>
    <row r="183" spans="2:15" ht="15" x14ac:dyDescent="0.25">
      <c r="B183" s="57">
        <f t="shared" si="32"/>
        <v>47515</v>
      </c>
      <c r="C183" s="36">
        <f t="shared" si="33"/>
        <v>2953500.4543467709</v>
      </c>
      <c r="D183" s="39">
        <f t="shared" si="39"/>
        <v>24040.692816760533</v>
      </c>
      <c r="E183" s="36">
        <f t="shared" si="27"/>
        <v>14767.502271733852</v>
      </c>
      <c r="F183" s="36">
        <f t="shared" si="37"/>
        <v>9273.1905450266804</v>
      </c>
      <c r="G183" s="36">
        <f t="shared" si="34"/>
        <v>0</v>
      </c>
      <c r="H183" s="38">
        <f t="shared" si="38"/>
        <v>11113.103960293221</v>
      </c>
      <c r="I183" s="36">
        <f t="shared" si="35"/>
        <v>2933114.1598414509</v>
      </c>
      <c r="J183" s="2">
        <f t="shared" si="29"/>
        <v>170</v>
      </c>
      <c r="K183" s="44">
        <f t="shared" si="30"/>
        <v>6.9898891304054356E-3</v>
      </c>
      <c r="L183" s="41">
        <f t="shared" si="31"/>
        <v>0.6</v>
      </c>
      <c r="M183" s="42">
        <f t="shared" si="28"/>
        <v>1</v>
      </c>
      <c r="N183" s="43">
        <f>(VLOOKUP(MONTH('Amortization Model S Shape'!$B183),Seasonality,2,TRUE))</f>
        <v>0.9</v>
      </c>
      <c r="O183" s="50">
        <f t="shared" si="36"/>
        <v>3.7745401304189355E-3</v>
      </c>
    </row>
    <row r="184" spans="2:15" ht="15" x14ac:dyDescent="0.25">
      <c r="B184" s="57">
        <f t="shared" si="32"/>
        <v>47543</v>
      </c>
      <c r="C184" s="36">
        <f t="shared" si="33"/>
        <v>2933114.1598414509</v>
      </c>
      <c r="D184" s="39">
        <f t="shared" si="39"/>
        <v>23949.950256960587</v>
      </c>
      <c r="E184" s="36">
        <f t="shared" si="27"/>
        <v>14665.570799207255</v>
      </c>
      <c r="F184" s="36">
        <f t="shared" si="37"/>
        <v>9284.3794577533317</v>
      </c>
      <c r="G184" s="36">
        <f t="shared" si="34"/>
        <v>0</v>
      </c>
      <c r="H184" s="38">
        <f t="shared" si="38"/>
        <v>11649.230220604039</v>
      </c>
      <c r="I184" s="36">
        <f t="shared" si="35"/>
        <v>2912180.5501630935</v>
      </c>
      <c r="J184" s="2">
        <f t="shared" si="29"/>
        <v>171</v>
      </c>
      <c r="K184" s="44">
        <f t="shared" si="30"/>
        <v>6.9898891304054356E-3</v>
      </c>
      <c r="L184" s="41">
        <f t="shared" si="31"/>
        <v>0.6</v>
      </c>
      <c r="M184" s="42">
        <f t="shared" si="28"/>
        <v>1</v>
      </c>
      <c r="N184" s="43">
        <f>(VLOOKUP(MONTH('Amortization Model S Shape'!$B184),Seasonality,2,TRUE))</f>
        <v>0.95</v>
      </c>
      <c r="O184" s="50">
        <f t="shared" si="36"/>
        <v>3.9842368043310978E-3</v>
      </c>
    </row>
    <row r="185" spans="2:15" ht="15" x14ac:dyDescent="0.25">
      <c r="B185" s="57">
        <f t="shared" si="32"/>
        <v>47574</v>
      </c>
      <c r="C185" s="36">
        <f t="shared" si="33"/>
        <v>2912180.5501630935</v>
      </c>
      <c r="D185" s="39">
        <f t="shared" si="39"/>
        <v>23854.527983684911</v>
      </c>
      <c r="E185" s="36">
        <f t="shared" si="27"/>
        <v>14560.902750815467</v>
      </c>
      <c r="F185" s="36">
        <f t="shared" si="37"/>
        <v>9293.6252328694445</v>
      </c>
      <c r="G185" s="36">
        <f t="shared" si="34"/>
        <v>0</v>
      </c>
      <c r="H185" s="38">
        <f t="shared" si="38"/>
        <v>11687.534071698719</v>
      </c>
      <c r="I185" s="36">
        <f t="shared" si="35"/>
        <v>2891199.3908585254</v>
      </c>
      <c r="J185" s="2">
        <f t="shared" si="29"/>
        <v>172</v>
      </c>
      <c r="K185" s="44">
        <f t="shared" si="30"/>
        <v>6.9898891304054356E-3</v>
      </c>
      <c r="L185" s="41">
        <f t="shared" si="31"/>
        <v>0.6</v>
      </c>
      <c r="M185" s="42">
        <f t="shared" si="28"/>
        <v>1</v>
      </c>
      <c r="N185" s="43">
        <f>(VLOOKUP(MONTH('Amortization Model S Shape'!$B185),Seasonality,2,TRUE))</f>
        <v>0.96</v>
      </c>
      <c r="O185" s="50">
        <f t="shared" si="36"/>
        <v>4.0261761391135308E-3</v>
      </c>
    </row>
    <row r="186" spans="2:15" ht="15" x14ac:dyDescent="0.25">
      <c r="B186" s="57">
        <f t="shared" si="32"/>
        <v>47604</v>
      </c>
      <c r="C186" s="36">
        <f t="shared" si="33"/>
        <v>2891199.3908585254</v>
      </c>
      <c r="D186" s="39">
        <f t="shared" si="39"/>
        <v>23758.485452307184</v>
      </c>
      <c r="E186" s="36">
        <f t="shared" si="27"/>
        <v>14455.996954292626</v>
      </c>
      <c r="F186" s="36">
        <f t="shared" si="37"/>
        <v>9302.488498014558</v>
      </c>
      <c r="G186" s="36">
        <f t="shared" si="34"/>
        <v>0</v>
      </c>
      <c r="H186" s="38">
        <f t="shared" si="38"/>
        <v>12811.672933634616</v>
      </c>
      <c r="I186" s="36">
        <f t="shared" si="35"/>
        <v>2869085.2294268762</v>
      </c>
      <c r="J186" s="2">
        <f t="shared" si="29"/>
        <v>173</v>
      </c>
      <c r="K186" s="44">
        <f t="shared" si="30"/>
        <v>6.9898891304054356E-3</v>
      </c>
      <c r="L186" s="41">
        <f t="shared" si="31"/>
        <v>0.6</v>
      </c>
      <c r="M186" s="42">
        <f t="shared" si="28"/>
        <v>1</v>
      </c>
      <c r="N186" s="43">
        <f>(VLOOKUP(MONTH('Amortization Model S Shape'!$B186),Seasonality,2,TRUE))</f>
        <v>1.06</v>
      </c>
      <c r="O186" s="50">
        <f t="shared" si="36"/>
        <v>4.4455694869378571E-3</v>
      </c>
    </row>
    <row r="187" spans="2:15" ht="15" x14ac:dyDescent="0.25">
      <c r="B187" s="57">
        <f t="shared" si="32"/>
        <v>47635</v>
      </c>
      <c r="C187" s="36">
        <f t="shared" si="33"/>
        <v>2869085.2294268762</v>
      </c>
      <c r="D187" s="39">
        <f t="shared" si="39"/>
        <v>23652.86545432455</v>
      </c>
      <c r="E187" s="36">
        <f t="shared" si="27"/>
        <v>14345.42614713438</v>
      </c>
      <c r="F187" s="36">
        <f t="shared" si="37"/>
        <v>9307.4393071901704</v>
      </c>
      <c r="G187" s="36">
        <f t="shared" si="34"/>
        <v>0</v>
      </c>
      <c r="H187" s="38">
        <f t="shared" si="38"/>
        <v>13073.152417608238</v>
      </c>
      <c r="I187" s="36">
        <f t="shared" si="35"/>
        <v>2846704.6377020781</v>
      </c>
      <c r="J187" s="2">
        <f t="shared" si="29"/>
        <v>174</v>
      </c>
      <c r="K187" s="44">
        <f t="shared" si="30"/>
        <v>6.9898891304054356E-3</v>
      </c>
      <c r="L187" s="41">
        <f t="shared" si="31"/>
        <v>0.6</v>
      </c>
      <c r="M187" s="42">
        <f t="shared" si="28"/>
        <v>1</v>
      </c>
      <c r="N187" s="43">
        <f>(VLOOKUP(MONTH('Amortization Model S Shape'!$B187),Seasonality,2,TRUE))</f>
        <v>1.0900000000000001</v>
      </c>
      <c r="O187" s="50">
        <f t="shared" si="36"/>
        <v>4.5713874912851555E-3</v>
      </c>
    </row>
    <row r="188" spans="2:15" ht="15" x14ac:dyDescent="0.25">
      <c r="B188" s="57">
        <f t="shared" si="32"/>
        <v>47665</v>
      </c>
      <c r="C188" s="36">
        <f t="shared" si="33"/>
        <v>2846704.6377020781</v>
      </c>
      <c r="D188" s="39">
        <f t="shared" si="39"/>
        <v>23544.739041053606</v>
      </c>
      <c r="E188" s="36">
        <f t="shared" si="27"/>
        <v>14233.523188510391</v>
      </c>
      <c r="F188" s="36">
        <f t="shared" si="37"/>
        <v>9311.2158525432151</v>
      </c>
      <c r="G188" s="36">
        <f t="shared" si="34"/>
        <v>0</v>
      </c>
      <c r="H188" s="38">
        <f t="shared" si="38"/>
        <v>13089.823189126166</v>
      </c>
      <c r="I188" s="36">
        <f t="shared" si="35"/>
        <v>2824303.5986604085</v>
      </c>
      <c r="J188" s="2">
        <f t="shared" si="29"/>
        <v>175</v>
      </c>
      <c r="K188" s="44">
        <f t="shared" si="30"/>
        <v>6.9898891304054356E-3</v>
      </c>
      <c r="L188" s="41">
        <f t="shared" si="31"/>
        <v>0.6</v>
      </c>
      <c r="M188" s="42">
        <f t="shared" si="28"/>
        <v>1</v>
      </c>
      <c r="N188" s="43">
        <f>(VLOOKUP(MONTH('Amortization Model S Shape'!$B188),Seasonality,2,TRUE))</f>
        <v>1.1000000000000001</v>
      </c>
      <c r="O188" s="50">
        <f t="shared" si="36"/>
        <v>4.6133268260675877E-3</v>
      </c>
    </row>
    <row r="189" spans="2:15" ht="15" x14ac:dyDescent="0.25">
      <c r="B189" s="57">
        <f t="shared" si="32"/>
        <v>47696</v>
      </c>
      <c r="C189" s="36">
        <f t="shared" si="33"/>
        <v>2824303.5986604085</v>
      </c>
      <c r="D189" s="39">
        <f t="shared" si="39"/>
        <v>23436.119464822747</v>
      </c>
      <c r="E189" s="36">
        <f t="shared" si="27"/>
        <v>14121.517993302043</v>
      </c>
      <c r="F189" s="36">
        <f t="shared" si="37"/>
        <v>9314.6014715207039</v>
      </c>
      <c r="G189" s="36">
        <f t="shared" si="34"/>
        <v>0</v>
      </c>
      <c r="H189" s="38">
        <f t="shared" si="38"/>
        <v>13576.758085626438</v>
      </c>
      <c r="I189" s="36">
        <f t="shared" si="35"/>
        <v>2801412.2391032614</v>
      </c>
      <c r="J189" s="2">
        <f t="shared" si="29"/>
        <v>176</v>
      </c>
      <c r="K189" s="44">
        <f t="shared" si="30"/>
        <v>6.9898891304054356E-3</v>
      </c>
      <c r="L189" s="41">
        <f t="shared" si="31"/>
        <v>0.6</v>
      </c>
      <c r="M189" s="42">
        <f t="shared" si="28"/>
        <v>1</v>
      </c>
      <c r="N189" s="43">
        <f>(VLOOKUP(MONTH('Amortization Model S Shape'!$B189),Seasonality,2,TRUE))</f>
        <v>1.1499999999999999</v>
      </c>
      <c r="O189" s="50">
        <f t="shared" si="36"/>
        <v>4.8230234999797504E-3</v>
      </c>
    </row>
    <row r="190" spans="2:15" ht="15" x14ac:dyDescent="0.25">
      <c r="B190" s="57">
        <f t="shared" si="32"/>
        <v>47727</v>
      </c>
      <c r="C190" s="36">
        <f t="shared" si="33"/>
        <v>2801412.2391032614</v>
      </c>
      <c r="D190" s="39">
        <f t="shared" si="39"/>
        <v>23323.086509895573</v>
      </c>
      <c r="E190" s="36">
        <f t="shared" si="27"/>
        <v>14007.061195516306</v>
      </c>
      <c r="F190" s="36">
        <f t="shared" si="37"/>
        <v>9316.025314379267</v>
      </c>
      <c r="G190" s="36">
        <f t="shared" si="34"/>
        <v>0</v>
      </c>
      <c r="H190" s="38">
        <f t="shared" si="38"/>
        <v>13232.148337598554</v>
      </c>
      <c r="I190" s="36">
        <f t="shared" si="35"/>
        <v>2778864.0654512835</v>
      </c>
      <c r="J190" s="2">
        <f t="shared" si="29"/>
        <v>177</v>
      </c>
      <c r="K190" s="44">
        <f t="shared" si="30"/>
        <v>6.9898891304054356E-3</v>
      </c>
      <c r="L190" s="41">
        <f t="shared" si="31"/>
        <v>0.6</v>
      </c>
      <c r="M190" s="42">
        <f t="shared" si="28"/>
        <v>1</v>
      </c>
      <c r="N190" s="43">
        <f>(VLOOKUP(MONTH('Amortization Model S Shape'!$B190),Seasonality,2,TRUE))</f>
        <v>1.1299999999999999</v>
      </c>
      <c r="O190" s="50">
        <f t="shared" si="36"/>
        <v>4.7391448304148851E-3</v>
      </c>
    </row>
    <row r="191" spans="2:15" ht="15" x14ac:dyDescent="0.25">
      <c r="B191" s="57">
        <f t="shared" si="32"/>
        <v>47757</v>
      </c>
      <c r="C191" s="36">
        <f t="shared" si="33"/>
        <v>2778864.0654512835</v>
      </c>
      <c r="D191" s="39">
        <f t="shared" si="39"/>
        <v>23212.555025032882</v>
      </c>
      <c r="E191" s="36">
        <f t="shared" si="27"/>
        <v>13894.320327256415</v>
      </c>
      <c r="F191" s="36">
        <f t="shared" si="37"/>
        <v>9318.2346977764664</v>
      </c>
      <c r="G191" s="36">
        <f t="shared" si="34"/>
        <v>0</v>
      </c>
      <c r="H191" s="38">
        <f t="shared" si="38"/>
        <v>11731.443888917442</v>
      </c>
      <c r="I191" s="36">
        <f t="shared" si="35"/>
        <v>2757814.3868645895</v>
      </c>
      <c r="J191" s="2">
        <f t="shared" si="29"/>
        <v>178</v>
      </c>
      <c r="K191" s="44">
        <f t="shared" si="30"/>
        <v>6.9898891304054356E-3</v>
      </c>
      <c r="L191" s="41">
        <f t="shared" si="31"/>
        <v>0.6</v>
      </c>
      <c r="M191" s="42">
        <f t="shared" si="28"/>
        <v>1</v>
      </c>
      <c r="N191" s="43">
        <f>(VLOOKUP(MONTH('Amortization Model S Shape'!$B191),Seasonality,2,TRUE))</f>
        <v>1.01</v>
      </c>
      <c r="O191" s="50">
        <f t="shared" si="36"/>
        <v>4.2358728130256944E-3</v>
      </c>
    </row>
    <row r="192" spans="2:15" ht="15" x14ac:dyDescent="0.25">
      <c r="B192" s="57">
        <f t="shared" si="32"/>
        <v>47788</v>
      </c>
      <c r="C192" s="36">
        <f t="shared" si="33"/>
        <v>2757814.3868645895</v>
      </c>
      <c r="D192" s="39">
        <f t="shared" si="39"/>
        <v>23114.229594281489</v>
      </c>
      <c r="E192" s="36">
        <f t="shared" si="27"/>
        <v>13789.071934322948</v>
      </c>
      <c r="F192" s="36">
        <f t="shared" si="37"/>
        <v>9325.1576599585405</v>
      </c>
      <c r="G192" s="36">
        <f t="shared" si="34"/>
        <v>0</v>
      </c>
      <c r="H192" s="38">
        <f t="shared" si="38"/>
        <v>9913.2036539389937</v>
      </c>
      <c r="I192" s="36">
        <f t="shared" si="35"/>
        <v>2738576.0255506919</v>
      </c>
      <c r="J192" s="2">
        <f t="shared" si="29"/>
        <v>179</v>
      </c>
      <c r="K192" s="44">
        <f t="shared" si="30"/>
        <v>6.9898891304054356E-3</v>
      </c>
      <c r="L192" s="41">
        <f t="shared" si="31"/>
        <v>0.6</v>
      </c>
      <c r="M192" s="42">
        <f t="shared" si="28"/>
        <v>1</v>
      </c>
      <c r="N192" s="43">
        <f>(VLOOKUP(MONTH('Amortization Model S Shape'!$B192),Seasonality,2,TRUE))</f>
        <v>0.86</v>
      </c>
      <c r="O192" s="50">
        <f t="shared" si="36"/>
        <v>3.6067827912892045E-3</v>
      </c>
    </row>
    <row r="193" spans="2:15" ht="15" x14ac:dyDescent="0.25">
      <c r="B193" s="57">
        <f t="shared" si="32"/>
        <v>47818</v>
      </c>
      <c r="C193" s="36">
        <f t="shared" si="33"/>
        <v>2738576.0255506919</v>
      </c>
      <c r="D193" s="39">
        <f t="shared" si="39"/>
        <v>23030.86158874692</v>
      </c>
      <c r="E193" s="36">
        <f t="shared" si="27"/>
        <v>13692.880127753459</v>
      </c>
      <c r="F193" s="36">
        <f t="shared" si="37"/>
        <v>9337.981460993462</v>
      </c>
      <c r="G193" s="36">
        <f t="shared" si="34"/>
        <v>0</v>
      </c>
      <c r="H193" s="40">
        <f t="shared" si="38"/>
        <v>10301.618522882651</v>
      </c>
      <c r="I193" s="36">
        <f t="shared" si="35"/>
        <v>2718936.4255668158</v>
      </c>
      <c r="J193" s="2">
        <f t="shared" si="29"/>
        <v>180</v>
      </c>
      <c r="K193" s="44">
        <f t="shared" si="30"/>
        <v>6.9898891304054356E-3</v>
      </c>
      <c r="L193" s="41">
        <f t="shared" si="31"/>
        <v>0.6</v>
      </c>
      <c r="M193" s="42">
        <f t="shared" si="28"/>
        <v>1</v>
      </c>
      <c r="N193" s="43">
        <f>(VLOOKUP(MONTH('Amortization Model S Shape'!$B193),Seasonality,2,TRUE))</f>
        <v>0.9</v>
      </c>
      <c r="O193" s="50">
        <f t="shared" si="36"/>
        <v>3.7745401304189355E-3</v>
      </c>
    </row>
    <row r="194" spans="2:15" ht="15" x14ac:dyDescent="0.25">
      <c r="B194" s="57">
        <f t="shared" si="32"/>
        <v>47849</v>
      </c>
      <c r="C194" s="36">
        <f t="shared" si="33"/>
        <v>2718936.4255668158</v>
      </c>
      <c r="D194" s="39">
        <f t="shared" si="39"/>
        <v>22943.930677442073</v>
      </c>
      <c r="E194" s="36">
        <f t="shared" si="27"/>
        <v>13594.682127834079</v>
      </c>
      <c r="F194" s="36">
        <f t="shared" si="37"/>
        <v>9349.2485496079935</v>
      </c>
      <c r="G194" s="36">
        <f t="shared" si="34"/>
        <v>0</v>
      </c>
      <c r="H194" s="38">
        <f t="shared" si="38"/>
        <v>10113.807252780894</v>
      </c>
      <c r="I194" s="36">
        <f t="shared" si="35"/>
        <v>2699473.3697644267</v>
      </c>
      <c r="J194" s="2">
        <f t="shared" si="29"/>
        <v>181</v>
      </c>
      <c r="K194" s="44">
        <f t="shared" si="30"/>
        <v>6.9898891304054356E-3</v>
      </c>
      <c r="L194" s="41">
        <f t="shared" si="31"/>
        <v>0.6</v>
      </c>
      <c r="M194" s="42">
        <f t="shared" si="28"/>
        <v>1</v>
      </c>
      <c r="N194" s="43">
        <f>(VLOOKUP(MONTH('Amortization Model S Shape'!$B194),Seasonality,2,TRUE))</f>
        <v>0.89</v>
      </c>
      <c r="O194" s="50">
        <f t="shared" si="36"/>
        <v>3.7326007956365028E-3</v>
      </c>
    </row>
    <row r="195" spans="2:15" ht="15" x14ac:dyDescent="0.25">
      <c r="B195" s="57">
        <f t="shared" si="32"/>
        <v>47880</v>
      </c>
      <c r="C195" s="36">
        <f t="shared" si="33"/>
        <v>2699473.3697644267</v>
      </c>
      <c r="D195" s="39">
        <f t="shared" si="39"/>
        <v>22858.290143540416</v>
      </c>
      <c r="E195" s="36">
        <f t="shared" si="27"/>
        <v>13497.366848822132</v>
      </c>
      <c r="F195" s="36">
        <f t="shared" si="37"/>
        <v>9360.9232947182845</v>
      </c>
      <c r="G195" s="36">
        <f t="shared" si="34"/>
        <v>0</v>
      </c>
      <c r="H195" s="38">
        <f t="shared" si="38"/>
        <v>10153.937384539375</v>
      </c>
      <c r="I195" s="36">
        <f t="shared" si="35"/>
        <v>2679958.5090851691</v>
      </c>
      <c r="J195" s="2">
        <f t="shared" si="29"/>
        <v>182</v>
      </c>
      <c r="K195" s="44">
        <f t="shared" si="30"/>
        <v>6.9898891304054356E-3</v>
      </c>
      <c r="L195" s="41">
        <f t="shared" si="31"/>
        <v>0.6</v>
      </c>
      <c r="M195" s="42">
        <f t="shared" si="28"/>
        <v>1</v>
      </c>
      <c r="N195" s="43">
        <f>(VLOOKUP(MONTH('Amortization Model S Shape'!$B195),Seasonality,2,TRUE))</f>
        <v>0.9</v>
      </c>
      <c r="O195" s="50">
        <f t="shared" si="36"/>
        <v>3.7745401304189355E-3</v>
      </c>
    </row>
    <row r="196" spans="2:15" ht="15" x14ac:dyDescent="0.25">
      <c r="B196" s="57">
        <f t="shared" si="32"/>
        <v>47908</v>
      </c>
      <c r="C196" s="36">
        <f t="shared" si="33"/>
        <v>2679958.5090851691</v>
      </c>
      <c r="D196" s="39">
        <f t="shared" si="39"/>
        <v>22772.010610080866</v>
      </c>
      <c r="E196" s="36">
        <f t="shared" si="27"/>
        <v>13399.792545425844</v>
      </c>
      <c r="F196" s="36">
        <f t="shared" si="37"/>
        <v>9372.2180646550223</v>
      </c>
      <c r="G196" s="36">
        <f t="shared" si="34"/>
        <v>0</v>
      </c>
      <c r="H196" s="38">
        <f t="shared" si="38"/>
        <v>10640.248189826012</v>
      </c>
      <c r="I196" s="36">
        <f t="shared" si="35"/>
        <v>2659946.0428306879</v>
      </c>
      <c r="J196" s="2">
        <f t="shared" si="29"/>
        <v>183</v>
      </c>
      <c r="K196" s="44">
        <f t="shared" si="30"/>
        <v>6.9898891304054356E-3</v>
      </c>
      <c r="L196" s="41">
        <f t="shared" si="31"/>
        <v>0.6</v>
      </c>
      <c r="M196" s="42">
        <f t="shared" si="28"/>
        <v>1</v>
      </c>
      <c r="N196" s="43">
        <f>(VLOOKUP(MONTH('Amortization Model S Shape'!$B196),Seasonality,2,TRUE))</f>
        <v>0.95</v>
      </c>
      <c r="O196" s="50">
        <f t="shared" si="36"/>
        <v>3.9842368043310978E-3</v>
      </c>
    </row>
    <row r="197" spans="2:15" ht="15" x14ac:dyDescent="0.25">
      <c r="B197" s="57">
        <f t="shared" si="32"/>
        <v>47939</v>
      </c>
      <c r="C197" s="36">
        <f t="shared" si="33"/>
        <v>2659946.0428306879</v>
      </c>
      <c r="D197" s="39">
        <f t="shared" si="39"/>
        <v>22681.281527299565</v>
      </c>
      <c r="E197" s="36">
        <f t="shared" si="27"/>
        <v>13299.730214153438</v>
      </c>
      <c r="F197" s="36">
        <f t="shared" si="37"/>
        <v>9381.5513131461266</v>
      </c>
      <c r="G197" s="36">
        <f t="shared" si="34"/>
        <v>0</v>
      </c>
      <c r="H197" s="38">
        <f t="shared" si="38"/>
        <v>10671.639510929515</v>
      </c>
      <c r="I197" s="36">
        <f t="shared" si="35"/>
        <v>2639892.8520066123</v>
      </c>
      <c r="J197" s="2">
        <f t="shared" si="29"/>
        <v>184</v>
      </c>
      <c r="K197" s="44">
        <f t="shared" si="30"/>
        <v>6.9898891304054356E-3</v>
      </c>
      <c r="L197" s="41">
        <f t="shared" si="31"/>
        <v>0.6</v>
      </c>
      <c r="M197" s="42">
        <f t="shared" si="28"/>
        <v>1</v>
      </c>
      <c r="N197" s="43">
        <f>(VLOOKUP(MONTH('Amortization Model S Shape'!$B197),Seasonality,2,TRUE))</f>
        <v>0.96</v>
      </c>
      <c r="O197" s="50">
        <f t="shared" si="36"/>
        <v>4.0261761391135308E-3</v>
      </c>
    </row>
    <row r="198" spans="2:15" ht="15" x14ac:dyDescent="0.25">
      <c r="B198" s="57">
        <f t="shared" si="32"/>
        <v>47969</v>
      </c>
      <c r="C198" s="36">
        <f t="shared" si="33"/>
        <v>2639892.8520066123</v>
      </c>
      <c r="D198" s="39">
        <f t="shared" si="39"/>
        <v>22589.962692809833</v>
      </c>
      <c r="E198" s="36">
        <f t="shared" si="27"/>
        <v>13199.464260033061</v>
      </c>
      <c r="F198" s="36">
        <f t="shared" si="37"/>
        <v>9390.4984327767725</v>
      </c>
      <c r="G198" s="36">
        <f t="shared" si="34"/>
        <v>0</v>
      </c>
      <c r="H198" s="38">
        <f t="shared" si="38"/>
        <v>11694.080998366062</v>
      </c>
      <c r="I198" s="36">
        <f t="shared" si="35"/>
        <v>2618808.2725754692</v>
      </c>
      <c r="J198" s="2">
        <f t="shared" si="29"/>
        <v>185</v>
      </c>
      <c r="K198" s="44">
        <f t="shared" si="30"/>
        <v>6.9898891304054356E-3</v>
      </c>
      <c r="L198" s="41">
        <f t="shared" si="31"/>
        <v>0.6</v>
      </c>
      <c r="M198" s="42">
        <f t="shared" si="28"/>
        <v>1</v>
      </c>
      <c r="N198" s="43">
        <f>(VLOOKUP(MONTH('Amortization Model S Shape'!$B198),Seasonality,2,TRUE))</f>
        <v>1.06</v>
      </c>
      <c r="O198" s="50">
        <f t="shared" si="36"/>
        <v>4.4455694869378571E-3</v>
      </c>
    </row>
    <row r="199" spans="2:15" ht="15" x14ac:dyDescent="0.25">
      <c r="B199" s="57">
        <f t="shared" si="32"/>
        <v>48000</v>
      </c>
      <c r="C199" s="36">
        <f t="shared" si="33"/>
        <v>2618808.2725754692</v>
      </c>
      <c r="D199" s="39">
        <f t="shared" si="39"/>
        <v>22489.537443951613</v>
      </c>
      <c r="E199" s="36">
        <f t="shared" si="27"/>
        <v>13094.041362877346</v>
      </c>
      <c r="F199" s="36">
        <f t="shared" si="37"/>
        <v>9395.4960810742668</v>
      </c>
      <c r="G199" s="36">
        <f t="shared" si="34"/>
        <v>0</v>
      </c>
      <c r="H199" s="38">
        <f t="shared" si="38"/>
        <v>11928.636926066145</v>
      </c>
      <c r="I199" s="36">
        <f t="shared" si="35"/>
        <v>2597484.1395683289</v>
      </c>
      <c r="J199" s="2">
        <f t="shared" si="29"/>
        <v>186</v>
      </c>
      <c r="K199" s="44">
        <f t="shared" si="30"/>
        <v>6.9898891304054356E-3</v>
      </c>
      <c r="L199" s="41">
        <f t="shared" si="31"/>
        <v>0.6</v>
      </c>
      <c r="M199" s="42">
        <f t="shared" si="28"/>
        <v>1</v>
      </c>
      <c r="N199" s="43">
        <f>(VLOOKUP(MONTH('Amortization Model S Shape'!$B199),Seasonality,2,TRUE))</f>
        <v>1.0900000000000001</v>
      </c>
      <c r="O199" s="50">
        <f t="shared" si="36"/>
        <v>4.5713874912851555E-3</v>
      </c>
    </row>
    <row r="200" spans="2:15" ht="15" x14ac:dyDescent="0.25">
      <c r="B200" s="57">
        <f t="shared" si="32"/>
        <v>48030</v>
      </c>
      <c r="C200" s="36">
        <f t="shared" si="33"/>
        <v>2597484.1395683289</v>
      </c>
      <c r="D200" s="39">
        <f t="shared" si="39"/>
        <v>22386.729053795541</v>
      </c>
      <c r="E200" s="36">
        <f t="shared" si="27"/>
        <v>12987.420697841642</v>
      </c>
      <c r="F200" s="36">
        <f t="shared" si="37"/>
        <v>9399.3083559538991</v>
      </c>
      <c r="G200" s="36">
        <f t="shared" si="34"/>
        <v>0</v>
      </c>
      <c r="H200" s="38">
        <f t="shared" si="38"/>
        <v>11939.681179970654</v>
      </c>
      <c r="I200" s="36">
        <f t="shared" si="35"/>
        <v>2576145.1500324043</v>
      </c>
      <c r="J200" s="2">
        <f t="shared" si="29"/>
        <v>187</v>
      </c>
      <c r="K200" s="44">
        <f t="shared" si="30"/>
        <v>6.9898891304054356E-3</v>
      </c>
      <c r="L200" s="41">
        <f t="shared" si="31"/>
        <v>0.6</v>
      </c>
      <c r="M200" s="42">
        <f t="shared" si="28"/>
        <v>1</v>
      </c>
      <c r="N200" s="43">
        <f>(VLOOKUP(MONTH('Amortization Model S Shape'!$B200),Seasonality,2,TRUE))</f>
        <v>1.1000000000000001</v>
      </c>
      <c r="O200" s="50">
        <f t="shared" si="36"/>
        <v>4.6133268260675877E-3</v>
      </c>
    </row>
    <row r="201" spans="2:15" ht="15" x14ac:dyDescent="0.25">
      <c r="B201" s="57">
        <f t="shared" si="32"/>
        <v>48061</v>
      </c>
      <c r="C201" s="36">
        <f t="shared" si="33"/>
        <v>2576145.1500324043</v>
      </c>
      <c r="D201" s="39">
        <f t="shared" si="39"/>
        <v>22283.451756103761</v>
      </c>
      <c r="E201" s="36">
        <f t="shared" si="27"/>
        <v>12880.725750162021</v>
      </c>
      <c r="F201" s="36">
        <f t="shared" si="37"/>
        <v>9402.7260059417404</v>
      </c>
      <c r="G201" s="36">
        <f t="shared" si="34"/>
        <v>0</v>
      </c>
      <c r="H201" s="38">
        <f t="shared" si="38"/>
        <v>12379.459029474619</v>
      </c>
      <c r="I201" s="36">
        <f t="shared" si="35"/>
        <v>2554362.964996988</v>
      </c>
      <c r="J201" s="2">
        <f t="shared" si="29"/>
        <v>188</v>
      </c>
      <c r="K201" s="44">
        <f t="shared" si="30"/>
        <v>6.9898891304054356E-3</v>
      </c>
      <c r="L201" s="41">
        <f t="shared" si="31"/>
        <v>0.6</v>
      </c>
      <c r="M201" s="42">
        <f t="shared" si="28"/>
        <v>1</v>
      </c>
      <c r="N201" s="43">
        <f>(VLOOKUP(MONTH('Amortization Model S Shape'!$B201),Seasonality,2,TRUE))</f>
        <v>1.1499999999999999</v>
      </c>
      <c r="O201" s="50">
        <f t="shared" si="36"/>
        <v>4.8230234999797504E-3</v>
      </c>
    </row>
    <row r="202" spans="2:15" ht="15" x14ac:dyDescent="0.25">
      <c r="B202" s="57">
        <f t="shared" si="32"/>
        <v>48092</v>
      </c>
      <c r="C202" s="36">
        <f t="shared" si="33"/>
        <v>2554362.964996988</v>
      </c>
      <c r="D202" s="39">
        <f t="shared" si="39"/>
        <v>22175.978144623405</v>
      </c>
      <c r="E202" s="36">
        <f t="shared" si="27"/>
        <v>12771.81482498494</v>
      </c>
      <c r="F202" s="36">
        <f t="shared" si="37"/>
        <v>9404.1633196384646</v>
      </c>
      <c r="G202" s="36">
        <f t="shared" si="34"/>
        <v>0</v>
      </c>
      <c r="H202" s="38">
        <f t="shared" si="38"/>
        <v>12060.928348588071</v>
      </c>
      <c r="I202" s="36">
        <f t="shared" si="35"/>
        <v>2532897.8733287612</v>
      </c>
      <c r="J202" s="2">
        <f t="shared" si="29"/>
        <v>189</v>
      </c>
      <c r="K202" s="44">
        <f t="shared" si="30"/>
        <v>6.9898891304054356E-3</v>
      </c>
      <c r="L202" s="41">
        <f t="shared" si="31"/>
        <v>0.6</v>
      </c>
      <c r="M202" s="42">
        <f t="shared" si="28"/>
        <v>1</v>
      </c>
      <c r="N202" s="43">
        <f>(VLOOKUP(MONTH('Amortization Model S Shape'!$B202),Seasonality,2,TRUE))</f>
        <v>1.1299999999999999</v>
      </c>
      <c r="O202" s="50">
        <f t="shared" si="36"/>
        <v>4.7391448304148851E-3</v>
      </c>
    </row>
    <row r="203" spans="2:15" ht="15" x14ac:dyDescent="0.25">
      <c r="B203" s="57">
        <f t="shared" si="32"/>
        <v>48122</v>
      </c>
      <c r="C203" s="36">
        <f t="shared" si="33"/>
        <v>2532897.8733287612</v>
      </c>
      <c r="D203" s="39">
        <f t="shared" si="39"/>
        <v>22070.882972439918</v>
      </c>
      <c r="E203" s="36">
        <f t="shared" si="27"/>
        <v>12664.489366643806</v>
      </c>
      <c r="F203" s="36">
        <f t="shared" si="37"/>
        <v>9406.3936057961128</v>
      </c>
      <c r="G203" s="36">
        <f t="shared" si="34"/>
        <v>0</v>
      </c>
      <c r="H203" s="38">
        <f t="shared" si="38"/>
        <v>10689.188952860488</v>
      </c>
      <c r="I203" s="36">
        <f t="shared" si="35"/>
        <v>2512802.2907701046</v>
      </c>
      <c r="J203" s="2">
        <f t="shared" si="29"/>
        <v>190</v>
      </c>
      <c r="K203" s="44">
        <f t="shared" si="30"/>
        <v>6.9898891304054356E-3</v>
      </c>
      <c r="L203" s="41">
        <f t="shared" si="31"/>
        <v>0.6</v>
      </c>
      <c r="M203" s="42">
        <f t="shared" si="28"/>
        <v>1</v>
      </c>
      <c r="N203" s="43">
        <f>(VLOOKUP(MONTH('Amortization Model S Shape'!$B203),Seasonality,2,TRUE))</f>
        <v>1.01</v>
      </c>
      <c r="O203" s="50">
        <f t="shared" si="36"/>
        <v>4.2358728130256944E-3</v>
      </c>
    </row>
    <row r="204" spans="2:15" ht="15" x14ac:dyDescent="0.25">
      <c r="B204" s="57">
        <f t="shared" si="32"/>
        <v>48153</v>
      </c>
      <c r="C204" s="36">
        <f t="shared" si="33"/>
        <v>2512802.2907701046</v>
      </c>
      <c r="D204" s="39">
        <f t="shared" si="39"/>
        <v>21977.39351929749</v>
      </c>
      <c r="E204" s="36">
        <f t="shared" si="27"/>
        <v>12564.011453850522</v>
      </c>
      <c r="F204" s="36">
        <f t="shared" si="37"/>
        <v>9413.3820654469673</v>
      </c>
      <c r="G204" s="36">
        <f t="shared" si="34"/>
        <v>0</v>
      </c>
      <c r="H204" s="38">
        <f t="shared" si="38"/>
        <v>9029.1800358202199</v>
      </c>
      <c r="I204" s="36">
        <f t="shared" si="35"/>
        <v>2494359.7286688373</v>
      </c>
      <c r="J204" s="2">
        <f t="shared" si="29"/>
        <v>191</v>
      </c>
      <c r="K204" s="44">
        <f t="shared" si="30"/>
        <v>6.9898891304054356E-3</v>
      </c>
      <c r="L204" s="41">
        <f t="shared" si="31"/>
        <v>0.6</v>
      </c>
      <c r="M204" s="42">
        <f t="shared" si="28"/>
        <v>1</v>
      </c>
      <c r="N204" s="43">
        <f>(VLOOKUP(MONTH('Amortization Model S Shape'!$B204),Seasonality,2,TRUE))</f>
        <v>0.86</v>
      </c>
      <c r="O204" s="50">
        <f t="shared" si="36"/>
        <v>3.6067827912892045E-3</v>
      </c>
    </row>
    <row r="205" spans="2:15" ht="15" x14ac:dyDescent="0.25">
      <c r="B205" s="57">
        <f t="shared" si="32"/>
        <v>48183</v>
      </c>
      <c r="C205" s="36">
        <f t="shared" si="33"/>
        <v>2494359.7286688373</v>
      </c>
      <c r="D205" s="39">
        <f t="shared" si="39"/>
        <v>21898.125834554696</v>
      </c>
      <c r="E205" s="36">
        <f t="shared" si="27"/>
        <v>12471.798643344186</v>
      </c>
      <c r="F205" s="36">
        <f t="shared" si="37"/>
        <v>9426.3271912105101</v>
      </c>
      <c r="G205" s="36">
        <f t="shared" si="34"/>
        <v>0</v>
      </c>
      <c r="H205" s="40">
        <f t="shared" si="38"/>
        <v>7816.2340377464425</v>
      </c>
      <c r="I205" s="36">
        <f t="shared" si="35"/>
        <v>2477117.1674398808</v>
      </c>
      <c r="J205" s="2">
        <f t="shared" si="29"/>
        <v>192</v>
      </c>
      <c r="K205" s="44">
        <f t="shared" si="30"/>
        <v>6.9898891304054356E-3</v>
      </c>
      <c r="L205" s="41">
        <f t="shared" si="31"/>
        <v>0.5</v>
      </c>
      <c r="M205" s="42">
        <f t="shared" si="28"/>
        <v>1</v>
      </c>
      <c r="N205" s="43">
        <f>(VLOOKUP(MONTH('Amortization Model S Shape'!$B205),Seasonality,2,TRUE))</f>
        <v>0.9</v>
      </c>
      <c r="O205" s="50">
        <f t="shared" si="36"/>
        <v>3.145450108682446E-3</v>
      </c>
    </row>
    <row r="206" spans="2:15" ht="15" x14ac:dyDescent="0.25">
      <c r="B206" s="57">
        <f t="shared" si="32"/>
        <v>48214</v>
      </c>
      <c r="C206" s="36">
        <f t="shared" si="33"/>
        <v>2477117.1674398808</v>
      </c>
      <c r="D206" s="39">
        <f t="shared" si="39"/>
        <v>21829.246372268455</v>
      </c>
      <c r="E206" s="36">
        <f t="shared" ref="E206:E269" si="40">($F$7*C206)/12</f>
        <v>12385.585837199404</v>
      </c>
      <c r="F206" s="36">
        <f t="shared" si="37"/>
        <v>9443.6605350690515</v>
      </c>
      <c r="G206" s="36">
        <f t="shared" si="34"/>
        <v>0</v>
      </c>
      <c r="H206" s="38">
        <f t="shared" si="38"/>
        <v>7675.7000793700154</v>
      </c>
      <c r="I206" s="36">
        <f t="shared" si="35"/>
        <v>2459997.8068254418</v>
      </c>
      <c r="J206" s="2">
        <f t="shared" si="29"/>
        <v>193</v>
      </c>
      <c r="K206" s="44">
        <f t="shared" si="30"/>
        <v>6.9898891304054356E-3</v>
      </c>
      <c r="L206" s="41">
        <f t="shared" si="31"/>
        <v>0.5</v>
      </c>
      <c r="M206" s="42">
        <f t="shared" ref="M206:M269" si="41">MIN(J206/VLOOKUP($F$5-$F$8,Seasoning,2,TRUE),1)</f>
        <v>1</v>
      </c>
      <c r="N206" s="43">
        <f>(VLOOKUP(MONTH('Amortization Model S Shape'!$B206),Seasonality,2,TRUE))</f>
        <v>0.89</v>
      </c>
      <c r="O206" s="50">
        <f t="shared" si="36"/>
        <v>3.1105006630304187E-3</v>
      </c>
    </row>
    <row r="207" spans="2:15" ht="15" x14ac:dyDescent="0.25">
      <c r="B207" s="57">
        <f t="shared" si="32"/>
        <v>48245</v>
      </c>
      <c r="C207" s="36">
        <f t="shared" si="33"/>
        <v>2459997.8068254418</v>
      </c>
      <c r="D207" s="39">
        <f t="shared" si="39"/>
        <v>21761.346486954062</v>
      </c>
      <c r="E207" s="36">
        <f t="shared" si="40"/>
        <v>12299.989034127209</v>
      </c>
      <c r="F207" s="36">
        <f t="shared" si="37"/>
        <v>9461.3574528268528</v>
      </c>
      <c r="G207" s="36">
        <f t="shared" si="34"/>
        <v>0</v>
      </c>
      <c r="H207" s="38">
        <f t="shared" si="38"/>
        <v>7708.0401410093864</v>
      </c>
      <c r="I207" s="36">
        <f t="shared" si="35"/>
        <v>2442828.4092316055</v>
      </c>
      <c r="J207" s="2">
        <f t="shared" ref="J207:J270" si="42">+J206+1</f>
        <v>194</v>
      </c>
      <c r="K207" s="44">
        <f t="shared" ref="K207:K270" si="43">1-((1-(0.3-0.16*ATAN(123.11*(0.02-$K$12))))^(1/12))</f>
        <v>6.9898891304054356E-3</v>
      </c>
      <c r="L207" s="41">
        <f t="shared" ref="L207:L270" si="44">VLOOKUP(ROUND(C207/$F$4,1),Burnout,2,FALSE)</f>
        <v>0.5</v>
      </c>
      <c r="M207" s="42">
        <f t="shared" si="41"/>
        <v>1</v>
      </c>
      <c r="N207" s="43">
        <f>(VLOOKUP(MONTH('Amortization Model S Shape'!$B207),Seasonality,2,TRUE))</f>
        <v>0.9</v>
      </c>
      <c r="O207" s="50">
        <f t="shared" si="36"/>
        <v>3.145450108682446E-3</v>
      </c>
    </row>
    <row r="208" spans="2:15" ht="15" x14ac:dyDescent="0.25">
      <c r="B208" s="57">
        <f t="shared" ref="B208:B271" si="45">IF(C208&gt;0,EDATE(B207,1),"")</f>
        <v>48274</v>
      </c>
      <c r="C208" s="36">
        <f t="shared" ref="C208:C271" si="46">+I207</f>
        <v>2442828.4092316055</v>
      </c>
      <c r="D208" s="39">
        <f t="shared" si="39"/>
        <v>21692.897257281595</v>
      </c>
      <c r="E208" s="36">
        <f t="shared" si="40"/>
        <v>12214.142046158027</v>
      </c>
      <c r="F208" s="36">
        <f t="shared" si="37"/>
        <v>9478.7552111235673</v>
      </c>
      <c r="G208" s="36">
        <f t="shared" ref="G208:G271" si="47">($F$6*C208)/12</f>
        <v>0</v>
      </c>
      <c r="H208" s="38">
        <f t="shared" si="38"/>
        <v>8079.2010411289566</v>
      </c>
      <c r="I208" s="36">
        <f t="shared" ref="I208:I271" si="48">IF(J208&gt;$F$3,0,C208-F208-H208)</f>
        <v>2425270.4529793528</v>
      </c>
      <c r="J208" s="2">
        <f t="shared" si="42"/>
        <v>195</v>
      </c>
      <c r="K208" s="44">
        <f t="shared" si="43"/>
        <v>6.9898891304054356E-3</v>
      </c>
      <c r="L208" s="41">
        <f t="shared" si="44"/>
        <v>0.5</v>
      </c>
      <c r="M208" s="42">
        <f t="shared" si="41"/>
        <v>1</v>
      </c>
      <c r="N208" s="43">
        <f>(VLOOKUP(MONTH('Amortization Model S Shape'!$B208),Seasonality,2,TRUE))</f>
        <v>0.95</v>
      </c>
      <c r="O208" s="50">
        <f t="shared" ref="O208:O271" si="49">PRODUCT(K208:N208)</f>
        <v>3.3201973369425819E-3</v>
      </c>
    </row>
    <row r="209" spans="2:15" ht="15" x14ac:dyDescent="0.25">
      <c r="B209" s="57">
        <f t="shared" si="45"/>
        <v>48305</v>
      </c>
      <c r="C209" s="36">
        <f t="shared" si="46"/>
        <v>2425270.4529793528</v>
      </c>
      <c r="D209" s="39">
        <f t="shared" si="39"/>
        <v>21620.872557577404</v>
      </c>
      <c r="E209" s="36">
        <f t="shared" si="40"/>
        <v>12126.352264896763</v>
      </c>
      <c r="F209" s="36">
        <f t="shared" ref="F209:F272" si="50">D209-E209-G209</f>
        <v>9494.5202926806414</v>
      </c>
      <c r="G209" s="36">
        <f t="shared" si="47"/>
        <v>0</v>
      </c>
      <c r="H209" s="38">
        <f t="shared" ref="H209:H272" si="51">+O209*(C209-F209)</f>
        <v>8105.2828480231792</v>
      </c>
      <c r="I209" s="36">
        <f t="shared" si="48"/>
        <v>2407670.6498386487</v>
      </c>
      <c r="J209" s="2">
        <f t="shared" si="42"/>
        <v>196</v>
      </c>
      <c r="K209" s="44">
        <f t="shared" si="43"/>
        <v>6.9898891304054356E-3</v>
      </c>
      <c r="L209" s="41">
        <f t="shared" si="44"/>
        <v>0.5</v>
      </c>
      <c r="M209" s="42">
        <f t="shared" si="41"/>
        <v>1</v>
      </c>
      <c r="N209" s="43">
        <f>(VLOOKUP(MONTH('Amortization Model S Shape'!$B209),Seasonality,2,TRUE))</f>
        <v>0.96</v>
      </c>
      <c r="O209" s="50">
        <f t="shared" si="49"/>
        <v>3.3551467825946092E-3</v>
      </c>
    </row>
    <row r="210" spans="2:15" ht="15" x14ac:dyDescent="0.25">
      <c r="B210" s="57">
        <f t="shared" si="45"/>
        <v>48335</v>
      </c>
      <c r="C210" s="36">
        <f t="shared" si="46"/>
        <v>2407670.6498386487</v>
      </c>
      <c r="D210" s="39">
        <f t="shared" si="39"/>
        <v>21548.331356578954</v>
      </c>
      <c r="E210" s="36">
        <f t="shared" si="40"/>
        <v>12038.353249193244</v>
      </c>
      <c r="F210" s="36">
        <f t="shared" si="50"/>
        <v>9509.9781073857102</v>
      </c>
      <c r="G210" s="36">
        <f t="shared" si="47"/>
        <v>0</v>
      </c>
      <c r="H210" s="38">
        <f t="shared" si="51"/>
        <v>8884.3249225190812</v>
      </c>
      <c r="I210" s="36">
        <f t="shared" si="48"/>
        <v>2389276.3468087437</v>
      </c>
      <c r="J210" s="2">
        <f t="shared" si="42"/>
        <v>197</v>
      </c>
      <c r="K210" s="44">
        <f t="shared" si="43"/>
        <v>6.9898891304054356E-3</v>
      </c>
      <c r="L210" s="41">
        <f t="shared" si="44"/>
        <v>0.5</v>
      </c>
      <c r="M210" s="42">
        <f t="shared" si="41"/>
        <v>1</v>
      </c>
      <c r="N210" s="43">
        <f>(VLOOKUP(MONTH('Amortization Model S Shape'!$B210),Seasonality,2,TRUE))</f>
        <v>1.06</v>
      </c>
      <c r="O210" s="50">
        <f t="shared" si="49"/>
        <v>3.7046412391148809E-3</v>
      </c>
    </row>
    <row r="211" spans="2:15" ht="15" x14ac:dyDescent="0.25">
      <c r="B211" s="57">
        <f t="shared" si="45"/>
        <v>48366</v>
      </c>
      <c r="C211" s="36">
        <f t="shared" si="46"/>
        <v>2389276.3468087437</v>
      </c>
      <c r="D211" s="39">
        <f t="shared" ref="D211:D274" si="52">-PMT($F$5/12,$F$3-J210,$C211)</f>
        <v>21468.502519601261</v>
      </c>
      <c r="E211" s="36">
        <f t="shared" si="40"/>
        <v>11946.381734043718</v>
      </c>
      <c r="F211" s="36">
        <f t="shared" si="50"/>
        <v>9522.1207855575431</v>
      </c>
      <c r="G211" s="36">
        <f t="shared" si="47"/>
        <v>0</v>
      </c>
      <c r="H211" s="38">
        <f t="shared" si="51"/>
        <v>9065.6489176461491</v>
      </c>
      <c r="I211" s="36">
        <f t="shared" si="48"/>
        <v>2370688.5771055399</v>
      </c>
      <c r="J211" s="2">
        <f t="shared" si="42"/>
        <v>198</v>
      </c>
      <c r="K211" s="44">
        <f t="shared" si="43"/>
        <v>6.9898891304054356E-3</v>
      </c>
      <c r="L211" s="41">
        <f t="shared" si="44"/>
        <v>0.5</v>
      </c>
      <c r="M211" s="42">
        <f t="shared" si="41"/>
        <v>1</v>
      </c>
      <c r="N211" s="43">
        <f>(VLOOKUP(MONTH('Amortization Model S Shape'!$B211),Seasonality,2,TRUE))</f>
        <v>1.0900000000000001</v>
      </c>
      <c r="O211" s="50">
        <f t="shared" si="49"/>
        <v>3.8094895760709627E-3</v>
      </c>
    </row>
    <row r="212" spans="2:15" ht="15" x14ac:dyDescent="0.25">
      <c r="B212" s="57">
        <f t="shared" si="45"/>
        <v>48396</v>
      </c>
      <c r="C212" s="36">
        <f t="shared" si="46"/>
        <v>2370688.5771055399</v>
      </c>
      <c r="D212" s="39">
        <f t="shared" si="52"/>
        <v>21386.718483038978</v>
      </c>
      <c r="E212" s="36">
        <f t="shared" si="40"/>
        <v>11853.442885527698</v>
      </c>
      <c r="F212" s="36">
        <f t="shared" si="50"/>
        <v>9533.2755975112796</v>
      </c>
      <c r="G212" s="36">
        <f t="shared" si="47"/>
        <v>0</v>
      </c>
      <c r="H212" s="38">
        <f t="shared" si="51"/>
        <v>9077.3175774655774</v>
      </c>
      <c r="I212" s="36">
        <f t="shared" si="48"/>
        <v>2352077.9839305631</v>
      </c>
      <c r="J212" s="2">
        <f t="shared" si="42"/>
        <v>199</v>
      </c>
      <c r="K212" s="44">
        <f t="shared" si="43"/>
        <v>6.9898891304054356E-3</v>
      </c>
      <c r="L212" s="41">
        <f t="shared" si="44"/>
        <v>0.5</v>
      </c>
      <c r="M212" s="42">
        <f t="shared" si="41"/>
        <v>1</v>
      </c>
      <c r="N212" s="43">
        <f>(VLOOKUP(MONTH('Amortization Model S Shape'!$B212),Seasonality,2,TRUE))</f>
        <v>1.1000000000000001</v>
      </c>
      <c r="O212" s="50">
        <f t="shared" si="49"/>
        <v>3.84443902172299E-3</v>
      </c>
    </row>
    <row r="213" spans="2:15" ht="15" x14ac:dyDescent="0.25">
      <c r="B213" s="57">
        <f t="shared" si="45"/>
        <v>48427</v>
      </c>
      <c r="C213" s="36">
        <f t="shared" si="46"/>
        <v>2352077.9839305631</v>
      </c>
      <c r="D213" s="39">
        <f t="shared" si="52"/>
        <v>21304.49854795618</v>
      </c>
      <c r="E213" s="36">
        <f t="shared" si="40"/>
        <v>11760.389919652815</v>
      </c>
      <c r="F213" s="36">
        <f t="shared" si="50"/>
        <v>9544.1086283033655</v>
      </c>
      <c r="G213" s="36">
        <f t="shared" si="47"/>
        <v>0</v>
      </c>
      <c r="H213" s="38">
        <f t="shared" si="51"/>
        <v>9415.0799417345279</v>
      </c>
      <c r="I213" s="36">
        <f t="shared" si="48"/>
        <v>2333118.7953605251</v>
      </c>
      <c r="J213" s="2">
        <f t="shared" si="42"/>
        <v>200</v>
      </c>
      <c r="K213" s="44">
        <f t="shared" si="43"/>
        <v>6.9898891304054356E-3</v>
      </c>
      <c r="L213" s="41">
        <f t="shared" si="44"/>
        <v>0.5</v>
      </c>
      <c r="M213" s="42">
        <f t="shared" si="41"/>
        <v>1</v>
      </c>
      <c r="N213" s="43">
        <f>(VLOOKUP(MONTH('Amortization Model S Shape'!$B213),Seasonality,2,TRUE))</f>
        <v>1.1499999999999999</v>
      </c>
      <c r="O213" s="50">
        <f t="shared" si="49"/>
        <v>4.0191862499831255E-3</v>
      </c>
    </row>
    <row r="214" spans="2:15" ht="15" x14ac:dyDescent="0.25">
      <c r="B214" s="57">
        <f t="shared" si="45"/>
        <v>48458</v>
      </c>
      <c r="C214" s="36">
        <f t="shared" si="46"/>
        <v>2333118.7953605251</v>
      </c>
      <c r="D214" s="39">
        <f t="shared" si="52"/>
        <v>21218.871800329453</v>
      </c>
      <c r="E214" s="36">
        <f t="shared" si="40"/>
        <v>11665.593976802624</v>
      </c>
      <c r="F214" s="36">
        <f t="shared" si="50"/>
        <v>9553.2778235268288</v>
      </c>
      <c r="G214" s="36">
        <f t="shared" si="47"/>
        <v>0</v>
      </c>
      <c r="H214" s="38">
        <f t="shared" si="51"/>
        <v>9176.4279254714602</v>
      </c>
      <c r="I214" s="36">
        <f t="shared" si="48"/>
        <v>2314389.0896115266</v>
      </c>
      <c r="J214" s="2">
        <f t="shared" si="42"/>
        <v>201</v>
      </c>
      <c r="K214" s="44">
        <f t="shared" si="43"/>
        <v>6.9898891304054356E-3</v>
      </c>
      <c r="L214" s="41">
        <f t="shared" si="44"/>
        <v>0.5</v>
      </c>
      <c r="M214" s="42">
        <f t="shared" si="41"/>
        <v>1</v>
      </c>
      <c r="N214" s="43">
        <f>(VLOOKUP(MONTH('Amortization Model S Shape'!$B214),Seasonality,2,TRUE))</f>
        <v>1.1299999999999999</v>
      </c>
      <c r="O214" s="50">
        <f t="shared" si="49"/>
        <v>3.9492873586790709E-3</v>
      </c>
    </row>
    <row r="215" spans="2:15" ht="15" x14ac:dyDescent="0.25">
      <c r="B215" s="57">
        <f t="shared" si="45"/>
        <v>48488</v>
      </c>
      <c r="C215" s="36">
        <f t="shared" si="46"/>
        <v>2314389.0896115266</v>
      </c>
      <c r="D215" s="39">
        <f t="shared" si="52"/>
        <v>21135.072378162979</v>
      </c>
      <c r="E215" s="36">
        <f t="shared" si="40"/>
        <v>11571.945448057631</v>
      </c>
      <c r="F215" s="36">
        <f t="shared" si="50"/>
        <v>9563.1269301053471</v>
      </c>
      <c r="G215" s="36">
        <f t="shared" si="47"/>
        <v>0</v>
      </c>
      <c r="H215" s="38">
        <f t="shared" si="51"/>
        <v>8135.7913617316708</v>
      </c>
      <c r="I215" s="36">
        <f t="shared" si="48"/>
        <v>2296690.1713196896</v>
      </c>
      <c r="J215" s="2">
        <f t="shared" si="42"/>
        <v>202</v>
      </c>
      <c r="K215" s="44">
        <f t="shared" si="43"/>
        <v>6.9898891304054356E-3</v>
      </c>
      <c r="L215" s="41">
        <f t="shared" si="44"/>
        <v>0.5</v>
      </c>
      <c r="M215" s="42">
        <f t="shared" si="41"/>
        <v>1</v>
      </c>
      <c r="N215" s="43">
        <f>(VLOOKUP(MONTH('Amortization Model S Shape'!$B215),Seasonality,2,TRUE))</f>
        <v>1.01</v>
      </c>
      <c r="O215" s="50">
        <f t="shared" si="49"/>
        <v>3.5298940108547451E-3</v>
      </c>
    </row>
    <row r="216" spans="2:15" ht="15" x14ac:dyDescent="0.25">
      <c r="B216" s="57">
        <f t="shared" si="45"/>
        <v>48519</v>
      </c>
      <c r="C216" s="36">
        <f t="shared" si="46"/>
        <v>2296690.1713196896</v>
      </c>
      <c r="D216" s="39">
        <f t="shared" si="52"/>
        <v>21060.46781275632</v>
      </c>
      <c r="E216" s="36">
        <f t="shared" si="40"/>
        <v>11483.450856598449</v>
      </c>
      <c r="F216" s="36">
        <f t="shared" si="50"/>
        <v>9577.0169561578714</v>
      </c>
      <c r="G216" s="36">
        <f t="shared" si="47"/>
        <v>0</v>
      </c>
      <c r="H216" s="38">
        <f t="shared" si="51"/>
        <v>6874.2669724079642</v>
      </c>
      <c r="I216" s="36">
        <f t="shared" si="48"/>
        <v>2280238.8873911235</v>
      </c>
      <c r="J216" s="2">
        <f t="shared" si="42"/>
        <v>203</v>
      </c>
      <c r="K216" s="44">
        <f t="shared" si="43"/>
        <v>6.9898891304054356E-3</v>
      </c>
      <c r="L216" s="41">
        <f t="shared" si="44"/>
        <v>0.5</v>
      </c>
      <c r="M216" s="42">
        <f t="shared" si="41"/>
        <v>1</v>
      </c>
      <c r="N216" s="43">
        <f>(VLOOKUP(MONTH('Amortization Model S Shape'!$B216),Seasonality,2,TRUE))</f>
        <v>0.86</v>
      </c>
      <c r="O216" s="50">
        <f t="shared" si="49"/>
        <v>3.0056523260743374E-3</v>
      </c>
    </row>
    <row r="217" spans="2:15" ht="15" x14ac:dyDescent="0.25">
      <c r="B217" s="57">
        <f t="shared" si="45"/>
        <v>48549</v>
      </c>
      <c r="C217" s="36">
        <f t="shared" si="46"/>
        <v>2280238.8873911235</v>
      </c>
      <c r="D217" s="39">
        <f t="shared" si="52"/>
        <v>20997.167368686689</v>
      </c>
      <c r="E217" s="36">
        <f t="shared" si="40"/>
        <v>11401.194436955617</v>
      </c>
      <c r="F217" s="36">
        <f t="shared" si="50"/>
        <v>9595.9729317310721</v>
      </c>
      <c r="G217" s="36">
        <f t="shared" si="47"/>
        <v>0</v>
      </c>
      <c r="H217" s="40">
        <f t="shared" si="51"/>
        <v>7142.1940020653219</v>
      </c>
      <c r="I217" s="36">
        <f t="shared" si="48"/>
        <v>2263500.7204573271</v>
      </c>
      <c r="J217" s="2">
        <f t="shared" si="42"/>
        <v>204</v>
      </c>
      <c r="K217" s="44">
        <f t="shared" si="43"/>
        <v>6.9898891304054356E-3</v>
      </c>
      <c r="L217" s="41">
        <f t="shared" si="44"/>
        <v>0.5</v>
      </c>
      <c r="M217" s="42">
        <f t="shared" si="41"/>
        <v>1</v>
      </c>
      <c r="N217" s="43">
        <f>(VLOOKUP(MONTH('Amortization Model S Shape'!$B217),Seasonality,2,TRUE))</f>
        <v>0.9</v>
      </c>
      <c r="O217" s="50">
        <f t="shared" si="49"/>
        <v>3.145450108682446E-3</v>
      </c>
    </row>
    <row r="218" spans="2:15" ht="15" x14ac:dyDescent="0.25">
      <c r="B218" s="57">
        <f t="shared" si="45"/>
        <v>48580</v>
      </c>
      <c r="C218" s="36">
        <f t="shared" si="46"/>
        <v>2263500.7204573271</v>
      </c>
      <c r="D218" s="39">
        <f t="shared" si="52"/>
        <v>20931.121826304832</v>
      </c>
      <c r="E218" s="36">
        <f t="shared" si="40"/>
        <v>11317.503602286635</v>
      </c>
      <c r="F218" s="36">
        <f t="shared" si="50"/>
        <v>9613.618224018197</v>
      </c>
      <c r="G218" s="36">
        <f t="shared" si="47"/>
        <v>0</v>
      </c>
      <c r="H218" s="38">
        <f t="shared" si="51"/>
        <v>7010.7173258924167</v>
      </c>
      <c r="I218" s="36">
        <f t="shared" si="48"/>
        <v>2246876.3849074165</v>
      </c>
      <c r="J218" s="2">
        <f t="shared" si="42"/>
        <v>205</v>
      </c>
      <c r="K218" s="44">
        <f t="shared" si="43"/>
        <v>6.9898891304054356E-3</v>
      </c>
      <c r="L218" s="41">
        <f t="shared" si="44"/>
        <v>0.5</v>
      </c>
      <c r="M218" s="42">
        <f t="shared" si="41"/>
        <v>1</v>
      </c>
      <c r="N218" s="43">
        <f>(VLOOKUP(MONTH('Amortization Model S Shape'!$B218),Seasonality,2,TRUE))</f>
        <v>0.89</v>
      </c>
      <c r="O218" s="50">
        <f t="shared" si="49"/>
        <v>3.1105006630304187E-3</v>
      </c>
    </row>
    <row r="219" spans="2:15" ht="15" x14ac:dyDescent="0.25">
      <c r="B219" s="57">
        <f t="shared" si="45"/>
        <v>48611</v>
      </c>
      <c r="C219" s="36">
        <f t="shared" si="46"/>
        <v>2246876.3849074165</v>
      </c>
      <c r="D219" s="39">
        <f t="shared" si="52"/>
        <v>20866.015557986138</v>
      </c>
      <c r="E219" s="36">
        <f t="shared" si="40"/>
        <v>11234.381924537083</v>
      </c>
      <c r="F219" s="36">
        <f t="shared" si="50"/>
        <v>9631.6336334490552</v>
      </c>
      <c r="G219" s="36">
        <f t="shared" si="47"/>
        <v>0</v>
      </c>
      <c r="H219" s="38">
        <f t="shared" si="51"/>
        <v>7037.1417460439325</v>
      </c>
      <c r="I219" s="36">
        <f t="shared" si="48"/>
        <v>2230207.6095279232</v>
      </c>
      <c r="J219" s="2">
        <f t="shared" si="42"/>
        <v>206</v>
      </c>
      <c r="K219" s="44">
        <f t="shared" si="43"/>
        <v>6.9898891304054356E-3</v>
      </c>
      <c r="L219" s="41">
        <f t="shared" si="44"/>
        <v>0.5</v>
      </c>
      <c r="M219" s="42">
        <f t="shared" si="41"/>
        <v>1</v>
      </c>
      <c r="N219" s="43">
        <f>(VLOOKUP(MONTH('Amortization Model S Shape'!$B219),Seasonality,2,TRUE))</f>
        <v>0.9</v>
      </c>
      <c r="O219" s="50">
        <f t="shared" si="49"/>
        <v>3.145450108682446E-3</v>
      </c>
    </row>
    <row r="220" spans="2:15" ht="15" x14ac:dyDescent="0.25">
      <c r="B220" s="57">
        <f t="shared" si="45"/>
        <v>48639</v>
      </c>
      <c r="C220" s="36">
        <f t="shared" si="46"/>
        <v>2230207.6095279232</v>
      </c>
      <c r="D220" s="39">
        <f t="shared" si="52"/>
        <v>20800.382547081499</v>
      </c>
      <c r="E220" s="36">
        <f t="shared" si="40"/>
        <v>11151.038047639615</v>
      </c>
      <c r="F220" s="36">
        <f t="shared" si="50"/>
        <v>9649.3444994418842</v>
      </c>
      <c r="G220" s="36">
        <f t="shared" si="47"/>
        <v>0</v>
      </c>
      <c r="H220" s="38">
        <f t="shared" si="51"/>
        <v>7372.6916380734037</v>
      </c>
      <c r="I220" s="36">
        <f t="shared" si="48"/>
        <v>2213185.573390408</v>
      </c>
      <c r="J220" s="2">
        <f t="shared" si="42"/>
        <v>207</v>
      </c>
      <c r="K220" s="44">
        <f t="shared" si="43"/>
        <v>6.9898891304054356E-3</v>
      </c>
      <c r="L220" s="41">
        <f t="shared" si="44"/>
        <v>0.5</v>
      </c>
      <c r="M220" s="42">
        <f t="shared" si="41"/>
        <v>1</v>
      </c>
      <c r="N220" s="43">
        <f>(VLOOKUP(MONTH('Amortization Model S Shape'!$B220),Seasonality,2,TRUE))</f>
        <v>0.95</v>
      </c>
      <c r="O220" s="50">
        <f t="shared" si="49"/>
        <v>3.3201973369425819E-3</v>
      </c>
    </row>
    <row r="221" spans="2:15" ht="15" x14ac:dyDescent="0.25">
      <c r="B221" s="57">
        <f t="shared" si="45"/>
        <v>48670</v>
      </c>
      <c r="C221" s="36">
        <f t="shared" si="46"/>
        <v>2213185.573390408</v>
      </c>
      <c r="D221" s="39">
        <f t="shared" si="52"/>
        <v>20731.321172341293</v>
      </c>
      <c r="E221" s="36">
        <f t="shared" si="40"/>
        <v>11065.927866952041</v>
      </c>
      <c r="F221" s="36">
        <f t="shared" si="50"/>
        <v>9665.3933053892524</v>
      </c>
      <c r="G221" s="36">
        <f t="shared" si="47"/>
        <v>0</v>
      </c>
      <c r="H221" s="38">
        <f t="shared" si="51"/>
        <v>7393.1336425945447</v>
      </c>
      <c r="I221" s="36">
        <f t="shared" si="48"/>
        <v>2196127.0464424244</v>
      </c>
      <c r="J221" s="2">
        <f t="shared" si="42"/>
        <v>208</v>
      </c>
      <c r="K221" s="44">
        <f t="shared" si="43"/>
        <v>6.9898891304054356E-3</v>
      </c>
      <c r="L221" s="41">
        <f t="shared" si="44"/>
        <v>0.5</v>
      </c>
      <c r="M221" s="42">
        <f t="shared" si="41"/>
        <v>1</v>
      </c>
      <c r="N221" s="43">
        <f>(VLOOKUP(MONTH('Amortization Model S Shape'!$B221),Seasonality,2,TRUE))</f>
        <v>0.96</v>
      </c>
      <c r="O221" s="50">
        <f t="shared" si="49"/>
        <v>3.3551467825946092E-3</v>
      </c>
    </row>
    <row r="222" spans="2:15" ht="15" x14ac:dyDescent="0.25">
      <c r="B222" s="57">
        <f t="shared" si="45"/>
        <v>48700</v>
      </c>
      <c r="C222" s="36">
        <f t="shared" si="46"/>
        <v>2196127.0464424244</v>
      </c>
      <c r="D222" s="39">
        <f t="shared" si="52"/>
        <v>20661.76454681098</v>
      </c>
      <c r="E222" s="36">
        <f t="shared" si="40"/>
        <v>10980.635232212122</v>
      </c>
      <c r="F222" s="36">
        <f t="shared" si="50"/>
        <v>9681.1293145988584</v>
      </c>
      <c r="G222" s="36">
        <f t="shared" si="47"/>
        <v>0</v>
      </c>
      <c r="H222" s="38">
        <f t="shared" si="51"/>
        <v>8099.997711686101</v>
      </c>
      <c r="I222" s="36">
        <f t="shared" si="48"/>
        <v>2178345.9194161398</v>
      </c>
      <c r="J222" s="2">
        <f t="shared" si="42"/>
        <v>209</v>
      </c>
      <c r="K222" s="44">
        <f t="shared" si="43"/>
        <v>6.9898891304054356E-3</v>
      </c>
      <c r="L222" s="41">
        <f t="shared" si="44"/>
        <v>0.5</v>
      </c>
      <c r="M222" s="42">
        <f t="shared" si="41"/>
        <v>1</v>
      </c>
      <c r="N222" s="43">
        <f>(VLOOKUP(MONTH('Amortization Model S Shape'!$B222),Seasonality,2,TRUE))</f>
        <v>1.06</v>
      </c>
      <c r="O222" s="50">
        <f t="shared" si="49"/>
        <v>3.7046412391148809E-3</v>
      </c>
    </row>
    <row r="223" spans="2:15" ht="15" x14ac:dyDescent="0.25">
      <c r="B223" s="57">
        <f t="shared" si="45"/>
        <v>48731</v>
      </c>
      <c r="C223" s="36">
        <f t="shared" si="46"/>
        <v>2178345.9194161398</v>
      </c>
      <c r="D223" s="39">
        <f t="shared" si="52"/>
        <v>20585.220121797985</v>
      </c>
      <c r="E223" s="36">
        <f t="shared" si="40"/>
        <v>10891.729597080699</v>
      </c>
      <c r="F223" s="36">
        <f t="shared" si="50"/>
        <v>9693.4905247172865</v>
      </c>
      <c r="G223" s="36">
        <f t="shared" si="47"/>
        <v>0</v>
      </c>
      <c r="H223" s="38">
        <f t="shared" si="51"/>
        <v>8261.4588219828493</v>
      </c>
      <c r="I223" s="36">
        <f t="shared" si="48"/>
        <v>2160390.9700694396</v>
      </c>
      <c r="J223" s="2">
        <f t="shared" si="42"/>
        <v>210</v>
      </c>
      <c r="K223" s="44">
        <f t="shared" si="43"/>
        <v>6.9898891304054356E-3</v>
      </c>
      <c r="L223" s="41">
        <f t="shared" si="44"/>
        <v>0.5</v>
      </c>
      <c r="M223" s="42">
        <f t="shared" si="41"/>
        <v>1</v>
      </c>
      <c r="N223" s="43">
        <f>(VLOOKUP(MONTH('Amortization Model S Shape'!$B223),Seasonality,2,TRUE))</f>
        <v>1.0900000000000001</v>
      </c>
      <c r="O223" s="50">
        <f t="shared" si="49"/>
        <v>3.8094895760709627E-3</v>
      </c>
    </row>
    <row r="224" spans="2:15" ht="15" x14ac:dyDescent="0.25">
      <c r="B224" s="57">
        <f t="shared" si="45"/>
        <v>48761</v>
      </c>
      <c r="C224" s="36">
        <f t="shared" si="46"/>
        <v>2160390.9700694396</v>
      </c>
      <c r="D224" s="39">
        <f t="shared" si="52"/>
        <v>20506.800940322868</v>
      </c>
      <c r="E224" s="36">
        <f t="shared" si="40"/>
        <v>10801.954850347198</v>
      </c>
      <c r="F224" s="36">
        <f t="shared" si="50"/>
        <v>9704.8460899756701</v>
      </c>
      <c r="G224" s="36">
        <f t="shared" si="47"/>
        <v>0</v>
      </c>
      <c r="H224" s="38">
        <f t="shared" si="51"/>
        <v>8268.18165850482</v>
      </c>
      <c r="I224" s="36">
        <f t="shared" si="48"/>
        <v>2142417.9423209592</v>
      </c>
      <c r="J224" s="2">
        <f t="shared" si="42"/>
        <v>211</v>
      </c>
      <c r="K224" s="44">
        <f t="shared" si="43"/>
        <v>6.9898891304054356E-3</v>
      </c>
      <c r="L224" s="41">
        <f t="shared" si="44"/>
        <v>0.5</v>
      </c>
      <c r="M224" s="42">
        <f t="shared" si="41"/>
        <v>1</v>
      </c>
      <c r="N224" s="43">
        <f>(VLOOKUP(MONTH('Amortization Model S Shape'!$B224),Seasonality,2,TRUE))</f>
        <v>1.1000000000000001</v>
      </c>
      <c r="O224" s="50">
        <f t="shared" si="49"/>
        <v>3.84443902172299E-3</v>
      </c>
    </row>
    <row r="225" spans="2:15" ht="15" x14ac:dyDescent="0.25">
      <c r="B225" s="57">
        <f t="shared" si="45"/>
        <v>48792</v>
      </c>
      <c r="C225" s="36">
        <f t="shared" si="46"/>
        <v>2142417.9423209592</v>
      </c>
      <c r="D225" s="39">
        <f t="shared" si="52"/>
        <v>20427.963794577186</v>
      </c>
      <c r="E225" s="36">
        <f t="shared" si="40"/>
        <v>10712.089711604795</v>
      </c>
      <c r="F225" s="36">
        <f t="shared" si="50"/>
        <v>9715.874082972392</v>
      </c>
      <c r="G225" s="36">
        <f t="shared" si="47"/>
        <v>0</v>
      </c>
      <c r="H225" s="38">
        <f t="shared" si="51"/>
        <v>8571.7268279726904</v>
      </c>
      <c r="I225" s="36">
        <f t="shared" si="48"/>
        <v>2124130.3414100143</v>
      </c>
      <c r="J225" s="2">
        <f t="shared" si="42"/>
        <v>212</v>
      </c>
      <c r="K225" s="44">
        <f t="shared" si="43"/>
        <v>6.9898891304054356E-3</v>
      </c>
      <c r="L225" s="41">
        <f t="shared" si="44"/>
        <v>0.5</v>
      </c>
      <c r="M225" s="42">
        <f t="shared" si="41"/>
        <v>1</v>
      </c>
      <c r="N225" s="43">
        <f>(VLOOKUP(MONTH('Amortization Model S Shape'!$B225),Seasonality,2,TRUE))</f>
        <v>1.1499999999999999</v>
      </c>
      <c r="O225" s="50">
        <f t="shared" si="49"/>
        <v>4.0191862499831255E-3</v>
      </c>
    </row>
    <row r="226" spans="2:15" ht="15" x14ac:dyDescent="0.25">
      <c r="B226" s="57">
        <f t="shared" si="45"/>
        <v>48823</v>
      </c>
      <c r="C226" s="36">
        <f t="shared" si="46"/>
        <v>2124130.3414100143</v>
      </c>
      <c r="D226" s="39">
        <f t="shared" si="52"/>
        <v>20345.860003378875</v>
      </c>
      <c r="E226" s="36">
        <f t="shared" si="40"/>
        <v>10620.651707050072</v>
      </c>
      <c r="F226" s="36">
        <f t="shared" si="50"/>
        <v>9725.208296328803</v>
      </c>
      <c r="G226" s="36">
        <f t="shared" si="47"/>
        <v>0</v>
      </c>
      <c r="H226" s="38">
        <f t="shared" si="51"/>
        <v>8350.3934633320168</v>
      </c>
      <c r="I226" s="36">
        <f t="shared" si="48"/>
        <v>2106054.7396503533</v>
      </c>
      <c r="J226" s="2">
        <f t="shared" si="42"/>
        <v>213</v>
      </c>
      <c r="K226" s="44">
        <f t="shared" si="43"/>
        <v>6.9898891304054356E-3</v>
      </c>
      <c r="L226" s="41">
        <f t="shared" si="44"/>
        <v>0.5</v>
      </c>
      <c r="M226" s="42">
        <f t="shared" si="41"/>
        <v>1</v>
      </c>
      <c r="N226" s="43">
        <f>(VLOOKUP(MONTH('Amortization Model S Shape'!$B226),Seasonality,2,TRUE))</f>
        <v>1.1299999999999999</v>
      </c>
      <c r="O226" s="50">
        <f t="shared" si="49"/>
        <v>3.9492873586790709E-3</v>
      </c>
    </row>
    <row r="227" spans="2:15" ht="15" x14ac:dyDescent="0.25">
      <c r="B227" s="57">
        <f t="shared" si="45"/>
        <v>48853</v>
      </c>
      <c r="C227" s="36">
        <f t="shared" si="46"/>
        <v>2106054.7396503533</v>
      </c>
      <c r="D227" s="39">
        <f t="shared" si="52"/>
        <v>20265.508355666072</v>
      </c>
      <c r="E227" s="36">
        <f t="shared" si="40"/>
        <v>10530.273698251765</v>
      </c>
      <c r="F227" s="36">
        <f t="shared" si="50"/>
        <v>9735.2346574143066</v>
      </c>
      <c r="G227" s="36">
        <f t="shared" si="47"/>
        <v>0</v>
      </c>
      <c r="H227" s="38">
        <f t="shared" si="51"/>
        <v>7399.7856655125597</v>
      </c>
      <c r="I227" s="36">
        <f t="shared" si="48"/>
        <v>2088919.7193274265</v>
      </c>
      <c r="J227" s="2">
        <f t="shared" si="42"/>
        <v>214</v>
      </c>
      <c r="K227" s="44">
        <f t="shared" si="43"/>
        <v>6.9898891304054356E-3</v>
      </c>
      <c r="L227" s="41">
        <f t="shared" si="44"/>
        <v>0.5</v>
      </c>
      <c r="M227" s="42">
        <f t="shared" si="41"/>
        <v>1</v>
      </c>
      <c r="N227" s="43">
        <f>(VLOOKUP(MONTH('Amortization Model S Shape'!$B227),Seasonality,2,TRUE))</f>
        <v>1.01</v>
      </c>
      <c r="O227" s="50">
        <f t="shared" si="49"/>
        <v>3.5298940108547451E-3</v>
      </c>
    </row>
    <row r="228" spans="2:15" ht="15" x14ac:dyDescent="0.25">
      <c r="B228" s="57">
        <f t="shared" si="45"/>
        <v>48884</v>
      </c>
      <c r="C228" s="36">
        <f t="shared" si="46"/>
        <v>2088919.7193274265</v>
      </c>
      <c r="D228" s="39">
        <f t="shared" si="52"/>
        <v>20193.97325909448</v>
      </c>
      <c r="E228" s="36">
        <f t="shared" si="40"/>
        <v>10444.598596637132</v>
      </c>
      <c r="F228" s="36">
        <f t="shared" si="50"/>
        <v>9749.3746624573487</v>
      </c>
      <c r="G228" s="36">
        <f t="shared" si="47"/>
        <v>0</v>
      </c>
      <c r="H228" s="38">
        <f t="shared" si="51"/>
        <v>6249.2631827470468</v>
      </c>
      <c r="I228" s="36">
        <f t="shared" si="48"/>
        <v>2072921.0814822223</v>
      </c>
      <c r="J228" s="2">
        <f t="shared" si="42"/>
        <v>215</v>
      </c>
      <c r="K228" s="44">
        <f t="shared" si="43"/>
        <v>6.9898891304054356E-3</v>
      </c>
      <c r="L228" s="41">
        <f t="shared" si="44"/>
        <v>0.5</v>
      </c>
      <c r="M228" s="42">
        <f t="shared" si="41"/>
        <v>1</v>
      </c>
      <c r="N228" s="43">
        <f>(VLOOKUP(MONTH('Amortization Model S Shape'!$B228),Seasonality,2,TRUE))</f>
        <v>0.86</v>
      </c>
      <c r="O228" s="50">
        <f t="shared" si="49"/>
        <v>3.0056523260743374E-3</v>
      </c>
    </row>
    <row r="229" spans="2:15" ht="15" x14ac:dyDescent="0.25">
      <c r="B229" s="57">
        <f t="shared" si="45"/>
        <v>48914</v>
      </c>
      <c r="C229" s="36">
        <f t="shared" si="46"/>
        <v>2072921.0814822223</v>
      </c>
      <c r="D229" s="39">
        <f t="shared" si="52"/>
        <v>20133.277196395597</v>
      </c>
      <c r="E229" s="36">
        <f t="shared" si="40"/>
        <v>10364.605407411111</v>
      </c>
      <c r="F229" s="36">
        <f t="shared" si="50"/>
        <v>9768.6717889844858</v>
      </c>
      <c r="G229" s="36">
        <f t="shared" si="47"/>
        <v>0</v>
      </c>
      <c r="H229" s="40">
        <f t="shared" si="51"/>
        <v>6489.5429712980458</v>
      </c>
      <c r="I229" s="36">
        <f t="shared" si="48"/>
        <v>2056662.8667219398</v>
      </c>
      <c r="J229" s="2">
        <f t="shared" si="42"/>
        <v>216</v>
      </c>
      <c r="K229" s="44">
        <f t="shared" si="43"/>
        <v>6.9898891304054356E-3</v>
      </c>
      <c r="L229" s="41">
        <f t="shared" si="44"/>
        <v>0.5</v>
      </c>
      <c r="M229" s="42">
        <f t="shared" si="41"/>
        <v>1</v>
      </c>
      <c r="N229" s="43">
        <f>(VLOOKUP(MONTH('Amortization Model S Shape'!$B229),Seasonality,2,TRUE))</f>
        <v>0.9</v>
      </c>
      <c r="O229" s="50">
        <f t="shared" si="49"/>
        <v>3.145450108682446E-3</v>
      </c>
    </row>
    <row r="230" spans="2:15" ht="15" x14ac:dyDescent="0.25">
      <c r="B230" s="57">
        <f t="shared" si="45"/>
        <v>48945</v>
      </c>
      <c r="C230" s="36">
        <f t="shared" si="46"/>
        <v>2056662.8667219398</v>
      </c>
      <c r="D230" s="39">
        <f t="shared" si="52"/>
        <v>20069.948977450062</v>
      </c>
      <c r="E230" s="36">
        <f t="shared" si="40"/>
        <v>10283.314333609698</v>
      </c>
      <c r="F230" s="36">
        <f t="shared" si="50"/>
        <v>9786.6346438403634</v>
      </c>
      <c r="G230" s="36">
        <f t="shared" si="47"/>
        <v>0</v>
      </c>
      <c r="H230" s="38">
        <f t="shared" si="51"/>
        <v>6366.8098770201332</v>
      </c>
      <c r="I230" s="36">
        <f t="shared" si="48"/>
        <v>2040509.4222010793</v>
      </c>
      <c r="J230" s="2">
        <f t="shared" si="42"/>
        <v>217</v>
      </c>
      <c r="K230" s="44">
        <f t="shared" si="43"/>
        <v>6.9898891304054356E-3</v>
      </c>
      <c r="L230" s="41">
        <f t="shared" si="44"/>
        <v>0.5</v>
      </c>
      <c r="M230" s="42">
        <f t="shared" si="41"/>
        <v>1</v>
      </c>
      <c r="N230" s="43">
        <f>(VLOOKUP(MONTH('Amortization Model S Shape'!$B230),Seasonality,2,TRUE))</f>
        <v>0.89</v>
      </c>
      <c r="O230" s="50">
        <f t="shared" si="49"/>
        <v>3.1105006630304187E-3</v>
      </c>
    </row>
    <row r="231" spans="2:15" ht="15" x14ac:dyDescent="0.25">
      <c r="B231" s="57">
        <f t="shared" si="45"/>
        <v>48976</v>
      </c>
      <c r="C231" s="36">
        <f t="shared" si="46"/>
        <v>2040509.4222010793</v>
      </c>
      <c r="D231" s="39">
        <f t="shared" si="52"/>
        <v>20007.521387848719</v>
      </c>
      <c r="E231" s="36">
        <f t="shared" si="40"/>
        <v>10202.547111005397</v>
      </c>
      <c r="F231" s="36">
        <f t="shared" si="50"/>
        <v>9804.9742768433225</v>
      </c>
      <c r="G231" s="36">
        <f t="shared" si="47"/>
        <v>0</v>
      </c>
      <c r="H231" s="38">
        <f t="shared" si="51"/>
        <v>6387.4795264252152</v>
      </c>
      <c r="I231" s="36">
        <f t="shared" si="48"/>
        <v>2024316.9683978108</v>
      </c>
      <c r="J231" s="2">
        <f t="shared" si="42"/>
        <v>218</v>
      </c>
      <c r="K231" s="44">
        <f t="shared" si="43"/>
        <v>6.9898891304054356E-3</v>
      </c>
      <c r="L231" s="41">
        <f t="shared" si="44"/>
        <v>0.5</v>
      </c>
      <c r="M231" s="42">
        <f t="shared" si="41"/>
        <v>1</v>
      </c>
      <c r="N231" s="43">
        <f>(VLOOKUP(MONTH('Amortization Model S Shape'!$B231),Seasonality,2,TRUE))</f>
        <v>0.9</v>
      </c>
      <c r="O231" s="50">
        <f t="shared" si="49"/>
        <v>3.145450108682446E-3</v>
      </c>
    </row>
    <row r="232" spans="2:15" ht="15" x14ac:dyDescent="0.25">
      <c r="B232" s="57">
        <f t="shared" si="45"/>
        <v>49004</v>
      </c>
      <c r="C232" s="36">
        <f t="shared" si="46"/>
        <v>2024316.9683978108</v>
      </c>
      <c r="D232" s="39">
        <f t="shared" si="52"/>
        <v>19944.588727524842</v>
      </c>
      <c r="E232" s="36">
        <f t="shared" si="40"/>
        <v>10121.584841989054</v>
      </c>
      <c r="F232" s="36">
        <f t="shared" si="50"/>
        <v>9823.0038855357889</v>
      </c>
      <c r="G232" s="36">
        <f t="shared" si="47"/>
        <v>0</v>
      </c>
      <c r="H232" s="38">
        <f t="shared" si="51"/>
        <v>6688.5174962605597</v>
      </c>
      <c r="I232" s="36">
        <f t="shared" si="48"/>
        <v>2007805.4470160145</v>
      </c>
      <c r="J232" s="2">
        <f t="shared" si="42"/>
        <v>219</v>
      </c>
      <c r="K232" s="44">
        <f t="shared" si="43"/>
        <v>6.9898891304054356E-3</v>
      </c>
      <c r="L232" s="41">
        <f t="shared" si="44"/>
        <v>0.5</v>
      </c>
      <c r="M232" s="42">
        <f t="shared" si="41"/>
        <v>1</v>
      </c>
      <c r="N232" s="43">
        <f>(VLOOKUP(MONTH('Amortization Model S Shape'!$B232),Seasonality,2,TRUE))</f>
        <v>0.95</v>
      </c>
      <c r="O232" s="50">
        <f t="shared" si="49"/>
        <v>3.3201973369425819E-3</v>
      </c>
    </row>
    <row r="233" spans="2:15" ht="15" x14ac:dyDescent="0.25">
      <c r="B233" s="57">
        <f t="shared" si="45"/>
        <v>49035</v>
      </c>
      <c r="C233" s="36">
        <f t="shared" si="46"/>
        <v>2007805.4470160145</v>
      </c>
      <c r="D233" s="39">
        <f t="shared" si="52"/>
        <v>19878.368757145301</v>
      </c>
      <c r="E233" s="36">
        <f t="shared" si="40"/>
        <v>10039.027235080071</v>
      </c>
      <c r="F233" s="36">
        <f t="shared" si="50"/>
        <v>9839.3415220652296</v>
      </c>
      <c r="G233" s="36">
        <f t="shared" si="47"/>
        <v>0</v>
      </c>
      <c r="H233" s="38">
        <f t="shared" si="51"/>
        <v>6703.4695505811051</v>
      </c>
      <c r="I233" s="36">
        <f t="shared" si="48"/>
        <v>1991262.6359433681</v>
      </c>
      <c r="J233" s="2">
        <f t="shared" si="42"/>
        <v>220</v>
      </c>
      <c r="K233" s="44">
        <f t="shared" si="43"/>
        <v>6.9898891304054356E-3</v>
      </c>
      <c r="L233" s="41">
        <f t="shared" si="44"/>
        <v>0.5</v>
      </c>
      <c r="M233" s="42">
        <f t="shared" si="41"/>
        <v>1</v>
      </c>
      <c r="N233" s="43">
        <f>(VLOOKUP(MONTH('Amortization Model S Shape'!$B233),Seasonality,2,TRUE))</f>
        <v>0.96</v>
      </c>
      <c r="O233" s="50">
        <f t="shared" si="49"/>
        <v>3.3551467825946092E-3</v>
      </c>
    </row>
    <row r="234" spans="2:15" ht="15" x14ac:dyDescent="0.25">
      <c r="B234" s="57">
        <f t="shared" si="45"/>
        <v>49065</v>
      </c>
      <c r="C234" s="36">
        <f t="shared" si="46"/>
        <v>1991262.6359433681</v>
      </c>
      <c r="D234" s="39">
        <f t="shared" si="52"/>
        <v>19811.673912166538</v>
      </c>
      <c r="E234" s="36">
        <f t="shared" si="40"/>
        <v>9956.3131797168408</v>
      </c>
      <c r="F234" s="36">
        <f t="shared" si="50"/>
        <v>9855.360732449697</v>
      </c>
      <c r="G234" s="36">
        <f t="shared" si="47"/>
        <v>0</v>
      </c>
      <c r="H234" s="38">
        <f t="shared" si="51"/>
        <v>7340.4031032286166</v>
      </c>
      <c r="I234" s="36">
        <f t="shared" si="48"/>
        <v>1974066.8721076897</v>
      </c>
      <c r="J234" s="2">
        <f t="shared" si="42"/>
        <v>221</v>
      </c>
      <c r="K234" s="44">
        <f t="shared" si="43"/>
        <v>6.9898891304054356E-3</v>
      </c>
      <c r="L234" s="41">
        <f t="shared" si="44"/>
        <v>0.5</v>
      </c>
      <c r="M234" s="42">
        <f t="shared" si="41"/>
        <v>1</v>
      </c>
      <c r="N234" s="43">
        <f>(VLOOKUP(MONTH('Amortization Model S Shape'!$B234),Seasonality,2,TRUE))</f>
        <v>1.06</v>
      </c>
      <c r="O234" s="50">
        <f t="shared" si="49"/>
        <v>3.7046412391148809E-3</v>
      </c>
    </row>
    <row r="235" spans="2:15" ht="15" x14ac:dyDescent="0.25">
      <c r="B235" s="57">
        <f t="shared" si="45"/>
        <v>49096</v>
      </c>
      <c r="C235" s="36">
        <f t="shared" si="46"/>
        <v>1974066.8721076897</v>
      </c>
      <c r="D235" s="39">
        <f t="shared" si="52"/>
        <v>19738.278767975626</v>
      </c>
      <c r="E235" s="36">
        <f t="shared" si="40"/>
        <v>9870.3343605384489</v>
      </c>
      <c r="F235" s="36">
        <f t="shared" si="50"/>
        <v>9867.9444074371768</v>
      </c>
      <c r="G235" s="36">
        <f t="shared" si="47"/>
        <v>0</v>
      </c>
      <c r="H235" s="38">
        <f t="shared" si="51"/>
        <v>7482.5953404038746</v>
      </c>
      <c r="I235" s="36">
        <f t="shared" si="48"/>
        <v>1956716.3323598485</v>
      </c>
      <c r="J235" s="2">
        <f t="shared" si="42"/>
        <v>222</v>
      </c>
      <c r="K235" s="44">
        <f t="shared" si="43"/>
        <v>6.9898891304054356E-3</v>
      </c>
      <c r="L235" s="41">
        <f t="shared" si="44"/>
        <v>0.5</v>
      </c>
      <c r="M235" s="42">
        <f t="shared" si="41"/>
        <v>1</v>
      </c>
      <c r="N235" s="43">
        <f>(VLOOKUP(MONTH('Amortization Model S Shape'!$B235),Seasonality,2,TRUE))</f>
        <v>1.0900000000000001</v>
      </c>
      <c r="O235" s="50">
        <f t="shared" si="49"/>
        <v>3.8094895760709627E-3</v>
      </c>
    </row>
    <row r="236" spans="2:15" ht="15" x14ac:dyDescent="0.25">
      <c r="B236" s="57">
        <f t="shared" si="45"/>
        <v>49126</v>
      </c>
      <c r="C236" s="36">
        <f t="shared" si="46"/>
        <v>1956716.3323598485</v>
      </c>
      <c r="D236" s="39">
        <f t="shared" si="52"/>
        <v>19663.086000759442</v>
      </c>
      <c r="E236" s="36">
        <f t="shared" si="40"/>
        <v>9783.5816617992423</v>
      </c>
      <c r="F236" s="36">
        <f t="shared" si="50"/>
        <v>9879.5043389601997</v>
      </c>
      <c r="G236" s="36">
        <f t="shared" si="47"/>
        <v>0</v>
      </c>
      <c r="H236" s="38">
        <f t="shared" si="51"/>
        <v>7484.4954705709133</v>
      </c>
      <c r="I236" s="36">
        <f t="shared" si="48"/>
        <v>1939352.3325503175</v>
      </c>
      <c r="J236" s="2">
        <f t="shared" si="42"/>
        <v>223</v>
      </c>
      <c r="K236" s="44">
        <f t="shared" si="43"/>
        <v>6.9898891304054356E-3</v>
      </c>
      <c r="L236" s="41">
        <f t="shared" si="44"/>
        <v>0.5</v>
      </c>
      <c r="M236" s="42">
        <f t="shared" si="41"/>
        <v>1</v>
      </c>
      <c r="N236" s="43">
        <f>(VLOOKUP(MONTH('Amortization Model S Shape'!$B236),Seasonality,2,TRUE))</f>
        <v>1.1000000000000001</v>
      </c>
      <c r="O236" s="50">
        <f t="shared" si="49"/>
        <v>3.84443902172299E-3</v>
      </c>
    </row>
    <row r="237" spans="2:15" ht="15" x14ac:dyDescent="0.25">
      <c r="B237" s="57">
        <f t="shared" si="45"/>
        <v>49157</v>
      </c>
      <c r="C237" s="36">
        <f t="shared" si="46"/>
        <v>1939352.3325503175</v>
      </c>
      <c r="D237" s="39">
        <f t="shared" si="52"/>
        <v>19587.49246565063</v>
      </c>
      <c r="E237" s="36">
        <f t="shared" si="40"/>
        <v>9696.7616627515872</v>
      </c>
      <c r="F237" s="36">
        <f t="shared" si="50"/>
        <v>9890.7308028990428</v>
      </c>
      <c r="G237" s="36">
        <f t="shared" si="47"/>
        <v>0</v>
      </c>
      <c r="H237" s="38">
        <f t="shared" si="51"/>
        <v>7754.8655396136419</v>
      </c>
      <c r="I237" s="36">
        <f t="shared" si="48"/>
        <v>1921706.7362078049</v>
      </c>
      <c r="J237" s="2">
        <f t="shared" si="42"/>
        <v>224</v>
      </c>
      <c r="K237" s="44">
        <f t="shared" si="43"/>
        <v>6.9898891304054356E-3</v>
      </c>
      <c r="L237" s="41">
        <f t="shared" si="44"/>
        <v>0.5</v>
      </c>
      <c r="M237" s="42">
        <f t="shared" si="41"/>
        <v>1</v>
      </c>
      <c r="N237" s="43">
        <f>(VLOOKUP(MONTH('Amortization Model S Shape'!$B237),Seasonality,2,TRUE))</f>
        <v>1.1499999999999999</v>
      </c>
      <c r="O237" s="50">
        <f t="shared" si="49"/>
        <v>4.0191862499831255E-3</v>
      </c>
    </row>
    <row r="238" spans="2:15" ht="15" x14ac:dyDescent="0.25">
      <c r="B238" s="57">
        <f t="shared" si="45"/>
        <v>49188</v>
      </c>
      <c r="C238" s="36">
        <f t="shared" si="46"/>
        <v>1921706.7362078049</v>
      </c>
      <c r="D238" s="39">
        <f t="shared" si="52"/>
        <v>19508.766685261038</v>
      </c>
      <c r="E238" s="36">
        <f t="shared" si="40"/>
        <v>9608.5336810390236</v>
      </c>
      <c r="F238" s="36">
        <f t="shared" si="50"/>
        <v>9900.2330042220146</v>
      </c>
      <c r="G238" s="36">
        <f t="shared" si="47"/>
        <v>0</v>
      </c>
      <c r="H238" s="38">
        <f t="shared" si="51"/>
        <v>7550.2732553423484</v>
      </c>
      <c r="I238" s="36">
        <f t="shared" si="48"/>
        <v>1904256.2299482406</v>
      </c>
      <c r="J238" s="2">
        <f t="shared" si="42"/>
        <v>225</v>
      </c>
      <c r="K238" s="44">
        <f t="shared" si="43"/>
        <v>6.9898891304054356E-3</v>
      </c>
      <c r="L238" s="41">
        <f t="shared" si="44"/>
        <v>0.5</v>
      </c>
      <c r="M238" s="42">
        <f t="shared" si="41"/>
        <v>1</v>
      </c>
      <c r="N238" s="43">
        <f>(VLOOKUP(MONTH('Amortization Model S Shape'!$B238),Seasonality,2,TRUE))</f>
        <v>1.1299999999999999</v>
      </c>
      <c r="O238" s="50">
        <f t="shared" si="49"/>
        <v>3.9492873586790709E-3</v>
      </c>
    </row>
    <row r="239" spans="2:15" ht="15" x14ac:dyDescent="0.25">
      <c r="B239" s="57">
        <f t="shared" si="45"/>
        <v>49218</v>
      </c>
      <c r="C239" s="36">
        <f t="shared" si="46"/>
        <v>1904256.2299482406</v>
      </c>
      <c r="D239" s="39">
        <f t="shared" si="52"/>
        <v>19431.720959607515</v>
      </c>
      <c r="E239" s="36">
        <f t="shared" si="40"/>
        <v>9521.2811497412022</v>
      </c>
      <c r="F239" s="36">
        <f t="shared" si="50"/>
        <v>9910.4398098663132</v>
      </c>
      <c r="G239" s="36">
        <f t="shared" si="47"/>
        <v>0</v>
      </c>
      <c r="H239" s="38">
        <f t="shared" si="51"/>
        <v>6686.8398590973475</v>
      </c>
      <c r="I239" s="36">
        <f t="shared" si="48"/>
        <v>1887658.9502792771</v>
      </c>
      <c r="J239" s="2">
        <f t="shared" si="42"/>
        <v>226</v>
      </c>
      <c r="K239" s="44">
        <f t="shared" si="43"/>
        <v>6.9898891304054356E-3</v>
      </c>
      <c r="L239" s="41">
        <f t="shared" si="44"/>
        <v>0.5</v>
      </c>
      <c r="M239" s="42">
        <f t="shared" si="41"/>
        <v>1</v>
      </c>
      <c r="N239" s="43">
        <f>(VLOOKUP(MONTH('Amortization Model S Shape'!$B239),Seasonality,2,TRUE))</f>
        <v>1.01</v>
      </c>
      <c r="O239" s="50">
        <f t="shared" si="49"/>
        <v>3.5298940108547451E-3</v>
      </c>
    </row>
    <row r="240" spans="2:15" ht="15" x14ac:dyDescent="0.25">
      <c r="B240" s="57">
        <f t="shared" si="45"/>
        <v>49249</v>
      </c>
      <c r="C240" s="36">
        <f t="shared" si="46"/>
        <v>1887658.9502792771</v>
      </c>
      <c r="D240" s="39">
        <f t="shared" si="52"/>
        <v>19363.129044171594</v>
      </c>
      <c r="E240" s="36">
        <f t="shared" si="40"/>
        <v>9438.2947513963845</v>
      </c>
      <c r="F240" s="36">
        <f t="shared" si="50"/>
        <v>9924.8342927752092</v>
      </c>
      <c r="G240" s="36">
        <f t="shared" si="47"/>
        <v>0</v>
      </c>
      <c r="H240" s="38">
        <f t="shared" si="51"/>
        <v>5643.8159134639691</v>
      </c>
      <c r="I240" s="36">
        <f t="shared" si="48"/>
        <v>1872090.3000730379</v>
      </c>
      <c r="J240" s="2">
        <f t="shared" si="42"/>
        <v>227</v>
      </c>
      <c r="K240" s="44">
        <f t="shared" si="43"/>
        <v>6.9898891304054356E-3</v>
      </c>
      <c r="L240" s="41">
        <f t="shared" si="44"/>
        <v>0.5</v>
      </c>
      <c r="M240" s="42">
        <f t="shared" si="41"/>
        <v>1</v>
      </c>
      <c r="N240" s="43">
        <f>(VLOOKUP(MONTH('Amortization Model S Shape'!$B240),Seasonality,2,TRUE))</f>
        <v>0.86</v>
      </c>
      <c r="O240" s="50">
        <f t="shared" si="49"/>
        <v>3.0056523260743374E-3</v>
      </c>
    </row>
    <row r="241" spans="2:15" ht="15" x14ac:dyDescent="0.25">
      <c r="B241" s="57">
        <f t="shared" si="45"/>
        <v>49279</v>
      </c>
      <c r="C241" s="36">
        <f t="shared" si="46"/>
        <v>1872090.3000730379</v>
      </c>
      <c r="D241" s="39">
        <f t="shared" si="52"/>
        <v>19304.930210319904</v>
      </c>
      <c r="E241" s="36">
        <f t="shared" si="40"/>
        <v>9360.4515003651886</v>
      </c>
      <c r="F241" s="36">
        <f t="shared" si="50"/>
        <v>9944.4787099547157</v>
      </c>
      <c r="G241" s="36">
        <f t="shared" si="47"/>
        <v>0</v>
      </c>
      <c r="H241" s="40">
        <f t="shared" si="51"/>
        <v>5857.286776189072</v>
      </c>
      <c r="I241" s="36">
        <f t="shared" si="48"/>
        <v>1856288.5345868941</v>
      </c>
      <c r="J241" s="2">
        <f t="shared" si="42"/>
        <v>228</v>
      </c>
      <c r="K241" s="44">
        <f t="shared" si="43"/>
        <v>6.9898891304054356E-3</v>
      </c>
      <c r="L241" s="41">
        <f t="shared" si="44"/>
        <v>0.5</v>
      </c>
      <c r="M241" s="42">
        <f t="shared" si="41"/>
        <v>1</v>
      </c>
      <c r="N241" s="43">
        <f>(VLOOKUP(MONTH('Amortization Model S Shape'!$B241),Seasonality,2,TRUE))</f>
        <v>0.9</v>
      </c>
      <c r="O241" s="50">
        <f t="shared" si="49"/>
        <v>3.145450108682446E-3</v>
      </c>
    </row>
    <row r="242" spans="2:15" ht="15" x14ac:dyDescent="0.25">
      <c r="B242" s="57">
        <f t="shared" si="45"/>
        <v>49310</v>
      </c>
      <c r="C242" s="36">
        <f t="shared" si="46"/>
        <v>1856288.5345868941</v>
      </c>
      <c r="D242" s="39">
        <f t="shared" si="52"/>
        <v>19244.207515491747</v>
      </c>
      <c r="E242" s="36">
        <f t="shared" si="40"/>
        <v>9281.4426729344705</v>
      </c>
      <c r="F242" s="36">
        <f t="shared" si="50"/>
        <v>9962.764842557277</v>
      </c>
      <c r="G242" s="36">
        <f t="shared" si="47"/>
        <v>0</v>
      </c>
      <c r="H242" s="38">
        <f t="shared" si="51"/>
        <v>5742.9975309599076</v>
      </c>
      <c r="I242" s="36">
        <f t="shared" si="48"/>
        <v>1840582.7722133768</v>
      </c>
      <c r="J242" s="2">
        <f t="shared" si="42"/>
        <v>229</v>
      </c>
      <c r="K242" s="44">
        <f t="shared" si="43"/>
        <v>6.9898891304054356E-3</v>
      </c>
      <c r="L242" s="41">
        <f t="shared" si="44"/>
        <v>0.5</v>
      </c>
      <c r="M242" s="42">
        <f t="shared" si="41"/>
        <v>1</v>
      </c>
      <c r="N242" s="43">
        <f>(VLOOKUP(MONTH('Amortization Model S Shape'!$B242),Seasonality,2,TRUE))</f>
        <v>0.89</v>
      </c>
      <c r="O242" s="50">
        <f t="shared" si="49"/>
        <v>3.1105006630304187E-3</v>
      </c>
    </row>
    <row r="243" spans="2:15" ht="15" x14ac:dyDescent="0.25">
      <c r="B243" s="57">
        <f t="shared" si="45"/>
        <v>49341</v>
      </c>
      <c r="C243" s="36">
        <f t="shared" si="46"/>
        <v>1840582.7722133768</v>
      </c>
      <c r="D243" s="39">
        <f t="shared" si="52"/>
        <v>19184.348395255314</v>
      </c>
      <c r="E243" s="36">
        <f t="shared" si="40"/>
        <v>9202.9138610668833</v>
      </c>
      <c r="F243" s="36">
        <f t="shared" si="50"/>
        <v>9981.4345341884309</v>
      </c>
      <c r="G243" s="36">
        <f t="shared" si="47"/>
        <v>0</v>
      </c>
      <c r="H243" s="38">
        <f t="shared" si="51"/>
        <v>5758.0651765572347</v>
      </c>
      <c r="I243" s="36">
        <f t="shared" si="48"/>
        <v>1824843.2725026312</v>
      </c>
      <c r="J243" s="2">
        <f t="shared" si="42"/>
        <v>230</v>
      </c>
      <c r="K243" s="44">
        <f t="shared" si="43"/>
        <v>6.9898891304054356E-3</v>
      </c>
      <c r="L243" s="41">
        <f t="shared" si="44"/>
        <v>0.5</v>
      </c>
      <c r="M243" s="42">
        <f t="shared" si="41"/>
        <v>1</v>
      </c>
      <c r="N243" s="43">
        <f>(VLOOKUP(MONTH('Amortization Model S Shape'!$B243),Seasonality,2,TRUE))</f>
        <v>0.9</v>
      </c>
      <c r="O243" s="50">
        <f t="shared" si="49"/>
        <v>3.145450108682446E-3</v>
      </c>
    </row>
    <row r="244" spans="2:15" ht="15" x14ac:dyDescent="0.25">
      <c r="B244" s="57">
        <f t="shared" si="45"/>
        <v>49369</v>
      </c>
      <c r="C244" s="36">
        <f t="shared" si="46"/>
        <v>1824843.2725026312</v>
      </c>
      <c r="D244" s="39">
        <f t="shared" si="52"/>
        <v>19124.004984510459</v>
      </c>
      <c r="E244" s="36">
        <f t="shared" si="40"/>
        <v>9124.2163625131561</v>
      </c>
      <c r="F244" s="36">
        <f t="shared" si="50"/>
        <v>9999.7886219973025</v>
      </c>
      <c r="G244" s="36">
        <f t="shared" si="47"/>
        <v>0</v>
      </c>
      <c r="H244" s="38">
        <f t="shared" si="51"/>
        <v>6025.6385021480783</v>
      </c>
      <c r="I244" s="36">
        <f t="shared" si="48"/>
        <v>1808817.845378486</v>
      </c>
      <c r="J244" s="2">
        <f t="shared" si="42"/>
        <v>231</v>
      </c>
      <c r="K244" s="44">
        <f t="shared" si="43"/>
        <v>6.9898891304054356E-3</v>
      </c>
      <c r="L244" s="41">
        <f t="shared" si="44"/>
        <v>0.5</v>
      </c>
      <c r="M244" s="42">
        <f t="shared" si="41"/>
        <v>1</v>
      </c>
      <c r="N244" s="43">
        <f>(VLOOKUP(MONTH('Amortization Model S Shape'!$B244),Seasonality,2,TRUE))</f>
        <v>0.95</v>
      </c>
      <c r="O244" s="50">
        <f t="shared" si="49"/>
        <v>3.3201973369425819E-3</v>
      </c>
    </row>
    <row r="245" spans="2:15" ht="15" x14ac:dyDescent="0.25">
      <c r="B245" s="57">
        <f t="shared" si="45"/>
        <v>49400</v>
      </c>
      <c r="C245" s="36">
        <f t="shared" si="46"/>
        <v>1808817.845378486</v>
      </c>
      <c r="D245" s="39">
        <f t="shared" si="52"/>
        <v>19060.509514089212</v>
      </c>
      <c r="E245" s="36">
        <f t="shared" si="40"/>
        <v>9044.089226892429</v>
      </c>
      <c r="F245" s="36">
        <f t="shared" si="50"/>
        <v>10016.420287196783</v>
      </c>
      <c r="G245" s="36">
        <f t="shared" si="47"/>
        <v>0</v>
      </c>
      <c r="H245" s="38">
        <f t="shared" si="51"/>
        <v>6035.2428139216372</v>
      </c>
      <c r="I245" s="36">
        <f t="shared" si="48"/>
        <v>1792766.1822773677</v>
      </c>
      <c r="J245" s="2">
        <f t="shared" si="42"/>
        <v>232</v>
      </c>
      <c r="K245" s="44">
        <f t="shared" si="43"/>
        <v>6.9898891304054356E-3</v>
      </c>
      <c r="L245" s="41">
        <f t="shared" si="44"/>
        <v>0.5</v>
      </c>
      <c r="M245" s="42">
        <f t="shared" si="41"/>
        <v>1</v>
      </c>
      <c r="N245" s="43">
        <f>(VLOOKUP(MONTH('Amortization Model S Shape'!$B245),Seasonality,2,TRUE))</f>
        <v>0.96</v>
      </c>
      <c r="O245" s="50">
        <f t="shared" si="49"/>
        <v>3.3551467825946092E-3</v>
      </c>
    </row>
    <row r="246" spans="2:15" ht="15" x14ac:dyDescent="0.25">
      <c r="B246" s="57">
        <f t="shared" si="45"/>
        <v>49430</v>
      </c>
      <c r="C246" s="36">
        <f t="shared" si="46"/>
        <v>1792766.1822773677</v>
      </c>
      <c r="D246" s="39">
        <f t="shared" si="52"/>
        <v>18996.558706918404</v>
      </c>
      <c r="E246" s="36">
        <f t="shared" si="40"/>
        <v>8963.8309113868381</v>
      </c>
      <c r="F246" s="36">
        <f t="shared" si="50"/>
        <v>10032.727795531566</v>
      </c>
      <c r="G246" s="36">
        <f t="shared" si="47"/>
        <v>0</v>
      </c>
      <c r="H246" s="38">
        <f t="shared" si="51"/>
        <v>6604.3878738231415</v>
      </c>
      <c r="I246" s="36">
        <f t="shared" si="48"/>
        <v>1776129.0666080131</v>
      </c>
      <c r="J246" s="2">
        <f t="shared" si="42"/>
        <v>233</v>
      </c>
      <c r="K246" s="44">
        <f t="shared" si="43"/>
        <v>6.9898891304054356E-3</v>
      </c>
      <c r="L246" s="41">
        <f t="shared" si="44"/>
        <v>0.5</v>
      </c>
      <c r="M246" s="42">
        <f t="shared" si="41"/>
        <v>1</v>
      </c>
      <c r="N246" s="43">
        <f>(VLOOKUP(MONTH('Amortization Model S Shape'!$B246),Seasonality,2,TRUE))</f>
        <v>1.06</v>
      </c>
      <c r="O246" s="50">
        <f t="shared" si="49"/>
        <v>3.7046412391148809E-3</v>
      </c>
    </row>
    <row r="247" spans="2:15" ht="15" x14ac:dyDescent="0.25">
      <c r="B247" s="57">
        <f t="shared" si="45"/>
        <v>49461</v>
      </c>
      <c r="C247" s="36">
        <f t="shared" si="46"/>
        <v>1776129.0666080131</v>
      </c>
      <c r="D247" s="39">
        <f t="shared" si="52"/>
        <v>18926.18327213149</v>
      </c>
      <c r="E247" s="36">
        <f t="shared" si="40"/>
        <v>8880.6453330400655</v>
      </c>
      <c r="F247" s="36">
        <f t="shared" si="50"/>
        <v>10045.537939091424</v>
      </c>
      <c r="G247" s="36">
        <f t="shared" si="47"/>
        <v>0</v>
      </c>
      <c r="H247" s="38">
        <f t="shared" si="51"/>
        <v>6727.8767929348805</v>
      </c>
      <c r="I247" s="36">
        <f t="shared" si="48"/>
        <v>1759355.6518759867</v>
      </c>
      <c r="J247" s="2">
        <f t="shared" si="42"/>
        <v>234</v>
      </c>
      <c r="K247" s="44">
        <f t="shared" si="43"/>
        <v>6.9898891304054356E-3</v>
      </c>
      <c r="L247" s="41">
        <f t="shared" si="44"/>
        <v>0.5</v>
      </c>
      <c r="M247" s="42">
        <f t="shared" si="41"/>
        <v>1</v>
      </c>
      <c r="N247" s="43">
        <f>(VLOOKUP(MONTH('Amortization Model S Shape'!$B247),Seasonality,2,TRUE))</f>
        <v>1.0900000000000001</v>
      </c>
      <c r="O247" s="50">
        <f t="shared" si="49"/>
        <v>3.8094895760709627E-3</v>
      </c>
    </row>
    <row r="248" spans="2:15" ht="15" x14ac:dyDescent="0.25">
      <c r="B248" s="57">
        <f t="shared" si="45"/>
        <v>49491</v>
      </c>
      <c r="C248" s="36">
        <f t="shared" si="46"/>
        <v>1759355.6518759867</v>
      </c>
      <c r="D248" s="39">
        <f t="shared" si="52"/>
        <v>18854.084174241492</v>
      </c>
      <c r="E248" s="36">
        <f t="shared" si="40"/>
        <v>8796.7782593799329</v>
      </c>
      <c r="F248" s="36">
        <f t="shared" si="50"/>
        <v>10057.305914861559</v>
      </c>
      <c r="G248" s="36">
        <f t="shared" si="47"/>
        <v>0</v>
      </c>
      <c r="H248" s="38">
        <f t="shared" si="51"/>
        <v>6725.0708218484324</v>
      </c>
      <c r="I248" s="36">
        <f t="shared" si="48"/>
        <v>1742573.2751392766</v>
      </c>
      <c r="J248" s="2">
        <f t="shared" si="42"/>
        <v>235</v>
      </c>
      <c r="K248" s="44">
        <f t="shared" si="43"/>
        <v>6.9898891304054356E-3</v>
      </c>
      <c r="L248" s="41">
        <f t="shared" si="44"/>
        <v>0.5</v>
      </c>
      <c r="M248" s="42">
        <f t="shared" si="41"/>
        <v>1</v>
      </c>
      <c r="N248" s="43">
        <f>(VLOOKUP(MONTH('Amortization Model S Shape'!$B248),Seasonality,2,TRUE))</f>
        <v>1.1000000000000001</v>
      </c>
      <c r="O248" s="50">
        <f t="shared" si="49"/>
        <v>3.84443902172299E-3</v>
      </c>
    </row>
    <row r="249" spans="2:15" ht="15" x14ac:dyDescent="0.25">
      <c r="B249" s="57">
        <f t="shared" si="45"/>
        <v>49522</v>
      </c>
      <c r="C249" s="36">
        <f t="shared" si="46"/>
        <v>1742573.2751392766</v>
      </c>
      <c r="D249" s="39">
        <f t="shared" si="52"/>
        <v>18781.60079732319</v>
      </c>
      <c r="E249" s="36">
        <f t="shared" si="40"/>
        <v>8712.8663756963833</v>
      </c>
      <c r="F249" s="36">
        <f t="shared" si="50"/>
        <v>10068.734421626807</v>
      </c>
      <c r="G249" s="36">
        <f t="shared" si="47"/>
        <v>0</v>
      </c>
      <c r="H249" s="38">
        <f t="shared" si="51"/>
        <v>6963.2584280857081</v>
      </c>
      <c r="I249" s="36">
        <f t="shared" si="48"/>
        <v>1725541.2822895641</v>
      </c>
      <c r="J249" s="2">
        <f t="shared" si="42"/>
        <v>236</v>
      </c>
      <c r="K249" s="44">
        <f t="shared" si="43"/>
        <v>6.9898891304054356E-3</v>
      </c>
      <c r="L249" s="41">
        <f t="shared" si="44"/>
        <v>0.5</v>
      </c>
      <c r="M249" s="42">
        <f t="shared" si="41"/>
        <v>1</v>
      </c>
      <c r="N249" s="43">
        <f>(VLOOKUP(MONTH('Amortization Model S Shape'!$B249),Seasonality,2,TRUE))</f>
        <v>1.1499999999999999</v>
      </c>
      <c r="O249" s="50">
        <f t="shared" si="49"/>
        <v>4.0191862499831255E-3</v>
      </c>
    </row>
    <row r="250" spans="2:15" ht="15" x14ac:dyDescent="0.25">
      <c r="B250" s="57">
        <f t="shared" si="45"/>
        <v>49553</v>
      </c>
      <c r="C250" s="36">
        <f t="shared" si="46"/>
        <v>1725541.2822895641</v>
      </c>
      <c r="D250" s="39">
        <f t="shared" si="52"/>
        <v>18706.114045645918</v>
      </c>
      <c r="E250" s="36">
        <f t="shared" si="40"/>
        <v>8627.7064114478198</v>
      </c>
      <c r="F250" s="36">
        <f t="shared" si="50"/>
        <v>10078.407634198098</v>
      </c>
      <c r="G250" s="36">
        <f t="shared" si="47"/>
        <v>0</v>
      </c>
      <c r="H250" s="38">
        <f t="shared" si="51"/>
        <v>6774.8558451596964</v>
      </c>
      <c r="I250" s="36">
        <f t="shared" si="48"/>
        <v>1708688.0188102063</v>
      </c>
      <c r="J250" s="2">
        <f t="shared" si="42"/>
        <v>237</v>
      </c>
      <c r="K250" s="44">
        <f t="shared" si="43"/>
        <v>6.9898891304054356E-3</v>
      </c>
      <c r="L250" s="41">
        <f t="shared" si="44"/>
        <v>0.5</v>
      </c>
      <c r="M250" s="42">
        <f t="shared" si="41"/>
        <v>1</v>
      </c>
      <c r="N250" s="43">
        <f>(VLOOKUP(MONTH('Amortization Model S Shape'!$B250),Seasonality,2,TRUE))</f>
        <v>1.1299999999999999</v>
      </c>
      <c r="O250" s="50">
        <f t="shared" si="49"/>
        <v>3.9492873586790709E-3</v>
      </c>
    </row>
    <row r="251" spans="2:15" ht="15" x14ac:dyDescent="0.25">
      <c r="B251" s="57">
        <f t="shared" si="45"/>
        <v>49583</v>
      </c>
      <c r="C251" s="36">
        <f t="shared" si="46"/>
        <v>1708688.0188102063</v>
      </c>
      <c r="D251" s="39">
        <f t="shared" si="52"/>
        <v>18632.238225915436</v>
      </c>
      <c r="E251" s="36">
        <f t="shared" si="40"/>
        <v>8543.4400940510313</v>
      </c>
      <c r="F251" s="36">
        <f t="shared" si="50"/>
        <v>10088.798131864405</v>
      </c>
      <c r="G251" s="36">
        <f t="shared" si="47"/>
        <v>0</v>
      </c>
      <c r="H251" s="38">
        <f t="shared" si="51"/>
        <v>5995.8752159150163</v>
      </c>
      <c r="I251" s="36">
        <f t="shared" si="48"/>
        <v>1692603.3454624268</v>
      </c>
      <c r="J251" s="2">
        <f t="shared" si="42"/>
        <v>238</v>
      </c>
      <c r="K251" s="44">
        <f t="shared" si="43"/>
        <v>6.9898891304054356E-3</v>
      </c>
      <c r="L251" s="41">
        <f t="shared" si="44"/>
        <v>0.5</v>
      </c>
      <c r="M251" s="42">
        <f t="shared" si="41"/>
        <v>1</v>
      </c>
      <c r="N251" s="43">
        <f>(VLOOKUP(MONTH('Amortization Model S Shape'!$B251),Seasonality,2,TRUE))</f>
        <v>1.01</v>
      </c>
      <c r="O251" s="50">
        <f t="shared" si="49"/>
        <v>3.5298940108547451E-3</v>
      </c>
    </row>
    <row r="252" spans="2:15" ht="15" x14ac:dyDescent="0.25">
      <c r="B252" s="57">
        <f t="shared" si="45"/>
        <v>49614</v>
      </c>
      <c r="C252" s="36">
        <f t="shared" si="46"/>
        <v>1692603.3454624268</v>
      </c>
      <c r="D252" s="39">
        <f t="shared" si="52"/>
        <v>18566.468399792953</v>
      </c>
      <c r="E252" s="36">
        <f t="shared" si="40"/>
        <v>8463.0167273121333</v>
      </c>
      <c r="F252" s="36">
        <f t="shared" si="50"/>
        <v>10103.45167248082</v>
      </c>
      <c r="G252" s="36">
        <f t="shared" si="47"/>
        <v>0</v>
      </c>
      <c r="H252" s="38">
        <f t="shared" si="51"/>
        <v>5057.0097193895763</v>
      </c>
      <c r="I252" s="36">
        <f t="shared" si="48"/>
        <v>1677442.8840705564</v>
      </c>
      <c r="J252" s="2">
        <f t="shared" si="42"/>
        <v>239</v>
      </c>
      <c r="K252" s="44">
        <f t="shared" si="43"/>
        <v>6.9898891304054356E-3</v>
      </c>
      <c r="L252" s="41">
        <f t="shared" si="44"/>
        <v>0.5</v>
      </c>
      <c r="M252" s="42">
        <f t="shared" si="41"/>
        <v>1</v>
      </c>
      <c r="N252" s="43">
        <f>(VLOOKUP(MONTH('Amortization Model S Shape'!$B252),Seasonality,2,TRUE))</f>
        <v>0.86</v>
      </c>
      <c r="O252" s="50">
        <f t="shared" si="49"/>
        <v>3.0056523260743374E-3</v>
      </c>
    </row>
    <row r="253" spans="2:15" ht="15" x14ac:dyDescent="0.25">
      <c r="B253" s="57">
        <f t="shared" si="45"/>
        <v>49644</v>
      </c>
      <c r="C253" s="36">
        <f t="shared" si="46"/>
        <v>1677442.8840705564</v>
      </c>
      <c r="D253" s="39">
        <f t="shared" si="52"/>
        <v>18510.66405086013</v>
      </c>
      <c r="E253" s="36">
        <f t="shared" si="40"/>
        <v>8387.2144203527805</v>
      </c>
      <c r="F253" s="36">
        <f t="shared" si="50"/>
        <v>10123.44963050735</v>
      </c>
      <c r="G253" s="36">
        <f t="shared" si="47"/>
        <v>0</v>
      </c>
      <c r="H253" s="40">
        <f t="shared" si="51"/>
        <v>5244.4700962678071</v>
      </c>
      <c r="I253" s="36">
        <f t="shared" si="48"/>
        <v>1662074.9643437814</v>
      </c>
      <c r="J253" s="2">
        <f t="shared" si="42"/>
        <v>240</v>
      </c>
      <c r="K253" s="44">
        <f t="shared" si="43"/>
        <v>6.9898891304054356E-3</v>
      </c>
      <c r="L253" s="41">
        <f t="shared" si="44"/>
        <v>0.5</v>
      </c>
      <c r="M253" s="42">
        <f t="shared" si="41"/>
        <v>1</v>
      </c>
      <c r="N253" s="43">
        <f>(VLOOKUP(MONTH('Amortization Model S Shape'!$B253),Seasonality,2,TRUE))</f>
        <v>0.9</v>
      </c>
      <c r="O253" s="50">
        <f t="shared" si="49"/>
        <v>3.145450108682446E-3</v>
      </c>
    </row>
    <row r="254" spans="2:15" ht="15" x14ac:dyDescent="0.25">
      <c r="B254" s="57">
        <f t="shared" si="45"/>
        <v>49675</v>
      </c>
      <c r="C254" s="36">
        <f t="shared" si="46"/>
        <v>1662074.9643437814</v>
      </c>
      <c r="D254" s="39">
        <f t="shared" si="52"/>
        <v>18452.439680609572</v>
      </c>
      <c r="E254" s="36">
        <f t="shared" si="40"/>
        <v>8310.3748217189059</v>
      </c>
      <c r="F254" s="36">
        <f t="shared" si="50"/>
        <v>10142.064858890666</v>
      </c>
      <c r="G254" s="36">
        <f t="shared" si="47"/>
        <v>0</v>
      </c>
      <c r="H254" s="38">
        <f t="shared" si="51"/>
        <v>5138.3383791295146</v>
      </c>
      <c r="I254" s="36">
        <f t="shared" si="48"/>
        <v>1646794.5611057612</v>
      </c>
      <c r="J254" s="2">
        <f t="shared" si="42"/>
        <v>241</v>
      </c>
      <c r="K254" s="44">
        <f t="shared" si="43"/>
        <v>6.9898891304054356E-3</v>
      </c>
      <c r="L254" s="41">
        <f t="shared" si="44"/>
        <v>0.5</v>
      </c>
      <c r="M254" s="42">
        <f t="shared" si="41"/>
        <v>1</v>
      </c>
      <c r="N254" s="43">
        <f>(VLOOKUP(MONTH('Amortization Model S Shape'!$B254),Seasonality,2,TRUE))</f>
        <v>0.89</v>
      </c>
      <c r="O254" s="50">
        <f t="shared" si="49"/>
        <v>3.1105006630304187E-3</v>
      </c>
    </row>
    <row r="255" spans="2:15" ht="15" x14ac:dyDescent="0.25">
      <c r="B255" s="57">
        <f t="shared" si="45"/>
        <v>49706</v>
      </c>
      <c r="C255" s="36">
        <f t="shared" si="46"/>
        <v>1646794.5611057612</v>
      </c>
      <c r="D255" s="39">
        <f t="shared" si="52"/>
        <v>18395.043354748504</v>
      </c>
      <c r="E255" s="36">
        <f t="shared" si="40"/>
        <v>8233.9728055288051</v>
      </c>
      <c r="F255" s="36">
        <f t="shared" si="50"/>
        <v>10161.070549219699</v>
      </c>
      <c r="G255" s="36">
        <f t="shared" si="47"/>
        <v>0</v>
      </c>
      <c r="H255" s="38">
        <f t="shared" si="51"/>
        <v>5147.9489907444049</v>
      </c>
      <c r="I255" s="36">
        <f t="shared" si="48"/>
        <v>1631485.5415657973</v>
      </c>
      <c r="J255" s="2">
        <f t="shared" si="42"/>
        <v>242</v>
      </c>
      <c r="K255" s="44">
        <f t="shared" si="43"/>
        <v>6.9898891304054356E-3</v>
      </c>
      <c r="L255" s="41">
        <f t="shared" si="44"/>
        <v>0.5</v>
      </c>
      <c r="M255" s="42">
        <f t="shared" si="41"/>
        <v>1</v>
      </c>
      <c r="N255" s="43">
        <f>(VLOOKUP(MONTH('Amortization Model S Shape'!$B255),Seasonality,2,TRUE))</f>
        <v>0.9</v>
      </c>
      <c r="O255" s="50">
        <f t="shared" si="49"/>
        <v>3.145450108682446E-3</v>
      </c>
    </row>
    <row r="256" spans="2:15" ht="15" x14ac:dyDescent="0.25">
      <c r="B256" s="57">
        <f t="shared" si="45"/>
        <v>49735</v>
      </c>
      <c r="C256" s="36">
        <f t="shared" si="46"/>
        <v>1631485.5415657973</v>
      </c>
      <c r="D256" s="39">
        <f t="shared" si="52"/>
        <v>18337.182663629097</v>
      </c>
      <c r="E256" s="36">
        <f t="shared" si="40"/>
        <v>8157.4277078289861</v>
      </c>
      <c r="F256" s="36">
        <f t="shared" si="50"/>
        <v>10179.754955800112</v>
      </c>
      <c r="G256" s="36">
        <f t="shared" si="47"/>
        <v>0</v>
      </c>
      <c r="H256" s="38">
        <f t="shared" si="51"/>
        <v>5383.0551550721111</v>
      </c>
      <c r="I256" s="36">
        <f t="shared" si="48"/>
        <v>1615922.7314549251</v>
      </c>
      <c r="J256" s="2">
        <f t="shared" si="42"/>
        <v>243</v>
      </c>
      <c r="K256" s="44">
        <f t="shared" si="43"/>
        <v>6.9898891304054356E-3</v>
      </c>
      <c r="L256" s="41">
        <f t="shared" si="44"/>
        <v>0.5</v>
      </c>
      <c r="M256" s="42">
        <f t="shared" si="41"/>
        <v>1</v>
      </c>
      <c r="N256" s="43">
        <f>(VLOOKUP(MONTH('Amortization Model S Shape'!$B256),Seasonality,2,TRUE))</f>
        <v>0.95</v>
      </c>
      <c r="O256" s="50">
        <f t="shared" si="49"/>
        <v>3.3201973369425819E-3</v>
      </c>
    </row>
    <row r="257" spans="2:15" ht="15" x14ac:dyDescent="0.25">
      <c r="B257" s="57">
        <f t="shared" si="45"/>
        <v>49766</v>
      </c>
      <c r="C257" s="36">
        <f t="shared" si="46"/>
        <v>1615922.7314549251</v>
      </c>
      <c r="D257" s="39">
        <f t="shared" si="52"/>
        <v>18276.299598582289</v>
      </c>
      <c r="E257" s="36">
        <f t="shared" si="40"/>
        <v>8079.6136572746254</v>
      </c>
      <c r="F257" s="36">
        <f t="shared" si="50"/>
        <v>10196.685941307664</v>
      </c>
      <c r="G257" s="36">
        <f t="shared" si="47"/>
        <v>0</v>
      </c>
      <c r="H257" s="38">
        <f t="shared" si="51"/>
        <v>5387.4465753333789</v>
      </c>
      <c r="I257" s="36">
        <f t="shared" si="48"/>
        <v>1600338.5989382842</v>
      </c>
      <c r="J257" s="2">
        <f t="shared" si="42"/>
        <v>244</v>
      </c>
      <c r="K257" s="44">
        <f t="shared" si="43"/>
        <v>6.9898891304054356E-3</v>
      </c>
      <c r="L257" s="41">
        <f t="shared" si="44"/>
        <v>0.5</v>
      </c>
      <c r="M257" s="42">
        <f t="shared" si="41"/>
        <v>1</v>
      </c>
      <c r="N257" s="43">
        <f>(VLOOKUP(MONTH('Amortization Model S Shape'!$B257),Seasonality,2,TRUE))</f>
        <v>0.96</v>
      </c>
      <c r="O257" s="50">
        <f t="shared" si="49"/>
        <v>3.3551467825946092E-3</v>
      </c>
    </row>
    <row r="258" spans="2:15" ht="15" x14ac:dyDescent="0.25">
      <c r="B258" s="57">
        <f t="shared" si="45"/>
        <v>49796</v>
      </c>
      <c r="C258" s="36">
        <f t="shared" si="46"/>
        <v>1600338.5989382842</v>
      </c>
      <c r="D258" s="39">
        <f t="shared" si="52"/>
        <v>18214.979930786369</v>
      </c>
      <c r="E258" s="36">
        <f t="shared" si="40"/>
        <v>8001.6929946914206</v>
      </c>
      <c r="F258" s="36">
        <f t="shared" si="50"/>
        <v>10213.286936094948</v>
      </c>
      <c r="G258" s="36">
        <f t="shared" si="47"/>
        <v>0</v>
      </c>
      <c r="H258" s="38">
        <f t="shared" si="51"/>
        <v>5890.8438062037267</v>
      </c>
      <c r="I258" s="36">
        <f t="shared" si="48"/>
        <v>1584234.4681959855</v>
      </c>
      <c r="J258" s="2">
        <f t="shared" si="42"/>
        <v>245</v>
      </c>
      <c r="K258" s="44">
        <f t="shared" si="43"/>
        <v>6.9898891304054356E-3</v>
      </c>
      <c r="L258" s="41">
        <f t="shared" si="44"/>
        <v>0.5</v>
      </c>
      <c r="M258" s="42">
        <f t="shared" si="41"/>
        <v>1</v>
      </c>
      <c r="N258" s="43">
        <f>(VLOOKUP(MONTH('Amortization Model S Shape'!$B258),Seasonality,2,TRUE))</f>
        <v>1.06</v>
      </c>
      <c r="O258" s="50">
        <f t="shared" si="49"/>
        <v>3.7046412391148809E-3</v>
      </c>
    </row>
    <row r="259" spans="2:15" ht="15" x14ac:dyDescent="0.25">
      <c r="B259" s="57">
        <f t="shared" si="45"/>
        <v>49827</v>
      </c>
      <c r="C259" s="36">
        <f t="shared" si="46"/>
        <v>1584234.4681959855</v>
      </c>
      <c r="D259" s="39">
        <f t="shared" si="52"/>
        <v>18147.499964965129</v>
      </c>
      <c r="E259" s="36">
        <f t="shared" si="40"/>
        <v>7921.172340979927</v>
      </c>
      <c r="F259" s="36">
        <f t="shared" si="50"/>
        <v>10226.327623985202</v>
      </c>
      <c r="G259" s="36">
        <f t="shared" si="47"/>
        <v>0</v>
      </c>
      <c r="H259" s="38">
        <f t="shared" si="51"/>
        <v>5996.1676041598739</v>
      </c>
      <c r="I259" s="36">
        <f t="shared" si="48"/>
        <v>1568011.9729678405</v>
      </c>
      <c r="J259" s="2">
        <f t="shared" si="42"/>
        <v>246</v>
      </c>
      <c r="K259" s="44">
        <f t="shared" si="43"/>
        <v>6.9898891304054356E-3</v>
      </c>
      <c r="L259" s="41">
        <f t="shared" si="44"/>
        <v>0.5</v>
      </c>
      <c r="M259" s="42">
        <f t="shared" si="41"/>
        <v>1</v>
      </c>
      <c r="N259" s="43">
        <f>(VLOOKUP(MONTH('Amortization Model S Shape'!$B259),Seasonality,2,TRUE))</f>
        <v>1.0900000000000001</v>
      </c>
      <c r="O259" s="50">
        <f t="shared" si="49"/>
        <v>3.8094895760709627E-3</v>
      </c>
    </row>
    <row r="260" spans="2:15" ht="15" x14ac:dyDescent="0.25">
      <c r="B260" s="57">
        <f t="shared" si="45"/>
        <v>49857</v>
      </c>
      <c r="C260" s="36">
        <f t="shared" si="46"/>
        <v>1568011.9729678405</v>
      </c>
      <c r="D260" s="39">
        <f t="shared" si="52"/>
        <v>18078.367253016848</v>
      </c>
      <c r="E260" s="36">
        <f t="shared" si="40"/>
        <v>7840.0598648392015</v>
      </c>
      <c r="F260" s="36">
        <f t="shared" si="50"/>
        <v>10238.307388177647</v>
      </c>
      <c r="G260" s="36">
        <f t="shared" si="47"/>
        <v>0</v>
      </c>
      <c r="H260" s="38">
        <f t="shared" si="51"/>
        <v>5988.7658669669154</v>
      </c>
      <c r="I260" s="36">
        <f t="shared" si="48"/>
        <v>1551784.899712696</v>
      </c>
      <c r="J260" s="2">
        <f t="shared" si="42"/>
        <v>247</v>
      </c>
      <c r="K260" s="44">
        <f t="shared" si="43"/>
        <v>6.9898891304054356E-3</v>
      </c>
      <c r="L260" s="41">
        <f t="shared" si="44"/>
        <v>0.5</v>
      </c>
      <c r="M260" s="42">
        <f t="shared" si="41"/>
        <v>1</v>
      </c>
      <c r="N260" s="43">
        <f>(VLOOKUP(MONTH('Amortization Model S Shape'!$B260),Seasonality,2,TRUE))</f>
        <v>1.1000000000000001</v>
      </c>
      <c r="O260" s="50">
        <f t="shared" si="49"/>
        <v>3.84443902172299E-3</v>
      </c>
    </row>
    <row r="261" spans="2:15" ht="15" x14ac:dyDescent="0.25">
      <c r="B261" s="57">
        <f t="shared" si="45"/>
        <v>49888</v>
      </c>
      <c r="C261" s="36">
        <f t="shared" si="46"/>
        <v>1551784.899712696</v>
      </c>
      <c r="D261" s="39">
        <f t="shared" si="52"/>
        <v>18008.86607250031</v>
      </c>
      <c r="E261" s="36">
        <f t="shared" si="40"/>
        <v>7758.9244985634796</v>
      </c>
      <c r="F261" s="36">
        <f t="shared" si="50"/>
        <v>10249.941573936831</v>
      </c>
      <c r="G261" s="36">
        <f t="shared" si="47"/>
        <v>0</v>
      </c>
      <c r="H261" s="38">
        <f t="shared" si="51"/>
        <v>6195.7161076196144</v>
      </c>
      <c r="I261" s="36">
        <f t="shared" si="48"/>
        <v>1535339.2420311396</v>
      </c>
      <c r="J261" s="2">
        <f t="shared" si="42"/>
        <v>248</v>
      </c>
      <c r="K261" s="44">
        <f t="shared" si="43"/>
        <v>6.9898891304054356E-3</v>
      </c>
      <c r="L261" s="41">
        <f t="shared" si="44"/>
        <v>0.5</v>
      </c>
      <c r="M261" s="42">
        <f t="shared" si="41"/>
        <v>1</v>
      </c>
      <c r="N261" s="43">
        <f>(VLOOKUP(MONTH('Amortization Model S Shape'!$B261),Seasonality,2,TRUE))</f>
        <v>1.1499999999999999</v>
      </c>
      <c r="O261" s="50">
        <f t="shared" si="49"/>
        <v>4.0191862499831255E-3</v>
      </c>
    </row>
    <row r="262" spans="2:15" ht="15" x14ac:dyDescent="0.25">
      <c r="B262" s="57">
        <f t="shared" si="45"/>
        <v>49919</v>
      </c>
      <c r="C262" s="36">
        <f t="shared" si="46"/>
        <v>1535339.2420311396</v>
      </c>
      <c r="D262" s="39">
        <f t="shared" si="52"/>
        <v>17936.485085603934</v>
      </c>
      <c r="E262" s="36">
        <f t="shared" si="40"/>
        <v>7676.6962101556974</v>
      </c>
      <c r="F262" s="36">
        <f t="shared" si="50"/>
        <v>10259.788875448237</v>
      </c>
      <c r="G262" s="36">
        <f t="shared" si="47"/>
        <v>0</v>
      </c>
      <c r="H262" s="38">
        <f t="shared" si="51"/>
        <v>6022.9770053289622</v>
      </c>
      <c r="I262" s="36">
        <f t="shared" si="48"/>
        <v>1519056.4761503623</v>
      </c>
      <c r="J262" s="2">
        <f t="shared" si="42"/>
        <v>249</v>
      </c>
      <c r="K262" s="44">
        <f t="shared" si="43"/>
        <v>6.9898891304054356E-3</v>
      </c>
      <c r="L262" s="41">
        <f t="shared" si="44"/>
        <v>0.5</v>
      </c>
      <c r="M262" s="42">
        <f t="shared" si="41"/>
        <v>1</v>
      </c>
      <c r="N262" s="43">
        <f>(VLOOKUP(MONTH('Amortization Model S Shape'!$B262),Seasonality,2,TRUE))</f>
        <v>1.1299999999999999</v>
      </c>
      <c r="O262" s="50">
        <f t="shared" si="49"/>
        <v>3.9492873586790709E-3</v>
      </c>
    </row>
    <row r="263" spans="2:15" ht="15" x14ac:dyDescent="0.25">
      <c r="B263" s="57">
        <f t="shared" si="45"/>
        <v>49949</v>
      </c>
      <c r="C263" s="36">
        <f t="shared" si="46"/>
        <v>1519056.4761503623</v>
      </c>
      <c r="D263" s="39">
        <f t="shared" si="52"/>
        <v>17865.64875179622</v>
      </c>
      <c r="E263" s="36">
        <f t="shared" si="40"/>
        <v>7595.2823807518107</v>
      </c>
      <c r="F263" s="36">
        <f t="shared" si="50"/>
        <v>10270.366371044409</v>
      </c>
      <c r="G263" s="36">
        <f t="shared" si="47"/>
        <v>0</v>
      </c>
      <c r="H263" s="38">
        <f t="shared" si="51"/>
        <v>5325.8550525708442</v>
      </c>
      <c r="I263" s="36">
        <f t="shared" si="48"/>
        <v>1503460.2547267471</v>
      </c>
      <c r="J263" s="2">
        <f t="shared" si="42"/>
        <v>250</v>
      </c>
      <c r="K263" s="44">
        <f t="shared" si="43"/>
        <v>6.9898891304054356E-3</v>
      </c>
      <c r="L263" s="41">
        <f t="shared" si="44"/>
        <v>0.5</v>
      </c>
      <c r="M263" s="42">
        <f t="shared" si="41"/>
        <v>1</v>
      </c>
      <c r="N263" s="43">
        <f>(VLOOKUP(MONTH('Amortization Model S Shape'!$B263),Seasonality,2,TRUE))</f>
        <v>1.01</v>
      </c>
      <c r="O263" s="50">
        <f t="shared" si="49"/>
        <v>3.5298940108547451E-3</v>
      </c>
    </row>
    <row r="264" spans="2:15" ht="15" x14ac:dyDescent="0.25">
      <c r="B264" s="57">
        <f t="shared" si="45"/>
        <v>49980</v>
      </c>
      <c r="C264" s="36">
        <f t="shared" si="46"/>
        <v>1503460.2547267471</v>
      </c>
      <c r="D264" s="39">
        <f t="shared" si="52"/>
        <v>17802.584905267217</v>
      </c>
      <c r="E264" s="36">
        <f t="shared" si="40"/>
        <v>7517.3012736337341</v>
      </c>
      <c r="F264" s="36">
        <f t="shared" si="50"/>
        <v>10285.283631633483</v>
      </c>
      <c r="G264" s="36">
        <f t="shared" si="47"/>
        <v>0</v>
      </c>
      <c r="H264" s="38">
        <f t="shared" si="51"/>
        <v>4487.9648251080098</v>
      </c>
      <c r="I264" s="36">
        <f t="shared" si="48"/>
        <v>1488687.0062700056</v>
      </c>
      <c r="J264" s="2">
        <f t="shared" si="42"/>
        <v>251</v>
      </c>
      <c r="K264" s="44">
        <f t="shared" si="43"/>
        <v>6.9898891304054356E-3</v>
      </c>
      <c r="L264" s="41">
        <f t="shared" si="44"/>
        <v>0.5</v>
      </c>
      <c r="M264" s="42">
        <f t="shared" si="41"/>
        <v>1</v>
      </c>
      <c r="N264" s="43">
        <f>(VLOOKUP(MONTH('Amortization Model S Shape'!$B264),Seasonality,2,TRUE))</f>
        <v>0.86</v>
      </c>
      <c r="O264" s="50">
        <f t="shared" si="49"/>
        <v>3.0056523260743374E-3</v>
      </c>
    </row>
    <row r="265" spans="2:15" ht="15" x14ac:dyDescent="0.25">
      <c r="B265" s="57">
        <f t="shared" si="45"/>
        <v>50010</v>
      </c>
      <c r="C265" s="36">
        <f t="shared" si="46"/>
        <v>1488687.0062700056</v>
      </c>
      <c r="D265" s="39">
        <f t="shared" si="52"/>
        <v>17749.076524536562</v>
      </c>
      <c r="E265" s="36">
        <f t="shared" si="40"/>
        <v>7443.4350313500281</v>
      </c>
      <c r="F265" s="36">
        <f t="shared" si="50"/>
        <v>10305.641493186533</v>
      </c>
      <c r="G265" s="36">
        <f t="shared" si="47"/>
        <v>0</v>
      </c>
      <c r="H265" s="40">
        <f t="shared" si="51"/>
        <v>4185.1573420602135</v>
      </c>
      <c r="I265" s="36">
        <f t="shared" si="48"/>
        <v>1474196.2074347588</v>
      </c>
      <c r="J265" s="2">
        <f t="shared" si="42"/>
        <v>252</v>
      </c>
      <c r="K265" s="44">
        <f t="shared" si="43"/>
        <v>6.9898891304054356E-3</v>
      </c>
      <c r="L265" s="41">
        <f t="shared" si="44"/>
        <v>0.45</v>
      </c>
      <c r="M265" s="42">
        <f t="shared" si="41"/>
        <v>1</v>
      </c>
      <c r="N265" s="43">
        <f>(VLOOKUP(MONTH('Amortization Model S Shape'!$B265),Seasonality,2,TRUE))</f>
        <v>0.9</v>
      </c>
      <c r="O265" s="50">
        <f t="shared" si="49"/>
        <v>2.8309050978142015E-3</v>
      </c>
    </row>
    <row r="266" spans="2:15" ht="15" x14ac:dyDescent="0.25">
      <c r="B266" s="57">
        <f t="shared" si="45"/>
        <v>50041</v>
      </c>
      <c r="C266" s="36">
        <f t="shared" si="46"/>
        <v>1474196.2074347588</v>
      </c>
      <c r="D266" s="39">
        <f t="shared" si="52"/>
        <v>17698.83057332176</v>
      </c>
      <c r="E266" s="36">
        <f t="shared" si="40"/>
        <v>7370.981037173794</v>
      </c>
      <c r="F266" s="36">
        <f t="shared" si="50"/>
        <v>10327.849536147965</v>
      </c>
      <c r="G266" s="36">
        <f t="shared" si="47"/>
        <v>0</v>
      </c>
      <c r="H266" s="38">
        <f t="shared" si="51"/>
        <v>4098.0271480495912</v>
      </c>
      <c r="I266" s="36">
        <f t="shared" si="48"/>
        <v>1459770.3307505613</v>
      </c>
      <c r="J266" s="2">
        <f t="shared" si="42"/>
        <v>253</v>
      </c>
      <c r="K266" s="44">
        <f t="shared" si="43"/>
        <v>6.9898891304054356E-3</v>
      </c>
      <c r="L266" s="41">
        <f t="shared" si="44"/>
        <v>0.45</v>
      </c>
      <c r="M266" s="42">
        <f t="shared" si="41"/>
        <v>1</v>
      </c>
      <c r="N266" s="43">
        <f>(VLOOKUP(MONTH('Amortization Model S Shape'!$B266),Seasonality,2,TRUE))</f>
        <v>0.89</v>
      </c>
      <c r="O266" s="50">
        <f t="shared" si="49"/>
        <v>2.7994505967273769E-3</v>
      </c>
    </row>
    <row r="267" spans="2:15" ht="15" x14ac:dyDescent="0.25">
      <c r="B267" s="57">
        <f t="shared" si="45"/>
        <v>50072</v>
      </c>
      <c r="C267" s="36">
        <f t="shared" si="46"/>
        <v>1459770.3307505613</v>
      </c>
      <c r="D267" s="39">
        <f t="shared" si="52"/>
        <v>17649.283571511896</v>
      </c>
      <c r="E267" s="36">
        <f t="shared" si="40"/>
        <v>7298.8516537528058</v>
      </c>
      <c r="F267" s="36">
        <f t="shared" si="50"/>
        <v>10350.431917759091</v>
      </c>
      <c r="G267" s="36">
        <f t="shared" si="47"/>
        <v>0</v>
      </c>
      <c r="H267" s="38">
        <f t="shared" si="51"/>
        <v>4103.1701804791237</v>
      </c>
      <c r="I267" s="36">
        <f t="shared" si="48"/>
        <v>1445316.7286523231</v>
      </c>
      <c r="J267" s="2">
        <f t="shared" si="42"/>
        <v>254</v>
      </c>
      <c r="K267" s="44">
        <f t="shared" si="43"/>
        <v>6.9898891304054356E-3</v>
      </c>
      <c r="L267" s="41">
        <f t="shared" si="44"/>
        <v>0.45</v>
      </c>
      <c r="M267" s="42">
        <f t="shared" si="41"/>
        <v>1</v>
      </c>
      <c r="N267" s="43">
        <f>(VLOOKUP(MONTH('Amortization Model S Shape'!$B267),Seasonality,2,TRUE))</f>
        <v>0.9</v>
      </c>
      <c r="O267" s="50">
        <f t="shared" si="49"/>
        <v>2.8309050978142015E-3</v>
      </c>
    </row>
    <row r="268" spans="2:15" ht="15" x14ac:dyDescent="0.25">
      <c r="B268" s="57">
        <f t="shared" si="45"/>
        <v>50100</v>
      </c>
      <c r="C268" s="36">
        <f t="shared" si="46"/>
        <v>1445316.7286523231</v>
      </c>
      <c r="D268" s="39">
        <f t="shared" si="52"/>
        <v>17599.320124676538</v>
      </c>
      <c r="E268" s="36">
        <f t="shared" si="40"/>
        <v>7226.5836432616152</v>
      </c>
      <c r="F268" s="36">
        <f t="shared" si="50"/>
        <v>10372.736481414922</v>
      </c>
      <c r="G268" s="36">
        <f t="shared" si="47"/>
        <v>0</v>
      </c>
      <c r="H268" s="38">
        <f t="shared" si="51"/>
        <v>4287.867499320846</v>
      </c>
      <c r="I268" s="36">
        <f t="shared" si="48"/>
        <v>1430656.1246715875</v>
      </c>
      <c r="J268" s="2">
        <f t="shared" si="42"/>
        <v>255</v>
      </c>
      <c r="K268" s="44">
        <f t="shared" si="43"/>
        <v>6.9898891304054356E-3</v>
      </c>
      <c r="L268" s="41">
        <f t="shared" si="44"/>
        <v>0.45</v>
      </c>
      <c r="M268" s="42">
        <f t="shared" si="41"/>
        <v>1</v>
      </c>
      <c r="N268" s="43">
        <f>(VLOOKUP(MONTH('Amortization Model S Shape'!$B268),Seasonality,2,TRUE))</f>
        <v>0.95</v>
      </c>
      <c r="O268" s="50">
        <f t="shared" si="49"/>
        <v>2.9881776032483235E-3</v>
      </c>
    </row>
    <row r="269" spans="2:15" ht="15" x14ac:dyDescent="0.25">
      <c r="B269" s="57">
        <f t="shared" si="45"/>
        <v>50131</v>
      </c>
      <c r="C269" s="36">
        <f t="shared" si="46"/>
        <v>1430656.1246715875</v>
      </c>
      <c r="D269" s="39">
        <f t="shared" si="52"/>
        <v>17546.730230447582</v>
      </c>
      <c r="E269" s="36">
        <f t="shared" si="40"/>
        <v>7153.2806233579367</v>
      </c>
      <c r="F269" s="36">
        <f t="shared" si="50"/>
        <v>10393.449607089646</v>
      </c>
      <c r="G269" s="36">
        <f t="shared" si="47"/>
        <v>0</v>
      </c>
      <c r="H269" s="38">
        <f t="shared" si="51"/>
        <v>4288.6707702136764</v>
      </c>
      <c r="I269" s="36">
        <f t="shared" si="48"/>
        <v>1415974.0042942842</v>
      </c>
      <c r="J269" s="2">
        <f t="shared" si="42"/>
        <v>256</v>
      </c>
      <c r="K269" s="44">
        <f t="shared" si="43"/>
        <v>6.9898891304054356E-3</v>
      </c>
      <c r="L269" s="41">
        <f t="shared" si="44"/>
        <v>0.45</v>
      </c>
      <c r="M269" s="42">
        <f t="shared" si="41"/>
        <v>1</v>
      </c>
      <c r="N269" s="43">
        <f>(VLOOKUP(MONTH('Amortization Model S Shape'!$B269),Seasonality,2,TRUE))</f>
        <v>0.96</v>
      </c>
      <c r="O269" s="50">
        <f t="shared" si="49"/>
        <v>3.0196321043351481E-3</v>
      </c>
    </row>
    <row r="270" spans="2:15" ht="15" x14ac:dyDescent="0.25">
      <c r="B270" s="57">
        <f t="shared" si="45"/>
        <v>50161</v>
      </c>
      <c r="C270" s="36">
        <f t="shared" si="46"/>
        <v>1415974.0042942842</v>
      </c>
      <c r="D270" s="39">
        <f t="shared" si="52"/>
        <v>17493.745560517615</v>
      </c>
      <c r="E270" s="36">
        <f t="shared" ref="E270:E333" si="53">($F$7*C270)/12</f>
        <v>7079.8700214714199</v>
      </c>
      <c r="F270" s="36">
        <f t="shared" si="50"/>
        <v>10413.875539046196</v>
      </c>
      <c r="G270" s="36">
        <f t="shared" si="47"/>
        <v>0</v>
      </c>
      <c r="H270" s="38">
        <f t="shared" si="51"/>
        <v>4686.3864153380491</v>
      </c>
      <c r="I270" s="36">
        <f t="shared" si="48"/>
        <v>1400873.7423398998</v>
      </c>
      <c r="J270" s="2">
        <f t="shared" si="42"/>
        <v>257</v>
      </c>
      <c r="K270" s="44">
        <f t="shared" si="43"/>
        <v>6.9898891304054356E-3</v>
      </c>
      <c r="L270" s="41">
        <f t="shared" si="44"/>
        <v>0.45</v>
      </c>
      <c r="M270" s="42">
        <f t="shared" ref="M270:M333" si="54">MIN(J270/VLOOKUP($F$5-$F$8,Seasoning,2,TRUE),1)</f>
        <v>1</v>
      </c>
      <c r="N270" s="43">
        <f>(VLOOKUP(MONTH('Amortization Model S Shape'!$B270),Seasonality,2,TRUE))</f>
        <v>1.06</v>
      </c>
      <c r="O270" s="50">
        <f t="shared" si="49"/>
        <v>3.3341771152033931E-3</v>
      </c>
    </row>
    <row r="271" spans="2:15" ht="15" x14ac:dyDescent="0.25">
      <c r="B271" s="57">
        <f t="shared" si="45"/>
        <v>50192</v>
      </c>
      <c r="C271" s="36">
        <f t="shared" si="46"/>
        <v>1400873.7423398998</v>
      </c>
      <c r="D271" s="39">
        <f t="shared" si="52"/>
        <v>17435.418314410541</v>
      </c>
      <c r="E271" s="36">
        <f t="shared" si="53"/>
        <v>7004.3687116994988</v>
      </c>
      <c r="F271" s="36">
        <f t="shared" si="50"/>
        <v>10431.049602711042</v>
      </c>
      <c r="G271" s="36">
        <f t="shared" si="47"/>
        <v>0</v>
      </c>
      <c r="H271" s="38">
        <f t="shared" si="51"/>
        <v>4767.1892496957244</v>
      </c>
      <c r="I271" s="36">
        <f t="shared" si="48"/>
        <v>1385675.5034874929</v>
      </c>
      <c r="J271" s="2">
        <f t="shared" ref="J271:J334" si="55">+J270+1</f>
        <v>258</v>
      </c>
      <c r="K271" s="44">
        <f t="shared" ref="K271:K334" si="56">1-((1-(0.3-0.16*ATAN(123.11*(0.02-$K$12))))^(1/12))</f>
        <v>6.9898891304054356E-3</v>
      </c>
      <c r="L271" s="41">
        <f t="shared" ref="L271:L334" si="57">VLOOKUP(ROUND(C271/$F$4,1),Burnout,2,FALSE)</f>
        <v>0.45</v>
      </c>
      <c r="M271" s="42">
        <f t="shared" si="54"/>
        <v>1</v>
      </c>
      <c r="N271" s="43">
        <f>(VLOOKUP(MONTH('Amortization Model S Shape'!$B271),Seasonality,2,TRUE))</f>
        <v>1.0900000000000001</v>
      </c>
      <c r="O271" s="50">
        <f t="shared" si="49"/>
        <v>3.4285406184638664E-3</v>
      </c>
    </row>
    <row r="272" spans="2:15" ht="15" x14ac:dyDescent="0.25">
      <c r="B272" s="57">
        <f t="shared" ref="B272:B335" si="58">IF(C272&gt;0,EDATE(B271,1),"")</f>
        <v>50222</v>
      </c>
      <c r="C272" s="36">
        <f t="shared" ref="C272:C335" si="59">+I271</f>
        <v>1385675.5034874929</v>
      </c>
      <c r="D272" s="39">
        <f t="shared" si="52"/>
        <v>17375.640274519676</v>
      </c>
      <c r="E272" s="36">
        <f t="shared" si="53"/>
        <v>6928.3775174374641</v>
      </c>
      <c r="F272" s="36">
        <f t="shared" si="50"/>
        <v>10447.262757082211</v>
      </c>
      <c r="G272" s="36">
        <f t="shared" ref="G272:G335" si="60">($F$6*C272)/12</f>
        <v>0</v>
      </c>
      <c r="H272" s="38">
        <f t="shared" si="51"/>
        <v>4758.2830011955039</v>
      </c>
      <c r="I272" s="36">
        <f t="shared" ref="I272:I335" si="61">IF(J272&gt;$F$3,0,C272-F272-H272)</f>
        <v>1370469.9577292153</v>
      </c>
      <c r="J272" s="2">
        <f t="shared" si="55"/>
        <v>259</v>
      </c>
      <c r="K272" s="44">
        <f t="shared" si="56"/>
        <v>6.9898891304054356E-3</v>
      </c>
      <c r="L272" s="41">
        <f t="shared" si="57"/>
        <v>0.45</v>
      </c>
      <c r="M272" s="42">
        <f t="shared" si="54"/>
        <v>1</v>
      </c>
      <c r="N272" s="43">
        <f>(VLOOKUP(MONTH('Amortization Model S Shape'!$B272),Seasonality,2,TRUE))</f>
        <v>1.1000000000000001</v>
      </c>
      <c r="O272" s="50">
        <f t="shared" ref="O272:O335" si="62">PRODUCT(K272:N272)</f>
        <v>3.459995119550691E-3</v>
      </c>
    </row>
    <row r="273" spans="2:15" ht="15" x14ac:dyDescent="0.25">
      <c r="B273" s="57">
        <f t="shared" si="58"/>
        <v>50253</v>
      </c>
      <c r="C273" s="36">
        <f t="shared" si="59"/>
        <v>1370469.9577292153</v>
      </c>
      <c r="D273" s="39">
        <f t="shared" si="52"/>
        <v>17315.520643970776</v>
      </c>
      <c r="E273" s="36">
        <f t="shared" si="53"/>
        <v>6852.3497886460764</v>
      </c>
      <c r="F273" s="36">
        <f t="shared" ref="F273:F336" si="63">D273-E273-G273</f>
        <v>10463.170855324701</v>
      </c>
      <c r="G273" s="36">
        <f t="shared" si="60"/>
        <v>0</v>
      </c>
      <c r="H273" s="38">
        <f t="shared" ref="H273:H336" si="64">+O273*(C273-F273)</f>
        <v>4919.5085199185442</v>
      </c>
      <c r="I273" s="36">
        <f t="shared" si="61"/>
        <v>1355087.2783539719</v>
      </c>
      <c r="J273" s="2">
        <f t="shared" si="55"/>
        <v>260</v>
      </c>
      <c r="K273" s="44">
        <f t="shared" si="56"/>
        <v>6.9898891304054356E-3</v>
      </c>
      <c r="L273" s="41">
        <f t="shared" si="57"/>
        <v>0.45</v>
      </c>
      <c r="M273" s="42">
        <f t="shared" si="54"/>
        <v>1</v>
      </c>
      <c r="N273" s="43">
        <f>(VLOOKUP(MONTH('Amortization Model S Shape'!$B273),Seasonality,2,TRUE))</f>
        <v>1.1499999999999999</v>
      </c>
      <c r="O273" s="50">
        <f t="shared" si="62"/>
        <v>3.6172676249848126E-3</v>
      </c>
    </row>
    <row r="274" spans="2:15" ht="15" x14ac:dyDescent="0.25">
      <c r="B274" s="57">
        <f t="shared" si="58"/>
        <v>50284</v>
      </c>
      <c r="C274" s="36">
        <f t="shared" si="59"/>
        <v>1355087.2783539719</v>
      </c>
      <c r="D274" s="39">
        <f t="shared" si="52"/>
        <v>17252.885771735579</v>
      </c>
      <c r="E274" s="36">
        <f t="shared" si="53"/>
        <v>6775.4363917698583</v>
      </c>
      <c r="F274" s="36">
        <f t="shared" si="63"/>
        <v>10477.449379965721</v>
      </c>
      <c r="G274" s="36">
        <f t="shared" si="60"/>
        <v>0</v>
      </c>
      <c r="H274" s="38">
        <f t="shared" si="64"/>
        <v>4779.2255399304031</v>
      </c>
      <c r="I274" s="36">
        <f t="shared" si="61"/>
        <v>1339830.6034340758</v>
      </c>
      <c r="J274" s="2">
        <f t="shared" si="55"/>
        <v>261</v>
      </c>
      <c r="K274" s="44">
        <f t="shared" si="56"/>
        <v>6.9898891304054356E-3</v>
      </c>
      <c r="L274" s="41">
        <f t="shared" si="57"/>
        <v>0.45</v>
      </c>
      <c r="M274" s="42">
        <f t="shared" si="54"/>
        <v>1</v>
      </c>
      <c r="N274" s="43">
        <f>(VLOOKUP(MONTH('Amortization Model S Shape'!$B274),Seasonality,2,TRUE))</f>
        <v>1.1299999999999999</v>
      </c>
      <c r="O274" s="50">
        <f t="shared" si="62"/>
        <v>3.5543586228111638E-3</v>
      </c>
    </row>
    <row r="275" spans="2:15" ht="15" x14ac:dyDescent="0.25">
      <c r="B275" s="57">
        <f t="shared" si="58"/>
        <v>50314</v>
      </c>
      <c r="C275" s="36">
        <f t="shared" si="59"/>
        <v>1339830.6034340758</v>
      </c>
      <c r="D275" s="39">
        <f t="shared" ref="D275:D338" si="65">-PMT($F$5/12,$F$3-J274,$C275)</f>
        <v>17191.562828424438</v>
      </c>
      <c r="E275" s="36">
        <f t="shared" si="53"/>
        <v>6699.1530171703789</v>
      </c>
      <c r="F275" s="36">
        <f t="shared" si="63"/>
        <v>10492.40981125406</v>
      </c>
      <c r="G275" s="36">
        <f t="shared" si="60"/>
        <v>0</v>
      </c>
      <c r="H275" s="38">
        <f t="shared" si="64"/>
        <v>4223.1806352626973</v>
      </c>
      <c r="I275" s="36">
        <f t="shared" si="61"/>
        <v>1325115.012987559</v>
      </c>
      <c r="J275" s="2">
        <f t="shared" si="55"/>
        <v>262</v>
      </c>
      <c r="K275" s="44">
        <f t="shared" si="56"/>
        <v>6.9898891304054356E-3</v>
      </c>
      <c r="L275" s="41">
        <f t="shared" si="57"/>
        <v>0.45</v>
      </c>
      <c r="M275" s="42">
        <f t="shared" si="54"/>
        <v>1</v>
      </c>
      <c r="N275" s="43">
        <f>(VLOOKUP(MONTH('Amortization Model S Shape'!$B275),Seasonality,2,TRUE))</f>
        <v>1.01</v>
      </c>
      <c r="O275" s="50">
        <f t="shared" si="62"/>
        <v>3.1769046097692706E-3</v>
      </c>
    </row>
    <row r="276" spans="2:15" ht="15" x14ac:dyDescent="0.25">
      <c r="B276" s="57">
        <f t="shared" si="58"/>
        <v>50345</v>
      </c>
      <c r="C276" s="36">
        <f t="shared" si="59"/>
        <v>1325115.012987559</v>
      </c>
      <c r="D276" s="39">
        <f t="shared" si="65"/>
        <v>17136.946873225676</v>
      </c>
      <c r="E276" s="36">
        <f t="shared" si="53"/>
        <v>6625.5750649377951</v>
      </c>
      <c r="F276" s="36">
        <f t="shared" si="63"/>
        <v>10511.37180828788</v>
      </c>
      <c r="G276" s="36">
        <f t="shared" si="60"/>
        <v>0</v>
      </c>
      <c r="H276" s="38">
        <f t="shared" si="64"/>
        <v>3556.1173427786425</v>
      </c>
      <c r="I276" s="36">
        <f t="shared" si="61"/>
        <v>1311047.5238364923</v>
      </c>
      <c r="J276" s="2">
        <f t="shared" si="55"/>
        <v>263</v>
      </c>
      <c r="K276" s="44">
        <f t="shared" si="56"/>
        <v>6.9898891304054356E-3</v>
      </c>
      <c r="L276" s="41">
        <f t="shared" si="57"/>
        <v>0.45</v>
      </c>
      <c r="M276" s="42">
        <f t="shared" si="54"/>
        <v>1</v>
      </c>
      <c r="N276" s="43">
        <f>(VLOOKUP(MONTH('Amortization Model S Shape'!$B276),Seasonality,2,TRUE))</f>
        <v>0.86</v>
      </c>
      <c r="O276" s="50">
        <f t="shared" si="62"/>
        <v>2.7050870934669036E-3</v>
      </c>
    </row>
    <row r="277" spans="2:15" ht="15" x14ac:dyDescent="0.25">
      <c r="B277" s="57">
        <f t="shared" si="58"/>
        <v>50375</v>
      </c>
      <c r="C277" s="36">
        <f t="shared" si="59"/>
        <v>1311047.5238364923</v>
      </c>
      <c r="D277" s="39">
        <f t="shared" si="65"/>
        <v>17090.589939417485</v>
      </c>
      <c r="E277" s="36">
        <f t="shared" si="53"/>
        <v>6555.2376191824615</v>
      </c>
      <c r="F277" s="36">
        <f t="shared" si="63"/>
        <v>10535.352320235022</v>
      </c>
      <c r="G277" s="36">
        <f t="shared" si="60"/>
        <v>0</v>
      </c>
      <c r="H277" s="40">
        <f t="shared" si="64"/>
        <v>3681.6265361147903</v>
      </c>
      <c r="I277" s="36">
        <f t="shared" si="61"/>
        <v>1296830.5449801425</v>
      </c>
      <c r="J277" s="2">
        <f t="shared" si="55"/>
        <v>264</v>
      </c>
      <c r="K277" s="44">
        <f t="shared" si="56"/>
        <v>6.9898891304054356E-3</v>
      </c>
      <c r="L277" s="41">
        <f t="shared" si="57"/>
        <v>0.45</v>
      </c>
      <c r="M277" s="42">
        <f t="shared" si="54"/>
        <v>1</v>
      </c>
      <c r="N277" s="43">
        <f>(VLOOKUP(MONTH('Amortization Model S Shape'!$B277),Seasonality,2,TRUE))</f>
        <v>0.9</v>
      </c>
      <c r="O277" s="50">
        <f t="shared" si="62"/>
        <v>2.8309050978142015E-3</v>
      </c>
    </row>
    <row r="278" spans="2:15" ht="15" x14ac:dyDescent="0.25">
      <c r="B278" s="57">
        <f t="shared" si="58"/>
        <v>50406</v>
      </c>
      <c r="C278" s="36">
        <f t="shared" si="59"/>
        <v>1296830.5449801425</v>
      </c>
      <c r="D278" s="39">
        <f t="shared" si="65"/>
        <v>17042.208101233333</v>
      </c>
      <c r="E278" s="36">
        <f t="shared" si="53"/>
        <v>6484.1527249007122</v>
      </c>
      <c r="F278" s="36">
        <f t="shared" si="63"/>
        <v>10558.055376332621</v>
      </c>
      <c r="G278" s="36">
        <f t="shared" si="60"/>
        <v>0</v>
      </c>
      <c r="H278" s="38">
        <f t="shared" si="64"/>
        <v>3600.856288575394</v>
      </c>
      <c r="I278" s="36">
        <f t="shared" si="61"/>
        <v>1282671.6333152344</v>
      </c>
      <c r="J278" s="2">
        <f t="shared" si="55"/>
        <v>265</v>
      </c>
      <c r="K278" s="44">
        <f t="shared" si="56"/>
        <v>6.9898891304054356E-3</v>
      </c>
      <c r="L278" s="41">
        <f t="shared" si="57"/>
        <v>0.45</v>
      </c>
      <c r="M278" s="42">
        <f t="shared" si="54"/>
        <v>1</v>
      </c>
      <c r="N278" s="43">
        <f>(VLOOKUP(MONTH('Amortization Model S Shape'!$B278),Seasonality,2,TRUE))</f>
        <v>0.89</v>
      </c>
      <c r="O278" s="50">
        <f t="shared" si="62"/>
        <v>2.7994505967273769E-3</v>
      </c>
    </row>
    <row r="279" spans="2:15" ht="15" x14ac:dyDescent="0.25">
      <c r="B279" s="57">
        <f t="shared" si="58"/>
        <v>50437</v>
      </c>
      <c r="C279" s="36">
        <f t="shared" si="59"/>
        <v>1282671.6333152344</v>
      </c>
      <c r="D279" s="39">
        <f t="shared" si="65"/>
        <v>16994.499281594781</v>
      </c>
      <c r="E279" s="36">
        <f t="shared" si="53"/>
        <v>6413.3581665761712</v>
      </c>
      <c r="F279" s="36">
        <f t="shared" si="63"/>
        <v>10581.14111501861</v>
      </c>
      <c r="G279" s="36">
        <f t="shared" si="60"/>
        <v>0</v>
      </c>
      <c r="H279" s="38">
        <f t="shared" si="64"/>
        <v>3601.1674592505678</v>
      </c>
      <c r="I279" s="36">
        <f t="shared" si="61"/>
        <v>1268489.3247409652</v>
      </c>
      <c r="J279" s="2">
        <f t="shared" si="55"/>
        <v>266</v>
      </c>
      <c r="K279" s="44">
        <f t="shared" si="56"/>
        <v>6.9898891304054356E-3</v>
      </c>
      <c r="L279" s="41">
        <f t="shared" si="57"/>
        <v>0.45</v>
      </c>
      <c r="M279" s="42">
        <f t="shared" si="54"/>
        <v>1</v>
      </c>
      <c r="N279" s="43">
        <f>(VLOOKUP(MONTH('Amortization Model S Shape'!$B279),Seasonality,2,TRUE))</f>
        <v>0.9</v>
      </c>
      <c r="O279" s="50">
        <f t="shared" si="62"/>
        <v>2.8309050978142015E-3</v>
      </c>
    </row>
    <row r="280" spans="2:15" ht="15" x14ac:dyDescent="0.25">
      <c r="B280" s="57">
        <f t="shared" si="58"/>
        <v>50465</v>
      </c>
      <c r="C280" s="36">
        <f t="shared" si="59"/>
        <v>1268489.3247409652</v>
      </c>
      <c r="D280" s="39">
        <f t="shared" si="65"/>
        <v>16946.389466943714</v>
      </c>
      <c r="E280" s="36">
        <f t="shared" si="53"/>
        <v>6342.4466237048255</v>
      </c>
      <c r="F280" s="36">
        <f t="shared" si="63"/>
        <v>10603.942843238889</v>
      </c>
      <c r="G280" s="36">
        <f t="shared" si="60"/>
        <v>0</v>
      </c>
      <c r="H280" s="38">
        <f t="shared" si="64"/>
        <v>3758.7849256402501</v>
      </c>
      <c r="I280" s="36">
        <f t="shared" si="61"/>
        <v>1254126.596972086</v>
      </c>
      <c r="J280" s="2">
        <f t="shared" si="55"/>
        <v>267</v>
      </c>
      <c r="K280" s="44">
        <f t="shared" si="56"/>
        <v>6.9898891304054356E-3</v>
      </c>
      <c r="L280" s="41">
        <f t="shared" si="57"/>
        <v>0.45</v>
      </c>
      <c r="M280" s="42">
        <f t="shared" si="54"/>
        <v>1</v>
      </c>
      <c r="N280" s="43">
        <f>(VLOOKUP(MONTH('Amortization Model S Shape'!$B280),Seasonality,2,TRUE))</f>
        <v>0.95</v>
      </c>
      <c r="O280" s="50">
        <f t="shared" si="62"/>
        <v>2.9881776032483235E-3</v>
      </c>
    </row>
    <row r="281" spans="2:15" ht="15" x14ac:dyDescent="0.25">
      <c r="B281" s="57">
        <f t="shared" si="58"/>
        <v>50496</v>
      </c>
      <c r="C281" s="36">
        <f t="shared" si="59"/>
        <v>1254126.596972086</v>
      </c>
      <c r="D281" s="39">
        <f t="shared" si="65"/>
        <v>16895.750645482673</v>
      </c>
      <c r="E281" s="36">
        <f t="shared" si="53"/>
        <v>6270.63298486043</v>
      </c>
      <c r="F281" s="36">
        <f t="shared" si="63"/>
        <v>10625.117660622243</v>
      </c>
      <c r="G281" s="36">
        <f t="shared" si="60"/>
        <v>0</v>
      </c>
      <c r="H281" s="38">
        <f t="shared" si="64"/>
        <v>3754.9169887171447</v>
      </c>
      <c r="I281" s="36">
        <f t="shared" si="61"/>
        <v>1239746.5623227465</v>
      </c>
      <c r="J281" s="2">
        <f t="shared" si="55"/>
        <v>268</v>
      </c>
      <c r="K281" s="44">
        <f t="shared" si="56"/>
        <v>6.9898891304054356E-3</v>
      </c>
      <c r="L281" s="41">
        <f t="shared" si="57"/>
        <v>0.45</v>
      </c>
      <c r="M281" s="42">
        <f t="shared" si="54"/>
        <v>1</v>
      </c>
      <c r="N281" s="43">
        <f>(VLOOKUP(MONTH('Amortization Model S Shape'!$B281),Seasonality,2,TRUE))</f>
        <v>0.96</v>
      </c>
      <c r="O281" s="50">
        <f t="shared" si="62"/>
        <v>3.0196321043351481E-3</v>
      </c>
    </row>
    <row r="282" spans="2:15" ht="15" x14ac:dyDescent="0.25">
      <c r="B282" s="57">
        <f t="shared" si="58"/>
        <v>50526</v>
      </c>
      <c r="C282" s="36">
        <f t="shared" si="59"/>
        <v>1239746.5623227465</v>
      </c>
      <c r="D282" s="39">
        <f t="shared" si="65"/>
        <v>16844.731694406728</v>
      </c>
      <c r="E282" s="36">
        <f t="shared" si="53"/>
        <v>6198.7328116137323</v>
      </c>
      <c r="F282" s="36">
        <f t="shared" si="63"/>
        <v>10645.998882792996</v>
      </c>
      <c r="G282" s="36">
        <f t="shared" si="60"/>
        <v>0</v>
      </c>
      <c r="H282" s="38">
        <f t="shared" si="64"/>
        <v>4098.0389709050896</v>
      </c>
      <c r="I282" s="36">
        <f t="shared" si="61"/>
        <v>1225002.5244690485</v>
      </c>
      <c r="J282" s="2">
        <f t="shared" si="55"/>
        <v>269</v>
      </c>
      <c r="K282" s="44">
        <f t="shared" si="56"/>
        <v>6.9898891304054356E-3</v>
      </c>
      <c r="L282" s="41">
        <f t="shared" si="57"/>
        <v>0.45</v>
      </c>
      <c r="M282" s="42">
        <f t="shared" si="54"/>
        <v>1</v>
      </c>
      <c r="N282" s="43">
        <f>(VLOOKUP(MONTH('Amortization Model S Shape'!$B282),Seasonality,2,TRUE))</f>
        <v>1.06</v>
      </c>
      <c r="O282" s="50">
        <f t="shared" si="62"/>
        <v>3.3341771152033931E-3</v>
      </c>
    </row>
    <row r="283" spans="2:15" ht="15" x14ac:dyDescent="0.25">
      <c r="B283" s="57">
        <f t="shared" si="58"/>
        <v>50557</v>
      </c>
      <c r="C283" s="36">
        <f t="shared" si="59"/>
        <v>1225002.5244690485</v>
      </c>
      <c r="D283" s="39">
        <f t="shared" si="65"/>
        <v>16788.568375479499</v>
      </c>
      <c r="E283" s="36">
        <f t="shared" si="53"/>
        <v>6125.0126223452426</v>
      </c>
      <c r="F283" s="36">
        <f t="shared" si="63"/>
        <v>10663.555753134257</v>
      </c>
      <c r="G283" s="36">
        <f t="shared" si="60"/>
        <v>0</v>
      </c>
      <c r="H283" s="38">
        <f t="shared" si="64"/>
        <v>4163.4104788260347</v>
      </c>
      <c r="I283" s="36">
        <f t="shared" si="61"/>
        <v>1210175.5582370881</v>
      </c>
      <c r="J283" s="2">
        <f t="shared" si="55"/>
        <v>270</v>
      </c>
      <c r="K283" s="44">
        <f t="shared" si="56"/>
        <v>6.9898891304054356E-3</v>
      </c>
      <c r="L283" s="41">
        <f t="shared" si="57"/>
        <v>0.45</v>
      </c>
      <c r="M283" s="42">
        <f t="shared" si="54"/>
        <v>1</v>
      </c>
      <c r="N283" s="43">
        <f>(VLOOKUP(MONTH('Amortization Model S Shape'!$B283),Seasonality,2,TRUE))</f>
        <v>1.0900000000000001</v>
      </c>
      <c r="O283" s="50">
        <f t="shared" si="62"/>
        <v>3.4285406184638664E-3</v>
      </c>
    </row>
    <row r="284" spans="2:15" ht="15" x14ac:dyDescent="0.25">
      <c r="B284" s="57">
        <f t="shared" si="58"/>
        <v>50587</v>
      </c>
      <c r="C284" s="36">
        <f t="shared" si="59"/>
        <v>1210175.5582370881</v>
      </c>
      <c r="D284" s="39">
        <f t="shared" si="65"/>
        <v>16731.008086878308</v>
      </c>
      <c r="E284" s="36">
        <f t="shared" si="53"/>
        <v>6050.8777911854404</v>
      </c>
      <c r="F284" s="36">
        <f t="shared" si="63"/>
        <v>10680.130295692867</v>
      </c>
      <c r="G284" s="36">
        <f t="shared" si="60"/>
        <v>0</v>
      </c>
      <c r="H284" s="38">
        <f t="shared" si="64"/>
        <v>4150.2483266005947</v>
      </c>
      <c r="I284" s="36">
        <f t="shared" si="61"/>
        <v>1195345.1796147947</v>
      </c>
      <c r="J284" s="2">
        <f t="shared" si="55"/>
        <v>271</v>
      </c>
      <c r="K284" s="44">
        <f t="shared" si="56"/>
        <v>6.9898891304054356E-3</v>
      </c>
      <c r="L284" s="41">
        <f t="shared" si="57"/>
        <v>0.45</v>
      </c>
      <c r="M284" s="42">
        <f t="shared" si="54"/>
        <v>1</v>
      </c>
      <c r="N284" s="43">
        <f>(VLOOKUP(MONTH('Amortization Model S Shape'!$B284),Seasonality,2,TRUE))</f>
        <v>1.1000000000000001</v>
      </c>
      <c r="O284" s="50">
        <f t="shared" si="62"/>
        <v>3.459995119550691E-3</v>
      </c>
    </row>
    <row r="285" spans="2:15" ht="15" x14ac:dyDescent="0.25">
      <c r="B285" s="57">
        <f t="shared" si="58"/>
        <v>50618</v>
      </c>
      <c r="C285" s="36">
        <f t="shared" si="59"/>
        <v>1195345.1796147947</v>
      </c>
      <c r="D285" s="39">
        <f t="shared" si="65"/>
        <v>16673.118880552549</v>
      </c>
      <c r="E285" s="36">
        <f t="shared" si="53"/>
        <v>5976.7258980739725</v>
      </c>
      <c r="F285" s="36">
        <f t="shared" si="63"/>
        <v>10696.392982478577</v>
      </c>
      <c r="G285" s="36">
        <f t="shared" si="60"/>
        <v>0</v>
      </c>
      <c r="H285" s="38">
        <f t="shared" si="64"/>
        <v>4285.1917028626185</v>
      </c>
      <c r="I285" s="36">
        <f t="shared" si="61"/>
        <v>1180363.5949294537</v>
      </c>
      <c r="J285" s="2">
        <f t="shared" si="55"/>
        <v>272</v>
      </c>
      <c r="K285" s="44">
        <f t="shared" si="56"/>
        <v>6.9898891304054356E-3</v>
      </c>
      <c r="L285" s="41">
        <f t="shared" si="57"/>
        <v>0.45</v>
      </c>
      <c r="M285" s="42">
        <f t="shared" si="54"/>
        <v>1</v>
      </c>
      <c r="N285" s="43">
        <f>(VLOOKUP(MONTH('Amortization Model S Shape'!$B285),Seasonality,2,TRUE))</f>
        <v>1.1499999999999999</v>
      </c>
      <c r="O285" s="50">
        <f t="shared" si="62"/>
        <v>3.6172676249848126E-3</v>
      </c>
    </row>
    <row r="286" spans="2:15" ht="15" x14ac:dyDescent="0.25">
      <c r="B286" s="57">
        <f t="shared" si="58"/>
        <v>50649</v>
      </c>
      <c r="C286" s="36">
        <f t="shared" si="59"/>
        <v>1180363.5949294537</v>
      </c>
      <c r="D286" s="39">
        <f t="shared" si="65"/>
        <v>16612.807747418403</v>
      </c>
      <c r="E286" s="36">
        <f t="shared" si="53"/>
        <v>5901.8179746472679</v>
      </c>
      <c r="F286" s="36">
        <f t="shared" si="63"/>
        <v>10710.989772771136</v>
      </c>
      <c r="G286" s="36">
        <f t="shared" si="60"/>
        <v>0</v>
      </c>
      <c r="H286" s="38">
        <f t="shared" si="64"/>
        <v>4157.3648228321954</v>
      </c>
      <c r="I286" s="36">
        <f t="shared" si="61"/>
        <v>1165495.2403338503</v>
      </c>
      <c r="J286" s="2">
        <f t="shared" si="55"/>
        <v>273</v>
      </c>
      <c r="K286" s="44">
        <f t="shared" si="56"/>
        <v>6.9898891304054356E-3</v>
      </c>
      <c r="L286" s="41">
        <f t="shared" si="57"/>
        <v>0.45</v>
      </c>
      <c r="M286" s="42">
        <f t="shared" si="54"/>
        <v>1</v>
      </c>
      <c r="N286" s="43">
        <f>(VLOOKUP(MONTH('Amortization Model S Shape'!$B286),Seasonality,2,TRUE))</f>
        <v>1.1299999999999999</v>
      </c>
      <c r="O286" s="50">
        <f t="shared" si="62"/>
        <v>3.5543586228111638E-3</v>
      </c>
    </row>
    <row r="287" spans="2:15" ht="15" x14ac:dyDescent="0.25">
      <c r="B287" s="57">
        <f t="shared" si="58"/>
        <v>50679</v>
      </c>
      <c r="C287" s="36">
        <f t="shared" si="59"/>
        <v>1165495.2403338503</v>
      </c>
      <c r="D287" s="39">
        <f t="shared" si="65"/>
        <v>16553.759870952257</v>
      </c>
      <c r="E287" s="36">
        <f t="shared" si="53"/>
        <v>5827.4762016692512</v>
      </c>
      <c r="F287" s="36">
        <f t="shared" si="63"/>
        <v>10726.283669283006</v>
      </c>
      <c r="G287" s="36">
        <f t="shared" si="60"/>
        <v>0</v>
      </c>
      <c r="H287" s="38">
        <f t="shared" si="64"/>
        <v>3668.5908216461153</v>
      </c>
      <c r="I287" s="36">
        <f t="shared" si="61"/>
        <v>1151100.3658429212</v>
      </c>
      <c r="J287" s="2">
        <f t="shared" si="55"/>
        <v>274</v>
      </c>
      <c r="K287" s="44">
        <f t="shared" si="56"/>
        <v>6.9898891304054356E-3</v>
      </c>
      <c r="L287" s="41">
        <f t="shared" si="57"/>
        <v>0.45</v>
      </c>
      <c r="M287" s="42">
        <f t="shared" si="54"/>
        <v>1</v>
      </c>
      <c r="N287" s="43">
        <f>(VLOOKUP(MONTH('Amortization Model S Shape'!$B287),Seasonality,2,TRUE))</f>
        <v>1.01</v>
      </c>
      <c r="O287" s="50">
        <f t="shared" si="62"/>
        <v>3.1769046097692706E-3</v>
      </c>
    </row>
    <row r="288" spans="2:15" ht="15" x14ac:dyDescent="0.25">
      <c r="B288" s="57">
        <f t="shared" si="58"/>
        <v>50710</v>
      </c>
      <c r="C288" s="36">
        <f t="shared" si="59"/>
        <v>1151100.3658429212</v>
      </c>
      <c r="D288" s="39">
        <f t="shared" si="65"/>
        <v>16501.170154909218</v>
      </c>
      <c r="E288" s="36">
        <f t="shared" si="53"/>
        <v>5755.501829214606</v>
      </c>
      <c r="F288" s="36">
        <f t="shared" si="63"/>
        <v>10745.668325694613</v>
      </c>
      <c r="G288" s="36">
        <f t="shared" si="60"/>
        <v>0</v>
      </c>
      <c r="H288" s="38">
        <f t="shared" si="64"/>
        <v>3084.7587742282049</v>
      </c>
      <c r="I288" s="36">
        <f t="shared" si="61"/>
        <v>1137269.9387429985</v>
      </c>
      <c r="J288" s="2">
        <f t="shared" si="55"/>
        <v>275</v>
      </c>
      <c r="K288" s="44">
        <f t="shared" si="56"/>
        <v>6.9898891304054356E-3</v>
      </c>
      <c r="L288" s="41">
        <f t="shared" si="57"/>
        <v>0.45</v>
      </c>
      <c r="M288" s="42">
        <f t="shared" si="54"/>
        <v>1</v>
      </c>
      <c r="N288" s="43">
        <f>(VLOOKUP(MONTH('Amortization Model S Shape'!$B288),Seasonality,2,TRUE))</f>
        <v>0.86</v>
      </c>
      <c r="O288" s="50">
        <f t="shared" si="62"/>
        <v>2.7050870934669036E-3</v>
      </c>
    </row>
    <row r="289" spans="2:15" ht="15" x14ac:dyDescent="0.25">
      <c r="B289" s="57">
        <f t="shared" si="58"/>
        <v>50740</v>
      </c>
      <c r="C289" s="36">
        <f t="shared" si="59"/>
        <v>1137269.9387429985</v>
      </c>
      <c r="D289" s="39">
        <f t="shared" si="65"/>
        <v>16456.533052496077</v>
      </c>
      <c r="E289" s="36">
        <f t="shared" si="53"/>
        <v>5686.349693714993</v>
      </c>
      <c r="F289" s="36">
        <f t="shared" si="63"/>
        <v>10770.183358781083</v>
      </c>
      <c r="G289" s="36">
        <f t="shared" si="60"/>
        <v>0</v>
      </c>
      <c r="H289" s="40">
        <f t="shared" si="64"/>
        <v>3189.0139002036321</v>
      </c>
      <c r="I289" s="36">
        <f t="shared" si="61"/>
        <v>1123310.7414840139</v>
      </c>
      <c r="J289" s="2">
        <f t="shared" si="55"/>
        <v>276</v>
      </c>
      <c r="K289" s="44">
        <f t="shared" si="56"/>
        <v>6.9898891304054356E-3</v>
      </c>
      <c r="L289" s="41">
        <f t="shared" si="57"/>
        <v>0.45</v>
      </c>
      <c r="M289" s="42">
        <f t="shared" si="54"/>
        <v>1</v>
      </c>
      <c r="N289" s="43">
        <f>(VLOOKUP(MONTH('Amortization Model S Shape'!$B289),Seasonality,2,TRUE))</f>
        <v>0.9</v>
      </c>
      <c r="O289" s="50">
        <f t="shared" si="62"/>
        <v>2.8309050978142015E-3</v>
      </c>
    </row>
    <row r="290" spans="2:15" ht="15" x14ac:dyDescent="0.25">
      <c r="B290" s="57">
        <f t="shared" si="58"/>
        <v>50771</v>
      </c>
      <c r="C290" s="36">
        <f t="shared" si="59"/>
        <v>1123310.7414840139</v>
      </c>
      <c r="D290" s="39">
        <f t="shared" si="65"/>
        <v>16409.946169185412</v>
      </c>
      <c r="E290" s="36">
        <f t="shared" si="53"/>
        <v>5616.5537074200693</v>
      </c>
      <c r="F290" s="36">
        <f t="shared" si="63"/>
        <v>10793.392461765343</v>
      </c>
      <c r="G290" s="36">
        <f t="shared" si="60"/>
        <v>0</v>
      </c>
      <c r="H290" s="38">
        <f t="shared" si="64"/>
        <v>3114.4373565898932</v>
      </c>
      <c r="I290" s="36">
        <f t="shared" si="61"/>
        <v>1109402.9116656587</v>
      </c>
      <c r="J290" s="2">
        <f t="shared" si="55"/>
        <v>277</v>
      </c>
      <c r="K290" s="44">
        <f t="shared" si="56"/>
        <v>6.9898891304054356E-3</v>
      </c>
      <c r="L290" s="41">
        <f t="shared" si="57"/>
        <v>0.45</v>
      </c>
      <c r="M290" s="42">
        <f t="shared" si="54"/>
        <v>1</v>
      </c>
      <c r="N290" s="43">
        <f>(VLOOKUP(MONTH('Amortization Model S Shape'!$B290),Seasonality,2,TRUE))</f>
        <v>0.89</v>
      </c>
      <c r="O290" s="50">
        <f t="shared" si="62"/>
        <v>2.7994505967273769E-3</v>
      </c>
    </row>
    <row r="291" spans="2:15" ht="15" x14ac:dyDescent="0.25">
      <c r="B291" s="57">
        <f t="shared" si="58"/>
        <v>50802</v>
      </c>
      <c r="C291" s="36">
        <f t="shared" si="59"/>
        <v>1109402.9116656587</v>
      </c>
      <c r="D291" s="39">
        <f t="shared" si="65"/>
        <v>16364.007335589826</v>
      </c>
      <c r="E291" s="36">
        <f t="shared" si="53"/>
        <v>5547.0145583282938</v>
      </c>
      <c r="F291" s="36">
        <f t="shared" si="63"/>
        <v>10816.992777261532</v>
      </c>
      <c r="G291" s="36">
        <f t="shared" si="60"/>
        <v>0</v>
      </c>
      <c r="H291" s="38">
        <f t="shared" si="64"/>
        <v>3109.9924781680629</v>
      </c>
      <c r="I291" s="36">
        <f t="shared" si="61"/>
        <v>1095475.9264102292</v>
      </c>
      <c r="J291" s="2">
        <f t="shared" si="55"/>
        <v>278</v>
      </c>
      <c r="K291" s="44">
        <f t="shared" si="56"/>
        <v>6.9898891304054356E-3</v>
      </c>
      <c r="L291" s="41">
        <f t="shared" si="57"/>
        <v>0.45</v>
      </c>
      <c r="M291" s="42">
        <f t="shared" si="54"/>
        <v>1</v>
      </c>
      <c r="N291" s="43">
        <f>(VLOOKUP(MONTH('Amortization Model S Shape'!$B291),Seasonality,2,TRUE))</f>
        <v>0.9</v>
      </c>
      <c r="O291" s="50">
        <f t="shared" si="62"/>
        <v>2.8309050978142015E-3</v>
      </c>
    </row>
    <row r="292" spans="2:15" ht="15" x14ac:dyDescent="0.25">
      <c r="B292" s="57">
        <f t="shared" si="58"/>
        <v>50830</v>
      </c>
      <c r="C292" s="36">
        <f t="shared" si="59"/>
        <v>1095475.9264102292</v>
      </c>
      <c r="D292" s="39">
        <f t="shared" si="65"/>
        <v>16317.682383802841</v>
      </c>
      <c r="E292" s="36">
        <f t="shared" si="53"/>
        <v>5477.3796320511456</v>
      </c>
      <c r="F292" s="36">
        <f t="shared" si="63"/>
        <v>10840.302751751697</v>
      </c>
      <c r="G292" s="36">
        <f t="shared" si="60"/>
        <v>0</v>
      </c>
      <c r="H292" s="38">
        <f t="shared" si="64"/>
        <v>3241.0838783015402</v>
      </c>
      <c r="I292" s="36">
        <f t="shared" si="61"/>
        <v>1081394.539780176</v>
      </c>
      <c r="J292" s="2">
        <f t="shared" si="55"/>
        <v>279</v>
      </c>
      <c r="K292" s="44">
        <f t="shared" si="56"/>
        <v>6.9898891304054356E-3</v>
      </c>
      <c r="L292" s="41">
        <f t="shared" si="57"/>
        <v>0.45</v>
      </c>
      <c r="M292" s="42">
        <f t="shared" si="54"/>
        <v>1</v>
      </c>
      <c r="N292" s="43">
        <f>(VLOOKUP(MONTH('Amortization Model S Shape'!$B292),Seasonality,2,TRUE))</f>
        <v>0.95</v>
      </c>
      <c r="O292" s="50">
        <f t="shared" si="62"/>
        <v>2.9881776032483235E-3</v>
      </c>
    </row>
    <row r="293" spans="2:15" ht="15" x14ac:dyDescent="0.25">
      <c r="B293" s="57">
        <f t="shared" si="58"/>
        <v>50861</v>
      </c>
      <c r="C293" s="36">
        <f t="shared" si="59"/>
        <v>1081394.539780176</v>
      </c>
      <c r="D293" s="39">
        <f t="shared" si="65"/>
        <v>16268.92225076664</v>
      </c>
      <c r="E293" s="36">
        <f t="shared" si="53"/>
        <v>5406.9726989008805</v>
      </c>
      <c r="F293" s="36">
        <f t="shared" si="63"/>
        <v>10861.94955186576</v>
      </c>
      <c r="G293" s="36">
        <f t="shared" si="60"/>
        <v>0</v>
      </c>
      <c r="H293" s="38">
        <f t="shared" si="64"/>
        <v>3232.6145781904697</v>
      </c>
      <c r="I293" s="36">
        <f t="shared" si="61"/>
        <v>1067299.9756501198</v>
      </c>
      <c r="J293" s="2">
        <f t="shared" si="55"/>
        <v>280</v>
      </c>
      <c r="K293" s="44">
        <f t="shared" si="56"/>
        <v>6.9898891304054356E-3</v>
      </c>
      <c r="L293" s="41">
        <f t="shared" si="57"/>
        <v>0.45</v>
      </c>
      <c r="M293" s="42">
        <f t="shared" si="54"/>
        <v>1</v>
      </c>
      <c r="N293" s="43">
        <f>(VLOOKUP(MONTH('Amortization Model S Shape'!$B293),Seasonality,2,TRUE))</f>
        <v>0.96</v>
      </c>
      <c r="O293" s="50">
        <f t="shared" si="62"/>
        <v>3.0196321043351481E-3</v>
      </c>
    </row>
    <row r="294" spans="2:15" ht="15" x14ac:dyDescent="0.25">
      <c r="B294" s="57">
        <f t="shared" si="58"/>
        <v>50891</v>
      </c>
      <c r="C294" s="36">
        <f t="shared" si="59"/>
        <v>1067299.9756501198</v>
      </c>
      <c r="D294" s="39">
        <f t="shared" si="65"/>
        <v>16219.796090835296</v>
      </c>
      <c r="E294" s="36">
        <f t="shared" si="53"/>
        <v>5336.4998782505991</v>
      </c>
      <c r="F294" s="36">
        <f t="shared" si="63"/>
        <v>10883.296212584697</v>
      </c>
      <c r="G294" s="36">
        <f t="shared" si="60"/>
        <v>0</v>
      </c>
      <c r="H294" s="38">
        <f t="shared" si="64"/>
        <v>3522.2803166997883</v>
      </c>
      <c r="I294" s="36">
        <f t="shared" si="61"/>
        <v>1052894.3991208354</v>
      </c>
      <c r="J294" s="2">
        <f t="shared" si="55"/>
        <v>281</v>
      </c>
      <c r="K294" s="44">
        <f t="shared" si="56"/>
        <v>6.9898891304054356E-3</v>
      </c>
      <c r="L294" s="41">
        <f t="shared" si="57"/>
        <v>0.45</v>
      </c>
      <c r="M294" s="42">
        <f t="shared" si="54"/>
        <v>1</v>
      </c>
      <c r="N294" s="43">
        <f>(VLOOKUP(MONTH('Amortization Model S Shape'!$B294),Seasonality,2,TRUE))</f>
        <v>1.06</v>
      </c>
      <c r="O294" s="50">
        <f t="shared" si="62"/>
        <v>3.3341771152033931E-3</v>
      </c>
    </row>
    <row r="295" spans="2:15" ht="15" x14ac:dyDescent="0.25">
      <c r="B295" s="57">
        <f t="shared" si="58"/>
        <v>50922</v>
      </c>
      <c r="C295" s="36">
        <f t="shared" si="59"/>
        <v>1052894.3991208354</v>
      </c>
      <c r="D295" s="39">
        <f t="shared" si="65"/>
        <v>16165.716417895967</v>
      </c>
      <c r="E295" s="36">
        <f t="shared" si="53"/>
        <v>5264.4719956041763</v>
      </c>
      <c r="F295" s="36">
        <f t="shared" si="63"/>
        <v>10901.244422291791</v>
      </c>
      <c r="G295" s="36">
        <f t="shared" si="60"/>
        <v>0</v>
      </c>
      <c r="H295" s="38">
        <f t="shared" si="64"/>
        <v>3572.5158550452597</v>
      </c>
      <c r="I295" s="36">
        <f t="shared" si="61"/>
        <v>1038420.6388434983</v>
      </c>
      <c r="J295" s="2">
        <f t="shared" si="55"/>
        <v>282</v>
      </c>
      <c r="K295" s="44">
        <f t="shared" si="56"/>
        <v>6.9898891304054356E-3</v>
      </c>
      <c r="L295" s="41">
        <f t="shared" si="57"/>
        <v>0.45</v>
      </c>
      <c r="M295" s="42">
        <f t="shared" si="54"/>
        <v>1</v>
      </c>
      <c r="N295" s="43">
        <f>(VLOOKUP(MONTH('Amortization Model S Shape'!$B295),Seasonality,2,TRUE))</f>
        <v>1.0900000000000001</v>
      </c>
      <c r="O295" s="50">
        <f t="shared" si="62"/>
        <v>3.4285406184638664E-3</v>
      </c>
    </row>
    <row r="296" spans="2:15" ht="15" x14ac:dyDescent="0.25">
      <c r="B296" s="57">
        <f t="shared" si="58"/>
        <v>50952</v>
      </c>
      <c r="C296" s="36">
        <f t="shared" si="59"/>
        <v>1038420.6388434983</v>
      </c>
      <c r="D296" s="39">
        <f t="shared" si="65"/>
        <v>16110.291602530639</v>
      </c>
      <c r="E296" s="36">
        <f t="shared" si="53"/>
        <v>5192.1031942174914</v>
      </c>
      <c r="F296" s="36">
        <f t="shared" si="63"/>
        <v>10918.188408313148</v>
      </c>
      <c r="G296" s="36">
        <f t="shared" si="60"/>
        <v>0</v>
      </c>
      <c r="H296" s="38">
        <f t="shared" si="64"/>
        <v>3555.1534638321164</v>
      </c>
      <c r="I296" s="36">
        <f t="shared" si="61"/>
        <v>1023947.296971353</v>
      </c>
      <c r="J296" s="2">
        <f t="shared" si="55"/>
        <v>283</v>
      </c>
      <c r="K296" s="44">
        <f t="shared" si="56"/>
        <v>6.9898891304054356E-3</v>
      </c>
      <c r="L296" s="41">
        <f t="shared" si="57"/>
        <v>0.45</v>
      </c>
      <c r="M296" s="42">
        <f t="shared" si="54"/>
        <v>1</v>
      </c>
      <c r="N296" s="43">
        <f>(VLOOKUP(MONTH('Amortization Model S Shape'!$B296),Seasonality,2,TRUE))</f>
        <v>1.1000000000000001</v>
      </c>
      <c r="O296" s="50">
        <f t="shared" si="62"/>
        <v>3.459995119550691E-3</v>
      </c>
    </row>
    <row r="297" spans="2:15" ht="15" x14ac:dyDescent="0.25">
      <c r="B297" s="57">
        <f t="shared" si="58"/>
        <v>50983</v>
      </c>
      <c r="C297" s="36">
        <f t="shared" si="59"/>
        <v>1023947.296971353</v>
      </c>
      <c r="D297" s="39">
        <f t="shared" si="65"/>
        <v>16054.550072211347</v>
      </c>
      <c r="E297" s="36">
        <f t="shared" si="53"/>
        <v>5119.7364848567649</v>
      </c>
      <c r="F297" s="36">
        <f t="shared" si="63"/>
        <v>10934.813587354582</v>
      </c>
      <c r="G297" s="36">
        <f t="shared" si="60"/>
        <v>0</v>
      </c>
      <c r="H297" s="38">
        <f t="shared" si="64"/>
        <v>3664.3372598504029</v>
      </c>
      <c r="I297" s="36">
        <f t="shared" si="61"/>
        <v>1009348.146124148</v>
      </c>
      <c r="J297" s="2">
        <f t="shared" si="55"/>
        <v>284</v>
      </c>
      <c r="K297" s="44">
        <f t="shared" si="56"/>
        <v>6.9898891304054356E-3</v>
      </c>
      <c r="L297" s="41">
        <f t="shared" si="57"/>
        <v>0.45</v>
      </c>
      <c r="M297" s="42">
        <f t="shared" si="54"/>
        <v>1</v>
      </c>
      <c r="N297" s="43">
        <f>(VLOOKUP(MONTH('Amortization Model S Shape'!$B297),Seasonality,2,TRUE))</f>
        <v>1.1499999999999999</v>
      </c>
      <c r="O297" s="50">
        <f t="shared" si="62"/>
        <v>3.6172676249848126E-3</v>
      </c>
    </row>
    <row r="298" spans="2:15" ht="15" x14ac:dyDescent="0.25">
      <c r="B298" s="57">
        <f t="shared" si="58"/>
        <v>51014</v>
      </c>
      <c r="C298" s="36">
        <f t="shared" si="59"/>
        <v>1009348.146124148</v>
      </c>
      <c r="D298" s="39">
        <f t="shared" si="65"/>
        <v>15996.47646800144</v>
      </c>
      <c r="E298" s="36">
        <f t="shared" si="53"/>
        <v>5046.7407306207397</v>
      </c>
      <c r="F298" s="36">
        <f t="shared" si="63"/>
        <v>10949.735737380699</v>
      </c>
      <c r="G298" s="36">
        <f t="shared" si="60"/>
        <v>0</v>
      </c>
      <c r="H298" s="38">
        <f t="shared" si="64"/>
        <v>3548.6659989591658</v>
      </c>
      <c r="I298" s="36">
        <f t="shared" si="61"/>
        <v>994849.74438780814</v>
      </c>
      <c r="J298" s="2">
        <f t="shared" si="55"/>
        <v>285</v>
      </c>
      <c r="K298" s="44">
        <f t="shared" si="56"/>
        <v>6.9898891304054356E-3</v>
      </c>
      <c r="L298" s="41">
        <f t="shared" si="57"/>
        <v>0.45</v>
      </c>
      <c r="M298" s="42">
        <f t="shared" si="54"/>
        <v>1</v>
      </c>
      <c r="N298" s="43">
        <f>(VLOOKUP(MONTH('Amortization Model S Shape'!$B298),Seasonality,2,TRUE))</f>
        <v>1.1299999999999999</v>
      </c>
      <c r="O298" s="50">
        <f t="shared" si="62"/>
        <v>3.5543586228111638E-3</v>
      </c>
    </row>
    <row r="299" spans="2:15" ht="15" x14ac:dyDescent="0.25">
      <c r="B299" s="57">
        <f t="shared" si="58"/>
        <v>51044</v>
      </c>
      <c r="C299" s="36">
        <f t="shared" si="59"/>
        <v>994849.74438780814</v>
      </c>
      <c r="D299" s="39">
        <f t="shared" si="65"/>
        <v>15939.619253932802</v>
      </c>
      <c r="E299" s="36">
        <f t="shared" si="53"/>
        <v>4974.2487219390405</v>
      </c>
      <c r="F299" s="36">
        <f t="shared" si="63"/>
        <v>10965.370531993762</v>
      </c>
      <c r="G299" s="36">
        <f t="shared" si="60"/>
        <v>0</v>
      </c>
      <c r="H299" s="38">
        <f t="shared" si="64"/>
        <v>3125.7068027824889</v>
      </c>
      <c r="I299" s="36">
        <f t="shared" si="61"/>
        <v>980758.66705303185</v>
      </c>
      <c r="J299" s="2">
        <f t="shared" si="55"/>
        <v>286</v>
      </c>
      <c r="K299" s="44">
        <f t="shared" si="56"/>
        <v>6.9898891304054356E-3</v>
      </c>
      <c r="L299" s="41">
        <f t="shared" si="57"/>
        <v>0.45</v>
      </c>
      <c r="M299" s="42">
        <f t="shared" si="54"/>
        <v>1</v>
      </c>
      <c r="N299" s="43">
        <f>(VLOOKUP(MONTH('Amortization Model S Shape'!$B299),Seasonality,2,TRUE))</f>
        <v>1.01</v>
      </c>
      <c r="O299" s="50">
        <f t="shared" si="62"/>
        <v>3.1769046097692706E-3</v>
      </c>
    </row>
    <row r="300" spans="2:15" ht="15" x14ac:dyDescent="0.25">
      <c r="B300" s="57">
        <f t="shared" si="58"/>
        <v>51075</v>
      </c>
      <c r="C300" s="36">
        <f t="shared" si="59"/>
        <v>980758.66705303185</v>
      </c>
      <c r="D300" s="39">
        <f t="shared" si="65"/>
        <v>15888.980604047014</v>
      </c>
      <c r="E300" s="36">
        <f t="shared" si="53"/>
        <v>4903.7933352651589</v>
      </c>
      <c r="F300" s="36">
        <f t="shared" si="63"/>
        <v>10985.187268781854</v>
      </c>
      <c r="G300" s="36">
        <f t="shared" si="60"/>
        <v>0</v>
      </c>
      <c r="H300" s="38">
        <f t="shared" si="64"/>
        <v>2623.321723750862</v>
      </c>
      <c r="I300" s="36">
        <f t="shared" si="61"/>
        <v>967150.15806049912</v>
      </c>
      <c r="J300" s="2">
        <f t="shared" si="55"/>
        <v>287</v>
      </c>
      <c r="K300" s="44">
        <f t="shared" si="56"/>
        <v>6.9898891304054356E-3</v>
      </c>
      <c r="L300" s="41">
        <f t="shared" si="57"/>
        <v>0.45</v>
      </c>
      <c r="M300" s="42">
        <f t="shared" si="54"/>
        <v>1</v>
      </c>
      <c r="N300" s="43">
        <f>(VLOOKUP(MONTH('Amortization Model S Shape'!$B300),Seasonality,2,TRUE))</f>
        <v>0.86</v>
      </c>
      <c r="O300" s="50">
        <f t="shared" si="62"/>
        <v>2.7050870934669036E-3</v>
      </c>
    </row>
    <row r="301" spans="2:15" ht="15" x14ac:dyDescent="0.25">
      <c r="B301" s="57">
        <f t="shared" si="58"/>
        <v>51105</v>
      </c>
      <c r="C301" s="36">
        <f t="shared" si="59"/>
        <v>967150.15806049912</v>
      </c>
      <c r="D301" s="39">
        <f t="shared" si="65"/>
        <v>15845.999527686663</v>
      </c>
      <c r="E301" s="36">
        <f t="shared" si="53"/>
        <v>4835.7507903024953</v>
      </c>
      <c r="F301" s="36">
        <f t="shared" si="63"/>
        <v>11010.248737384169</v>
      </c>
      <c r="G301" s="36">
        <f t="shared" si="60"/>
        <v>0</v>
      </c>
      <c r="H301" s="40">
        <f t="shared" si="64"/>
        <v>2706.7413435264143</v>
      </c>
      <c r="I301" s="36">
        <f t="shared" si="61"/>
        <v>953433.1679795885</v>
      </c>
      <c r="J301" s="2">
        <f t="shared" si="55"/>
        <v>288</v>
      </c>
      <c r="K301" s="44">
        <f t="shared" si="56"/>
        <v>6.9898891304054356E-3</v>
      </c>
      <c r="L301" s="41">
        <f t="shared" si="57"/>
        <v>0.45</v>
      </c>
      <c r="M301" s="42">
        <f t="shared" si="54"/>
        <v>1</v>
      </c>
      <c r="N301" s="43">
        <f>(VLOOKUP(MONTH('Amortization Model S Shape'!$B301),Seasonality,2,TRUE))</f>
        <v>0.9</v>
      </c>
      <c r="O301" s="50">
        <f t="shared" si="62"/>
        <v>2.8309050978142015E-3</v>
      </c>
    </row>
    <row r="302" spans="2:15" ht="15" x14ac:dyDescent="0.25">
      <c r="B302" s="57">
        <f t="shared" si="58"/>
        <v>51136</v>
      </c>
      <c r="C302" s="36">
        <f t="shared" si="59"/>
        <v>953433.1679795885</v>
      </c>
      <c r="D302" s="39">
        <f t="shared" si="65"/>
        <v>15801.141006843769</v>
      </c>
      <c r="E302" s="36">
        <f t="shared" si="53"/>
        <v>4767.1658398979425</v>
      </c>
      <c r="F302" s="36">
        <f t="shared" si="63"/>
        <v>11033.975166945827</v>
      </c>
      <c r="G302" s="36">
        <f t="shared" si="60"/>
        <v>0</v>
      </c>
      <c r="H302" s="38">
        <f t="shared" si="64"/>
        <v>2638.199982674751</v>
      </c>
      <c r="I302" s="36">
        <f t="shared" si="61"/>
        <v>939760.99282996787</v>
      </c>
      <c r="J302" s="2">
        <f t="shared" si="55"/>
        <v>289</v>
      </c>
      <c r="K302" s="44">
        <f t="shared" si="56"/>
        <v>6.9898891304054356E-3</v>
      </c>
      <c r="L302" s="41">
        <f t="shared" si="57"/>
        <v>0.45</v>
      </c>
      <c r="M302" s="42">
        <f t="shared" si="54"/>
        <v>1</v>
      </c>
      <c r="N302" s="43">
        <f>(VLOOKUP(MONTH('Amortization Model S Shape'!$B302),Seasonality,2,TRUE))</f>
        <v>0.89</v>
      </c>
      <c r="O302" s="50">
        <f t="shared" si="62"/>
        <v>2.7994505967273769E-3</v>
      </c>
    </row>
    <row r="303" spans="2:15" ht="15" x14ac:dyDescent="0.25">
      <c r="B303" s="57">
        <f t="shared" si="58"/>
        <v>51167</v>
      </c>
      <c r="C303" s="36">
        <f t="shared" si="59"/>
        <v>939760.99282996787</v>
      </c>
      <c r="D303" s="39">
        <f t="shared" si="65"/>
        <v>15756.906493223187</v>
      </c>
      <c r="E303" s="36">
        <f t="shared" si="53"/>
        <v>4698.8049641498392</v>
      </c>
      <c r="F303" s="36">
        <f t="shared" si="63"/>
        <v>11058.101529073349</v>
      </c>
      <c r="G303" s="36">
        <f t="shared" si="60"/>
        <v>0</v>
      </c>
      <c r="H303" s="38">
        <f t="shared" si="64"/>
        <v>2629.0697493384905</v>
      </c>
      <c r="I303" s="36">
        <f t="shared" si="61"/>
        <v>926073.82155155612</v>
      </c>
      <c r="J303" s="2">
        <f t="shared" si="55"/>
        <v>290</v>
      </c>
      <c r="K303" s="44">
        <f t="shared" si="56"/>
        <v>6.9898891304054356E-3</v>
      </c>
      <c r="L303" s="41">
        <f t="shared" si="57"/>
        <v>0.45</v>
      </c>
      <c r="M303" s="42">
        <f t="shared" si="54"/>
        <v>1</v>
      </c>
      <c r="N303" s="43">
        <f>(VLOOKUP(MONTH('Amortization Model S Shape'!$B303),Seasonality,2,TRUE))</f>
        <v>0.9</v>
      </c>
      <c r="O303" s="50">
        <f t="shared" si="62"/>
        <v>2.8309050978142015E-3</v>
      </c>
    </row>
    <row r="304" spans="2:15" ht="15" x14ac:dyDescent="0.25">
      <c r="B304" s="57">
        <f t="shared" si="58"/>
        <v>51196</v>
      </c>
      <c r="C304" s="36">
        <f t="shared" si="59"/>
        <v>926073.82155155612</v>
      </c>
      <c r="D304" s="39">
        <f t="shared" si="65"/>
        <v>15712.300186305745</v>
      </c>
      <c r="E304" s="36">
        <f t="shared" si="53"/>
        <v>4630.3691077577805</v>
      </c>
      <c r="F304" s="36">
        <f t="shared" si="63"/>
        <v>11081.931078547965</v>
      </c>
      <c r="G304" s="36">
        <f t="shared" si="60"/>
        <v>0</v>
      </c>
      <c r="H304" s="38">
        <f t="shared" si="64"/>
        <v>2734.1582742652859</v>
      </c>
      <c r="I304" s="36">
        <f t="shared" si="61"/>
        <v>912257.73219874292</v>
      </c>
      <c r="J304" s="2">
        <f t="shared" si="55"/>
        <v>291</v>
      </c>
      <c r="K304" s="44">
        <f t="shared" si="56"/>
        <v>6.9898891304054356E-3</v>
      </c>
      <c r="L304" s="41">
        <f t="shared" si="57"/>
        <v>0.45</v>
      </c>
      <c r="M304" s="42">
        <f t="shared" si="54"/>
        <v>1</v>
      </c>
      <c r="N304" s="43">
        <f>(VLOOKUP(MONTH('Amortization Model S Shape'!$B304),Seasonality,2,TRUE))</f>
        <v>0.95</v>
      </c>
      <c r="O304" s="50">
        <f t="shared" si="62"/>
        <v>2.9881776032483235E-3</v>
      </c>
    </row>
    <row r="305" spans="2:15" ht="15" x14ac:dyDescent="0.25">
      <c r="B305" s="57">
        <f t="shared" si="58"/>
        <v>51227</v>
      </c>
      <c r="C305" s="36">
        <f t="shared" si="59"/>
        <v>912257.73219874292</v>
      </c>
      <c r="D305" s="39">
        <f t="shared" si="65"/>
        <v>15665.34904279351</v>
      </c>
      <c r="E305" s="36">
        <f t="shared" si="53"/>
        <v>4561.288660993715</v>
      </c>
      <c r="F305" s="36">
        <f t="shared" si="63"/>
        <v>11104.060381799794</v>
      </c>
      <c r="G305" s="36">
        <f t="shared" si="60"/>
        <v>0</v>
      </c>
      <c r="H305" s="38">
        <f t="shared" si="64"/>
        <v>2721.1525583579414</v>
      </c>
      <c r="I305" s="36">
        <f t="shared" si="61"/>
        <v>898432.51925858518</v>
      </c>
      <c r="J305" s="2">
        <f t="shared" si="55"/>
        <v>292</v>
      </c>
      <c r="K305" s="44">
        <f t="shared" si="56"/>
        <v>6.9898891304054356E-3</v>
      </c>
      <c r="L305" s="41">
        <f t="shared" si="57"/>
        <v>0.45</v>
      </c>
      <c r="M305" s="42">
        <f t="shared" si="54"/>
        <v>1</v>
      </c>
      <c r="N305" s="43">
        <f>(VLOOKUP(MONTH('Amortization Model S Shape'!$B305),Seasonality,2,TRUE))</f>
        <v>0.96</v>
      </c>
      <c r="O305" s="50">
        <f t="shared" si="62"/>
        <v>3.0196321043351481E-3</v>
      </c>
    </row>
    <row r="306" spans="2:15" ht="15" x14ac:dyDescent="0.25">
      <c r="B306" s="57">
        <f t="shared" si="58"/>
        <v>51257</v>
      </c>
      <c r="C306" s="36">
        <f t="shared" si="59"/>
        <v>898432.51925858518</v>
      </c>
      <c r="D306" s="39">
        <f t="shared" si="65"/>
        <v>15618.045451898273</v>
      </c>
      <c r="E306" s="36">
        <f t="shared" si="53"/>
        <v>4492.1625962929256</v>
      </c>
      <c r="F306" s="36">
        <f t="shared" si="63"/>
        <v>11125.882855605349</v>
      </c>
      <c r="G306" s="36">
        <f t="shared" si="60"/>
        <v>0</v>
      </c>
      <c r="H306" s="38">
        <f t="shared" si="64"/>
        <v>2958.4374812629135</v>
      </c>
      <c r="I306" s="36">
        <f t="shared" si="61"/>
        <v>884348.19892171689</v>
      </c>
      <c r="J306" s="2">
        <f t="shared" si="55"/>
        <v>293</v>
      </c>
      <c r="K306" s="44">
        <f t="shared" si="56"/>
        <v>6.9898891304054356E-3</v>
      </c>
      <c r="L306" s="41">
        <f t="shared" si="57"/>
        <v>0.45</v>
      </c>
      <c r="M306" s="42">
        <f t="shared" si="54"/>
        <v>1</v>
      </c>
      <c r="N306" s="43">
        <f>(VLOOKUP(MONTH('Amortization Model S Shape'!$B306),Seasonality,2,TRUE))</f>
        <v>1.06</v>
      </c>
      <c r="O306" s="50">
        <f t="shared" si="62"/>
        <v>3.3341771152033931E-3</v>
      </c>
    </row>
    <row r="307" spans="2:15" ht="15" x14ac:dyDescent="0.25">
      <c r="B307" s="57">
        <f t="shared" si="58"/>
        <v>51288</v>
      </c>
      <c r="C307" s="36">
        <f t="shared" si="59"/>
        <v>884348.19892171689</v>
      </c>
      <c r="D307" s="39">
        <f t="shared" si="65"/>
        <v>15565.97212216835</v>
      </c>
      <c r="E307" s="36">
        <f t="shared" si="53"/>
        <v>4421.7409946085845</v>
      </c>
      <c r="F307" s="36">
        <f t="shared" si="63"/>
        <v>11144.231127559766</v>
      </c>
      <c r="G307" s="36">
        <f t="shared" si="60"/>
        <v>0</v>
      </c>
      <c r="H307" s="38">
        <f t="shared" si="64"/>
        <v>2993.8152717860812</v>
      </c>
      <c r="I307" s="36">
        <f t="shared" si="61"/>
        <v>870210.15252237103</v>
      </c>
      <c r="J307" s="2">
        <f t="shared" si="55"/>
        <v>294</v>
      </c>
      <c r="K307" s="44">
        <f t="shared" si="56"/>
        <v>6.9898891304054356E-3</v>
      </c>
      <c r="L307" s="41">
        <f t="shared" si="57"/>
        <v>0.45</v>
      </c>
      <c r="M307" s="42">
        <f t="shared" si="54"/>
        <v>1</v>
      </c>
      <c r="N307" s="43">
        <f>(VLOOKUP(MONTH('Amortization Model S Shape'!$B307),Seasonality,2,TRUE))</f>
        <v>1.0900000000000001</v>
      </c>
      <c r="O307" s="50">
        <f t="shared" si="62"/>
        <v>3.4285406184638664E-3</v>
      </c>
    </row>
    <row r="308" spans="2:15" ht="15" x14ac:dyDescent="0.25">
      <c r="B308" s="57">
        <f t="shared" si="58"/>
        <v>51318</v>
      </c>
      <c r="C308" s="36">
        <f t="shared" si="59"/>
        <v>870210.15252237103</v>
      </c>
      <c r="D308" s="39">
        <f t="shared" si="65"/>
        <v>15512.603554481617</v>
      </c>
      <c r="E308" s="36">
        <f t="shared" si="53"/>
        <v>4351.0507626118551</v>
      </c>
      <c r="F308" s="36">
        <f t="shared" si="63"/>
        <v>11161.552791869763</v>
      </c>
      <c r="G308" s="36">
        <f t="shared" si="60"/>
        <v>0</v>
      </c>
      <c r="H308" s="38">
        <f t="shared" si="64"/>
        <v>2972.3039625243896</v>
      </c>
      <c r="I308" s="36">
        <f t="shared" si="61"/>
        <v>856076.2957679769</v>
      </c>
      <c r="J308" s="2">
        <f t="shared" si="55"/>
        <v>295</v>
      </c>
      <c r="K308" s="44">
        <f t="shared" si="56"/>
        <v>6.9898891304054356E-3</v>
      </c>
      <c r="L308" s="41">
        <f t="shared" si="57"/>
        <v>0.45</v>
      </c>
      <c r="M308" s="42">
        <f t="shared" si="54"/>
        <v>1</v>
      </c>
      <c r="N308" s="43">
        <f>(VLOOKUP(MONTH('Amortization Model S Shape'!$B308),Seasonality,2,TRUE))</f>
        <v>1.1000000000000001</v>
      </c>
      <c r="O308" s="50">
        <f t="shared" si="62"/>
        <v>3.459995119550691E-3</v>
      </c>
    </row>
    <row r="309" spans="2:15" ht="15" x14ac:dyDescent="0.25">
      <c r="B309" s="57">
        <f t="shared" si="58"/>
        <v>51349</v>
      </c>
      <c r="C309" s="36">
        <f t="shared" si="59"/>
        <v>856076.2957679769</v>
      </c>
      <c r="D309" s="39">
        <f t="shared" si="65"/>
        <v>15458.930021891585</v>
      </c>
      <c r="E309" s="36">
        <f t="shared" si="53"/>
        <v>4280.381478839884</v>
      </c>
      <c r="F309" s="36">
        <f t="shared" si="63"/>
        <v>11178.5485430517</v>
      </c>
      <c r="G309" s="36">
        <f t="shared" si="60"/>
        <v>0</v>
      </c>
      <c r="H309" s="38">
        <f t="shared" si="64"/>
        <v>3056.2212674593238</v>
      </c>
      <c r="I309" s="36">
        <f t="shared" si="61"/>
        <v>841841.52595746587</v>
      </c>
      <c r="J309" s="2">
        <f t="shared" si="55"/>
        <v>296</v>
      </c>
      <c r="K309" s="44">
        <f t="shared" si="56"/>
        <v>6.9898891304054356E-3</v>
      </c>
      <c r="L309" s="41">
        <f t="shared" si="57"/>
        <v>0.45</v>
      </c>
      <c r="M309" s="42">
        <f t="shared" si="54"/>
        <v>1</v>
      </c>
      <c r="N309" s="43">
        <f>(VLOOKUP(MONTH('Amortization Model S Shape'!$B309),Seasonality,2,TRUE))</f>
        <v>1.1499999999999999</v>
      </c>
      <c r="O309" s="50">
        <f t="shared" si="62"/>
        <v>3.6172676249848126E-3</v>
      </c>
    </row>
    <row r="310" spans="2:15" ht="15" x14ac:dyDescent="0.25">
      <c r="B310" s="57">
        <f t="shared" si="58"/>
        <v>51380</v>
      </c>
      <c r="C310" s="36">
        <f t="shared" si="59"/>
        <v>841841.52595746587</v>
      </c>
      <c r="D310" s="39">
        <f t="shared" si="65"/>
        <v>15403.010934806494</v>
      </c>
      <c r="E310" s="36">
        <f t="shared" si="53"/>
        <v>4209.2076297873291</v>
      </c>
      <c r="F310" s="36">
        <f t="shared" si="63"/>
        <v>11193.803305019166</v>
      </c>
      <c r="G310" s="36">
        <f t="shared" si="60"/>
        <v>0</v>
      </c>
      <c r="H310" s="38">
        <f t="shared" si="64"/>
        <v>2952.4198955281799</v>
      </c>
      <c r="I310" s="36">
        <f t="shared" si="61"/>
        <v>827695.30275691848</v>
      </c>
      <c r="J310" s="2">
        <f t="shared" si="55"/>
        <v>297</v>
      </c>
      <c r="K310" s="44">
        <f t="shared" si="56"/>
        <v>6.9898891304054356E-3</v>
      </c>
      <c r="L310" s="41">
        <f t="shared" si="57"/>
        <v>0.45</v>
      </c>
      <c r="M310" s="42">
        <f t="shared" si="54"/>
        <v>1</v>
      </c>
      <c r="N310" s="43">
        <f>(VLOOKUP(MONTH('Amortization Model S Shape'!$B310),Seasonality,2,TRUE))</f>
        <v>1.1299999999999999</v>
      </c>
      <c r="O310" s="50">
        <f t="shared" si="62"/>
        <v>3.5543586228111638E-3</v>
      </c>
    </row>
    <row r="311" spans="2:15" ht="15" x14ac:dyDescent="0.25">
      <c r="B311" s="57">
        <f t="shared" si="58"/>
        <v>51410</v>
      </c>
      <c r="C311" s="36">
        <f t="shared" si="59"/>
        <v>827695.30275691848</v>
      </c>
      <c r="D311" s="39">
        <f t="shared" si="65"/>
        <v>15348.263110073109</v>
      </c>
      <c r="E311" s="36">
        <f t="shared" si="53"/>
        <v>4138.4765137845925</v>
      </c>
      <c r="F311" s="36">
        <f t="shared" si="63"/>
        <v>11209.786596288515</v>
      </c>
      <c r="G311" s="36">
        <f t="shared" si="60"/>
        <v>0</v>
      </c>
      <c r="H311" s="38">
        <f t="shared" si="64"/>
        <v>2593.8966001005474</v>
      </c>
      <c r="I311" s="36">
        <f t="shared" si="61"/>
        <v>813891.61956052936</v>
      </c>
      <c r="J311" s="2">
        <f t="shared" si="55"/>
        <v>298</v>
      </c>
      <c r="K311" s="44">
        <f t="shared" si="56"/>
        <v>6.9898891304054356E-3</v>
      </c>
      <c r="L311" s="41">
        <f t="shared" si="57"/>
        <v>0.45</v>
      </c>
      <c r="M311" s="42">
        <f t="shared" si="54"/>
        <v>1</v>
      </c>
      <c r="N311" s="43">
        <f>(VLOOKUP(MONTH('Amortization Model S Shape'!$B311),Seasonality,2,TRUE))</f>
        <v>1.01</v>
      </c>
      <c r="O311" s="50">
        <f t="shared" si="62"/>
        <v>3.1769046097692706E-3</v>
      </c>
    </row>
    <row r="312" spans="2:15" ht="15" x14ac:dyDescent="0.25">
      <c r="B312" s="57">
        <f t="shared" si="58"/>
        <v>51441</v>
      </c>
      <c r="C312" s="36">
        <f t="shared" si="59"/>
        <v>813891.61956052936</v>
      </c>
      <c r="D312" s="39">
        <f t="shared" si="65"/>
        <v>15299.503142246765</v>
      </c>
      <c r="E312" s="36">
        <f t="shared" si="53"/>
        <v>4069.4580978026465</v>
      </c>
      <c r="F312" s="36">
        <f t="shared" si="63"/>
        <v>11230.045044444119</v>
      </c>
      <c r="G312" s="36">
        <f t="shared" si="60"/>
        <v>0</v>
      </c>
      <c r="H312" s="38">
        <f t="shared" si="64"/>
        <v>2171.2694656452854</v>
      </c>
      <c r="I312" s="36">
        <f t="shared" si="61"/>
        <v>800490.3050504399</v>
      </c>
      <c r="J312" s="2">
        <f t="shared" si="55"/>
        <v>299</v>
      </c>
      <c r="K312" s="44">
        <f t="shared" si="56"/>
        <v>6.9898891304054356E-3</v>
      </c>
      <c r="L312" s="41">
        <f t="shared" si="57"/>
        <v>0.45</v>
      </c>
      <c r="M312" s="42">
        <f t="shared" si="54"/>
        <v>1</v>
      </c>
      <c r="N312" s="43">
        <f>(VLOOKUP(MONTH('Amortization Model S Shape'!$B312),Seasonality,2,TRUE))</f>
        <v>0.86</v>
      </c>
      <c r="O312" s="50">
        <f t="shared" si="62"/>
        <v>2.7050870934669036E-3</v>
      </c>
    </row>
    <row r="313" spans="2:15" ht="15" x14ac:dyDescent="0.25">
      <c r="B313" s="57">
        <f t="shared" si="58"/>
        <v>51471</v>
      </c>
      <c r="C313" s="36">
        <f t="shared" si="59"/>
        <v>800490.3050504399</v>
      </c>
      <c r="D313" s="39">
        <f t="shared" si="65"/>
        <v>15258.116653760213</v>
      </c>
      <c r="E313" s="36">
        <f t="shared" si="53"/>
        <v>4002.4515252521996</v>
      </c>
      <c r="F313" s="36">
        <f t="shared" si="63"/>
        <v>11255.665128508013</v>
      </c>
      <c r="G313" s="36">
        <f t="shared" si="60"/>
        <v>0</v>
      </c>
      <c r="H313" s="40">
        <f t="shared" si="64"/>
        <v>2234.2483655265528</v>
      </c>
      <c r="I313" s="36">
        <f t="shared" si="61"/>
        <v>787000.39155640535</v>
      </c>
      <c r="J313" s="2">
        <f t="shared" si="55"/>
        <v>300</v>
      </c>
      <c r="K313" s="44">
        <f t="shared" si="56"/>
        <v>6.9898891304054356E-3</v>
      </c>
      <c r="L313" s="41">
        <f t="shared" si="57"/>
        <v>0.45</v>
      </c>
      <c r="M313" s="42">
        <f t="shared" si="54"/>
        <v>1</v>
      </c>
      <c r="N313" s="43">
        <f>(VLOOKUP(MONTH('Amortization Model S Shape'!$B313),Seasonality,2,TRUE))</f>
        <v>0.9</v>
      </c>
      <c r="O313" s="50">
        <f t="shared" si="62"/>
        <v>2.8309050978142015E-3</v>
      </c>
    </row>
    <row r="314" spans="2:15" ht="15" x14ac:dyDescent="0.25">
      <c r="B314" s="57">
        <f t="shared" si="58"/>
        <v>51502</v>
      </c>
      <c r="C314" s="36">
        <f t="shared" si="59"/>
        <v>787000.39155640535</v>
      </c>
      <c r="D314" s="39">
        <f t="shared" si="65"/>
        <v>15214.92237354204</v>
      </c>
      <c r="E314" s="36">
        <f t="shared" si="53"/>
        <v>3935.0019577820262</v>
      </c>
      <c r="F314" s="36">
        <f t="shared" si="63"/>
        <v>11279.920415760014</v>
      </c>
      <c r="G314" s="36">
        <f t="shared" si="60"/>
        <v>0</v>
      </c>
      <c r="H314" s="38">
        <f t="shared" si="64"/>
        <v>2171.5911358283215</v>
      </c>
      <c r="I314" s="36">
        <f t="shared" si="61"/>
        <v>773548.88000481704</v>
      </c>
      <c r="J314" s="2">
        <f t="shared" si="55"/>
        <v>301</v>
      </c>
      <c r="K314" s="44">
        <f t="shared" si="56"/>
        <v>6.9898891304054356E-3</v>
      </c>
      <c r="L314" s="41">
        <f t="shared" si="57"/>
        <v>0.45</v>
      </c>
      <c r="M314" s="42">
        <f t="shared" si="54"/>
        <v>1</v>
      </c>
      <c r="N314" s="43">
        <f>(VLOOKUP(MONTH('Amortization Model S Shape'!$B314),Seasonality,2,TRUE))</f>
        <v>0.89</v>
      </c>
      <c r="O314" s="50">
        <f t="shared" si="62"/>
        <v>2.7994505967273769E-3</v>
      </c>
    </row>
    <row r="315" spans="2:15" ht="15" x14ac:dyDescent="0.25">
      <c r="B315" s="57">
        <f t="shared" si="58"/>
        <v>51533</v>
      </c>
      <c r="C315" s="36">
        <f t="shared" si="59"/>
        <v>773548.88000481704</v>
      </c>
      <c r="D315" s="39">
        <f t="shared" si="65"/>
        <v>15172.328950024268</v>
      </c>
      <c r="E315" s="36">
        <f t="shared" si="53"/>
        <v>3867.7444000240848</v>
      </c>
      <c r="F315" s="36">
        <f t="shared" si="63"/>
        <v>11304.584550000183</v>
      </c>
      <c r="G315" s="36">
        <f t="shared" si="60"/>
        <v>0</v>
      </c>
      <c r="H315" s="38">
        <f t="shared" si="64"/>
        <v>2157.8412617828353</v>
      </c>
      <c r="I315" s="36">
        <f t="shared" si="61"/>
        <v>760086.45419303409</v>
      </c>
      <c r="J315" s="2">
        <f t="shared" si="55"/>
        <v>302</v>
      </c>
      <c r="K315" s="44">
        <f t="shared" si="56"/>
        <v>6.9898891304054356E-3</v>
      </c>
      <c r="L315" s="41">
        <f t="shared" si="57"/>
        <v>0.45</v>
      </c>
      <c r="M315" s="42">
        <f t="shared" si="54"/>
        <v>1</v>
      </c>
      <c r="N315" s="43">
        <f>(VLOOKUP(MONTH('Amortization Model S Shape'!$B315),Seasonality,2,TRUE))</f>
        <v>0.9</v>
      </c>
      <c r="O315" s="50">
        <f t="shared" si="62"/>
        <v>2.8309050978142015E-3</v>
      </c>
    </row>
    <row r="316" spans="2:15" ht="15" x14ac:dyDescent="0.25">
      <c r="B316" s="57">
        <f t="shared" si="58"/>
        <v>51561</v>
      </c>
      <c r="C316" s="36">
        <f t="shared" si="59"/>
        <v>760086.45419303409</v>
      </c>
      <c r="D316" s="39">
        <f t="shared" si="65"/>
        <v>15129.377526653936</v>
      </c>
      <c r="E316" s="36">
        <f t="shared" si="53"/>
        <v>3800.4322709651701</v>
      </c>
      <c r="F316" s="36">
        <f t="shared" si="63"/>
        <v>11328.945255688766</v>
      </c>
      <c r="G316" s="36">
        <f t="shared" si="60"/>
        <v>0</v>
      </c>
      <c r="H316" s="38">
        <f t="shared" si="64"/>
        <v>2237.4204184705818</v>
      </c>
      <c r="I316" s="36">
        <f t="shared" si="61"/>
        <v>746520.08851887472</v>
      </c>
      <c r="J316" s="2">
        <f t="shared" si="55"/>
        <v>303</v>
      </c>
      <c r="K316" s="44">
        <f t="shared" si="56"/>
        <v>6.9898891304054356E-3</v>
      </c>
      <c r="L316" s="41">
        <f t="shared" si="57"/>
        <v>0.45</v>
      </c>
      <c r="M316" s="42">
        <f t="shared" si="54"/>
        <v>1</v>
      </c>
      <c r="N316" s="43">
        <f>(VLOOKUP(MONTH('Amortization Model S Shape'!$B316),Seasonality,2,TRUE))</f>
        <v>0.95</v>
      </c>
      <c r="O316" s="50">
        <f t="shared" si="62"/>
        <v>2.9881776032483235E-3</v>
      </c>
    </row>
    <row r="317" spans="2:15" ht="15" x14ac:dyDescent="0.25">
      <c r="B317" s="57">
        <f t="shared" si="58"/>
        <v>51592</v>
      </c>
      <c r="C317" s="36">
        <f t="shared" si="59"/>
        <v>746520.08851887472</v>
      </c>
      <c r="D317" s="39">
        <f t="shared" si="65"/>
        <v>15084.168259577698</v>
      </c>
      <c r="E317" s="36">
        <f t="shared" si="53"/>
        <v>3732.6004425943734</v>
      </c>
      <c r="F317" s="36">
        <f t="shared" si="63"/>
        <v>11351.567816983325</v>
      </c>
      <c r="G317" s="36">
        <f t="shared" si="60"/>
        <v>0</v>
      </c>
      <c r="H317" s="38">
        <f t="shared" si="64"/>
        <v>2219.93846720801</v>
      </c>
      <c r="I317" s="36">
        <f t="shared" si="61"/>
        <v>732948.58223468333</v>
      </c>
      <c r="J317" s="2">
        <f t="shared" si="55"/>
        <v>304</v>
      </c>
      <c r="K317" s="44">
        <f t="shared" si="56"/>
        <v>6.9898891304054356E-3</v>
      </c>
      <c r="L317" s="41">
        <f t="shared" si="57"/>
        <v>0.45</v>
      </c>
      <c r="M317" s="42">
        <f t="shared" si="54"/>
        <v>1</v>
      </c>
      <c r="N317" s="43">
        <f>(VLOOKUP(MONTH('Amortization Model S Shape'!$B317),Seasonality,2,TRUE))</f>
        <v>0.96</v>
      </c>
      <c r="O317" s="50">
        <f t="shared" si="62"/>
        <v>3.0196321043351481E-3</v>
      </c>
    </row>
    <row r="318" spans="2:15" ht="15" x14ac:dyDescent="0.25">
      <c r="B318" s="57">
        <f t="shared" si="58"/>
        <v>51622</v>
      </c>
      <c r="C318" s="36">
        <f t="shared" si="59"/>
        <v>732948.58223468333</v>
      </c>
      <c r="D318" s="39">
        <f t="shared" si="65"/>
        <v>15038.619620833881</v>
      </c>
      <c r="E318" s="36">
        <f t="shared" si="53"/>
        <v>3664.7429111734164</v>
      </c>
      <c r="F318" s="36">
        <f t="shared" si="63"/>
        <v>11373.876709660464</v>
      </c>
      <c r="G318" s="36">
        <f t="shared" si="60"/>
        <v>0</v>
      </c>
      <c r="H318" s="38">
        <f t="shared" si="64"/>
        <v>2405.8578700711582</v>
      </c>
      <c r="I318" s="36">
        <f t="shared" si="61"/>
        <v>719168.84765495162</v>
      </c>
      <c r="J318" s="2">
        <f t="shared" si="55"/>
        <v>305</v>
      </c>
      <c r="K318" s="44">
        <f t="shared" si="56"/>
        <v>6.9898891304054356E-3</v>
      </c>
      <c r="L318" s="41">
        <f t="shared" si="57"/>
        <v>0.45</v>
      </c>
      <c r="M318" s="42">
        <f t="shared" si="54"/>
        <v>1</v>
      </c>
      <c r="N318" s="43">
        <f>(VLOOKUP(MONTH('Amortization Model S Shape'!$B318),Seasonality,2,TRUE))</f>
        <v>1.06</v>
      </c>
      <c r="O318" s="50">
        <f t="shared" si="62"/>
        <v>3.3341771152033931E-3</v>
      </c>
    </row>
    <row r="319" spans="2:15" ht="15" x14ac:dyDescent="0.25">
      <c r="B319" s="57">
        <f t="shared" si="58"/>
        <v>51653</v>
      </c>
      <c r="C319" s="36">
        <f t="shared" si="59"/>
        <v>719168.84765495162</v>
      </c>
      <c r="D319" s="39">
        <f t="shared" si="65"/>
        <v>14988.478199449846</v>
      </c>
      <c r="E319" s="36">
        <f t="shared" si="53"/>
        <v>3595.844238274758</v>
      </c>
      <c r="F319" s="36">
        <f t="shared" si="63"/>
        <v>11392.633961175088</v>
      </c>
      <c r="G319" s="36">
        <f t="shared" si="60"/>
        <v>0</v>
      </c>
      <c r="H319" s="38">
        <f t="shared" si="64"/>
        <v>2426.639497431674</v>
      </c>
      <c r="I319" s="36">
        <f t="shared" si="61"/>
        <v>705349.57419634482</v>
      </c>
      <c r="J319" s="2">
        <f t="shared" si="55"/>
        <v>306</v>
      </c>
      <c r="K319" s="44">
        <f t="shared" si="56"/>
        <v>6.9898891304054356E-3</v>
      </c>
      <c r="L319" s="41">
        <f t="shared" si="57"/>
        <v>0.45</v>
      </c>
      <c r="M319" s="42">
        <f t="shared" si="54"/>
        <v>1</v>
      </c>
      <c r="N319" s="43">
        <f>(VLOOKUP(MONTH('Amortization Model S Shape'!$B319),Seasonality,2,TRUE))</f>
        <v>1.0900000000000001</v>
      </c>
      <c r="O319" s="50">
        <f t="shared" si="62"/>
        <v>3.4285406184638664E-3</v>
      </c>
    </row>
    <row r="320" spans="2:15" ht="15" x14ac:dyDescent="0.25">
      <c r="B320" s="57">
        <f t="shared" si="58"/>
        <v>51683</v>
      </c>
      <c r="C320" s="36">
        <f t="shared" si="59"/>
        <v>705349.57419634482</v>
      </c>
      <c r="D320" s="39">
        <f t="shared" si="65"/>
        <v>14937.089593134071</v>
      </c>
      <c r="E320" s="36">
        <f t="shared" si="53"/>
        <v>3526.7478709817242</v>
      </c>
      <c r="F320" s="36">
        <f t="shared" si="63"/>
        <v>11410.341722152347</v>
      </c>
      <c r="G320" s="36">
        <f t="shared" si="60"/>
        <v>0</v>
      </c>
      <c r="H320" s="38">
        <f t="shared" si="64"/>
        <v>2401.0263576254583</v>
      </c>
      <c r="I320" s="36">
        <f t="shared" si="61"/>
        <v>691538.20611656702</v>
      </c>
      <c r="J320" s="2">
        <f t="shared" si="55"/>
        <v>307</v>
      </c>
      <c r="K320" s="44">
        <f t="shared" si="56"/>
        <v>6.9898891304054356E-3</v>
      </c>
      <c r="L320" s="41">
        <f t="shared" si="57"/>
        <v>0.45</v>
      </c>
      <c r="M320" s="42">
        <f t="shared" si="54"/>
        <v>1</v>
      </c>
      <c r="N320" s="43">
        <f>(VLOOKUP(MONTH('Amortization Model S Shape'!$B320),Seasonality,2,TRUE))</f>
        <v>1.1000000000000001</v>
      </c>
      <c r="O320" s="50">
        <f t="shared" si="62"/>
        <v>3.459995119550691E-3</v>
      </c>
    </row>
    <row r="321" spans="2:15" ht="15" x14ac:dyDescent="0.25">
      <c r="B321" s="57">
        <f t="shared" si="58"/>
        <v>51714</v>
      </c>
      <c r="C321" s="36">
        <f t="shared" si="59"/>
        <v>691538.20611656702</v>
      </c>
      <c r="D321" s="39">
        <f t="shared" si="65"/>
        <v>14885.407336041539</v>
      </c>
      <c r="E321" s="36">
        <f t="shared" si="53"/>
        <v>3457.6910305828351</v>
      </c>
      <c r="F321" s="36">
        <f t="shared" si="63"/>
        <v>11427.716305458704</v>
      </c>
      <c r="G321" s="36">
        <f t="shared" si="60"/>
        <v>0</v>
      </c>
      <c r="H321" s="38">
        <f t="shared" si="64"/>
        <v>2460.1416562062855</v>
      </c>
      <c r="I321" s="36">
        <f t="shared" si="61"/>
        <v>677650.34815490199</v>
      </c>
      <c r="J321" s="2">
        <f t="shared" si="55"/>
        <v>308</v>
      </c>
      <c r="K321" s="44">
        <f t="shared" si="56"/>
        <v>6.9898891304054356E-3</v>
      </c>
      <c r="L321" s="41">
        <f t="shared" si="57"/>
        <v>0.45</v>
      </c>
      <c r="M321" s="42">
        <f t="shared" si="54"/>
        <v>1</v>
      </c>
      <c r="N321" s="43">
        <f>(VLOOKUP(MONTH('Amortization Model S Shape'!$B321),Seasonality,2,TRUE))</f>
        <v>1.1499999999999999</v>
      </c>
      <c r="O321" s="50">
        <f t="shared" si="62"/>
        <v>3.6172676249848126E-3</v>
      </c>
    </row>
    <row r="322" spans="2:15" ht="15" x14ac:dyDescent="0.25">
      <c r="B322" s="57">
        <f t="shared" si="58"/>
        <v>51745</v>
      </c>
      <c r="C322" s="36">
        <f t="shared" si="59"/>
        <v>677650.34815490199</v>
      </c>
      <c r="D322" s="39">
        <f t="shared" si="65"/>
        <v>14831.562834000162</v>
      </c>
      <c r="E322" s="36">
        <f t="shared" si="53"/>
        <v>3388.2517407745095</v>
      </c>
      <c r="F322" s="36">
        <f t="shared" si="63"/>
        <v>11443.311093225653</v>
      </c>
      <c r="G322" s="36">
        <f t="shared" si="60"/>
        <v>0</v>
      </c>
      <c r="H322" s="38">
        <f t="shared" si="64"/>
        <v>2367.9387267576462</v>
      </c>
      <c r="I322" s="36">
        <f t="shared" si="61"/>
        <v>663839.09833491873</v>
      </c>
      <c r="J322" s="2">
        <f t="shared" si="55"/>
        <v>309</v>
      </c>
      <c r="K322" s="44">
        <f t="shared" si="56"/>
        <v>6.9898891304054356E-3</v>
      </c>
      <c r="L322" s="41">
        <f t="shared" si="57"/>
        <v>0.45</v>
      </c>
      <c r="M322" s="42">
        <f t="shared" si="54"/>
        <v>1</v>
      </c>
      <c r="N322" s="43">
        <f>(VLOOKUP(MONTH('Amortization Model S Shape'!$B322),Seasonality,2,TRUE))</f>
        <v>1.1299999999999999</v>
      </c>
      <c r="O322" s="50">
        <f t="shared" si="62"/>
        <v>3.5543586228111638E-3</v>
      </c>
    </row>
    <row r="323" spans="2:15" ht="15" x14ac:dyDescent="0.25">
      <c r="B323" s="57">
        <f t="shared" si="58"/>
        <v>51775</v>
      </c>
      <c r="C323" s="36">
        <f t="shared" si="59"/>
        <v>663839.09833491873</v>
      </c>
      <c r="D323" s="39">
        <f t="shared" si="65"/>
        <v>14778.846140751371</v>
      </c>
      <c r="E323" s="36">
        <f t="shared" si="53"/>
        <v>3319.1954916745931</v>
      </c>
      <c r="F323" s="36">
        <f t="shared" si="63"/>
        <v>11459.650649076779</v>
      </c>
      <c r="G323" s="36">
        <f t="shared" si="60"/>
        <v>0</v>
      </c>
      <c r="H323" s="38">
        <f t="shared" si="64"/>
        <v>2072.547274671882</v>
      </c>
      <c r="I323" s="36">
        <f t="shared" si="61"/>
        <v>650306.90041117009</v>
      </c>
      <c r="J323" s="2">
        <f t="shared" si="55"/>
        <v>310</v>
      </c>
      <c r="K323" s="44">
        <f t="shared" si="56"/>
        <v>6.9898891304054356E-3</v>
      </c>
      <c r="L323" s="41">
        <f t="shared" si="57"/>
        <v>0.45</v>
      </c>
      <c r="M323" s="42">
        <f t="shared" si="54"/>
        <v>1</v>
      </c>
      <c r="N323" s="43">
        <f>(VLOOKUP(MONTH('Amortization Model S Shape'!$B323),Seasonality,2,TRUE))</f>
        <v>1.01</v>
      </c>
      <c r="O323" s="50">
        <f t="shared" si="62"/>
        <v>3.1769046097692706E-3</v>
      </c>
    </row>
    <row r="324" spans="2:15" ht="15" x14ac:dyDescent="0.25">
      <c r="B324" s="57">
        <f t="shared" si="58"/>
        <v>51806</v>
      </c>
      <c r="C324" s="36">
        <f t="shared" si="59"/>
        <v>650306.90041117009</v>
      </c>
      <c r="D324" s="39">
        <f t="shared" si="65"/>
        <v>14731.895156319744</v>
      </c>
      <c r="E324" s="36">
        <f t="shared" si="53"/>
        <v>3251.5345020558502</v>
      </c>
      <c r="F324" s="36">
        <f t="shared" si="63"/>
        <v>11480.360654263894</v>
      </c>
      <c r="G324" s="36">
        <f t="shared" si="60"/>
        <v>0</v>
      </c>
      <c r="H324" s="38">
        <f t="shared" si="64"/>
        <v>1728.0814276605288</v>
      </c>
      <c r="I324" s="36">
        <f t="shared" si="61"/>
        <v>637098.45832924568</v>
      </c>
      <c r="J324" s="2">
        <f t="shared" si="55"/>
        <v>311</v>
      </c>
      <c r="K324" s="44">
        <f t="shared" si="56"/>
        <v>6.9898891304054356E-3</v>
      </c>
      <c r="L324" s="41">
        <f t="shared" si="57"/>
        <v>0.45</v>
      </c>
      <c r="M324" s="42">
        <f t="shared" si="54"/>
        <v>1</v>
      </c>
      <c r="N324" s="43">
        <f>(VLOOKUP(MONTH('Amortization Model S Shape'!$B324),Seasonality,2,TRUE))</f>
        <v>0.86</v>
      </c>
      <c r="O324" s="50">
        <f t="shared" si="62"/>
        <v>2.7050870934669036E-3</v>
      </c>
    </row>
    <row r="325" spans="2:15" ht="15" x14ac:dyDescent="0.25">
      <c r="B325" s="57">
        <f t="shared" si="58"/>
        <v>51836</v>
      </c>
      <c r="C325" s="36">
        <f t="shared" si="59"/>
        <v>637098.45832924568</v>
      </c>
      <c r="D325" s="39">
        <f t="shared" si="65"/>
        <v>14692.044096870079</v>
      </c>
      <c r="E325" s="36">
        <f t="shared" si="53"/>
        <v>3185.4922916462278</v>
      </c>
      <c r="F325" s="36">
        <f t="shared" si="63"/>
        <v>11506.551805223851</v>
      </c>
      <c r="G325" s="36">
        <f t="shared" si="60"/>
        <v>0</v>
      </c>
      <c r="H325" s="40">
        <f t="shared" si="64"/>
        <v>1770.9913173301591</v>
      </c>
      <c r="I325" s="36">
        <f t="shared" si="61"/>
        <v>623820.91520669172</v>
      </c>
      <c r="J325" s="2">
        <f t="shared" si="55"/>
        <v>312</v>
      </c>
      <c r="K325" s="44">
        <f t="shared" si="56"/>
        <v>6.9898891304054356E-3</v>
      </c>
      <c r="L325" s="41">
        <f t="shared" si="57"/>
        <v>0.45</v>
      </c>
      <c r="M325" s="42">
        <f t="shared" si="54"/>
        <v>1</v>
      </c>
      <c r="N325" s="43">
        <f>(VLOOKUP(MONTH('Amortization Model S Shape'!$B325),Seasonality,2,TRUE))</f>
        <v>0.9</v>
      </c>
      <c r="O325" s="50">
        <f t="shared" si="62"/>
        <v>2.8309050978142015E-3</v>
      </c>
    </row>
    <row r="326" spans="2:15" ht="15" x14ac:dyDescent="0.25">
      <c r="B326" s="57">
        <f t="shared" si="58"/>
        <v>51867</v>
      </c>
      <c r="C326" s="36">
        <f t="shared" si="59"/>
        <v>623820.91520669172</v>
      </c>
      <c r="D326" s="39">
        <f t="shared" si="65"/>
        <v>14650.452314338936</v>
      </c>
      <c r="E326" s="36">
        <f t="shared" si="53"/>
        <v>3119.1045760334582</v>
      </c>
      <c r="F326" s="36">
        <f t="shared" si="63"/>
        <v>11531.347738305478</v>
      </c>
      <c r="G326" s="36">
        <f t="shared" si="60"/>
        <v>0</v>
      </c>
      <c r="H326" s="38">
        <f t="shared" si="64"/>
        <v>1714.0743950193214</v>
      </c>
      <c r="I326" s="36">
        <f t="shared" si="61"/>
        <v>610575.49307336693</v>
      </c>
      <c r="J326" s="2">
        <f t="shared" si="55"/>
        <v>313</v>
      </c>
      <c r="K326" s="44">
        <f t="shared" si="56"/>
        <v>6.9898891304054356E-3</v>
      </c>
      <c r="L326" s="41">
        <f t="shared" si="57"/>
        <v>0.45</v>
      </c>
      <c r="M326" s="42">
        <f t="shared" si="54"/>
        <v>1</v>
      </c>
      <c r="N326" s="43">
        <f>(VLOOKUP(MONTH('Amortization Model S Shape'!$B326),Seasonality,2,TRUE))</f>
        <v>0.89</v>
      </c>
      <c r="O326" s="50">
        <f t="shared" si="62"/>
        <v>2.7994505967273769E-3</v>
      </c>
    </row>
    <row r="327" spans="2:15" ht="15" x14ac:dyDescent="0.25">
      <c r="B327" s="57">
        <f t="shared" si="58"/>
        <v>51898</v>
      </c>
      <c r="C327" s="36">
        <f t="shared" si="59"/>
        <v>610575.49307336693</v>
      </c>
      <c r="D327" s="39">
        <f t="shared" si="65"/>
        <v>14609.439096865235</v>
      </c>
      <c r="E327" s="36">
        <f t="shared" si="53"/>
        <v>3052.8774653668347</v>
      </c>
      <c r="F327" s="36">
        <f t="shared" si="63"/>
        <v>11556.5616314984</v>
      </c>
      <c r="G327" s="36">
        <f t="shared" si="60"/>
        <v>0</v>
      </c>
      <c r="H327" s="38">
        <f t="shared" si="64"/>
        <v>1695.7657467060012</v>
      </c>
      <c r="I327" s="36">
        <f t="shared" si="61"/>
        <v>597323.16569516249</v>
      </c>
      <c r="J327" s="2">
        <f t="shared" si="55"/>
        <v>314</v>
      </c>
      <c r="K327" s="44">
        <f t="shared" si="56"/>
        <v>6.9898891304054356E-3</v>
      </c>
      <c r="L327" s="41">
        <f t="shared" si="57"/>
        <v>0.45</v>
      </c>
      <c r="M327" s="42">
        <f t="shared" si="54"/>
        <v>1</v>
      </c>
      <c r="N327" s="43">
        <f>(VLOOKUP(MONTH('Amortization Model S Shape'!$B327),Seasonality,2,TRUE))</f>
        <v>0.9</v>
      </c>
      <c r="O327" s="50">
        <f t="shared" si="62"/>
        <v>2.8309050978142015E-3</v>
      </c>
    </row>
    <row r="328" spans="2:15" ht="15" x14ac:dyDescent="0.25">
      <c r="B328" s="57">
        <f t="shared" si="58"/>
        <v>51926</v>
      </c>
      <c r="C328" s="36">
        <f t="shared" si="59"/>
        <v>597323.16569516249</v>
      </c>
      <c r="D328" s="39">
        <f t="shared" si="65"/>
        <v>14568.081161249713</v>
      </c>
      <c r="E328" s="36">
        <f t="shared" si="53"/>
        <v>2986.6158284758126</v>
      </c>
      <c r="F328" s="36">
        <f t="shared" si="63"/>
        <v>11581.4653327739</v>
      </c>
      <c r="G328" s="36">
        <f t="shared" si="60"/>
        <v>0</v>
      </c>
      <c r="H328" s="38">
        <f t="shared" si="64"/>
        <v>1750.3002303114802</v>
      </c>
      <c r="I328" s="36">
        <f t="shared" si="61"/>
        <v>583991.40013207716</v>
      </c>
      <c r="J328" s="2">
        <f t="shared" si="55"/>
        <v>315</v>
      </c>
      <c r="K328" s="44">
        <f t="shared" si="56"/>
        <v>6.9898891304054356E-3</v>
      </c>
      <c r="L328" s="41">
        <f t="shared" si="57"/>
        <v>0.45</v>
      </c>
      <c r="M328" s="42">
        <f t="shared" si="54"/>
        <v>1</v>
      </c>
      <c r="N328" s="43">
        <f>(VLOOKUP(MONTH('Amortization Model S Shape'!$B328),Seasonality,2,TRUE))</f>
        <v>0.95</v>
      </c>
      <c r="O328" s="50">
        <f t="shared" si="62"/>
        <v>2.9881776032483235E-3</v>
      </c>
    </row>
    <row r="329" spans="2:15" ht="15" x14ac:dyDescent="0.25">
      <c r="B329" s="57">
        <f t="shared" si="58"/>
        <v>51957</v>
      </c>
      <c r="C329" s="36">
        <f t="shared" si="59"/>
        <v>583991.40013207716</v>
      </c>
      <c r="D329" s="39">
        <f t="shared" si="65"/>
        <v>14524.549147401362</v>
      </c>
      <c r="E329" s="36">
        <f t="shared" si="53"/>
        <v>2919.9570006603858</v>
      </c>
      <c r="F329" s="36">
        <f t="shared" si="63"/>
        <v>11604.592146740975</v>
      </c>
      <c r="G329" s="36">
        <f t="shared" si="60"/>
        <v>0</v>
      </c>
      <c r="H329" s="38">
        <f t="shared" si="64"/>
        <v>1728.3975814904391</v>
      </c>
      <c r="I329" s="36">
        <f t="shared" si="61"/>
        <v>570658.41040384572</v>
      </c>
      <c r="J329" s="2">
        <f t="shared" si="55"/>
        <v>316</v>
      </c>
      <c r="K329" s="44">
        <f t="shared" si="56"/>
        <v>6.9898891304054356E-3</v>
      </c>
      <c r="L329" s="41">
        <f t="shared" si="57"/>
        <v>0.45</v>
      </c>
      <c r="M329" s="42">
        <f t="shared" si="54"/>
        <v>1</v>
      </c>
      <c r="N329" s="43">
        <f>(VLOOKUP(MONTH('Amortization Model S Shape'!$B329),Seasonality,2,TRUE))</f>
        <v>0.96</v>
      </c>
      <c r="O329" s="50">
        <f t="shared" si="62"/>
        <v>3.0196321043351481E-3</v>
      </c>
    </row>
    <row r="330" spans="2:15" ht="15" x14ac:dyDescent="0.25">
      <c r="B330" s="57">
        <f t="shared" si="58"/>
        <v>51987</v>
      </c>
      <c r="C330" s="36">
        <f t="shared" si="59"/>
        <v>570658.41040384572</v>
      </c>
      <c r="D330" s="39">
        <f t="shared" si="65"/>
        <v>14480.690352494876</v>
      </c>
      <c r="E330" s="36">
        <f t="shared" si="53"/>
        <v>2853.2920520192288</v>
      </c>
      <c r="F330" s="36">
        <f t="shared" si="63"/>
        <v>11627.398300475646</v>
      </c>
      <c r="G330" s="36">
        <f t="shared" si="60"/>
        <v>0</v>
      </c>
      <c r="H330" s="38">
        <f t="shared" si="64"/>
        <v>1863.9084072440473</v>
      </c>
      <c r="I330" s="36">
        <f t="shared" si="61"/>
        <v>557167.10369612603</v>
      </c>
      <c r="J330" s="2">
        <f t="shared" si="55"/>
        <v>317</v>
      </c>
      <c r="K330" s="44">
        <f t="shared" si="56"/>
        <v>6.9898891304054356E-3</v>
      </c>
      <c r="L330" s="41">
        <f t="shared" si="57"/>
        <v>0.45</v>
      </c>
      <c r="M330" s="42">
        <f t="shared" si="54"/>
        <v>1</v>
      </c>
      <c r="N330" s="43">
        <f>(VLOOKUP(MONTH('Amortization Model S Shape'!$B330),Seasonality,2,TRUE))</f>
        <v>1.06</v>
      </c>
      <c r="O330" s="50">
        <f t="shared" si="62"/>
        <v>3.3341771152033931E-3</v>
      </c>
    </row>
    <row r="331" spans="2:15" ht="15" x14ac:dyDescent="0.25">
      <c r="B331" s="57">
        <f t="shared" si="58"/>
        <v>52018</v>
      </c>
      <c r="C331" s="36">
        <f t="shared" si="59"/>
        <v>557167.10369612603</v>
      </c>
      <c r="D331" s="39">
        <f t="shared" si="65"/>
        <v>14432.409166109241</v>
      </c>
      <c r="E331" s="36">
        <f t="shared" si="53"/>
        <v>2785.8355184806301</v>
      </c>
      <c r="F331" s="36">
        <f t="shared" si="63"/>
        <v>11646.573647628611</v>
      </c>
      <c r="G331" s="36">
        <f t="shared" si="60"/>
        <v>0</v>
      </c>
      <c r="H331" s="38">
        <f t="shared" si="64"/>
        <v>1870.3392954772114</v>
      </c>
      <c r="I331" s="36">
        <f t="shared" si="61"/>
        <v>543650.19075302011</v>
      </c>
      <c r="J331" s="2">
        <f t="shared" si="55"/>
        <v>318</v>
      </c>
      <c r="K331" s="44">
        <f t="shared" si="56"/>
        <v>6.9898891304054356E-3</v>
      </c>
      <c r="L331" s="41">
        <f t="shared" si="57"/>
        <v>0.45</v>
      </c>
      <c r="M331" s="42">
        <f t="shared" si="54"/>
        <v>1</v>
      </c>
      <c r="N331" s="43">
        <f>(VLOOKUP(MONTH('Amortization Model S Shape'!$B331),Seasonality,2,TRUE))</f>
        <v>1.0900000000000001</v>
      </c>
      <c r="O331" s="50">
        <f t="shared" si="62"/>
        <v>3.4285406184638664E-3</v>
      </c>
    </row>
    <row r="332" spans="2:15" ht="15" x14ac:dyDescent="0.25">
      <c r="B332" s="57">
        <f t="shared" si="58"/>
        <v>52048</v>
      </c>
      <c r="C332" s="36">
        <f t="shared" si="59"/>
        <v>543650.19075302011</v>
      </c>
      <c r="D332" s="39">
        <f t="shared" si="65"/>
        <v>14382.927065060941</v>
      </c>
      <c r="E332" s="36">
        <f t="shared" si="53"/>
        <v>2718.2509537651003</v>
      </c>
      <c r="F332" s="36">
        <f t="shared" si="63"/>
        <v>11664.676111295841</v>
      </c>
      <c r="G332" s="36">
        <f t="shared" si="60"/>
        <v>0</v>
      </c>
      <c r="H332" s="38">
        <f t="shared" si="64"/>
        <v>1840.6672843320287</v>
      </c>
      <c r="I332" s="36">
        <f t="shared" si="61"/>
        <v>530144.84735739231</v>
      </c>
      <c r="J332" s="2">
        <f t="shared" si="55"/>
        <v>319</v>
      </c>
      <c r="K332" s="44">
        <f t="shared" si="56"/>
        <v>6.9898891304054356E-3</v>
      </c>
      <c r="L332" s="41">
        <f t="shared" si="57"/>
        <v>0.45</v>
      </c>
      <c r="M332" s="42">
        <f t="shared" si="54"/>
        <v>1</v>
      </c>
      <c r="N332" s="43">
        <f>(VLOOKUP(MONTH('Amortization Model S Shape'!$B332),Seasonality,2,TRUE))</f>
        <v>1.1000000000000001</v>
      </c>
      <c r="O332" s="50">
        <f t="shared" si="62"/>
        <v>3.459995119550691E-3</v>
      </c>
    </row>
    <row r="333" spans="2:15" ht="15" x14ac:dyDescent="0.25">
      <c r="B333" s="57">
        <f t="shared" si="58"/>
        <v>52079</v>
      </c>
      <c r="C333" s="36">
        <f t="shared" si="59"/>
        <v>530144.84735739231</v>
      </c>
      <c r="D333" s="39">
        <f t="shared" si="65"/>
        <v>14333.16220761098</v>
      </c>
      <c r="E333" s="36">
        <f t="shared" si="53"/>
        <v>2650.7242367869617</v>
      </c>
      <c r="F333" s="36">
        <f t="shared" si="63"/>
        <v>11682.437970824018</v>
      </c>
      <c r="G333" s="36">
        <f t="shared" si="60"/>
        <v>0</v>
      </c>
      <c r="H333" s="38">
        <f t="shared" si="64"/>
        <v>1875.4172882456555</v>
      </c>
      <c r="I333" s="36">
        <f t="shared" si="61"/>
        <v>516586.99209832266</v>
      </c>
      <c r="J333" s="2">
        <f t="shared" si="55"/>
        <v>320</v>
      </c>
      <c r="K333" s="44">
        <f t="shared" si="56"/>
        <v>6.9898891304054356E-3</v>
      </c>
      <c r="L333" s="41">
        <f t="shared" si="57"/>
        <v>0.45</v>
      </c>
      <c r="M333" s="42">
        <f t="shared" si="54"/>
        <v>1</v>
      </c>
      <c r="N333" s="43">
        <f>(VLOOKUP(MONTH('Amortization Model S Shape'!$B333),Seasonality,2,TRUE))</f>
        <v>1.1499999999999999</v>
      </c>
      <c r="O333" s="50">
        <f t="shared" si="62"/>
        <v>3.6172676249848126E-3</v>
      </c>
    </row>
    <row r="334" spans="2:15" ht="15" x14ac:dyDescent="0.25">
      <c r="B334" s="57">
        <f t="shared" si="58"/>
        <v>52110</v>
      </c>
      <c r="C334" s="36">
        <f t="shared" si="59"/>
        <v>516586.99209832266</v>
      </c>
      <c r="D334" s="39">
        <f t="shared" si="65"/>
        <v>14281.315323993736</v>
      </c>
      <c r="E334" s="36">
        <f t="shared" ref="E334:E397" si="66">($F$7*C334)/12</f>
        <v>2582.9349604916133</v>
      </c>
      <c r="F334" s="36">
        <f t="shared" si="63"/>
        <v>11698.380363502123</v>
      </c>
      <c r="G334" s="36">
        <f t="shared" si="60"/>
        <v>0</v>
      </c>
      <c r="H334" s="38">
        <f t="shared" si="64"/>
        <v>1794.5551906788171</v>
      </c>
      <c r="I334" s="36">
        <f t="shared" si="61"/>
        <v>503094.05654414173</v>
      </c>
      <c r="J334" s="2">
        <f t="shared" si="55"/>
        <v>321</v>
      </c>
      <c r="K334" s="44">
        <f t="shared" si="56"/>
        <v>6.9898891304054356E-3</v>
      </c>
      <c r="L334" s="41">
        <f t="shared" si="57"/>
        <v>0.45</v>
      </c>
      <c r="M334" s="42">
        <f t="shared" ref="M334:M373" si="67">MIN(J334/VLOOKUP($F$5-$F$8,Seasoning,2,TRUE),1)</f>
        <v>1</v>
      </c>
      <c r="N334" s="43">
        <f>(VLOOKUP(MONTH('Amortization Model S Shape'!$B334),Seasonality,2,TRUE))</f>
        <v>1.1299999999999999</v>
      </c>
      <c r="O334" s="50">
        <f t="shared" si="62"/>
        <v>3.5543586228111638E-3</v>
      </c>
    </row>
    <row r="335" spans="2:15" ht="15" x14ac:dyDescent="0.25">
      <c r="B335" s="57">
        <f t="shared" si="58"/>
        <v>52140</v>
      </c>
      <c r="C335" s="36">
        <f t="shared" si="59"/>
        <v>503094.05654414173</v>
      </c>
      <c r="D335" s="39">
        <f t="shared" si="65"/>
        <v>14230.554407726813</v>
      </c>
      <c r="E335" s="36">
        <f t="shared" si="66"/>
        <v>2515.4702827207088</v>
      </c>
      <c r="F335" s="36">
        <f t="shared" si="63"/>
        <v>11715.084125006104</v>
      </c>
      <c r="G335" s="36">
        <f t="shared" si="60"/>
        <v>0</v>
      </c>
      <c r="H335" s="38">
        <f t="shared" si="64"/>
        <v>1561.0641226220391</v>
      </c>
      <c r="I335" s="36">
        <f t="shared" si="61"/>
        <v>489817.9082965136</v>
      </c>
      <c r="J335" s="2">
        <f t="shared" ref="J335:J373" si="68">+J334+1</f>
        <v>322</v>
      </c>
      <c r="K335" s="44">
        <f t="shared" ref="K335:K373" si="69">1-((1-(0.3-0.16*ATAN(123.11*(0.02-$K$12))))^(1/12))</f>
        <v>6.9898891304054356E-3</v>
      </c>
      <c r="L335" s="41">
        <f t="shared" ref="L335:L373" si="70">VLOOKUP(ROUND(C335/$F$4,1),Burnout,2,FALSE)</f>
        <v>0.45</v>
      </c>
      <c r="M335" s="42">
        <f t="shared" si="67"/>
        <v>1</v>
      </c>
      <c r="N335" s="43">
        <f>(VLOOKUP(MONTH('Amortization Model S Shape'!$B335),Seasonality,2,TRUE))</f>
        <v>1.01</v>
      </c>
      <c r="O335" s="50">
        <f t="shared" si="62"/>
        <v>3.1769046097692706E-3</v>
      </c>
    </row>
    <row r="336" spans="2:15" ht="15" x14ac:dyDescent="0.25">
      <c r="B336" s="57">
        <f t="shared" ref="B336:B373" si="71">IF(C336&gt;0,EDATE(B335,1),"")</f>
        <v>52171</v>
      </c>
      <c r="C336" s="36">
        <f t="shared" ref="C336:C373" si="72">+I335</f>
        <v>489817.9082965136</v>
      </c>
      <c r="D336" s="39">
        <f t="shared" si="65"/>
        <v>14185.345293829334</v>
      </c>
      <c r="E336" s="36">
        <f t="shared" si="66"/>
        <v>2449.0895414825677</v>
      </c>
      <c r="F336" s="36">
        <f t="shared" si="63"/>
        <v>11736.255752346766</v>
      </c>
      <c r="G336" s="36">
        <f t="shared" ref="G336:G373" si="73">($F$6*C336)/12</f>
        <v>0</v>
      </c>
      <c r="H336" s="38">
        <f t="shared" si="64"/>
        <v>1149.5577848182704</v>
      </c>
      <c r="I336" s="36">
        <f t="shared" ref="I336:I373" si="74">IF(J336&gt;$F$3,0,C336-F336-H336)</f>
        <v>476932.09475934855</v>
      </c>
      <c r="J336" s="2">
        <f t="shared" si="68"/>
        <v>323</v>
      </c>
      <c r="K336" s="44">
        <f t="shared" si="69"/>
        <v>6.9898891304054356E-3</v>
      </c>
      <c r="L336" s="41">
        <f t="shared" si="70"/>
        <v>0.4</v>
      </c>
      <c r="M336" s="42">
        <f t="shared" si="67"/>
        <v>1</v>
      </c>
      <c r="N336" s="43">
        <f>(VLOOKUP(MONTH('Amortization Model S Shape'!$B336),Seasonality,2,TRUE))</f>
        <v>0.86</v>
      </c>
      <c r="O336" s="50">
        <f t="shared" ref="O336:O373" si="75">PRODUCT(K336:N336)</f>
        <v>2.4045218608594698E-3</v>
      </c>
    </row>
    <row r="337" spans="2:15" ht="15" x14ac:dyDescent="0.25">
      <c r="B337" s="57">
        <f t="shared" si="71"/>
        <v>52201</v>
      </c>
      <c r="C337" s="36">
        <f t="shared" si="72"/>
        <v>476932.09475934855</v>
      </c>
      <c r="D337" s="39">
        <f t="shared" si="65"/>
        <v>14151.23632096648</v>
      </c>
      <c r="E337" s="36">
        <f t="shared" si="66"/>
        <v>2384.6604737967427</v>
      </c>
      <c r="F337" s="36">
        <f t="shared" ref="F337:F374" si="76">D337-E337-G337</f>
        <v>11766.575847169737</v>
      </c>
      <c r="G337" s="36">
        <f t="shared" si="73"/>
        <v>0</v>
      </c>
      <c r="H337" s="40">
        <f t="shared" ref="H337:H374" si="77">+O337*(C337-F337)</f>
        <v>1170.5239456141114</v>
      </c>
      <c r="I337" s="36">
        <f t="shared" si="74"/>
        <v>463994.9949665647</v>
      </c>
      <c r="J337" s="2">
        <f t="shared" si="68"/>
        <v>324</v>
      </c>
      <c r="K337" s="44">
        <f t="shared" si="69"/>
        <v>6.9898891304054356E-3</v>
      </c>
      <c r="L337" s="41">
        <f t="shared" si="70"/>
        <v>0.4</v>
      </c>
      <c r="M337" s="42">
        <f t="shared" si="67"/>
        <v>1</v>
      </c>
      <c r="N337" s="43">
        <f>(VLOOKUP(MONTH('Amortization Model S Shape'!$B337),Seasonality,2,TRUE))</f>
        <v>0.9</v>
      </c>
      <c r="O337" s="50">
        <f t="shared" si="75"/>
        <v>2.516360086945957E-3</v>
      </c>
    </row>
    <row r="338" spans="2:15" ht="15" x14ac:dyDescent="0.25">
      <c r="B338" s="57">
        <f t="shared" si="71"/>
        <v>52232</v>
      </c>
      <c r="C338" s="36">
        <f t="shared" si="72"/>
        <v>463994.9949665647</v>
      </c>
      <c r="D338" s="39">
        <f t="shared" si="65"/>
        <v>14115.62671470746</v>
      </c>
      <c r="E338" s="36">
        <f t="shared" si="66"/>
        <v>2319.9749748328236</v>
      </c>
      <c r="F338" s="36">
        <f t="shared" si="76"/>
        <v>11795.651739874636</v>
      </c>
      <c r="G338" s="36">
        <f t="shared" si="73"/>
        <v>0</v>
      </c>
      <c r="H338" s="38">
        <f t="shared" si="77"/>
        <v>1125.2530855428315</v>
      </c>
      <c r="I338" s="36">
        <f t="shared" si="74"/>
        <v>451074.09014114726</v>
      </c>
      <c r="J338" s="2">
        <f t="shared" si="68"/>
        <v>325</v>
      </c>
      <c r="K338" s="44">
        <f t="shared" si="69"/>
        <v>6.9898891304054356E-3</v>
      </c>
      <c r="L338" s="41">
        <f t="shared" si="70"/>
        <v>0.4</v>
      </c>
      <c r="M338" s="42">
        <f t="shared" si="67"/>
        <v>1</v>
      </c>
      <c r="N338" s="43">
        <f>(VLOOKUP(MONTH('Amortization Model S Shape'!$B338),Seasonality,2,TRUE))</f>
        <v>0.89</v>
      </c>
      <c r="O338" s="50">
        <f t="shared" si="75"/>
        <v>2.4884005304243351E-3</v>
      </c>
    </row>
    <row r="339" spans="2:15" ht="15" x14ac:dyDescent="0.25">
      <c r="B339" s="57">
        <f t="shared" si="71"/>
        <v>52263</v>
      </c>
      <c r="C339" s="36">
        <f t="shared" si="72"/>
        <v>451074.09014114726</v>
      </c>
      <c r="D339" s="39">
        <f t="shared" ref="D339:D373" si="78">-PMT($F$5/12,$F$3-J338,$C339)</f>
        <v>14080.50138170331</v>
      </c>
      <c r="E339" s="36">
        <f t="shared" si="66"/>
        <v>2255.3704507057359</v>
      </c>
      <c r="F339" s="36">
        <f t="shared" si="76"/>
        <v>11825.130930997575</v>
      </c>
      <c r="G339" s="36">
        <f t="shared" si="73"/>
        <v>0</v>
      </c>
      <c r="H339" s="38">
        <f t="shared" si="77"/>
        <v>1105.3085491889735</v>
      </c>
      <c r="I339" s="36">
        <f t="shared" si="74"/>
        <v>438143.65066096076</v>
      </c>
      <c r="J339" s="2">
        <f t="shared" si="68"/>
        <v>326</v>
      </c>
      <c r="K339" s="44">
        <f t="shared" si="69"/>
        <v>6.9898891304054356E-3</v>
      </c>
      <c r="L339" s="41">
        <f t="shared" si="70"/>
        <v>0.4</v>
      </c>
      <c r="M339" s="42">
        <f t="shared" si="67"/>
        <v>1</v>
      </c>
      <c r="N339" s="43">
        <f>(VLOOKUP(MONTH('Amortization Model S Shape'!$B339),Seasonality,2,TRUE))</f>
        <v>0.9</v>
      </c>
      <c r="O339" s="50">
        <f t="shared" si="75"/>
        <v>2.516360086945957E-3</v>
      </c>
    </row>
    <row r="340" spans="2:15" ht="15" x14ac:dyDescent="0.25">
      <c r="B340" s="57">
        <f t="shared" si="71"/>
        <v>52291</v>
      </c>
      <c r="C340" s="36">
        <f t="shared" si="72"/>
        <v>438143.65066096076</v>
      </c>
      <c r="D340" s="39">
        <f t="shared" si="78"/>
        <v>14045.06977002221</v>
      </c>
      <c r="E340" s="36">
        <f t="shared" si="66"/>
        <v>2190.718253304804</v>
      </c>
      <c r="F340" s="36">
        <f t="shared" si="76"/>
        <v>11854.351516717406</v>
      </c>
      <c r="G340" s="36">
        <f t="shared" si="73"/>
        <v>0</v>
      </c>
      <c r="H340" s="38">
        <f t="shared" si="77"/>
        <v>1132.2916766286692</v>
      </c>
      <c r="I340" s="36">
        <f t="shared" si="74"/>
        <v>425157.00746761466</v>
      </c>
      <c r="J340" s="2">
        <f t="shared" si="68"/>
        <v>327</v>
      </c>
      <c r="K340" s="44">
        <f t="shared" si="69"/>
        <v>6.9898891304054356E-3</v>
      </c>
      <c r="L340" s="41">
        <f t="shared" si="70"/>
        <v>0.4</v>
      </c>
      <c r="M340" s="42">
        <f t="shared" si="67"/>
        <v>1</v>
      </c>
      <c r="N340" s="43">
        <f>(VLOOKUP(MONTH('Amortization Model S Shape'!$B340),Seasonality,2,TRUE))</f>
        <v>0.95</v>
      </c>
      <c r="O340" s="50">
        <f t="shared" si="75"/>
        <v>2.6561578695540656E-3</v>
      </c>
    </row>
    <row r="341" spans="2:15" ht="15" x14ac:dyDescent="0.25">
      <c r="B341" s="57">
        <f t="shared" si="71"/>
        <v>52322</v>
      </c>
      <c r="C341" s="36">
        <f t="shared" si="72"/>
        <v>425157.00746761466</v>
      </c>
      <c r="D341" s="39">
        <f t="shared" si="78"/>
        <v>14007.763847424125</v>
      </c>
      <c r="E341" s="36">
        <f t="shared" si="66"/>
        <v>2125.7850373380734</v>
      </c>
      <c r="F341" s="36">
        <f t="shared" si="76"/>
        <v>11881.978810086051</v>
      </c>
      <c r="G341" s="36">
        <f t="shared" si="73"/>
        <v>0</v>
      </c>
      <c r="H341" s="38">
        <f t="shared" si="77"/>
        <v>1109.2787061816016</v>
      </c>
      <c r="I341" s="36">
        <f t="shared" si="74"/>
        <v>412165.74995134701</v>
      </c>
      <c r="J341" s="2">
        <f t="shared" si="68"/>
        <v>328</v>
      </c>
      <c r="K341" s="44">
        <f t="shared" si="69"/>
        <v>6.9898891304054356E-3</v>
      </c>
      <c r="L341" s="41">
        <f t="shared" si="70"/>
        <v>0.4</v>
      </c>
      <c r="M341" s="42">
        <f t="shared" si="67"/>
        <v>1</v>
      </c>
      <c r="N341" s="43">
        <f>(VLOOKUP(MONTH('Amortization Model S Shape'!$B341),Seasonality,2,TRUE))</f>
        <v>0.96</v>
      </c>
      <c r="O341" s="50">
        <f t="shared" si="75"/>
        <v>2.6841174260756871E-3</v>
      </c>
    </row>
    <row r="342" spans="2:15" ht="15" x14ac:dyDescent="0.25">
      <c r="B342" s="57">
        <f t="shared" si="71"/>
        <v>52352</v>
      </c>
      <c r="C342" s="36">
        <f t="shared" si="72"/>
        <v>412165.74995134701</v>
      </c>
      <c r="D342" s="39">
        <f t="shared" si="78"/>
        <v>13970.165364380906</v>
      </c>
      <c r="E342" s="36">
        <f t="shared" si="66"/>
        <v>2060.8287497567349</v>
      </c>
      <c r="F342" s="36">
        <f t="shared" si="76"/>
        <v>11909.336614624171</v>
      </c>
      <c r="G342" s="36">
        <f t="shared" si="73"/>
        <v>0</v>
      </c>
      <c r="H342" s="38">
        <f t="shared" si="77"/>
        <v>1186.2451320539478</v>
      </c>
      <c r="I342" s="36">
        <f t="shared" si="74"/>
        <v>399070.16820466885</v>
      </c>
      <c r="J342" s="2">
        <f t="shared" si="68"/>
        <v>329</v>
      </c>
      <c r="K342" s="44">
        <f t="shared" si="69"/>
        <v>6.9898891304054356E-3</v>
      </c>
      <c r="L342" s="41">
        <f t="shared" si="70"/>
        <v>0.4</v>
      </c>
      <c r="M342" s="42">
        <f t="shared" si="67"/>
        <v>1</v>
      </c>
      <c r="N342" s="43">
        <f>(VLOOKUP(MONTH('Amortization Model S Shape'!$B342),Seasonality,2,TRUE))</f>
        <v>1.06</v>
      </c>
      <c r="O342" s="50">
        <f t="shared" si="75"/>
        <v>2.9637129912919048E-3</v>
      </c>
    </row>
    <row r="343" spans="2:15" ht="15" x14ac:dyDescent="0.25">
      <c r="B343" s="57">
        <f t="shared" si="71"/>
        <v>52383</v>
      </c>
      <c r="C343" s="36">
        <f t="shared" si="72"/>
        <v>399070.16820466885</v>
      </c>
      <c r="D343" s="39">
        <f t="shared" si="78"/>
        <v>13928.761803799989</v>
      </c>
      <c r="E343" s="36">
        <f t="shared" si="66"/>
        <v>1995.3508410233442</v>
      </c>
      <c r="F343" s="36">
        <f t="shared" si="76"/>
        <v>11933.410962776645</v>
      </c>
      <c r="G343" s="36">
        <f t="shared" si="73"/>
        <v>0</v>
      </c>
      <c r="H343" s="38">
        <f t="shared" si="77"/>
        <v>1179.8347529815226</v>
      </c>
      <c r="I343" s="36">
        <f t="shared" si="74"/>
        <v>385956.92248891067</v>
      </c>
      <c r="J343" s="2">
        <f t="shared" si="68"/>
        <v>330</v>
      </c>
      <c r="K343" s="44">
        <f t="shared" si="69"/>
        <v>6.9898891304054356E-3</v>
      </c>
      <c r="L343" s="41">
        <f t="shared" si="70"/>
        <v>0.4</v>
      </c>
      <c r="M343" s="42">
        <f t="shared" si="67"/>
        <v>1</v>
      </c>
      <c r="N343" s="43">
        <f>(VLOOKUP(MONTH('Amortization Model S Shape'!$B343),Seasonality,2,TRUE))</f>
        <v>1.0900000000000001</v>
      </c>
      <c r="O343" s="50">
        <f t="shared" si="75"/>
        <v>3.04759166085677E-3</v>
      </c>
    </row>
    <row r="344" spans="2:15" ht="15" x14ac:dyDescent="0.25">
      <c r="B344" s="57">
        <f t="shared" si="71"/>
        <v>52413</v>
      </c>
      <c r="C344" s="36">
        <f t="shared" si="72"/>
        <v>385956.92248891067</v>
      </c>
      <c r="D344" s="39">
        <f t="shared" si="78"/>
        <v>13886.312625480665</v>
      </c>
      <c r="E344" s="36">
        <f t="shared" si="66"/>
        <v>1929.7846124445532</v>
      </c>
      <c r="F344" s="36">
        <f t="shared" si="76"/>
        <v>11956.528013036112</v>
      </c>
      <c r="G344" s="36">
        <f t="shared" si="73"/>
        <v>0</v>
      </c>
      <c r="H344" s="38">
        <f t="shared" si="77"/>
        <v>1150.2573685302748</v>
      </c>
      <c r="I344" s="36">
        <f t="shared" si="74"/>
        <v>372850.13710734429</v>
      </c>
      <c r="J344" s="2">
        <f t="shared" si="68"/>
        <v>331</v>
      </c>
      <c r="K344" s="44">
        <f t="shared" si="69"/>
        <v>6.9898891304054356E-3</v>
      </c>
      <c r="L344" s="41">
        <f t="shared" si="70"/>
        <v>0.4</v>
      </c>
      <c r="M344" s="42">
        <f t="shared" si="67"/>
        <v>1</v>
      </c>
      <c r="N344" s="43">
        <f>(VLOOKUP(MONTH('Amortization Model S Shape'!$B344),Seasonality,2,TRUE))</f>
        <v>1.1000000000000001</v>
      </c>
      <c r="O344" s="50">
        <f t="shared" si="75"/>
        <v>3.0755512173783919E-3</v>
      </c>
    </row>
    <row r="345" spans="2:15" ht="15" x14ac:dyDescent="0.25">
      <c r="B345" s="57">
        <f t="shared" si="71"/>
        <v>52444</v>
      </c>
      <c r="C345" s="36">
        <f t="shared" si="72"/>
        <v>372850.13710734429</v>
      </c>
      <c r="D345" s="39">
        <f t="shared" si="78"/>
        <v>13843.604559780473</v>
      </c>
      <c r="E345" s="36">
        <f t="shared" si="66"/>
        <v>1864.2506855367212</v>
      </c>
      <c r="F345" s="36">
        <f t="shared" si="76"/>
        <v>11979.353874243752</v>
      </c>
      <c r="G345" s="36">
        <f t="shared" si="73"/>
        <v>0</v>
      </c>
      <c r="H345" s="38">
        <f t="shared" si="77"/>
        <v>1160.3255119928949</v>
      </c>
      <c r="I345" s="36">
        <f t="shared" si="74"/>
        <v>359710.45772110764</v>
      </c>
      <c r="J345" s="2">
        <f t="shared" si="68"/>
        <v>332</v>
      </c>
      <c r="K345" s="44">
        <f t="shared" si="69"/>
        <v>6.9898891304054356E-3</v>
      </c>
      <c r="L345" s="41">
        <f t="shared" si="70"/>
        <v>0.4</v>
      </c>
      <c r="M345" s="42">
        <f t="shared" si="67"/>
        <v>1</v>
      </c>
      <c r="N345" s="43">
        <f>(VLOOKUP(MONTH('Amortization Model S Shape'!$B345),Seasonality,2,TRUE))</f>
        <v>1.1499999999999999</v>
      </c>
      <c r="O345" s="50">
        <f t="shared" si="75"/>
        <v>3.2153489999865001E-3</v>
      </c>
    </row>
    <row r="346" spans="2:15" ht="15" x14ac:dyDescent="0.25">
      <c r="B346" s="57">
        <f t="shared" si="71"/>
        <v>52475</v>
      </c>
      <c r="C346" s="36">
        <f t="shared" si="72"/>
        <v>359710.45772110764</v>
      </c>
      <c r="D346" s="39">
        <f t="shared" si="78"/>
        <v>13799.092539702975</v>
      </c>
      <c r="E346" s="36">
        <f t="shared" si="66"/>
        <v>1798.552288605538</v>
      </c>
      <c r="F346" s="36">
        <f t="shared" si="76"/>
        <v>12000.540251097436</v>
      </c>
      <c r="G346" s="36">
        <f t="shared" si="73"/>
        <v>0</v>
      </c>
      <c r="H346" s="38">
        <f t="shared" si="77"/>
        <v>1098.5651052413236</v>
      </c>
      <c r="I346" s="36">
        <f t="shared" si="74"/>
        <v>346611.35236476891</v>
      </c>
      <c r="J346" s="2">
        <f t="shared" si="68"/>
        <v>333</v>
      </c>
      <c r="K346" s="44">
        <f t="shared" si="69"/>
        <v>6.9898891304054356E-3</v>
      </c>
      <c r="L346" s="41">
        <f t="shared" si="70"/>
        <v>0.4</v>
      </c>
      <c r="M346" s="42">
        <f t="shared" si="67"/>
        <v>1</v>
      </c>
      <c r="N346" s="43">
        <f>(VLOOKUP(MONTH('Amortization Model S Shape'!$B346),Seasonality,2,TRUE))</f>
        <v>1.1299999999999999</v>
      </c>
      <c r="O346" s="50">
        <f t="shared" si="75"/>
        <v>3.1594298869432567E-3</v>
      </c>
    </row>
    <row r="347" spans="2:15" ht="15" x14ac:dyDescent="0.25">
      <c r="B347" s="57">
        <f t="shared" si="71"/>
        <v>52505</v>
      </c>
      <c r="C347" s="36">
        <f t="shared" si="72"/>
        <v>346611.35236476891</v>
      </c>
      <c r="D347" s="39">
        <f t="shared" si="78"/>
        <v>13755.495274320345</v>
      </c>
      <c r="E347" s="36">
        <f t="shared" si="66"/>
        <v>1733.0567618238445</v>
      </c>
      <c r="F347" s="36">
        <f t="shared" si="76"/>
        <v>12022.438512496501</v>
      </c>
      <c r="G347" s="36">
        <f t="shared" si="73"/>
        <v>0</v>
      </c>
      <c r="H347" s="38">
        <f t="shared" si="77"/>
        <v>944.85072248442464</v>
      </c>
      <c r="I347" s="36">
        <f t="shared" si="74"/>
        <v>333644.06312978803</v>
      </c>
      <c r="J347" s="2">
        <f t="shared" si="68"/>
        <v>334</v>
      </c>
      <c r="K347" s="44">
        <f t="shared" si="69"/>
        <v>6.9898891304054356E-3</v>
      </c>
      <c r="L347" s="41">
        <f t="shared" si="70"/>
        <v>0.4</v>
      </c>
      <c r="M347" s="42">
        <f t="shared" si="67"/>
        <v>1</v>
      </c>
      <c r="N347" s="43">
        <f>(VLOOKUP(MONTH('Amortization Model S Shape'!$B347),Seasonality,2,TRUE))</f>
        <v>1.01</v>
      </c>
      <c r="O347" s="50">
        <f t="shared" si="75"/>
        <v>2.8239152086837961E-3</v>
      </c>
    </row>
    <row r="348" spans="2:15" ht="15" x14ac:dyDescent="0.25">
      <c r="B348" s="57">
        <f t="shared" si="71"/>
        <v>52536</v>
      </c>
      <c r="C348" s="36">
        <f t="shared" si="72"/>
        <v>333644.06312978803</v>
      </c>
      <c r="D348" s="39">
        <f t="shared" si="78"/>
        <v>13716.650922012215</v>
      </c>
      <c r="E348" s="36">
        <f t="shared" si="66"/>
        <v>1668.2203156489402</v>
      </c>
      <c r="F348" s="36">
        <f t="shared" si="76"/>
        <v>12048.430606363276</v>
      </c>
      <c r="G348" s="36">
        <f t="shared" si="73"/>
        <v>0</v>
      </c>
      <c r="H348" s="38">
        <f t="shared" si="77"/>
        <v>773.28372875950356</v>
      </c>
      <c r="I348" s="36">
        <f t="shared" si="74"/>
        <v>320822.34879466525</v>
      </c>
      <c r="J348" s="2">
        <f t="shared" si="68"/>
        <v>335</v>
      </c>
      <c r="K348" s="44">
        <f t="shared" si="69"/>
        <v>6.9898891304054356E-3</v>
      </c>
      <c r="L348" s="41">
        <f t="shared" si="70"/>
        <v>0.4</v>
      </c>
      <c r="M348" s="42">
        <f t="shared" si="67"/>
        <v>1</v>
      </c>
      <c r="N348" s="43">
        <f>(VLOOKUP(MONTH('Amortization Model S Shape'!$B348),Seasonality,2,TRUE))</f>
        <v>0.86</v>
      </c>
      <c r="O348" s="50">
        <f t="shared" si="75"/>
        <v>2.4045218608594698E-3</v>
      </c>
    </row>
    <row r="349" spans="2:15" ht="15" x14ac:dyDescent="0.25">
      <c r="B349" s="57">
        <f t="shared" si="71"/>
        <v>52566</v>
      </c>
      <c r="C349" s="36">
        <f t="shared" si="72"/>
        <v>320822.34879466525</v>
      </c>
      <c r="D349" s="39">
        <f t="shared" si="78"/>
        <v>13683.668935012456</v>
      </c>
      <c r="E349" s="36">
        <f t="shared" si="66"/>
        <v>1604.1117439733262</v>
      </c>
      <c r="F349" s="36">
        <f t="shared" si="76"/>
        <v>12079.55719103913</v>
      </c>
      <c r="G349" s="36">
        <f t="shared" si="73"/>
        <v>0</v>
      </c>
      <c r="H349" s="40">
        <f t="shared" si="77"/>
        <v>776.90803792363806</v>
      </c>
      <c r="I349" s="36">
        <f t="shared" si="74"/>
        <v>307965.88356570248</v>
      </c>
      <c r="J349" s="2">
        <f t="shared" si="68"/>
        <v>336</v>
      </c>
      <c r="K349" s="44">
        <f t="shared" si="69"/>
        <v>6.9898891304054356E-3</v>
      </c>
      <c r="L349" s="41">
        <f t="shared" si="70"/>
        <v>0.4</v>
      </c>
      <c r="M349" s="42">
        <f t="shared" si="67"/>
        <v>1</v>
      </c>
      <c r="N349" s="43">
        <f>(VLOOKUP(MONTH('Amortization Model S Shape'!$B349),Seasonality,2,TRUE))</f>
        <v>0.9</v>
      </c>
      <c r="O349" s="50">
        <f t="shared" si="75"/>
        <v>2.516360086945957E-3</v>
      </c>
    </row>
    <row r="350" spans="2:15" ht="15" x14ac:dyDescent="0.25">
      <c r="B350" s="57">
        <f t="shared" si="71"/>
        <v>52597</v>
      </c>
      <c r="C350" s="36">
        <f t="shared" si="72"/>
        <v>307965.88356570248</v>
      </c>
      <c r="D350" s="39">
        <f t="shared" si="78"/>
        <v>13649.235896661408</v>
      </c>
      <c r="E350" s="36">
        <f t="shared" si="66"/>
        <v>1539.8294178285123</v>
      </c>
      <c r="F350" s="36">
        <f t="shared" si="76"/>
        <v>12109.406478832896</v>
      </c>
      <c r="G350" s="36">
        <f t="shared" si="73"/>
        <v>0</v>
      </c>
      <c r="H350" s="38">
        <f t="shared" si="77"/>
        <v>736.20941451244141</v>
      </c>
      <c r="I350" s="36">
        <f t="shared" si="74"/>
        <v>295120.26767235715</v>
      </c>
      <c r="J350" s="2">
        <f t="shared" si="68"/>
        <v>337</v>
      </c>
      <c r="K350" s="44">
        <f t="shared" si="69"/>
        <v>6.9898891304054356E-3</v>
      </c>
      <c r="L350" s="41">
        <f t="shared" si="70"/>
        <v>0.4</v>
      </c>
      <c r="M350" s="42">
        <f t="shared" si="67"/>
        <v>1</v>
      </c>
      <c r="N350" s="43">
        <f>(VLOOKUP(MONTH('Amortization Model S Shape'!$B350),Seasonality,2,TRUE))</f>
        <v>0.89</v>
      </c>
      <c r="O350" s="50">
        <f t="shared" si="75"/>
        <v>2.4884005304243351E-3</v>
      </c>
    </row>
    <row r="351" spans="2:15" ht="15" x14ac:dyDescent="0.25">
      <c r="B351" s="57">
        <f t="shared" si="71"/>
        <v>52628</v>
      </c>
      <c r="C351" s="36">
        <f t="shared" si="72"/>
        <v>295120.26767235715</v>
      </c>
      <c r="D351" s="39">
        <f t="shared" si="78"/>
        <v>13615.271130816272</v>
      </c>
      <c r="E351" s="36">
        <f t="shared" si="66"/>
        <v>1475.6013383617856</v>
      </c>
      <c r="F351" s="36">
        <f t="shared" si="76"/>
        <v>12139.669792454486</v>
      </c>
      <c r="G351" s="36">
        <f t="shared" si="73"/>
        <v>0</v>
      </c>
      <c r="H351" s="38">
        <f t="shared" si="77"/>
        <v>712.08108188509084</v>
      </c>
      <c r="I351" s="36">
        <f t="shared" si="74"/>
        <v>282268.5167980176</v>
      </c>
      <c r="J351" s="2">
        <f t="shared" si="68"/>
        <v>338</v>
      </c>
      <c r="K351" s="44">
        <f t="shared" si="69"/>
        <v>6.9898891304054356E-3</v>
      </c>
      <c r="L351" s="41">
        <f t="shared" si="70"/>
        <v>0.4</v>
      </c>
      <c r="M351" s="42">
        <f t="shared" si="67"/>
        <v>1</v>
      </c>
      <c r="N351" s="43">
        <f>(VLOOKUP(MONTH('Amortization Model S Shape'!$B351),Seasonality,2,TRUE))</f>
        <v>0.9</v>
      </c>
      <c r="O351" s="50">
        <f t="shared" si="75"/>
        <v>2.516360086945957E-3</v>
      </c>
    </row>
    <row r="352" spans="2:15" ht="15" x14ac:dyDescent="0.25">
      <c r="B352" s="57">
        <f t="shared" si="71"/>
        <v>52657</v>
      </c>
      <c r="C352" s="36">
        <f t="shared" si="72"/>
        <v>282268.5167980176</v>
      </c>
      <c r="D352" s="39">
        <f t="shared" si="78"/>
        <v>13581.010205969738</v>
      </c>
      <c r="E352" s="36">
        <f t="shared" si="66"/>
        <v>1411.3425839900881</v>
      </c>
      <c r="F352" s="36">
        <f t="shared" si="76"/>
        <v>12169.66762197965</v>
      </c>
      <c r="G352" s="36">
        <f t="shared" si="73"/>
        <v>0</v>
      </c>
      <c r="H352" s="38">
        <f t="shared" si="77"/>
        <v>717.42518379642979</v>
      </c>
      <c r="I352" s="36">
        <f t="shared" si="74"/>
        <v>269381.4239922415</v>
      </c>
      <c r="J352" s="2">
        <f t="shared" si="68"/>
        <v>339</v>
      </c>
      <c r="K352" s="44">
        <f t="shared" si="69"/>
        <v>6.9898891304054356E-3</v>
      </c>
      <c r="L352" s="41">
        <f t="shared" si="70"/>
        <v>0.4</v>
      </c>
      <c r="M352" s="42">
        <f t="shared" si="67"/>
        <v>1</v>
      </c>
      <c r="N352" s="43">
        <f>(VLOOKUP(MONTH('Amortization Model S Shape'!$B352),Seasonality,2,TRUE))</f>
        <v>0.95</v>
      </c>
      <c r="O352" s="50">
        <f t="shared" si="75"/>
        <v>2.6561578695540656E-3</v>
      </c>
    </row>
    <row r="353" spans="2:15" ht="15" x14ac:dyDescent="0.25">
      <c r="B353" s="57">
        <f t="shared" si="71"/>
        <v>52688</v>
      </c>
      <c r="C353" s="36">
        <f t="shared" si="72"/>
        <v>269381.4239922415</v>
      </c>
      <c r="D353" s="39">
        <f t="shared" si="78"/>
        <v>13544.936898834656</v>
      </c>
      <c r="E353" s="36">
        <f t="shared" si="66"/>
        <v>1346.9071199612074</v>
      </c>
      <c r="F353" s="36">
        <f t="shared" si="76"/>
        <v>12198.029778873448</v>
      </c>
      <c r="G353" s="36">
        <f t="shared" si="73"/>
        <v>0</v>
      </c>
      <c r="H353" s="38">
        <f t="shared" si="77"/>
        <v>690.31043010539418</v>
      </c>
      <c r="I353" s="36">
        <f t="shared" si="74"/>
        <v>256493.08378326264</v>
      </c>
      <c r="J353" s="2">
        <f t="shared" si="68"/>
        <v>340</v>
      </c>
      <c r="K353" s="44">
        <f t="shared" si="69"/>
        <v>6.9898891304054356E-3</v>
      </c>
      <c r="L353" s="41">
        <f t="shared" si="70"/>
        <v>0.4</v>
      </c>
      <c r="M353" s="42">
        <f t="shared" si="67"/>
        <v>1</v>
      </c>
      <c r="N353" s="43">
        <f>(VLOOKUP(MONTH('Amortization Model S Shape'!$B353),Seasonality,2,TRUE))</f>
        <v>0.96</v>
      </c>
      <c r="O353" s="50">
        <f t="shared" si="75"/>
        <v>2.6841174260756871E-3</v>
      </c>
    </row>
    <row r="354" spans="2:15" ht="15" x14ac:dyDescent="0.25">
      <c r="B354" s="57">
        <f t="shared" si="71"/>
        <v>52718</v>
      </c>
      <c r="C354" s="36">
        <f t="shared" si="72"/>
        <v>256493.08378326264</v>
      </c>
      <c r="D354" s="39">
        <f t="shared" si="78"/>
        <v>13508.580697669398</v>
      </c>
      <c r="E354" s="36">
        <f t="shared" si="66"/>
        <v>1282.4654189163132</v>
      </c>
      <c r="F354" s="36">
        <f t="shared" si="76"/>
        <v>12226.115278753085</v>
      </c>
      <c r="G354" s="36">
        <f t="shared" si="73"/>
        <v>0</v>
      </c>
      <c r="H354" s="38">
        <f t="shared" si="77"/>
        <v>723.9371879003055</v>
      </c>
      <c r="I354" s="36">
        <f t="shared" si="74"/>
        <v>243543.03131660927</v>
      </c>
      <c r="J354" s="2">
        <f t="shared" si="68"/>
        <v>341</v>
      </c>
      <c r="K354" s="44">
        <f t="shared" si="69"/>
        <v>6.9898891304054356E-3</v>
      </c>
      <c r="L354" s="41">
        <f t="shared" si="70"/>
        <v>0.4</v>
      </c>
      <c r="M354" s="42">
        <f t="shared" si="67"/>
        <v>1</v>
      </c>
      <c r="N354" s="43">
        <f>(VLOOKUP(MONTH('Amortization Model S Shape'!$B354),Seasonality,2,TRUE))</f>
        <v>1.06</v>
      </c>
      <c r="O354" s="50">
        <f t="shared" si="75"/>
        <v>2.9637129912919048E-3</v>
      </c>
    </row>
    <row r="355" spans="2:15" ht="15" x14ac:dyDescent="0.25">
      <c r="B355" s="57">
        <f t="shared" si="71"/>
        <v>52749</v>
      </c>
      <c r="C355" s="36">
        <f t="shared" si="72"/>
        <v>243543.03131660927</v>
      </c>
      <c r="D355" s="39">
        <f t="shared" si="78"/>
        <v>13468.545141561803</v>
      </c>
      <c r="E355" s="36">
        <f t="shared" si="66"/>
        <v>1217.7151565830463</v>
      </c>
      <c r="F355" s="36">
        <f t="shared" si="76"/>
        <v>12250.829984978756</v>
      </c>
      <c r="G355" s="36">
        <f t="shared" si="73"/>
        <v>0</v>
      </c>
      <c r="H355" s="38">
        <f t="shared" si="77"/>
        <v>704.88418399948227</v>
      </c>
      <c r="I355" s="36">
        <f t="shared" si="74"/>
        <v>230587.31714763105</v>
      </c>
      <c r="J355" s="2">
        <f t="shared" si="68"/>
        <v>342</v>
      </c>
      <c r="K355" s="44">
        <f t="shared" si="69"/>
        <v>6.9898891304054356E-3</v>
      </c>
      <c r="L355" s="41">
        <f t="shared" si="70"/>
        <v>0.4</v>
      </c>
      <c r="M355" s="42">
        <f t="shared" si="67"/>
        <v>1</v>
      </c>
      <c r="N355" s="43">
        <f>(VLOOKUP(MONTH('Amortization Model S Shape'!$B355),Seasonality,2,TRUE))</f>
        <v>1.0900000000000001</v>
      </c>
      <c r="O355" s="50">
        <f t="shared" si="75"/>
        <v>3.04759166085677E-3</v>
      </c>
    </row>
    <row r="356" spans="2:15" ht="15" x14ac:dyDescent="0.25">
      <c r="B356" s="57">
        <f t="shared" si="71"/>
        <v>52779</v>
      </c>
      <c r="C356" s="36">
        <f t="shared" si="72"/>
        <v>230587.31714763105</v>
      </c>
      <c r="D356" s="39">
        <f t="shared" si="78"/>
        <v>13427.498515704505</v>
      </c>
      <c r="E356" s="36">
        <f t="shared" si="66"/>
        <v>1152.9365857381551</v>
      </c>
      <c r="F356" s="36">
        <f t="shared" si="76"/>
        <v>12274.56192996635</v>
      </c>
      <c r="G356" s="36">
        <f t="shared" si="73"/>
        <v>0</v>
      </c>
      <c r="H356" s="38">
        <f t="shared" si="77"/>
        <v>671.43206007891956</v>
      </c>
      <c r="I356" s="36">
        <f t="shared" si="74"/>
        <v>217641.32315758578</v>
      </c>
      <c r="J356" s="2">
        <f t="shared" si="68"/>
        <v>343</v>
      </c>
      <c r="K356" s="44">
        <f t="shared" si="69"/>
        <v>6.9898891304054356E-3</v>
      </c>
      <c r="L356" s="41">
        <f t="shared" si="70"/>
        <v>0.4</v>
      </c>
      <c r="M356" s="42">
        <f t="shared" si="67"/>
        <v>1</v>
      </c>
      <c r="N356" s="43">
        <f>(VLOOKUP(MONTH('Amortization Model S Shape'!$B356),Seasonality,2,TRUE))</f>
        <v>1.1000000000000001</v>
      </c>
      <c r="O356" s="50">
        <f t="shared" si="75"/>
        <v>3.0755512173783919E-3</v>
      </c>
    </row>
    <row r="357" spans="2:15" ht="15" x14ac:dyDescent="0.25">
      <c r="B357" s="57">
        <f t="shared" si="71"/>
        <v>52810</v>
      </c>
      <c r="C357" s="36">
        <f t="shared" si="72"/>
        <v>217641.32315758578</v>
      </c>
      <c r="D357" s="39">
        <f t="shared" si="78"/>
        <v>13386.201556298189</v>
      </c>
      <c r="E357" s="36">
        <f t="shared" si="66"/>
        <v>1088.2066157879287</v>
      </c>
      <c r="F357" s="36">
        <f t="shared" si="76"/>
        <v>12297.99494051026</v>
      </c>
      <c r="G357" s="36">
        <f t="shared" si="73"/>
        <v>0</v>
      </c>
      <c r="H357" s="38">
        <f t="shared" si="77"/>
        <v>660.25046503667352</v>
      </c>
      <c r="I357" s="36">
        <f t="shared" si="74"/>
        <v>204683.07775203887</v>
      </c>
      <c r="J357" s="2">
        <f t="shared" si="68"/>
        <v>344</v>
      </c>
      <c r="K357" s="44">
        <f t="shared" si="69"/>
        <v>6.9898891304054356E-3</v>
      </c>
      <c r="L357" s="41">
        <f t="shared" si="70"/>
        <v>0.4</v>
      </c>
      <c r="M357" s="42">
        <f t="shared" si="67"/>
        <v>1</v>
      </c>
      <c r="N357" s="43">
        <f>(VLOOKUP(MONTH('Amortization Model S Shape'!$B357),Seasonality,2,TRUE))</f>
        <v>1.1499999999999999</v>
      </c>
      <c r="O357" s="50">
        <f t="shared" si="75"/>
        <v>3.2153489999865001E-3</v>
      </c>
    </row>
    <row r="358" spans="2:15" ht="15" x14ac:dyDescent="0.25">
      <c r="B358" s="57">
        <f t="shared" si="71"/>
        <v>52841</v>
      </c>
      <c r="C358" s="36">
        <f t="shared" si="72"/>
        <v>204683.07775203887</v>
      </c>
      <c r="D358" s="39">
        <f t="shared" si="78"/>
        <v>13343.160246510526</v>
      </c>
      <c r="E358" s="36">
        <f t="shared" si="66"/>
        <v>1023.4153887601942</v>
      </c>
      <c r="F358" s="36">
        <f t="shared" si="76"/>
        <v>12319.744857750331</v>
      </c>
      <c r="G358" s="36">
        <f t="shared" si="73"/>
        <v>0</v>
      </c>
      <c r="H358" s="38">
        <f t="shared" si="77"/>
        <v>607.7584630982301</v>
      </c>
      <c r="I358" s="36">
        <f t="shared" si="74"/>
        <v>191755.5744311903</v>
      </c>
      <c r="J358" s="2">
        <f t="shared" si="68"/>
        <v>345</v>
      </c>
      <c r="K358" s="44">
        <f t="shared" si="69"/>
        <v>6.9898891304054356E-3</v>
      </c>
      <c r="L358" s="41">
        <f t="shared" si="70"/>
        <v>0.4</v>
      </c>
      <c r="M358" s="42">
        <f t="shared" si="67"/>
        <v>1</v>
      </c>
      <c r="N358" s="43">
        <f>(VLOOKUP(MONTH('Amortization Model S Shape'!$B358),Seasonality,2,TRUE))</f>
        <v>1.1299999999999999</v>
      </c>
      <c r="O358" s="50">
        <f t="shared" si="75"/>
        <v>3.1594298869432567E-3</v>
      </c>
    </row>
    <row r="359" spans="2:15" ht="15" x14ac:dyDescent="0.25">
      <c r="B359" s="57">
        <f t="shared" si="71"/>
        <v>52871</v>
      </c>
      <c r="C359" s="36">
        <f t="shared" si="72"/>
        <v>191755.5744311903</v>
      </c>
      <c r="D359" s="39">
        <f t="shared" si="78"/>
        <v>13301.003467241428</v>
      </c>
      <c r="E359" s="36">
        <f t="shared" si="66"/>
        <v>958.77787215595151</v>
      </c>
      <c r="F359" s="36">
        <f t="shared" si="76"/>
        <v>12342.225595085476</v>
      </c>
      <c r="G359" s="36">
        <f t="shared" si="73"/>
        <v>0</v>
      </c>
      <c r="H359" s="38">
        <f t="shared" si="77"/>
        <v>506.64808441916767</v>
      </c>
      <c r="I359" s="36">
        <f t="shared" si="74"/>
        <v>178906.70075168565</v>
      </c>
      <c r="J359" s="2">
        <f t="shared" si="68"/>
        <v>346</v>
      </c>
      <c r="K359" s="44">
        <f t="shared" si="69"/>
        <v>6.9898891304054356E-3</v>
      </c>
      <c r="L359" s="41">
        <f t="shared" si="70"/>
        <v>0.4</v>
      </c>
      <c r="M359" s="42">
        <f t="shared" si="67"/>
        <v>1</v>
      </c>
      <c r="N359" s="43">
        <f>(VLOOKUP(MONTH('Amortization Model S Shape'!$B359),Seasonality,2,TRUE))</f>
        <v>1.01</v>
      </c>
      <c r="O359" s="50">
        <f t="shared" si="75"/>
        <v>2.8239152086837961E-3</v>
      </c>
    </row>
    <row r="360" spans="2:15" ht="15" x14ac:dyDescent="0.25">
      <c r="B360" s="57">
        <f t="shared" si="71"/>
        <v>52902</v>
      </c>
      <c r="C360" s="36">
        <f t="shared" si="72"/>
        <v>178906.70075168565</v>
      </c>
      <c r="D360" s="39">
        <f t="shared" si="78"/>
        <v>13263.442561259531</v>
      </c>
      <c r="E360" s="36">
        <f t="shared" si="66"/>
        <v>894.5335037584282</v>
      </c>
      <c r="F360" s="36">
        <f t="shared" si="76"/>
        <v>12368.909057501103</v>
      </c>
      <c r="G360" s="36">
        <f t="shared" si="73"/>
        <v>0</v>
      </c>
      <c r="H360" s="38">
        <f t="shared" si="77"/>
        <v>400.44376078792743</v>
      </c>
      <c r="I360" s="36">
        <f t="shared" si="74"/>
        <v>166137.34793339664</v>
      </c>
      <c r="J360" s="2">
        <f t="shared" si="68"/>
        <v>347</v>
      </c>
      <c r="K360" s="44">
        <f t="shared" si="69"/>
        <v>6.9898891304054356E-3</v>
      </c>
      <c r="L360" s="41">
        <f t="shared" si="70"/>
        <v>0.4</v>
      </c>
      <c r="M360" s="42">
        <f t="shared" si="67"/>
        <v>1</v>
      </c>
      <c r="N360" s="43">
        <f>(VLOOKUP(MONTH('Amortization Model S Shape'!$B360),Seasonality,2,TRUE))</f>
        <v>0.86</v>
      </c>
      <c r="O360" s="50">
        <f t="shared" si="75"/>
        <v>2.4045218608594698E-3</v>
      </c>
    </row>
    <row r="361" spans="2:15" ht="15" x14ac:dyDescent="0.25">
      <c r="B361" s="57">
        <f t="shared" si="71"/>
        <v>52932</v>
      </c>
      <c r="C361" s="36">
        <f t="shared" si="72"/>
        <v>166137.34793339664</v>
      </c>
      <c r="D361" s="39">
        <f t="shared" si="78"/>
        <v>13231.550323670728</v>
      </c>
      <c r="E361" s="36">
        <f t="shared" si="66"/>
        <v>830.68673966698316</v>
      </c>
      <c r="F361" s="36">
        <f t="shared" si="76"/>
        <v>12400.863584003746</v>
      </c>
      <c r="G361" s="36">
        <f t="shared" si="73"/>
        <v>0</v>
      </c>
      <c r="H361" s="40">
        <f t="shared" si="77"/>
        <v>386.85635312420402</v>
      </c>
      <c r="I361" s="36">
        <f t="shared" si="74"/>
        <v>153349.62799626868</v>
      </c>
      <c r="J361" s="2">
        <f t="shared" si="68"/>
        <v>348</v>
      </c>
      <c r="K361" s="44">
        <f t="shared" si="69"/>
        <v>6.9898891304054356E-3</v>
      </c>
      <c r="L361" s="41">
        <f t="shared" si="70"/>
        <v>0.4</v>
      </c>
      <c r="M361" s="42">
        <f t="shared" si="67"/>
        <v>1</v>
      </c>
      <c r="N361" s="43">
        <f>(VLOOKUP(MONTH('Amortization Model S Shape'!$B361),Seasonality,2,TRUE))</f>
        <v>0.9</v>
      </c>
      <c r="O361" s="50">
        <f t="shared" si="75"/>
        <v>2.516360086945957E-3</v>
      </c>
    </row>
    <row r="362" spans="2:15" ht="15" x14ac:dyDescent="0.25">
      <c r="B362" s="57">
        <f t="shared" si="71"/>
        <v>52963</v>
      </c>
      <c r="C362" s="36">
        <f t="shared" si="72"/>
        <v>153349.62799626868</v>
      </c>
      <c r="D362" s="39">
        <f t="shared" si="78"/>
        <v>13198.254978547822</v>
      </c>
      <c r="E362" s="36">
        <f t="shared" si="66"/>
        <v>766.74813998134334</v>
      </c>
      <c r="F362" s="36">
        <f t="shared" si="76"/>
        <v>12431.506838566478</v>
      </c>
      <c r="G362" s="36">
        <f t="shared" si="73"/>
        <v>0</v>
      </c>
      <c r="H362" s="38">
        <f t="shared" si="77"/>
        <v>350.66072743522687</v>
      </c>
      <c r="I362" s="36">
        <f t="shared" si="74"/>
        <v>140567.46043026698</v>
      </c>
      <c r="J362" s="2">
        <f t="shared" si="68"/>
        <v>349</v>
      </c>
      <c r="K362" s="44">
        <f t="shared" si="69"/>
        <v>6.9898891304054356E-3</v>
      </c>
      <c r="L362" s="41">
        <f t="shared" si="70"/>
        <v>0.4</v>
      </c>
      <c r="M362" s="42">
        <f t="shared" si="67"/>
        <v>1</v>
      </c>
      <c r="N362" s="43">
        <f>(VLOOKUP(MONTH('Amortization Model S Shape'!$B362),Seasonality,2,TRUE))</f>
        <v>0.89</v>
      </c>
      <c r="O362" s="50">
        <f t="shared" si="75"/>
        <v>2.4884005304243351E-3</v>
      </c>
    </row>
    <row r="363" spans="2:15" ht="15" x14ac:dyDescent="0.25">
      <c r="B363" s="57">
        <f t="shared" si="71"/>
        <v>52994</v>
      </c>
      <c r="C363" s="36">
        <f t="shared" si="72"/>
        <v>140567.46043026698</v>
      </c>
      <c r="D363" s="39">
        <f t="shared" si="78"/>
        <v>13165.41243385853</v>
      </c>
      <c r="E363" s="36">
        <f t="shared" si="66"/>
        <v>702.83730215133482</v>
      </c>
      <c r="F363" s="36">
        <f t="shared" si="76"/>
        <v>12462.575131707195</v>
      </c>
      <c r="G363" s="36">
        <f t="shared" si="73"/>
        <v>0</v>
      </c>
      <c r="H363" s="38">
        <f t="shared" si="77"/>
        <v>322.35802030808571</v>
      </c>
      <c r="I363" s="36">
        <f t="shared" si="74"/>
        <v>127782.52727825168</v>
      </c>
      <c r="J363" s="2">
        <f t="shared" si="68"/>
        <v>350</v>
      </c>
      <c r="K363" s="44">
        <f t="shared" si="69"/>
        <v>6.9898891304054356E-3</v>
      </c>
      <c r="L363" s="41">
        <f t="shared" si="70"/>
        <v>0.4</v>
      </c>
      <c r="M363" s="42">
        <f t="shared" si="67"/>
        <v>1</v>
      </c>
      <c r="N363" s="43">
        <f>(VLOOKUP(MONTH('Amortization Model S Shape'!$B363),Seasonality,2,TRUE))</f>
        <v>0.9</v>
      </c>
      <c r="O363" s="50">
        <f t="shared" si="75"/>
        <v>2.516360086945957E-3</v>
      </c>
    </row>
    <row r="364" spans="2:15" ht="15" x14ac:dyDescent="0.25">
      <c r="B364" s="57">
        <f t="shared" si="71"/>
        <v>53022</v>
      </c>
      <c r="C364" s="36">
        <f t="shared" si="72"/>
        <v>127782.52727825168</v>
      </c>
      <c r="D364" s="39">
        <f t="shared" si="78"/>
        <v>13132.283515481786</v>
      </c>
      <c r="E364" s="36">
        <f t="shared" si="66"/>
        <v>638.91263639125839</v>
      </c>
      <c r="F364" s="36">
        <f t="shared" si="76"/>
        <v>12493.370879090528</v>
      </c>
      <c r="G364" s="36">
        <f t="shared" si="73"/>
        <v>0</v>
      </c>
      <c r="H364" s="38">
        <f t="shared" si="77"/>
        <v>306.22620004388136</v>
      </c>
      <c r="I364" s="36">
        <f t="shared" si="74"/>
        <v>114982.93019911728</v>
      </c>
      <c r="J364" s="2">
        <f t="shared" si="68"/>
        <v>351</v>
      </c>
      <c r="K364" s="44">
        <f t="shared" si="69"/>
        <v>6.9898891304054356E-3</v>
      </c>
      <c r="L364" s="41">
        <f t="shared" si="70"/>
        <v>0.4</v>
      </c>
      <c r="M364" s="42">
        <f t="shared" si="67"/>
        <v>1</v>
      </c>
      <c r="N364" s="43">
        <f>(VLOOKUP(MONTH('Amortization Model S Shape'!$B364),Seasonality,2,TRUE))</f>
        <v>0.95</v>
      </c>
      <c r="O364" s="50">
        <f t="shared" si="75"/>
        <v>2.6561578695540656E-3</v>
      </c>
    </row>
    <row r="365" spans="2:15" ht="15" x14ac:dyDescent="0.25">
      <c r="B365" s="57">
        <f t="shared" si="71"/>
        <v>53053</v>
      </c>
      <c r="C365" s="36">
        <f t="shared" si="72"/>
        <v>114982.93019911728</v>
      </c>
      <c r="D365" s="39">
        <f t="shared" si="78"/>
        <v>13097.402097276925</v>
      </c>
      <c r="E365" s="36">
        <f t="shared" si="66"/>
        <v>574.91465099558638</v>
      </c>
      <c r="F365" s="36">
        <f t="shared" si="76"/>
        <v>12522.487446281339</v>
      </c>
      <c r="G365" s="36">
        <f t="shared" si="73"/>
        <v>0</v>
      </c>
      <c r="H365" s="38">
        <f t="shared" si="77"/>
        <v>275.01585987631734</v>
      </c>
      <c r="I365" s="36">
        <f t="shared" si="74"/>
        <v>102185.42689295963</v>
      </c>
      <c r="J365" s="2">
        <f t="shared" si="68"/>
        <v>352</v>
      </c>
      <c r="K365" s="44">
        <f t="shared" si="69"/>
        <v>6.9898891304054356E-3</v>
      </c>
      <c r="L365" s="41">
        <f t="shared" si="70"/>
        <v>0.4</v>
      </c>
      <c r="M365" s="42">
        <f t="shared" si="67"/>
        <v>1</v>
      </c>
      <c r="N365" s="43">
        <f>(VLOOKUP(MONTH('Amortization Model S Shape'!$B365),Seasonality,2,TRUE))</f>
        <v>0.96</v>
      </c>
      <c r="O365" s="50">
        <f t="shared" si="75"/>
        <v>2.6841174260756871E-3</v>
      </c>
    </row>
    <row r="366" spans="2:15" ht="15" x14ac:dyDescent="0.25">
      <c r="B366" s="57">
        <f t="shared" si="71"/>
        <v>53083</v>
      </c>
      <c r="C366" s="36">
        <f t="shared" si="72"/>
        <v>102185.42689295963</v>
      </c>
      <c r="D366" s="39">
        <f t="shared" si="78"/>
        <v>13062.247132071307</v>
      </c>
      <c r="E366" s="36">
        <f t="shared" si="66"/>
        <v>510.92713446479814</v>
      </c>
      <c r="F366" s="36">
        <f t="shared" si="76"/>
        <v>12551.319997606508</v>
      </c>
      <c r="G366" s="36">
        <f t="shared" si="73"/>
        <v>0</v>
      </c>
      <c r="H366" s="38">
        <f t="shared" si="77"/>
        <v>265.64976706860534</v>
      </c>
      <c r="I366" s="36">
        <f t="shared" si="74"/>
        <v>89368.457128284514</v>
      </c>
      <c r="J366" s="2">
        <f t="shared" si="68"/>
        <v>353</v>
      </c>
      <c r="K366" s="44">
        <f t="shared" si="69"/>
        <v>6.9898891304054356E-3</v>
      </c>
      <c r="L366" s="41">
        <f t="shared" si="70"/>
        <v>0.4</v>
      </c>
      <c r="M366" s="42">
        <f t="shared" si="67"/>
        <v>1</v>
      </c>
      <c r="N366" s="43">
        <f>(VLOOKUP(MONTH('Amortization Model S Shape'!$B366),Seasonality,2,TRUE))</f>
        <v>1.06</v>
      </c>
      <c r="O366" s="50">
        <f t="shared" si="75"/>
        <v>2.9637129912919048E-3</v>
      </c>
    </row>
    <row r="367" spans="2:15" ht="15" x14ac:dyDescent="0.25">
      <c r="B367" s="57">
        <f t="shared" si="71"/>
        <v>53114</v>
      </c>
      <c r="C367" s="36">
        <f t="shared" si="72"/>
        <v>89368.457128284514</v>
      </c>
      <c r="D367" s="39">
        <f t="shared" si="78"/>
        <v>13023.534380550522</v>
      </c>
      <c r="E367" s="36">
        <f t="shared" si="66"/>
        <v>446.84228564142251</v>
      </c>
      <c r="F367" s="36">
        <f t="shared" si="76"/>
        <v>12576.6920949091</v>
      </c>
      <c r="G367" s="36">
        <f t="shared" si="73"/>
        <v>0</v>
      </c>
      <c r="H367" s="38">
        <f t="shared" si="77"/>
        <v>234.0299427381874</v>
      </c>
      <c r="I367" s="36">
        <f t="shared" si="74"/>
        <v>76557.73509063723</v>
      </c>
      <c r="J367" s="2">
        <f t="shared" si="68"/>
        <v>354</v>
      </c>
      <c r="K367" s="44">
        <f t="shared" si="69"/>
        <v>6.9898891304054356E-3</v>
      </c>
      <c r="L367" s="41">
        <f t="shared" si="70"/>
        <v>0.4</v>
      </c>
      <c r="M367" s="42">
        <f t="shared" si="67"/>
        <v>1</v>
      </c>
      <c r="N367" s="43">
        <f>(VLOOKUP(MONTH('Amortization Model S Shape'!$B367),Seasonality,2,TRUE))</f>
        <v>1.0900000000000001</v>
      </c>
      <c r="O367" s="50">
        <f t="shared" si="75"/>
        <v>3.04759166085677E-3</v>
      </c>
    </row>
    <row r="368" spans="2:15" ht="15" x14ac:dyDescent="0.25">
      <c r="B368" s="57">
        <f t="shared" si="71"/>
        <v>53144</v>
      </c>
      <c r="C368" s="36">
        <f t="shared" si="72"/>
        <v>76557.73509063723</v>
      </c>
      <c r="D368" s="39">
        <f t="shared" si="78"/>
        <v>12983.843965777472</v>
      </c>
      <c r="E368" s="36">
        <f t="shared" si="66"/>
        <v>382.78867545318616</v>
      </c>
      <c r="F368" s="36">
        <f t="shared" si="76"/>
        <v>12601.055290324286</v>
      </c>
      <c r="G368" s="36">
        <f t="shared" si="73"/>
        <v>0</v>
      </c>
      <c r="H368" s="38">
        <f t="shared" si="77"/>
        <v>196.70204441933248</v>
      </c>
      <c r="I368" s="36">
        <f t="shared" si="74"/>
        <v>63759.977755893611</v>
      </c>
      <c r="J368" s="2">
        <f t="shared" si="68"/>
        <v>355</v>
      </c>
      <c r="K368" s="44">
        <f t="shared" si="69"/>
        <v>6.9898891304054356E-3</v>
      </c>
      <c r="L368" s="41">
        <f t="shared" si="70"/>
        <v>0.4</v>
      </c>
      <c r="M368" s="42">
        <f t="shared" si="67"/>
        <v>1</v>
      </c>
      <c r="N368" s="43">
        <f>(VLOOKUP(MONTH('Amortization Model S Shape'!$B368),Seasonality,2,TRUE))</f>
        <v>1.1000000000000001</v>
      </c>
      <c r="O368" s="50">
        <f t="shared" si="75"/>
        <v>3.0755512173783919E-3</v>
      </c>
    </row>
    <row r="369" spans="2:15" ht="15" x14ac:dyDescent="0.25">
      <c r="B369" s="57">
        <f t="shared" si="71"/>
        <v>53175</v>
      </c>
      <c r="C369" s="36">
        <f t="shared" si="72"/>
        <v>63759.977755893611</v>
      </c>
      <c r="D369" s="39">
        <f t="shared" si="78"/>
        <v>12943.911488662276</v>
      </c>
      <c r="E369" s="36">
        <f t="shared" si="66"/>
        <v>318.79988877946806</v>
      </c>
      <c r="F369" s="36">
        <f t="shared" si="76"/>
        <v>12625.111599882808</v>
      </c>
      <c r="G369" s="36">
        <f t="shared" si="73"/>
        <v>0</v>
      </c>
      <c r="H369" s="38">
        <f t="shared" si="77"/>
        <v>164.41644075917287</v>
      </c>
      <c r="I369" s="36">
        <f t="shared" si="74"/>
        <v>50970.449715251627</v>
      </c>
      <c r="J369" s="2">
        <f t="shared" si="68"/>
        <v>356</v>
      </c>
      <c r="K369" s="44">
        <f t="shared" si="69"/>
        <v>6.9898891304054356E-3</v>
      </c>
      <c r="L369" s="41">
        <f t="shared" si="70"/>
        <v>0.4</v>
      </c>
      <c r="M369" s="42">
        <f t="shared" si="67"/>
        <v>1</v>
      </c>
      <c r="N369" s="43">
        <f>(VLOOKUP(MONTH('Amortization Model S Shape'!$B369),Seasonality,2,TRUE))</f>
        <v>1.1499999999999999</v>
      </c>
      <c r="O369" s="50">
        <f t="shared" si="75"/>
        <v>3.2153489999865001E-3</v>
      </c>
    </row>
    <row r="370" spans="2:15" ht="15" x14ac:dyDescent="0.25">
      <c r="B370" s="57">
        <f t="shared" si="71"/>
        <v>53206</v>
      </c>
      <c r="C370" s="36">
        <f t="shared" si="72"/>
        <v>50970.449715251627</v>
      </c>
      <c r="D370" s="39">
        <f t="shared" si="78"/>
        <v>12902.292295801293</v>
      </c>
      <c r="E370" s="36">
        <f t="shared" si="66"/>
        <v>254.85224857625812</v>
      </c>
      <c r="F370" s="36">
        <f t="shared" si="76"/>
        <v>12647.440047225035</v>
      </c>
      <c r="G370" s="36">
        <f t="shared" si="73"/>
        <v>0</v>
      </c>
      <c r="H370" s="38">
        <f t="shared" si="77"/>
        <v>121.07886210277859</v>
      </c>
      <c r="I370" s="36">
        <f t="shared" si="74"/>
        <v>38201.930805923817</v>
      </c>
      <c r="J370" s="2">
        <f t="shared" si="68"/>
        <v>357</v>
      </c>
      <c r="K370" s="44">
        <f t="shared" si="69"/>
        <v>6.9898891304054356E-3</v>
      </c>
      <c r="L370" s="41">
        <f t="shared" si="70"/>
        <v>0.4</v>
      </c>
      <c r="M370" s="42">
        <f t="shared" si="67"/>
        <v>1</v>
      </c>
      <c r="N370" s="43">
        <f>(VLOOKUP(MONTH('Amortization Model S Shape'!$B370),Seasonality,2,TRUE))</f>
        <v>1.1299999999999999</v>
      </c>
      <c r="O370" s="50">
        <f t="shared" si="75"/>
        <v>3.1594298869432567E-3</v>
      </c>
    </row>
    <row r="371" spans="2:15" ht="15" x14ac:dyDescent="0.25">
      <c r="B371" s="57">
        <f t="shared" si="71"/>
        <v>53236</v>
      </c>
      <c r="C371" s="36">
        <f t="shared" si="72"/>
        <v>38201.930805923817</v>
      </c>
      <c r="D371" s="39">
        <f t="shared" si="78"/>
        <v>12861.528407911861</v>
      </c>
      <c r="E371" s="36">
        <f t="shared" si="66"/>
        <v>191.0096540296191</v>
      </c>
      <c r="F371" s="36">
        <f t="shared" si="76"/>
        <v>12670.518753882241</v>
      </c>
      <c r="G371" s="36">
        <f t="shared" si="73"/>
        <v>0</v>
      </c>
      <c r="H371" s="38">
        <f t="shared" si="77"/>
        <v>72.098542792932975</v>
      </c>
      <c r="I371" s="36">
        <f t="shared" si="74"/>
        <v>25459.313509248641</v>
      </c>
      <c r="J371" s="2">
        <f t="shared" si="68"/>
        <v>358</v>
      </c>
      <c r="K371" s="44">
        <f t="shared" si="69"/>
        <v>6.9898891304054356E-3</v>
      </c>
      <c r="L371" s="41">
        <f t="shared" si="70"/>
        <v>0.4</v>
      </c>
      <c r="M371" s="42">
        <f t="shared" si="67"/>
        <v>1</v>
      </c>
      <c r="N371" s="43">
        <f>(VLOOKUP(MONTH('Amortization Model S Shape'!$B371),Seasonality,2,TRUE))</f>
        <v>1.01</v>
      </c>
      <c r="O371" s="50">
        <f t="shared" si="75"/>
        <v>2.8239152086837961E-3</v>
      </c>
    </row>
    <row r="372" spans="2:15" ht="15" x14ac:dyDescent="0.25">
      <c r="B372" s="57">
        <f t="shared" si="71"/>
        <v>53267</v>
      </c>
      <c r="C372" s="36">
        <f t="shared" si="72"/>
        <v>25459.313509248641</v>
      </c>
      <c r="D372" s="39">
        <f t="shared" si="78"/>
        <v>12825.208542233842</v>
      </c>
      <c r="E372" s="36">
        <f t="shared" si="66"/>
        <v>127.2965675462432</v>
      </c>
      <c r="F372" s="36">
        <f t="shared" si="76"/>
        <v>12697.911974687599</v>
      </c>
      <c r="G372" s="36">
        <f t="shared" si="73"/>
        <v>0</v>
      </c>
      <c r="H372" s="38">
        <f t="shared" si="77"/>
        <v>30.68506896505761</v>
      </c>
      <c r="I372" s="36">
        <f t="shared" si="74"/>
        <v>12730.716465595984</v>
      </c>
      <c r="J372" s="2">
        <f t="shared" si="68"/>
        <v>359</v>
      </c>
      <c r="K372" s="44">
        <f t="shared" si="69"/>
        <v>6.9898891304054356E-3</v>
      </c>
      <c r="L372" s="41">
        <f t="shared" si="70"/>
        <v>0.4</v>
      </c>
      <c r="M372" s="42">
        <f t="shared" si="67"/>
        <v>1</v>
      </c>
      <c r="N372" s="43">
        <f>(VLOOKUP(MONTH('Amortization Model S Shape'!$B372),Seasonality,2,TRUE))</f>
        <v>0.86</v>
      </c>
      <c r="O372" s="50">
        <f t="shared" si="75"/>
        <v>2.4045218608594698E-3</v>
      </c>
    </row>
    <row r="373" spans="2:15" ht="15" x14ac:dyDescent="0.25">
      <c r="B373" s="58">
        <f t="shared" si="71"/>
        <v>53297</v>
      </c>
      <c r="C373" s="36">
        <f t="shared" si="72"/>
        <v>12730.716465595984</v>
      </c>
      <c r="D373" s="39">
        <f t="shared" si="78"/>
        <v>12794.370047923963</v>
      </c>
      <c r="E373" s="36">
        <f t="shared" si="66"/>
        <v>63.653582327979912</v>
      </c>
      <c r="F373" s="36">
        <f t="shared" si="76"/>
        <v>12730.716465595984</v>
      </c>
      <c r="G373" s="36">
        <f t="shared" si="73"/>
        <v>0</v>
      </c>
      <c r="H373" s="40">
        <f t="shared" si="77"/>
        <v>0</v>
      </c>
      <c r="I373" s="36">
        <f t="shared" si="74"/>
        <v>0</v>
      </c>
      <c r="J373" s="2">
        <f t="shared" si="68"/>
        <v>360</v>
      </c>
      <c r="K373" s="51">
        <f t="shared" si="69"/>
        <v>6.9898891304054356E-3</v>
      </c>
      <c r="L373" s="52">
        <f t="shared" si="70"/>
        <v>0.4</v>
      </c>
      <c r="M373" s="53">
        <f t="shared" si="67"/>
        <v>1</v>
      </c>
      <c r="N373" s="54">
        <f>(VLOOKUP(MONTH('Amortization Model S Shape'!$B373),Seasonality,2,TRUE))</f>
        <v>0.9</v>
      </c>
      <c r="O373" s="55">
        <f t="shared" si="75"/>
        <v>2.516360086945957E-3</v>
      </c>
    </row>
    <row r="374" spans="2:15" x14ac:dyDescent="0.2">
      <c r="H374" s="1"/>
      <c r="J374" s="2"/>
    </row>
    <row r="375" spans="2:15" x14ac:dyDescent="0.2">
      <c r="H375" s="1"/>
      <c r="J375" s="2"/>
    </row>
    <row r="376" spans="2:15" x14ac:dyDescent="0.2">
      <c r="H376" s="1"/>
      <c r="J376" s="2"/>
    </row>
    <row r="377" spans="2:15" x14ac:dyDescent="0.2">
      <c r="H377" s="1"/>
      <c r="J377" s="2"/>
    </row>
    <row r="378" spans="2:15" x14ac:dyDescent="0.2">
      <c r="H378" s="1"/>
      <c r="J378" s="2"/>
    </row>
    <row r="379" spans="2:15" x14ac:dyDescent="0.2">
      <c r="H379" s="1"/>
      <c r="J379" s="2"/>
    </row>
    <row r="380" spans="2:15" x14ac:dyDescent="0.2">
      <c r="H380" s="1"/>
      <c r="J380" s="2"/>
    </row>
    <row r="381" spans="2:15" x14ac:dyDescent="0.2">
      <c r="H381" s="1"/>
      <c r="J381" s="2"/>
    </row>
    <row r="382" spans="2:15" x14ac:dyDescent="0.2">
      <c r="H382" s="1"/>
      <c r="J382" s="2"/>
    </row>
    <row r="383" spans="2:15" x14ac:dyDescent="0.2">
      <c r="H383" s="1"/>
      <c r="J383" s="2"/>
    </row>
    <row r="384" spans="2:15" x14ac:dyDescent="0.2">
      <c r="H384" s="1"/>
      <c r="J384" s="2"/>
    </row>
    <row r="385" spans="8:10" x14ac:dyDescent="0.2">
      <c r="H385" s="1"/>
      <c r="J385" s="2"/>
    </row>
    <row r="386" spans="8:10" x14ac:dyDescent="0.2">
      <c r="H386" s="1"/>
      <c r="J386" s="2"/>
    </row>
    <row r="387" spans="8:10" x14ac:dyDescent="0.2">
      <c r="H387" s="1"/>
      <c r="J387" s="2"/>
    </row>
    <row r="388" spans="8:10" x14ac:dyDescent="0.2">
      <c r="H388" s="1"/>
      <c r="J388" s="2"/>
    </row>
    <row r="389" spans="8:10" x14ac:dyDescent="0.2">
      <c r="H389" s="1"/>
      <c r="J389" s="2"/>
    </row>
    <row r="390" spans="8:10" x14ac:dyDescent="0.2">
      <c r="H390" s="1"/>
      <c r="J390" s="2"/>
    </row>
    <row r="391" spans="8:10" x14ac:dyDescent="0.2">
      <c r="H391" s="1"/>
      <c r="J391" s="2"/>
    </row>
    <row r="392" spans="8:10" x14ac:dyDescent="0.2">
      <c r="H392" s="1"/>
      <c r="J392" s="2"/>
    </row>
    <row r="393" spans="8:10" x14ac:dyDescent="0.2">
      <c r="H393" s="1"/>
      <c r="J393" s="2"/>
    </row>
    <row r="394" spans="8:10" x14ac:dyDescent="0.2">
      <c r="H394" s="1"/>
      <c r="J394" s="2"/>
    </row>
    <row r="395" spans="8:10" x14ac:dyDescent="0.2">
      <c r="H395" s="1"/>
      <c r="J395" s="2"/>
    </row>
    <row r="396" spans="8:10" x14ac:dyDescent="0.2">
      <c r="H396" s="1"/>
      <c r="J396" s="2"/>
    </row>
    <row r="397" spans="8:10" x14ac:dyDescent="0.2">
      <c r="H397" s="1"/>
      <c r="J397" s="2"/>
    </row>
    <row r="398" spans="8:10" x14ac:dyDescent="0.2">
      <c r="H398" s="1"/>
      <c r="J398" s="2"/>
    </row>
    <row r="399" spans="8:10" x14ac:dyDescent="0.2">
      <c r="H399" s="1"/>
      <c r="J399" s="2"/>
    </row>
    <row r="400" spans="8:10" x14ac:dyDescent="0.2">
      <c r="H400" s="1"/>
      <c r="J400" s="2"/>
    </row>
    <row r="401" spans="8:10" x14ac:dyDescent="0.2">
      <c r="H401" s="1"/>
      <c r="J401" s="2"/>
    </row>
    <row r="402" spans="8:10" x14ac:dyDescent="0.2">
      <c r="H402" s="1"/>
      <c r="J402" s="2"/>
    </row>
    <row r="403" spans="8:10" x14ac:dyDescent="0.2">
      <c r="H403" s="1"/>
      <c r="J403" s="2"/>
    </row>
    <row r="404" spans="8:10" x14ac:dyDescent="0.2">
      <c r="H404" s="1"/>
      <c r="J404" s="2"/>
    </row>
    <row r="405" spans="8:10" x14ac:dyDescent="0.2">
      <c r="H405" s="1"/>
      <c r="J405" s="2"/>
    </row>
    <row r="406" spans="8:10" x14ac:dyDescent="0.2">
      <c r="H406" s="1"/>
      <c r="J406" s="2"/>
    </row>
    <row r="407" spans="8:10" x14ac:dyDescent="0.2">
      <c r="H407" s="1"/>
      <c r="J407" s="2"/>
    </row>
    <row r="408" spans="8:10" x14ac:dyDescent="0.2">
      <c r="H408" s="1"/>
      <c r="J408" s="2"/>
    </row>
    <row r="409" spans="8:10" x14ac:dyDescent="0.2">
      <c r="H409" s="1"/>
      <c r="J409" s="2"/>
    </row>
    <row r="410" spans="8:10" x14ac:dyDescent="0.2">
      <c r="H410" s="1"/>
      <c r="J410" s="2"/>
    </row>
    <row r="411" spans="8:10" x14ac:dyDescent="0.2">
      <c r="H411" s="1"/>
      <c r="J411" s="2"/>
    </row>
    <row r="412" spans="8:10" x14ac:dyDescent="0.2">
      <c r="H412" s="1"/>
      <c r="J412" s="2"/>
    </row>
    <row r="413" spans="8:10" x14ac:dyDescent="0.2">
      <c r="H413" s="1"/>
      <c r="J413" s="2"/>
    </row>
    <row r="414" spans="8:10" x14ac:dyDescent="0.2">
      <c r="H414" s="1"/>
      <c r="J414" s="2"/>
    </row>
    <row r="415" spans="8:10" x14ac:dyDescent="0.2">
      <c r="H415" s="1"/>
      <c r="J415" s="2"/>
    </row>
    <row r="416" spans="8:10" x14ac:dyDescent="0.2">
      <c r="H416" s="1"/>
      <c r="J416" s="2"/>
    </row>
    <row r="417" spans="8:10" x14ac:dyDescent="0.2">
      <c r="H417" s="1"/>
      <c r="J417" s="2"/>
    </row>
    <row r="418" spans="8:10" x14ac:dyDescent="0.2">
      <c r="H418" s="1"/>
      <c r="J418" s="2"/>
    </row>
    <row r="419" spans="8:10" x14ac:dyDescent="0.2">
      <c r="H419" s="1"/>
      <c r="J419" s="2"/>
    </row>
    <row r="420" spans="8:10" x14ac:dyDescent="0.2">
      <c r="H420" s="1"/>
      <c r="J420" s="2"/>
    </row>
    <row r="421" spans="8:10" x14ac:dyDescent="0.2">
      <c r="H421" s="1"/>
      <c r="J421" s="2"/>
    </row>
    <row r="422" spans="8:10" x14ac:dyDescent="0.2">
      <c r="H422" s="1"/>
      <c r="J422" s="2"/>
    </row>
    <row r="423" spans="8:10" x14ac:dyDescent="0.2">
      <c r="H423" s="1"/>
      <c r="J423" s="2"/>
    </row>
    <row r="424" spans="8:10" x14ac:dyDescent="0.2">
      <c r="H424" s="1"/>
      <c r="J424" s="2"/>
    </row>
    <row r="425" spans="8:10" x14ac:dyDescent="0.2">
      <c r="H425" s="1"/>
      <c r="J425" s="2"/>
    </row>
    <row r="426" spans="8:10" x14ac:dyDescent="0.2">
      <c r="H426" s="1"/>
      <c r="J426" s="2"/>
    </row>
    <row r="427" spans="8:10" x14ac:dyDescent="0.2">
      <c r="H427" s="1"/>
      <c r="J427" s="2"/>
    </row>
    <row r="428" spans="8:10" x14ac:dyDescent="0.2">
      <c r="H428" s="1"/>
      <c r="J428" s="2"/>
    </row>
    <row r="429" spans="8:10" x14ac:dyDescent="0.2">
      <c r="H429" s="1"/>
      <c r="J429" s="2"/>
    </row>
    <row r="430" spans="8:10" x14ac:dyDescent="0.2">
      <c r="H430" s="1"/>
      <c r="J430" s="2"/>
    </row>
    <row r="431" spans="8:10" x14ac:dyDescent="0.2">
      <c r="H431" s="1"/>
      <c r="J431" s="2"/>
    </row>
    <row r="432" spans="8:10" x14ac:dyDescent="0.2">
      <c r="H432" s="1"/>
      <c r="J432" s="2"/>
    </row>
    <row r="433" spans="8:10" x14ac:dyDescent="0.2">
      <c r="H433" s="1"/>
      <c r="J433" s="2"/>
    </row>
    <row r="434" spans="8:10" x14ac:dyDescent="0.2">
      <c r="H434" s="1"/>
      <c r="J434" s="2"/>
    </row>
    <row r="435" spans="8:10" x14ac:dyDescent="0.2">
      <c r="H435" s="1"/>
      <c r="J435" s="2"/>
    </row>
    <row r="436" spans="8:10" x14ac:dyDescent="0.2">
      <c r="H436" s="1"/>
      <c r="J436" s="2"/>
    </row>
    <row r="437" spans="8:10" x14ac:dyDescent="0.2">
      <c r="H437" s="1"/>
      <c r="J437" s="2"/>
    </row>
    <row r="438" spans="8:10" x14ac:dyDescent="0.2">
      <c r="H438" s="1"/>
      <c r="J438" s="2"/>
    </row>
    <row r="439" spans="8:10" x14ac:dyDescent="0.2">
      <c r="H439" s="1"/>
      <c r="J439" s="2"/>
    </row>
    <row r="440" spans="8:10" x14ac:dyDescent="0.2">
      <c r="H440" s="1"/>
      <c r="J440" s="2"/>
    </row>
    <row r="441" spans="8:10" x14ac:dyDescent="0.2">
      <c r="H441" s="1"/>
      <c r="J441" s="2"/>
    </row>
    <row r="442" spans="8:10" x14ac:dyDescent="0.2">
      <c r="H442" s="1"/>
      <c r="J442" s="2"/>
    </row>
    <row r="443" spans="8:10" x14ac:dyDescent="0.2">
      <c r="H443" s="1"/>
      <c r="J443" s="2"/>
    </row>
    <row r="444" spans="8:10" x14ac:dyDescent="0.2">
      <c r="H444" s="1"/>
      <c r="J444" s="2"/>
    </row>
    <row r="445" spans="8:10" x14ac:dyDescent="0.2">
      <c r="H445" s="1"/>
      <c r="J445" s="2"/>
    </row>
    <row r="446" spans="8:10" x14ac:dyDescent="0.2">
      <c r="H446" s="1"/>
      <c r="J446" s="2"/>
    </row>
    <row r="447" spans="8:10" x14ac:dyDescent="0.2">
      <c r="H447" s="1"/>
      <c r="J447" s="2"/>
    </row>
    <row r="448" spans="8:10" x14ac:dyDescent="0.2">
      <c r="H448" s="1"/>
      <c r="J448" s="2"/>
    </row>
    <row r="449" spans="8:10" x14ac:dyDescent="0.2">
      <c r="H449" s="1"/>
      <c r="J449" s="2"/>
    </row>
    <row r="450" spans="8:10" x14ac:dyDescent="0.2">
      <c r="H450" s="1"/>
      <c r="J450" s="2"/>
    </row>
    <row r="451" spans="8:10" x14ac:dyDescent="0.2">
      <c r="H451" s="1"/>
      <c r="J451" s="2"/>
    </row>
    <row r="452" spans="8:10" x14ac:dyDescent="0.2">
      <c r="H452" s="1"/>
      <c r="J452" s="2"/>
    </row>
    <row r="453" spans="8:10" x14ac:dyDescent="0.2">
      <c r="H453" s="1"/>
      <c r="J453" s="2"/>
    </row>
    <row r="454" spans="8:10" x14ac:dyDescent="0.2">
      <c r="H454" s="1"/>
      <c r="J454" s="2"/>
    </row>
    <row r="455" spans="8:10" x14ac:dyDescent="0.2">
      <c r="H455" s="1"/>
      <c r="J455" s="2"/>
    </row>
    <row r="456" spans="8:10" x14ac:dyDescent="0.2">
      <c r="H456" s="1"/>
      <c r="J456" s="2"/>
    </row>
    <row r="457" spans="8:10" x14ac:dyDescent="0.2">
      <c r="H457" s="1"/>
      <c r="J457" s="2"/>
    </row>
    <row r="458" spans="8:10" x14ac:dyDescent="0.2">
      <c r="H458" s="1"/>
      <c r="J458" s="2"/>
    </row>
    <row r="459" spans="8:10" x14ac:dyDescent="0.2">
      <c r="H459" s="1"/>
      <c r="J459" s="2"/>
    </row>
    <row r="460" spans="8:10" x14ac:dyDescent="0.2">
      <c r="H460" s="1"/>
      <c r="J460" s="2"/>
    </row>
    <row r="461" spans="8:10" x14ac:dyDescent="0.2">
      <c r="H461" s="1"/>
      <c r="J461" s="2"/>
    </row>
  </sheetData>
  <mergeCells count="1">
    <mergeCell ref="B3:C3"/>
  </mergeCells>
  <conditionalFormatting sqref="I14:J373 C14:G373">
    <cfRule type="expression" dxfId="32" priority="33">
      <formula>MOD($J14,12)=0</formula>
    </cfRule>
  </conditionalFormatting>
  <conditionalFormatting sqref="H14:H24 H26:H36 H38:H48 H362:H372 H350:H360 H326:H336 H338:H348 H314:H324 H302:H312 H290:H300 H278:H288 H266:H276 H218:H228 H230:H240 H242:H252 H254:H264 H182:H192 H170:H180 H194:H204 H206:H216 H158:H168 H146:H156 H134:H144 H122:H132 H110:H120 H98:H108 H86:H96 H74:H84 H50:H60 H62:H72">
    <cfRule type="cellIs" dxfId="31" priority="31" operator="equal">
      <formula>0</formula>
    </cfRule>
    <cfRule type="expression" dxfId="30" priority="32">
      <formula>MOD($I14,12)=0</formula>
    </cfRule>
  </conditionalFormatting>
  <conditionalFormatting sqref="H25">
    <cfRule type="expression" dxfId="29" priority="30">
      <formula>MOD($J25,12)=0</formula>
    </cfRule>
  </conditionalFormatting>
  <conditionalFormatting sqref="H37">
    <cfRule type="expression" dxfId="28" priority="29">
      <formula>MOD($J37,12)=0</formula>
    </cfRule>
  </conditionalFormatting>
  <conditionalFormatting sqref="H373">
    <cfRule type="expression" dxfId="27" priority="28">
      <formula>MOD($J373,12)=0</formula>
    </cfRule>
  </conditionalFormatting>
  <conditionalFormatting sqref="H361">
    <cfRule type="expression" dxfId="26" priority="27">
      <formula>MOD($J361,12)=0</formula>
    </cfRule>
  </conditionalFormatting>
  <conditionalFormatting sqref="H349">
    <cfRule type="expression" dxfId="25" priority="26">
      <formula>MOD($J349,12)=0</formula>
    </cfRule>
  </conditionalFormatting>
  <conditionalFormatting sqref="H325">
    <cfRule type="expression" dxfId="24" priority="25">
      <formula>MOD($J325,12)=0</formula>
    </cfRule>
  </conditionalFormatting>
  <conditionalFormatting sqref="H337">
    <cfRule type="expression" dxfId="23" priority="24">
      <formula>MOD($J337,12)=0</formula>
    </cfRule>
  </conditionalFormatting>
  <conditionalFormatting sqref="H313">
    <cfRule type="expression" dxfId="22" priority="23">
      <formula>MOD($J313,12)=0</formula>
    </cfRule>
  </conditionalFormatting>
  <conditionalFormatting sqref="H301">
    <cfRule type="expression" dxfId="21" priority="22">
      <formula>MOD($J301,12)=0</formula>
    </cfRule>
  </conditionalFormatting>
  <conditionalFormatting sqref="H289">
    <cfRule type="expression" dxfId="20" priority="21">
      <formula>MOD($J289,12)=0</formula>
    </cfRule>
  </conditionalFormatting>
  <conditionalFormatting sqref="H277">
    <cfRule type="expression" dxfId="19" priority="20">
      <formula>MOD($J277,12)=0</formula>
    </cfRule>
  </conditionalFormatting>
  <conditionalFormatting sqref="H265">
    <cfRule type="expression" dxfId="18" priority="19">
      <formula>MOD($J265,12)=0</formula>
    </cfRule>
  </conditionalFormatting>
  <conditionalFormatting sqref="H217">
    <cfRule type="expression" dxfId="17" priority="18">
      <formula>MOD($J217,12)=0</formula>
    </cfRule>
  </conditionalFormatting>
  <conditionalFormatting sqref="H229">
    <cfRule type="expression" dxfId="16" priority="17">
      <formula>MOD($J229,12)=0</formula>
    </cfRule>
  </conditionalFormatting>
  <conditionalFormatting sqref="H241">
    <cfRule type="expression" dxfId="15" priority="16">
      <formula>MOD($J241,12)=0</formula>
    </cfRule>
  </conditionalFormatting>
  <conditionalFormatting sqref="H253">
    <cfRule type="expression" dxfId="14" priority="15">
      <formula>MOD($J253,12)=0</formula>
    </cfRule>
  </conditionalFormatting>
  <conditionalFormatting sqref="H181">
    <cfRule type="expression" dxfId="13" priority="14">
      <formula>MOD($J181,12)=0</formula>
    </cfRule>
  </conditionalFormatting>
  <conditionalFormatting sqref="H169">
    <cfRule type="expression" dxfId="12" priority="13">
      <formula>MOD($J169,12)=0</formula>
    </cfRule>
  </conditionalFormatting>
  <conditionalFormatting sqref="H193">
    <cfRule type="expression" dxfId="11" priority="12">
      <formula>MOD($J193,12)=0</formula>
    </cfRule>
  </conditionalFormatting>
  <conditionalFormatting sqref="H205">
    <cfRule type="expression" dxfId="10" priority="11">
      <formula>MOD($J205,12)=0</formula>
    </cfRule>
  </conditionalFormatting>
  <conditionalFormatting sqref="H157">
    <cfRule type="expression" dxfId="9" priority="10">
      <formula>MOD($J157,12)=0</formula>
    </cfRule>
  </conditionalFormatting>
  <conditionalFormatting sqref="H145">
    <cfRule type="expression" dxfId="8" priority="9">
      <formula>MOD($J145,12)=0</formula>
    </cfRule>
  </conditionalFormatting>
  <conditionalFormatting sqref="H133">
    <cfRule type="expression" dxfId="7" priority="8">
      <formula>MOD($J133,12)=0</formula>
    </cfRule>
  </conditionalFormatting>
  <conditionalFormatting sqref="H121">
    <cfRule type="expression" dxfId="6" priority="7">
      <formula>MOD($J121,12)=0</formula>
    </cfRule>
  </conditionalFormatting>
  <conditionalFormatting sqref="H109">
    <cfRule type="expression" dxfId="5" priority="6">
      <formula>MOD($J109,12)=0</formula>
    </cfRule>
  </conditionalFormatting>
  <conditionalFormatting sqref="H97">
    <cfRule type="expression" dxfId="4" priority="5">
      <formula>MOD($J97,12)=0</formula>
    </cfRule>
  </conditionalFormatting>
  <conditionalFormatting sqref="H85">
    <cfRule type="expression" dxfId="3" priority="4">
      <formula>MOD($J85,12)=0</formula>
    </cfRule>
  </conditionalFormatting>
  <conditionalFormatting sqref="H73">
    <cfRule type="expression" dxfId="2" priority="3">
      <formula>MOD($J73,12)=0</formula>
    </cfRule>
  </conditionalFormatting>
  <conditionalFormatting sqref="H49">
    <cfRule type="expression" dxfId="1" priority="2">
      <formula>MOD($J49,12)=0</formula>
    </cfRule>
  </conditionalFormatting>
  <conditionalFormatting sqref="H61">
    <cfRule type="expression" dxfId="0" priority="1">
      <formula>MOD($J61,12)=0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4F79E2-652E-4C8C-8899-A535D8099F76}">
          <x14:formula1>
            <xm:f>'4-Factor Model'!$B$6:$B$16</xm:f>
          </x14:formula1>
          <xm:sqref>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C115"/>
  <sheetViews>
    <sheetView showGridLines="0" tabSelected="1" workbookViewId="0"/>
  </sheetViews>
  <sheetFormatPr defaultRowHeight="12.75" x14ac:dyDescent="0.2"/>
  <cols>
    <col min="1" max="1" width="14.140625" customWidth="1"/>
    <col min="2" max="2" width="12.42578125" customWidth="1"/>
    <col min="3" max="3" width="3.140625" customWidth="1"/>
    <col min="4" max="4" width="10.28515625" customWidth="1"/>
    <col min="5" max="5" width="11.85546875" customWidth="1"/>
    <col min="6" max="6" width="1.140625" customWidth="1"/>
    <col min="7" max="7" width="11.7109375" customWidth="1"/>
    <col min="8" max="8" width="10.7109375" customWidth="1"/>
    <col min="9" max="9" width="1.140625" customWidth="1"/>
    <col min="11" max="11" width="11.140625" customWidth="1"/>
    <col min="12" max="12" width="1.140625" customWidth="1"/>
    <col min="14" max="14" width="2.85546875" customWidth="1"/>
    <col min="17" max="17" width="6.85546875" bestFit="1" customWidth="1"/>
  </cols>
  <sheetData>
    <row r="2" spans="1:29" x14ac:dyDescent="0.2">
      <c r="D2" t="s">
        <v>47</v>
      </c>
    </row>
    <row r="3" spans="1:29" ht="13.5" thickBot="1" x14ac:dyDescent="0.25">
      <c r="S3" s="69" t="s">
        <v>20</v>
      </c>
      <c r="T3" s="60"/>
      <c r="U3" s="60"/>
      <c r="V3" s="60"/>
      <c r="W3" s="60"/>
      <c r="X3" s="60"/>
      <c r="Y3" s="60"/>
      <c r="Z3" s="60"/>
      <c r="AA3" s="60"/>
      <c r="AB3" s="60"/>
      <c r="AC3" s="61"/>
    </row>
    <row r="4" spans="1:29" ht="14.25" thickTop="1" thickBot="1" x14ac:dyDescent="0.25">
      <c r="A4" s="80" t="s">
        <v>45</v>
      </c>
      <c r="B4" s="81"/>
      <c r="D4" s="82" t="s">
        <v>46</v>
      </c>
      <c r="E4" s="82"/>
      <c r="G4" s="82" t="s">
        <v>22</v>
      </c>
      <c r="H4" s="82"/>
      <c r="J4" s="85" t="s">
        <v>43</v>
      </c>
      <c r="K4" s="85"/>
      <c r="M4" s="82" t="s">
        <v>19</v>
      </c>
      <c r="N4" s="82"/>
      <c r="O4" s="82"/>
      <c r="S4" s="62">
        <v>-0.05</v>
      </c>
      <c r="T4" s="63">
        <v>-0.04</v>
      </c>
      <c r="U4" s="63">
        <v>-0.03</v>
      </c>
      <c r="V4" s="63">
        <v>-0.02</v>
      </c>
      <c r="W4" s="63">
        <v>-0.01</v>
      </c>
      <c r="X4" s="63">
        <v>0</v>
      </c>
      <c r="Y4" s="63">
        <v>0.01</v>
      </c>
      <c r="Z4" s="63">
        <v>0.02</v>
      </c>
      <c r="AA4" s="63">
        <v>0.03</v>
      </c>
      <c r="AB4" s="63">
        <v>0.04</v>
      </c>
      <c r="AC4" s="64">
        <v>0.05</v>
      </c>
    </row>
    <row r="5" spans="1:29" ht="13.5" thickTop="1" x14ac:dyDescent="0.2">
      <c r="A5" s="34" t="s">
        <v>12</v>
      </c>
      <c r="B5" s="35" t="s">
        <v>14</v>
      </c>
      <c r="D5" s="33" t="s">
        <v>20</v>
      </c>
      <c r="E5" s="33" t="s">
        <v>12</v>
      </c>
      <c r="G5" s="33" t="s">
        <v>24</v>
      </c>
      <c r="H5" s="33" t="s">
        <v>42</v>
      </c>
      <c r="J5" s="33" t="s">
        <v>20</v>
      </c>
      <c r="K5" s="33" t="s">
        <v>25</v>
      </c>
      <c r="M5" s="33" t="s">
        <v>15</v>
      </c>
      <c r="N5" s="33"/>
      <c r="O5" s="33" t="s">
        <v>26</v>
      </c>
      <c r="Q5" s="59" t="s">
        <v>44</v>
      </c>
      <c r="R5" s="65">
        <v>1</v>
      </c>
      <c r="S5">
        <f t="shared" ref="S5:AC14" si="0">MIN($R5/VLOOKUP(S$4,$J$6:$K$16,2,FALSE),1)</f>
        <v>2.0833333333333332E-2</v>
      </c>
      <c r="T5">
        <f t="shared" si="0"/>
        <v>2.0833333333333332E-2</v>
      </c>
      <c r="U5">
        <f t="shared" si="0"/>
        <v>2.0833333333333332E-2</v>
      </c>
      <c r="V5">
        <f t="shared" si="0"/>
        <v>2.0833333333333332E-2</v>
      </c>
      <c r="W5">
        <f t="shared" si="0"/>
        <v>2.0833333333333332E-2</v>
      </c>
      <c r="X5">
        <f t="shared" si="0"/>
        <v>3.3333333333333333E-2</v>
      </c>
      <c r="Y5">
        <f t="shared" si="0"/>
        <v>8.3333333333333329E-2</v>
      </c>
      <c r="Z5">
        <f t="shared" si="0"/>
        <v>8.3333333333333329E-2</v>
      </c>
      <c r="AA5">
        <f t="shared" si="0"/>
        <v>0.16666666666666666</v>
      </c>
      <c r="AB5">
        <f t="shared" si="0"/>
        <v>0.16666666666666666</v>
      </c>
      <c r="AC5">
        <f t="shared" si="0"/>
        <v>0.16666666666666666</v>
      </c>
    </row>
    <row r="6" spans="1:29" x14ac:dyDescent="0.2">
      <c r="A6" s="70">
        <f>100*(0.3-0.16*ATAN(123.11*(0.02-D6)))</f>
        <v>6.7156358963462175</v>
      </c>
      <c r="B6" s="71">
        <f>+'Amortization Model 101'!$F$5-'4-Factor Model'!D6</f>
        <v>0.11</v>
      </c>
      <c r="C6" s="28"/>
      <c r="D6" s="10">
        <f>ROUND(-0.05,2)</f>
        <v>-0.05</v>
      </c>
      <c r="E6" s="13">
        <v>5</v>
      </c>
      <c r="G6" s="12">
        <f>ROUND(0,1)</f>
        <v>0</v>
      </c>
      <c r="H6" s="14">
        <v>0.4</v>
      </c>
      <c r="J6" s="10">
        <f>ROUND(-0.05,2)</f>
        <v>-0.05</v>
      </c>
      <c r="K6" s="11">
        <v>48</v>
      </c>
      <c r="M6" s="15" t="s">
        <v>27</v>
      </c>
      <c r="N6" s="11">
        <v>1</v>
      </c>
      <c r="O6" s="13">
        <v>0.89</v>
      </c>
      <c r="Q6" s="66"/>
      <c r="R6" s="67">
        <f>R5+1</f>
        <v>2</v>
      </c>
      <c r="S6">
        <f t="shared" si="0"/>
        <v>4.1666666666666664E-2</v>
      </c>
      <c r="T6">
        <f t="shared" si="0"/>
        <v>4.1666666666666664E-2</v>
      </c>
      <c r="U6">
        <f t="shared" si="0"/>
        <v>4.1666666666666664E-2</v>
      </c>
      <c r="V6">
        <f t="shared" si="0"/>
        <v>4.1666666666666664E-2</v>
      </c>
      <c r="W6">
        <f t="shared" si="0"/>
        <v>4.1666666666666664E-2</v>
      </c>
      <c r="X6">
        <f t="shared" si="0"/>
        <v>6.6666666666666666E-2</v>
      </c>
      <c r="Y6">
        <f t="shared" si="0"/>
        <v>0.16666666666666666</v>
      </c>
      <c r="Z6">
        <f t="shared" si="0"/>
        <v>0.16666666666666666</v>
      </c>
      <c r="AA6">
        <f t="shared" si="0"/>
        <v>0.33333333333333331</v>
      </c>
      <c r="AB6">
        <f t="shared" si="0"/>
        <v>0.33333333333333331</v>
      </c>
      <c r="AC6">
        <f t="shared" si="0"/>
        <v>0.33333333333333331</v>
      </c>
    </row>
    <row r="7" spans="1:29" x14ac:dyDescent="0.2">
      <c r="A7" s="70">
        <f t="shared" ref="A7:A16" si="1">100*(0.3-0.16*ATAN(123.11*(0.02-D7)))</f>
        <v>7.0202537426416525</v>
      </c>
      <c r="B7" s="71">
        <f>+'Amortization Model 101'!$F$5-'4-Factor Model'!D7</f>
        <v>0.1</v>
      </c>
      <c r="C7" s="28"/>
      <c r="D7" s="10">
        <f>ROUND(-0.04,2)</f>
        <v>-0.04</v>
      </c>
      <c r="E7" s="13">
        <v>6</v>
      </c>
      <c r="G7" s="12">
        <f>ROUND(0.1,1)</f>
        <v>0.1</v>
      </c>
      <c r="H7" s="14">
        <v>0.45</v>
      </c>
      <c r="J7" s="10">
        <f>ROUND(-0.04,2)</f>
        <v>-0.04</v>
      </c>
      <c r="K7" s="11">
        <v>48</v>
      </c>
      <c r="M7" s="15" t="s">
        <v>28</v>
      </c>
      <c r="N7" s="11">
        <v>2</v>
      </c>
      <c r="O7" s="13">
        <v>0.9</v>
      </c>
      <c r="Q7" s="66"/>
      <c r="R7" s="67">
        <f t="shared" ref="R7:R38" si="2">R6+1</f>
        <v>3</v>
      </c>
      <c r="S7">
        <f t="shared" si="0"/>
        <v>6.25E-2</v>
      </c>
      <c r="T7">
        <f t="shared" si="0"/>
        <v>6.25E-2</v>
      </c>
      <c r="U7">
        <f t="shared" si="0"/>
        <v>6.25E-2</v>
      </c>
      <c r="V7">
        <f t="shared" si="0"/>
        <v>6.25E-2</v>
      </c>
      <c r="W7">
        <f t="shared" si="0"/>
        <v>6.25E-2</v>
      </c>
      <c r="X7">
        <f t="shared" si="0"/>
        <v>0.1</v>
      </c>
      <c r="Y7">
        <f t="shared" si="0"/>
        <v>0.25</v>
      </c>
      <c r="Z7">
        <f t="shared" si="0"/>
        <v>0.25</v>
      </c>
      <c r="AA7">
        <f t="shared" si="0"/>
        <v>0.5</v>
      </c>
      <c r="AB7">
        <f t="shared" si="0"/>
        <v>0.5</v>
      </c>
      <c r="AC7">
        <f t="shared" si="0"/>
        <v>0.5</v>
      </c>
    </row>
    <row r="8" spans="1:29" x14ac:dyDescent="0.2">
      <c r="A8" s="70">
        <f t="shared" si="1"/>
        <v>7.4440486487583115</v>
      </c>
      <c r="B8" s="71">
        <f>+'Amortization Model 101'!$F$5-'4-Factor Model'!D8</f>
        <v>0.09</v>
      </c>
      <c r="C8" s="28"/>
      <c r="D8" s="10">
        <f>ROUND(-0.03,2)</f>
        <v>-0.03</v>
      </c>
      <c r="E8" s="13">
        <v>7</v>
      </c>
      <c r="G8" s="12">
        <f>ROUND(0.2,1)</f>
        <v>0.2</v>
      </c>
      <c r="H8" s="14">
        <v>0.5</v>
      </c>
      <c r="J8" s="10">
        <f>ROUND(-0.03,2)</f>
        <v>-0.03</v>
      </c>
      <c r="K8" s="11">
        <v>48</v>
      </c>
      <c r="M8" s="15" t="s">
        <v>29</v>
      </c>
      <c r="N8" s="11">
        <v>3</v>
      </c>
      <c r="O8" s="13">
        <v>0.95</v>
      </c>
      <c r="Q8" s="66"/>
      <c r="R8" s="67">
        <f t="shared" si="2"/>
        <v>4</v>
      </c>
      <c r="S8">
        <f t="shared" si="0"/>
        <v>8.3333333333333329E-2</v>
      </c>
      <c r="T8">
        <f t="shared" si="0"/>
        <v>8.3333333333333329E-2</v>
      </c>
      <c r="U8">
        <f t="shared" si="0"/>
        <v>8.3333333333333329E-2</v>
      </c>
      <c r="V8">
        <f t="shared" si="0"/>
        <v>8.3333333333333329E-2</v>
      </c>
      <c r="W8">
        <f t="shared" si="0"/>
        <v>8.3333333333333329E-2</v>
      </c>
      <c r="X8">
        <f t="shared" si="0"/>
        <v>0.13333333333333333</v>
      </c>
      <c r="Y8">
        <f t="shared" si="0"/>
        <v>0.33333333333333331</v>
      </c>
      <c r="Z8">
        <f t="shared" si="0"/>
        <v>0.33333333333333331</v>
      </c>
      <c r="AA8">
        <f t="shared" si="0"/>
        <v>0.66666666666666663</v>
      </c>
      <c r="AB8">
        <f t="shared" si="0"/>
        <v>0.66666666666666663</v>
      </c>
      <c r="AC8">
        <f t="shared" si="0"/>
        <v>0.66666666666666663</v>
      </c>
    </row>
    <row r="9" spans="1:29" x14ac:dyDescent="0.2">
      <c r="A9" s="70">
        <f t="shared" si="1"/>
        <v>8.0727970212756635</v>
      </c>
      <c r="B9" s="71">
        <f>+'Amortization Model 101'!$F$5-'4-Factor Model'!D9</f>
        <v>0.08</v>
      </c>
      <c r="C9" s="28"/>
      <c r="D9" s="10">
        <f>ROUND(-0.02,2)</f>
        <v>-0.02</v>
      </c>
      <c r="E9" s="13">
        <v>8</v>
      </c>
      <c r="G9" s="12">
        <f>ROUND(0.3,1)</f>
        <v>0.3</v>
      </c>
      <c r="H9" s="14">
        <v>0.6</v>
      </c>
      <c r="J9" s="10">
        <f>ROUND(-0.02,2)</f>
        <v>-0.02</v>
      </c>
      <c r="K9" s="11">
        <v>48</v>
      </c>
      <c r="M9" s="15" t="s">
        <v>30</v>
      </c>
      <c r="N9" s="11">
        <v>4</v>
      </c>
      <c r="O9" s="13">
        <v>0.96</v>
      </c>
      <c r="Q9" s="66"/>
      <c r="R9" s="67">
        <f t="shared" si="2"/>
        <v>5</v>
      </c>
      <c r="S9">
        <f t="shared" si="0"/>
        <v>0.10416666666666667</v>
      </c>
      <c r="T9">
        <f t="shared" si="0"/>
        <v>0.10416666666666667</v>
      </c>
      <c r="U9">
        <f t="shared" si="0"/>
        <v>0.10416666666666667</v>
      </c>
      <c r="V9">
        <f t="shared" si="0"/>
        <v>0.10416666666666667</v>
      </c>
      <c r="W9">
        <f t="shared" si="0"/>
        <v>0.10416666666666667</v>
      </c>
      <c r="X9">
        <f t="shared" si="0"/>
        <v>0.16666666666666666</v>
      </c>
      <c r="Y9">
        <f t="shared" si="0"/>
        <v>0.41666666666666669</v>
      </c>
      <c r="Z9">
        <f t="shared" si="0"/>
        <v>0.41666666666666669</v>
      </c>
      <c r="AA9">
        <f t="shared" si="0"/>
        <v>0.83333333333333337</v>
      </c>
      <c r="AB9">
        <f t="shared" si="0"/>
        <v>0.83333333333333337</v>
      </c>
      <c r="AC9">
        <f t="shared" si="0"/>
        <v>0.83333333333333337</v>
      </c>
    </row>
    <row r="10" spans="1:29" x14ac:dyDescent="0.2">
      <c r="A10" s="70">
        <f>100*(0.3-0.16*ATAN(123.11*(0.02-D10)))</f>
        <v>9.097988165691163</v>
      </c>
      <c r="B10" s="71">
        <f>+'Amortization Model 101'!$F$5-'4-Factor Model'!D10</f>
        <v>6.9999999999999993E-2</v>
      </c>
      <c r="C10" s="28"/>
      <c r="D10" s="10">
        <f>ROUND(-0.01,2)</f>
        <v>-0.01</v>
      </c>
      <c r="E10" s="13">
        <v>9</v>
      </c>
      <c r="G10" s="12">
        <f>ROUND(0.4,1)</f>
        <v>0.4</v>
      </c>
      <c r="H10" s="14">
        <v>0.9</v>
      </c>
      <c r="J10" s="10">
        <f>ROUND(-0.01,2)</f>
        <v>-0.01</v>
      </c>
      <c r="K10" s="11">
        <v>48</v>
      </c>
      <c r="M10" s="15" t="s">
        <v>31</v>
      </c>
      <c r="N10" s="11">
        <v>5</v>
      </c>
      <c r="O10" s="13">
        <v>1.06</v>
      </c>
      <c r="Q10" s="66"/>
      <c r="R10" s="67">
        <f t="shared" si="2"/>
        <v>6</v>
      </c>
      <c r="S10">
        <f t="shared" si="0"/>
        <v>0.125</v>
      </c>
      <c r="T10">
        <f t="shared" si="0"/>
        <v>0.125</v>
      </c>
      <c r="U10">
        <f t="shared" si="0"/>
        <v>0.125</v>
      </c>
      <c r="V10">
        <f t="shared" si="0"/>
        <v>0.125</v>
      </c>
      <c r="W10">
        <f t="shared" si="0"/>
        <v>0.125</v>
      </c>
      <c r="X10">
        <f t="shared" si="0"/>
        <v>0.2</v>
      </c>
      <c r="Y10">
        <f t="shared" si="0"/>
        <v>0.5</v>
      </c>
      <c r="Z10">
        <f t="shared" si="0"/>
        <v>0.5</v>
      </c>
      <c r="AA10">
        <f t="shared" si="0"/>
        <v>1</v>
      </c>
      <c r="AB10">
        <f t="shared" si="0"/>
        <v>1</v>
      </c>
      <c r="AC10">
        <f t="shared" si="0"/>
        <v>1</v>
      </c>
    </row>
    <row r="11" spans="1:29" x14ac:dyDescent="0.2">
      <c r="A11" s="70">
        <f t="shared" si="1"/>
        <v>11.039882414214617</v>
      </c>
      <c r="B11" s="71">
        <f>+'Amortization Model 101'!$F$5-'4-Factor Model'!D11</f>
        <v>0.06</v>
      </c>
      <c r="C11" s="28"/>
      <c r="D11" s="10">
        <f>ROUND(0,2)</f>
        <v>0</v>
      </c>
      <c r="E11" s="13">
        <v>10</v>
      </c>
      <c r="G11" s="12">
        <f>ROUND(0.5,1)</f>
        <v>0.5</v>
      </c>
      <c r="H11" s="14">
        <v>0.95</v>
      </c>
      <c r="J11" s="10">
        <f>ROUND(0,2)</f>
        <v>0</v>
      </c>
      <c r="K11" s="11">
        <v>30</v>
      </c>
      <c r="M11" s="15" t="s">
        <v>32</v>
      </c>
      <c r="N11" s="11">
        <v>6</v>
      </c>
      <c r="O11" s="13">
        <v>1.0900000000000001</v>
      </c>
      <c r="Q11" s="66"/>
      <c r="R11" s="67">
        <f t="shared" si="2"/>
        <v>7</v>
      </c>
      <c r="S11">
        <f t="shared" si="0"/>
        <v>0.14583333333333334</v>
      </c>
      <c r="T11">
        <f t="shared" si="0"/>
        <v>0.14583333333333334</v>
      </c>
      <c r="U11">
        <f t="shared" si="0"/>
        <v>0.14583333333333334</v>
      </c>
      <c r="V11">
        <f t="shared" si="0"/>
        <v>0.14583333333333334</v>
      </c>
      <c r="W11">
        <f t="shared" si="0"/>
        <v>0.14583333333333334</v>
      </c>
      <c r="X11">
        <f t="shared" si="0"/>
        <v>0.23333333333333334</v>
      </c>
      <c r="Y11">
        <f t="shared" si="0"/>
        <v>0.58333333333333337</v>
      </c>
      <c r="Z11">
        <f t="shared" si="0"/>
        <v>0.58333333333333337</v>
      </c>
      <c r="AA11">
        <f t="shared" si="0"/>
        <v>1</v>
      </c>
      <c r="AB11">
        <f t="shared" si="0"/>
        <v>1</v>
      </c>
      <c r="AC11">
        <f t="shared" si="0"/>
        <v>1</v>
      </c>
    </row>
    <row r="12" spans="1:29" x14ac:dyDescent="0.2">
      <c r="A12" s="70">
        <f>100*(0.3-0.16*ATAN(123.11*(0.02-D12)))</f>
        <v>15.782219519323027</v>
      </c>
      <c r="B12" s="71">
        <f>+'Amortization Model 101'!$F$5-'4-Factor Model'!D12</f>
        <v>4.9999999999999996E-2</v>
      </c>
      <c r="C12" s="28"/>
      <c r="D12" s="10">
        <f>ROUND(0.01,2)</f>
        <v>0.01</v>
      </c>
      <c r="E12" s="13">
        <v>20</v>
      </c>
      <c r="G12" s="12">
        <f>ROUND(0.6,1)</f>
        <v>0.6</v>
      </c>
      <c r="H12" s="14">
        <v>0.96</v>
      </c>
      <c r="J12" s="10">
        <f>ROUND(0.01,2)</f>
        <v>0.01</v>
      </c>
      <c r="K12" s="11">
        <v>12</v>
      </c>
      <c r="M12" s="15" t="s">
        <v>33</v>
      </c>
      <c r="N12" s="11">
        <v>7</v>
      </c>
      <c r="O12" s="13">
        <v>1.1000000000000001</v>
      </c>
      <c r="Q12" s="66"/>
      <c r="R12" s="67">
        <f t="shared" si="2"/>
        <v>8</v>
      </c>
      <c r="S12">
        <f t="shared" si="0"/>
        <v>0.16666666666666666</v>
      </c>
      <c r="T12">
        <f t="shared" si="0"/>
        <v>0.16666666666666666</v>
      </c>
      <c r="U12">
        <f t="shared" si="0"/>
        <v>0.16666666666666666</v>
      </c>
      <c r="V12">
        <f t="shared" si="0"/>
        <v>0.16666666666666666</v>
      </c>
      <c r="W12">
        <f t="shared" si="0"/>
        <v>0.16666666666666666</v>
      </c>
      <c r="X12">
        <f t="shared" si="0"/>
        <v>0.26666666666666666</v>
      </c>
      <c r="Y12">
        <f t="shared" si="0"/>
        <v>0.66666666666666663</v>
      </c>
      <c r="Z12">
        <f t="shared" si="0"/>
        <v>0.66666666666666663</v>
      </c>
      <c r="AA12">
        <f t="shared" si="0"/>
        <v>1</v>
      </c>
      <c r="AB12">
        <f t="shared" si="0"/>
        <v>1</v>
      </c>
      <c r="AC12">
        <f t="shared" si="0"/>
        <v>1</v>
      </c>
    </row>
    <row r="13" spans="1:29" x14ac:dyDescent="0.2">
      <c r="A13" s="70">
        <f t="shared" si="1"/>
        <v>30</v>
      </c>
      <c r="B13" s="71">
        <f>+'Amortization Model 101'!$F$5-'4-Factor Model'!D13</f>
        <v>3.9999999999999994E-2</v>
      </c>
      <c r="C13" s="28"/>
      <c r="D13" s="10">
        <f>ROUND(0.02,2)</f>
        <v>0.02</v>
      </c>
      <c r="E13" s="13">
        <v>35</v>
      </c>
      <c r="G13" s="12">
        <f>ROUND(0.7,1)</f>
        <v>0.7</v>
      </c>
      <c r="H13" s="14">
        <v>0.97</v>
      </c>
      <c r="J13" s="10">
        <f>ROUND(0.02,2)</f>
        <v>0.02</v>
      </c>
      <c r="K13" s="11">
        <v>12</v>
      </c>
      <c r="M13" s="15" t="s">
        <v>34</v>
      </c>
      <c r="N13" s="11">
        <v>8</v>
      </c>
      <c r="O13" s="13">
        <v>1.1499999999999999</v>
      </c>
      <c r="Q13" s="66"/>
      <c r="R13" s="67">
        <f t="shared" si="2"/>
        <v>9</v>
      </c>
      <c r="S13">
        <f t="shared" si="0"/>
        <v>0.1875</v>
      </c>
      <c r="T13">
        <f t="shared" si="0"/>
        <v>0.1875</v>
      </c>
      <c r="U13">
        <f t="shared" si="0"/>
        <v>0.1875</v>
      </c>
      <c r="V13">
        <f t="shared" si="0"/>
        <v>0.1875</v>
      </c>
      <c r="W13">
        <f t="shared" si="0"/>
        <v>0.1875</v>
      </c>
      <c r="X13">
        <f t="shared" si="0"/>
        <v>0.3</v>
      </c>
      <c r="Y13">
        <f t="shared" si="0"/>
        <v>0.75</v>
      </c>
      <c r="Z13">
        <f t="shared" si="0"/>
        <v>0.75</v>
      </c>
      <c r="AA13">
        <f t="shared" si="0"/>
        <v>1</v>
      </c>
      <c r="AB13">
        <f t="shared" si="0"/>
        <v>1</v>
      </c>
      <c r="AC13">
        <f t="shared" si="0"/>
        <v>1</v>
      </c>
    </row>
    <row r="14" spans="1:29" x14ac:dyDescent="0.2">
      <c r="A14" s="70">
        <f t="shared" si="1"/>
        <v>44.217780480676971</v>
      </c>
      <c r="B14" s="71">
        <f>+'Amortization Model 101'!$F$5-'4-Factor Model'!D14</f>
        <v>0.03</v>
      </c>
      <c r="C14" s="28"/>
      <c r="D14" s="10">
        <f>ROUND(0.03,2)</f>
        <v>0.03</v>
      </c>
      <c r="E14" s="13">
        <v>45</v>
      </c>
      <c r="G14" s="12">
        <f>ROUND(0.8,1)</f>
        <v>0.8</v>
      </c>
      <c r="H14" s="14">
        <v>0.98</v>
      </c>
      <c r="J14" s="10">
        <f>ROUND(0.03,2)</f>
        <v>0.03</v>
      </c>
      <c r="K14" s="11">
        <v>6</v>
      </c>
      <c r="M14" s="15" t="s">
        <v>35</v>
      </c>
      <c r="N14" s="11">
        <v>9</v>
      </c>
      <c r="O14" s="13">
        <v>1.1299999999999999</v>
      </c>
      <c r="Q14" s="66"/>
      <c r="R14" s="67">
        <f t="shared" si="2"/>
        <v>10</v>
      </c>
      <c r="S14">
        <f t="shared" si="0"/>
        <v>0.20833333333333334</v>
      </c>
      <c r="T14">
        <f t="shared" si="0"/>
        <v>0.20833333333333334</v>
      </c>
      <c r="U14">
        <f t="shared" si="0"/>
        <v>0.20833333333333334</v>
      </c>
      <c r="V14">
        <f t="shared" si="0"/>
        <v>0.20833333333333334</v>
      </c>
      <c r="W14">
        <f t="shared" si="0"/>
        <v>0.20833333333333334</v>
      </c>
      <c r="X14">
        <f t="shared" si="0"/>
        <v>0.33333333333333331</v>
      </c>
      <c r="Y14">
        <f t="shared" si="0"/>
        <v>0.83333333333333337</v>
      </c>
      <c r="Z14">
        <f t="shared" si="0"/>
        <v>0.83333333333333337</v>
      </c>
      <c r="AA14">
        <f t="shared" si="0"/>
        <v>1</v>
      </c>
      <c r="AB14">
        <f t="shared" si="0"/>
        <v>1</v>
      </c>
      <c r="AC14">
        <f t="shared" si="0"/>
        <v>1</v>
      </c>
    </row>
    <row r="15" spans="1:29" x14ac:dyDescent="0.2">
      <c r="A15" s="70">
        <f t="shared" si="1"/>
        <v>48.960117585785376</v>
      </c>
      <c r="B15" s="71">
        <f>+'Amortization Model 101'!$F$5-'4-Factor Model'!D15</f>
        <v>1.9999999999999997E-2</v>
      </c>
      <c r="C15" s="28"/>
      <c r="D15" s="10">
        <f>ROUND(0.04,2)</f>
        <v>0.04</v>
      </c>
      <c r="E15" s="13">
        <v>55</v>
      </c>
      <c r="G15" s="12">
        <f>ROUND(0.9,1)</f>
        <v>0.9</v>
      </c>
      <c r="H15" s="14">
        <v>0.99</v>
      </c>
      <c r="J15" s="10">
        <f>ROUND(0.04,2)</f>
        <v>0.04</v>
      </c>
      <c r="K15" s="11">
        <v>6</v>
      </c>
      <c r="M15" s="15" t="s">
        <v>36</v>
      </c>
      <c r="N15" s="11">
        <v>10</v>
      </c>
      <c r="O15" s="13">
        <v>1.01</v>
      </c>
      <c r="Q15" s="66"/>
      <c r="R15" s="67">
        <f t="shared" si="2"/>
        <v>11</v>
      </c>
      <c r="S15">
        <f t="shared" ref="S15:AC24" si="3">MIN($R15/VLOOKUP(S$4,$J$6:$K$16,2,FALSE),1)</f>
        <v>0.22916666666666666</v>
      </c>
      <c r="T15">
        <f t="shared" si="3"/>
        <v>0.22916666666666666</v>
      </c>
      <c r="U15">
        <f t="shared" si="3"/>
        <v>0.22916666666666666</v>
      </c>
      <c r="V15">
        <f t="shared" si="3"/>
        <v>0.22916666666666666</v>
      </c>
      <c r="W15">
        <f t="shared" si="3"/>
        <v>0.22916666666666666</v>
      </c>
      <c r="X15">
        <f t="shared" si="3"/>
        <v>0.36666666666666664</v>
      </c>
      <c r="Y15">
        <f t="shared" si="3"/>
        <v>0.91666666666666663</v>
      </c>
      <c r="Z15">
        <f t="shared" si="3"/>
        <v>0.91666666666666663</v>
      </c>
      <c r="AA15">
        <f t="shared" si="3"/>
        <v>1</v>
      </c>
      <c r="AB15">
        <f t="shared" si="3"/>
        <v>1</v>
      </c>
      <c r="AC15">
        <f t="shared" si="3"/>
        <v>1</v>
      </c>
    </row>
    <row r="16" spans="1:29" x14ac:dyDescent="0.2">
      <c r="A16" s="70">
        <f t="shared" si="1"/>
        <v>50.902011834308837</v>
      </c>
      <c r="B16" s="71">
        <f>+'Amortization Model 101'!$F$5-'4-Factor Model'!D16</f>
        <v>9.999999999999995E-3</v>
      </c>
      <c r="C16" s="28"/>
      <c r="D16" s="10">
        <f>ROUND(0.05,2)</f>
        <v>0.05</v>
      </c>
      <c r="E16" s="13">
        <v>65</v>
      </c>
      <c r="G16" s="12">
        <f>ROUND(1,1)</f>
        <v>1</v>
      </c>
      <c r="H16" s="14">
        <v>1</v>
      </c>
      <c r="J16" s="10">
        <f>ROUND(0.05,2)</f>
        <v>0.05</v>
      </c>
      <c r="K16" s="11">
        <v>6</v>
      </c>
      <c r="M16" s="15" t="s">
        <v>37</v>
      </c>
      <c r="N16" s="11">
        <v>11</v>
      </c>
      <c r="O16" s="13">
        <v>0.86</v>
      </c>
      <c r="Q16" s="66"/>
      <c r="R16" s="67">
        <f t="shared" si="2"/>
        <v>12</v>
      </c>
      <c r="S16">
        <f t="shared" si="3"/>
        <v>0.25</v>
      </c>
      <c r="T16">
        <f t="shared" si="3"/>
        <v>0.25</v>
      </c>
      <c r="U16">
        <f t="shared" si="3"/>
        <v>0.25</v>
      </c>
      <c r="V16">
        <f t="shared" si="3"/>
        <v>0.25</v>
      </c>
      <c r="W16">
        <f t="shared" si="3"/>
        <v>0.25</v>
      </c>
      <c r="X16">
        <f t="shared" si="3"/>
        <v>0.4</v>
      </c>
      <c r="Y16">
        <f t="shared" si="3"/>
        <v>1</v>
      </c>
      <c r="Z16">
        <f t="shared" si="3"/>
        <v>1</v>
      </c>
      <c r="AA16">
        <f t="shared" si="3"/>
        <v>1</v>
      </c>
      <c r="AB16">
        <f t="shared" si="3"/>
        <v>1</v>
      </c>
      <c r="AC16">
        <f t="shared" si="3"/>
        <v>1</v>
      </c>
    </row>
    <row r="17" spans="4:29" x14ac:dyDescent="0.2">
      <c r="M17" s="15" t="s">
        <v>38</v>
      </c>
      <c r="N17" s="11">
        <v>12</v>
      </c>
      <c r="O17" s="13">
        <v>0.9</v>
      </c>
      <c r="Q17" s="66"/>
      <c r="R17" s="67">
        <f t="shared" si="2"/>
        <v>13</v>
      </c>
      <c r="S17">
        <f t="shared" si="3"/>
        <v>0.27083333333333331</v>
      </c>
      <c r="T17">
        <f t="shared" si="3"/>
        <v>0.27083333333333331</v>
      </c>
      <c r="U17">
        <f t="shared" si="3"/>
        <v>0.27083333333333331</v>
      </c>
      <c r="V17">
        <f t="shared" si="3"/>
        <v>0.27083333333333331</v>
      </c>
      <c r="W17">
        <f t="shared" si="3"/>
        <v>0.27083333333333331</v>
      </c>
      <c r="X17">
        <f t="shared" si="3"/>
        <v>0.43333333333333335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</row>
    <row r="18" spans="4:29" ht="13.5" thickBot="1" x14ac:dyDescent="0.25">
      <c r="Q18" s="66"/>
      <c r="R18" s="67">
        <f t="shared" si="2"/>
        <v>14</v>
      </c>
      <c r="S18">
        <f t="shared" si="3"/>
        <v>0.29166666666666669</v>
      </c>
      <c r="T18">
        <f t="shared" si="3"/>
        <v>0.29166666666666669</v>
      </c>
      <c r="U18">
        <f t="shared" si="3"/>
        <v>0.29166666666666669</v>
      </c>
      <c r="V18">
        <f t="shared" si="3"/>
        <v>0.29166666666666669</v>
      </c>
      <c r="W18">
        <f t="shared" si="3"/>
        <v>0.29166666666666669</v>
      </c>
      <c r="X18">
        <f t="shared" si="3"/>
        <v>0.46666666666666667</v>
      </c>
      <c r="Y18">
        <f t="shared" si="3"/>
        <v>1</v>
      </c>
      <c r="Z18">
        <f t="shared" si="3"/>
        <v>1</v>
      </c>
      <c r="AA18">
        <f t="shared" si="3"/>
        <v>1</v>
      </c>
      <c r="AB18">
        <f t="shared" si="3"/>
        <v>1</v>
      </c>
      <c r="AC18">
        <f t="shared" si="3"/>
        <v>1</v>
      </c>
    </row>
    <row r="19" spans="4:29" ht="14.25" thickTop="1" thickBot="1" x14ac:dyDescent="0.25">
      <c r="D19" s="22">
        <v>-0.05</v>
      </c>
      <c r="E19" s="23">
        <f>1-(1-VLOOKUP(D19,CPR,2,FALSE)/100)^(1/12)</f>
        <v>4.2653187775606449E-3</v>
      </c>
      <c r="G19" s="9">
        <v>1</v>
      </c>
      <c r="H19" s="16">
        <f>VLOOKUP(G19,G6:H16,2,FALSE)</f>
        <v>1</v>
      </c>
      <c r="J19" s="26">
        <f>D19</f>
        <v>-0.05</v>
      </c>
      <c r="K19" s="25">
        <f>MIN(K20/VLOOKUP(J19,J6:K16,2,FALSE),1)</f>
        <v>0.39583333333333331</v>
      </c>
      <c r="M19" s="9" t="s">
        <v>33</v>
      </c>
      <c r="N19" s="27">
        <f>VLOOKUP(M19,M6:N17,2,FALSE)</f>
        <v>7</v>
      </c>
      <c r="O19" s="16">
        <f>VLOOKUP(N19,N6:O16,2,FALSE)</f>
        <v>1.1000000000000001</v>
      </c>
      <c r="Q19" s="66"/>
      <c r="R19" s="67">
        <f t="shared" si="2"/>
        <v>15</v>
      </c>
      <c r="S19">
        <f t="shared" si="3"/>
        <v>0.3125</v>
      </c>
      <c r="T19">
        <f t="shared" si="3"/>
        <v>0.3125</v>
      </c>
      <c r="U19">
        <f t="shared" si="3"/>
        <v>0.3125</v>
      </c>
      <c r="V19">
        <f t="shared" si="3"/>
        <v>0.3125</v>
      </c>
      <c r="W19">
        <f t="shared" si="3"/>
        <v>0.3125</v>
      </c>
      <c r="X19">
        <f t="shared" si="3"/>
        <v>0.5</v>
      </c>
      <c r="Y19">
        <f t="shared" si="3"/>
        <v>1</v>
      </c>
      <c r="Z19">
        <f t="shared" si="3"/>
        <v>1</v>
      </c>
      <c r="AA19">
        <f t="shared" si="3"/>
        <v>1</v>
      </c>
      <c r="AB19">
        <f t="shared" si="3"/>
        <v>1</v>
      </c>
      <c r="AC19">
        <f t="shared" si="3"/>
        <v>1</v>
      </c>
    </row>
    <row r="20" spans="4:29" ht="14.25" thickTop="1" thickBot="1" x14ac:dyDescent="0.25">
      <c r="H20" t="s">
        <v>0</v>
      </c>
      <c r="J20" s="21" t="s">
        <v>3</v>
      </c>
      <c r="K20" s="9">
        <v>19</v>
      </c>
      <c r="Q20" s="66"/>
      <c r="R20" s="67">
        <f t="shared" si="2"/>
        <v>16</v>
      </c>
      <c r="S20">
        <f t="shared" si="3"/>
        <v>0.33333333333333331</v>
      </c>
      <c r="T20">
        <f t="shared" si="3"/>
        <v>0.33333333333333331</v>
      </c>
      <c r="U20">
        <f t="shared" si="3"/>
        <v>0.33333333333333331</v>
      </c>
      <c r="V20">
        <f t="shared" si="3"/>
        <v>0.33333333333333331</v>
      </c>
      <c r="W20">
        <f t="shared" si="3"/>
        <v>0.33333333333333331</v>
      </c>
      <c r="X20">
        <f t="shared" si="3"/>
        <v>0.53333333333333333</v>
      </c>
      <c r="Y20">
        <f t="shared" si="3"/>
        <v>1</v>
      </c>
      <c r="Z20">
        <f t="shared" si="3"/>
        <v>1</v>
      </c>
      <c r="AA20">
        <f t="shared" si="3"/>
        <v>1</v>
      </c>
      <c r="AB20">
        <f t="shared" si="3"/>
        <v>1</v>
      </c>
      <c r="AC20">
        <f t="shared" si="3"/>
        <v>1</v>
      </c>
    </row>
    <row r="21" spans="4:29" ht="13.5" thickBot="1" x14ac:dyDescent="0.25">
      <c r="E21" s="24">
        <f>VLOOKUP(D19,D6:E16,2,FALSE)</f>
        <v>5</v>
      </c>
      <c r="J21" s="83" t="str">
        <f>CONCATENATE("MIN(",ROUND(K19,5),",1)")</f>
        <v>MIN(0.39583,1)</v>
      </c>
      <c r="K21" s="84"/>
      <c r="Q21" s="66"/>
      <c r="R21" s="67">
        <f t="shared" si="2"/>
        <v>17</v>
      </c>
      <c r="S21">
        <f t="shared" si="3"/>
        <v>0.35416666666666669</v>
      </c>
      <c r="T21">
        <f t="shared" si="3"/>
        <v>0.35416666666666669</v>
      </c>
      <c r="U21">
        <f t="shared" si="3"/>
        <v>0.35416666666666669</v>
      </c>
      <c r="V21">
        <f t="shared" si="3"/>
        <v>0.35416666666666669</v>
      </c>
      <c r="W21">
        <f t="shared" si="3"/>
        <v>0.35416666666666669</v>
      </c>
      <c r="X21">
        <f t="shared" si="3"/>
        <v>0.56666666666666665</v>
      </c>
      <c r="Y21">
        <f t="shared" si="3"/>
        <v>1</v>
      </c>
      <c r="Z21">
        <f t="shared" si="3"/>
        <v>1</v>
      </c>
      <c r="AA21">
        <f t="shared" si="3"/>
        <v>1</v>
      </c>
      <c r="AB21">
        <f t="shared" si="3"/>
        <v>1</v>
      </c>
      <c r="AC21">
        <f t="shared" si="3"/>
        <v>1</v>
      </c>
    </row>
    <row r="22" spans="4:29" ht="13.5" thickBot="1" x14ac:dyDescent="0.25">
      <c r="Q22" s="66"/>
      <c r="R22" s="67">
        <f t="shared" si="2"/>
        <v>18</v>
      </c>
      <c r="S22">
        <f t="shared" si="3"/>
        <v>0.375</v>
      </c>
      <c r="T22">
        <f t="shared" si="3"/>
        <v>0.375</v>
      </c>
      <c r="U22">
        <f t="shared" si="3"/>
        <v>0.375</v>
      </c>
      <c r="V22">
        <f t="shared" si="3"/>
        <v>0.375</v>
      </c>
      <c r="W22">
        <f t="shared" si="3"/>
        <v>0.375</v>
      </c>
      <c r="X22">
        <f t="shared" si="3"/>
        <v>0.6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</row>
    <row r="23" spans="4:29" ht="13.5" thickBot="1" x14ac:dyDescent="0.25">
      <c r="D23" s="17"/>
      <c r="E23" s="18"/>
      <c r="F23" s="17"/>
      <c r="G23" s="18"/>
      <c r="H23" s="19" t="str">
        <f>CONCATENATE(ROUND(E19,6)," * ",H19," * ",ROUND(K19,7)," * ",O19, " = ")</f>
        <v xml:space="preserve">0.004265 * 1 * 0.3958333 * 1.1 = </v>
      </c>
      <c r="I23" s="18"/>
      <c r="J23" s="19">
        <f>$E$19*$H$19*$K$19*$O$19</f>
        <v>1.8571908843961977E-3</v>
      </c>
      <c r="K23" s="20" t="s">
        <v>39</v>
      </c>
      <c r="Q23" s="66"/>
      <c r="R23" s="67">
        <f t="shared" si="2"/>
        <v>19</v>
      </c>
      <c r="S23" s="30">
        <f t="shared" si="3"/>
        <v>0.39583333333333331</v>
      </c>
      <c r="T23" s="30">
        <f t="shared" si="3"/>
        <v>0.39583333333333331</v>
      </c>
      <c r="U23" s="30">
        <f t="shared" si="3"/>
        <v>0.39583333333333331</v>
      </c>
      <c r="V23" s="30">
        <f t="shared" si="3"/>
        <v>0.39583333333333331</v>
      </c>
      <c r="W23" s="30">
        <f t="shared" si="3"/>
        <v>0.39583333333333331</v>
      </c>
      <c r="X23" s="30">
        <f t="shared" si="3"/>
        <v>0.6333333333333333</v>
      </c>
      <c r="Y23" s="30">
        <f t="shared" si="3"/>
        <v>1</v>
      </c>
      <c r="Z23" s="30">
        <f t="shared" si="3"/>
        <v>1</v>
      </c>
      <c r="AA23" s="30">
        <f t="shared" si="3"/>
        <v>1</v>
      </c>
      <c r="AB23" s="30">
        <f t="shared" si="3"/>
        <v>1</v>
      </c>
      <c r="AC23" s="30">
        <f t="shared" si="3"/>
        <v>1</v>
      </c>
    </row>
    <row r="24" spans="4:29" x14ac:dyDescent="0.2">
      <c r="Q24" s="66"/>
      <c r="R24" s="67">
        <f t="shared" si="2"/>
        <v>20</v>
      </c>
      <c r="S24">
        <f t="shared" si="3"/>
        <v>0.41666666666666669</v>
      </c>
      <c r="T24">
        <f t="shared" si="3"/>
        <v>0.41666666666666669</v>
      </c>
      <c r="U24">
        <f t="shared" si="3"/>
        <v>0.41666666666666669</v>
      </c>
      <c r="V24">
        <f t="shared" si="3"/>
        <v>0.41666666666666669</v>
      </c>
      <c r="W24">
        <f t="shared" si="3"/>
        <v>0.41666666666666669</v>
      </c>
      <c r="X24">
        <f t="shared" si="3"/>
        <v>0.66666666666666663</v>
      </c>
      <c r="Y24">
        <f t="shared" si="3"/>
        <v>1</v>
      </c>
      <c r="Z24">
        <f t="shared" si="3"/>
        <v>1</v>
      </c>
      <c r="AA24">
        <f t="shared" si="3"/>
        <v>1</v>
      </c>
      <c r="AB24">
        <f t="shared" si="3"/>
        <v>1</v>
      </c>
      <c r="AC24">
        <f t="shared" si="3"/>
        <v>1</v>
      </c>
    </row>
    <row r="25" spans="4:29" x14ac:dyDescent="0.2">
      <c r="Q25" s="66"/>
      <c r="R25" s="67">
        <f t="shared" si="2"/>
        <v>21</v>
      </c>
      <c r="S25">
        <f t="shared" ref="S25:AC34" si="4">MIN($R25/VLOOKUP(S$4,$J$6:$K$16,2,FALSE),1)</f>
        <v>0.4375</v>
      </c>
      <c r="T25">
        <f t="shared" si="4"/>
        <v>0.4375</v>
      </c>
      <c r="U25">
        <f t="shared" si="4"/>
        <v>0.4375</v>
      </c>
      <c r="V25">
        <f t="shared" si="4"/>
        <v>0.4375</v>
      </c>
      <c r="W25">
        <f t="shared" si="4"/>
        <v>0.4375</v>
      </c>
      <c r="X25">
        <f t="shared" si="4"/>
        <v>0.7</v>
      </c>
      <c r="Y25">
        <f t="shared" si="4"/>
        <v>1</v>
      </c>
      <c r="Z25">
        <f t="shared" si="4"/>
        <v>1</v>
      </c>
      <c r="AA25">
        <f t="shared" si="4"/>
        <v>1</v>
      </c>
      <c r="AB25">
        <f t="shared" si="4"/>
        <v>1</v>
      </c>
      <c r="AC25">
        <f t="shared" si="4"/>
        <v>1</v>
      </c>
    </row>
    <row r="26" spans="4:29" x14ac:dyDescent="0.2">
      <c r="Q26" s="66"/>
      <c r="R26" s="67">
        <f t="shared" si="2"/>
        <v>22</v>
      </c>
      <c r="S26">
        <f t="shared" si="4"/>
        <v>0.45833333333333331</v>
      </c>
      <c r="T26">
        <f t="shared" si="4"/>
        <v>0.45833333333333331</v>
      </c>
      <c r="U26">
        <f t="shared" si="4"/>
        <v>0.45833333333333331</v>
      </c>
      <c r="V26">
        <f t="shared" si="4"/>
        <v>0.45833333333333331</v>
      </c>
      <c r="W26">
        <f t="shared" si="4"/>
        <v>0.45833333333333331</v>
      </c>
      <c r="X26">
        <f t="shared" si="4"/>
        <v>0.73333333333333328</v>
      </c>
      <c r="Y26">
        <f t="shared" si="4"/>
        <v>1</v>
      </c>
      <c r="Z26">
        <f t="shared" si="4"/>
        <v>1</v>
      </c>
      <c r="AA26">
        <f t="shared" si="4"/>
        <v>1</v>
      </c>
      <c r="AB26">
        <f t="shared" si="4"/>
        <v>1</v>
      </c>
      <c r="AC26">
        <f t="shared" si="4"/>
        <v>1</v>
      </c>
    </row>
    <row r="27" spans="4:29" x14ac:dyDescent="0.2">
      <c r="Q27" s="66"/>
      <c r="R27" s="67">
        <f t="shared" si="2"/>
        <v>23</v>
      </c>
      <c r="S27">
        <f t="shared" si="4"/>
        <v>0.47916666666666669</v>
      </c>
      <c r="T27">
        <f t="shared" si="4"/>
        <v>0.47916666666666669</v>
      </c>
      <c r="U27">
        <f t="shared" si="4"/>
        <v>0.47916666666666669</v>
      </c>
      <c r="V27">
        <f t="shared" si="4"/>
        <v>0.47916666666666669</v>
      </c>
      <c r="W27">
        <f t="shared" si="4"/>
        <v>0.47916666666666669</v>
      </c>
      <c r="X27">
        <f t="shared" si="4"/>
        <v>0.76666666666666672</v>
      </c>
      <c r="Y27">
        <f t="shared" si="4"/>
        <v>1</v>
      </c>
      <c r="Z27">
        <f t="shared" si="4"/>
        <v>1</v>
      </c>
      <c r="AA27">
        <f t="shared" si="4"/>
        <v>1</v>
      </c>
      <c r="AB27">
        <f t="shared" si="4"/>
        <v>1</v>
      </c>
      <c r="AC27">
        <f t="shared" si="4"/>
        <v>1</v>
      </c>
    </row>
    <row r="28" spans="4:29" x14ac:dyDescent="0.2">
      <c r="Q28" s="66"/>
      <c r="R28" s="67">
        <f t="shared" si="2"/>
        <v>24</v>
      </c>
      <c r="S28">
        <f t="shared" si="4"/>
        <v>0.5</v>
      </c>
      <c r="T28">
        <f t="shared" si="4"/>
        <v>0.5</v>
      </c>
      <c r="U28">
        <f t="shared" si="4"/>
        <v>0.5</v>
      </c>
      <c r="V28">
        <f t="shared" si="4"/>
        <v>0.5</v>
      </c>
      <c r="W28">
        <f t="shared" si="4"/>
        <v>0.5</v>
      </c>
      <c r="X28">
        <f t="shared" si="4"/>
        <v>0.8</v>
      </c>
      <c r="Y28">
        <f t="shared" si="4"/>
        <v>1</v>
      </c>
      <c r="Z28">
        <f t="shared" si="4"/>
        <v>1</v>
      </c>
      <c r="AA28">
        <f t="shared" si="4"/>
        <v>1</v>
      </c>
      <c r="AB28">
        <f t="shared" si="4"/>
        <v>1</v>
      </c>
      <c r="AC28">
        <f t="shared" si="4"/>
        <v>1</v>
      </c>
    </row>
    <row r="29" spans="4:29" x14ac:dyDescent="0.2">
      <c r="Q29" s="66"/>
      <c r="R29" s="67">
        <f t="shared" si="2"/>
        <v>25</v>
      </c>
      <c r="S29">
        <f t="shared" si="4"/>
        <v>0.52083333333333337</v>
      </c>
      <c r="T29">
        <f t="shared" si="4"/>
        <v>0.52083333333333337</v>
      </c>
      <c r="U29">
        <f t="shared" si="4"/>
        <v>0.52083333333333337</v>
      </c>
      <c r="V29">
        <f t="shared" si="4"/>
        <v>0.52083333333333337</v>
      </c>
      <c r="W29">
        <f t="shared" si="4"/>
        <v>0.52083333333333337</v>
      </c>
      <c r="X29">
        <f t="shared" si="4"/>
        <v>0.83333333333333337</v>
      </c>
      <c r="Y29">
        <f t="shared" si="4"/>
        <v>1</v>
      </c>
      <c r="Z29">
        <f t="shared" si="4"/>
        <v>1</v>
      </c>
      <c r="AA29">
        <f t="shared" si="4"/>
        <v>1</v>
      </c>
      <c r="AB29">
        <f t="shared" si="4"/>
        <v>1</v>
      </c>
      <c r="AC29">
        <f t="shared" si="4"/>
        <v>1</v>
      </c>
    </row>
    <row r="30" spans="4:29" x14ac:dyDescent="0.2">
      <c r="Q30" s="66"/>
      <c r="R30" s="67">
        <f t="shared" si="2"/>
        <v>26</v>
      </c>
      <c r="S30">
        <f t="shared" si="4"/>
        <v>0.54166666666666663</v>
      </c>
      <c r="T30">
        <f t="shared" si="4"/>
        <v>0.54166666666666663</v>
      </c>
      <c r="U30">
        <f t="shared" si="4"/>
        <v>0.54166666666666663</v>
      </c>
      <c r="V30">
        <f t="shared" si="4"/>
        <v>0.54166666666666663</v>
      </c>
      <c r="W30">
        <f t="shared" si="4"/>
        <v>0.54166666666666663</v>
      </c>
      <c r="X30">
        <f t="shared" si="4"/>
        <v>0.8666666666666667</v>
      </c>
      <c r="Y30">
        <f t="shared" si="4"/>
        <v>1</v>
      </c>
      <c r="Z30">
        <f t="shared" si="4"/>
        <v>1</v>
      </c>
      <c r="AA30">
        <f t="shared" si="4"/>
        <v>1</v>
      </c>
      <c r="AB30">
        <f t="shared" si="4"/>
        <v>1</v>
      </c>
      <c r="AC30">
        <f t="shared" si="4"/>
        <v>1</v>
      </c>
    </row>
    <row r="31" spans="4:29" x14ac:dyDescent="0.2">
      <c r="Q31" s="66"/>
      <c r="R31" s="67">
        <f t="shared" si="2"/>
        <v>27</v>
      </c>
      <c r="S31">
        <f t="shared" si="4"/>
        <v>0.5625</v>
      </c>
      <c r="T31">
        <f t="shared" si="4"/>
        <v>0.5625</v>
      </c>
      <c r="U31">
        <f t="shared" si="4"/>
        <v>0.5625</v>
      </c>
      <c r="V31">
        <f t="shared" si="4"/>
        <v>0.5625</v>
      </c>
      <c r="W31">
        <f t="shared" si="4"/>
        <v>0.5625</v>
      </c>
      <c r="X31">
        <f t="shared" si="4"/>
        <v>0.9</v>
      </c>
      <c r="Y31">
        <f t="shared" si="4"/>
        <v>1</v>
      </c>
      <c r="Z31">
        <f t="shared" si="4"/>
        <v>1</v>
      </c>
      <c r="AA31">
        <f t="shared" si="4"/>
        <v>1</v>
      </c>
      <c r="AB31">
        <f t="shared" si="4"/>
        <v>1</v>
      </c>
      <c r="AC31">
        <f t="shared" si="4"/>
        <v>1</v>
      </c>
    </row>
    <row r="32" spans="4:29" x14ac:dyDescent="0.2">
      <c r="Q32" s="66"/>
      <c r="R32" s="67">
        <f t="shared" si="2"/>
        <v>28</v>
      </c>
      <c r="S32">
        <f t="shared" si="4"/>
        <v>0.58333333333333337</v>
      </c>
      <c r="T32">
        <f t="shared" si="4"/>
        <v>0.58333333333333337</v>
      </c>
      <c r="U32">
        <f t="shared" si="4"/>
        <v>0.58333333333333337</v>
      </c>
      <c r="V32">
        <f t="shared" si="4"/>
        <v>0.58333333333333337</v>
      </c>
      <c r="W32">
        <f t="shared" si="4"/>
        <v>0.58333333333333337</v>
      </c>
      <c r="X32">
        <f t="shared" si="4"/>
        <v>0.93333333333333335</v>
      </c>
      <c r="Y32">
        <f t="shared" si="4"/>
        <v>1</v>
      </c>
      <c r="Z32">
        <f t="shared" si="4"/>
        <v>1</v>
      </c>
      <c r="AA32">
        <f t="shared" si="4"/>
        <v>1</v>
      </c>
      <c r="AB32">
        <f t="shared" si="4"/>
        <v>1</v>
      </c>
      <c r="AC32">
        <f t="shared" si="4"/>
        <v>1</v>
      </c>
    </row>
    <row r="33" spans="17:29" x14ac:dyDescent="0.2">
      <c r="Q33" s="66"/>
      <c r="R33" s="67">
        <f t="shared" si="2"/>
        <v>29</v>
      </c>
      <c r="S33">
        <f t="shared" si="4"/>
        <v>0.60416666666666663</v>
      </c>
      <c r="T33">
        <f t="shared" si="4"/>
        <v>0.60416666666666663</v>
      </c>
      <c r="U33">
        <f t="shared" si="4"/>
        <v>0.60416666666666663</v>
      </c>
      <c r="V33">
        <f t="shared" si="4"/>
        <v>0.60416666666666663</v>
      </c>
      <c r="W33">
        <f t="shared" si="4"/>
        <v>0.60416666666666663</v>
      </c>
      <c r="X33">
        <f t="shared" si="4"/>
        <v>0.96666666666666667</v>
      </c>
      <c r="Y33">
        <f t="shared" si="4"/>
        <v>1</v>
      </c>
      <c r="Z33">
        <f t="shared" si="4"/>
        <v>1</v>
      </c>
      <c r="AA33">
        <f t="shared" si="4"/>
        <v>1</v>
      </c>
      <c r="AB33">
        <f t="shared" si="4"/>
        <v>1</v>
      </c>
      <c r="AC33">
        <f t="shared" si="4"/>
        <v>1</v>
      </c>
    </row>
    <row r="34" spans="17:29" x14ac:dyDescent="0.2">
      <c r="Q34" s="66"/>
      <c r="R34" s="67">
        <f t="shared" si="2"/>
        <v>30</v>
      </c>
      <c r="S34">
        <f t="shared" si="4"/>
        <v>0.625</v>
      </c>
      <c r="T34">
        <f t="shared" si="4"/>
        <v>0.625</v>
      </c>
      <c r="U34">
        <f t="shared" si="4"/>
        <v>0.625</v>
      </c>
      <c r="V34">
        <f t="shared" si="4"/>
        <v>0.625</v>
      </c>
      <c r="W34">
        <f t="shared" si="4"/>
        <v>0.625</v>
      </c>
      <c r="X34">
        <f t="shared" si="4"/>
        <v>1</v>
      </c>
      <c r="Y34">
        <f t="shared" si="4"/>
        <v>1</v>
      </c>
      <c r="Z34">
        <f t="shared" si="4"/>
        <v>1</v>
      </c>
      <c r="AA34">
        <f t="shared" si="4"/>
        <v>1</v>
      </c>
      <c r="AB34">
        <f t="shared" si="4"/>
        <v>1</v>
      </c>
      <c r="AC34">
        <f t="shared" si="4"/>
        <v>1</v>
      </c>
    </row>
    <row r="35" spans="17:29" x14ac:dyDescent="0.2">
      <c r="Q35" s="66"/>
      <c r="R35" s="67">
        <f t="shared" si="2"/>
        <v>31</v>
      </c>
      <c r="S35">
        <f t="shared" ref="S35:AC44" si="5">MIN($R35/VLOOKUP(S$4,$J$6:$K$16,2,FALSE),1)</f>
        <v>0.64583333333333337</v>
      </c>
      <c r="T35">
        <f t="shared" si="5"/>
        <v>0.64583333333333337</v>
      </c>
      <c r="U35">
        <f t="shared" si="5"/>
        <v>0.64583333333333337</v>
      </c>
      <c r="V35">
        <f t="shared" si="5"/>
        <v>0.64583333333333337</v>
      </c>
      <c r="W35">
        <f t="shared" si="5"/>
        <v>0.64583333333333337</v>
      </c>
      <c r="X35">
        <f t="shared" si="5"/>
        <v>1</v>
      </c>
      <c r="Y35">
        <f t="shared" si="5"/>
        <v>1</v>
      </c>
      <c r="Z35">
        <f t="shared" si="5"/>
        <v>1</v>
      </c>
      <c r="AA35">
        <f t="shared" si="5"/>
        <v>1</v>
      </c>
      <c r="AB35">
        <f t="shared" si="5"/>
        <v>1</v>
      </c>
      <c r="AC35">
        <f t="shared" si="5"/>
        <v>1</v>
      </c>
    </row>
    <row r="36" spans="17:29" x14ac:dyDescent="0.2">
      <c r="Q36" s="66"/>
      <c r="R36" s="67">
        <f t="shared" si="2"/>
        <v>32</v>
      </c>
      <c r="S36">
        <f t="shared" si="5"/>
        <v>0.66666666666666663</v>
      </c>
      <c r="T36">
        <f t="shared" si="5"/>
        <v>0.66666666666666663</v>
      </c>
      <c r="U36">
        <f t="shared" si="5"/>
        <v>0.66666666666666663</v>
      </c>
      <c r="V36">
        <f t="shared" si="5"/>
        <v>0.66666666666666663</v>
      </c>
      <c r="W36">
        <f t="shared" si="5"/>
        <v>0.66666666666666663</v>
      </c>
      <c r="X36">
        <f t="shared" si="5"/>
        <v>1</v>
      </c>
      <c r="Y36">
        <f t="shared" si="5"/>
        <v>1</v>
      </c>
      <c r="Z36">
        <f t="shared" si="5"/>
        <v>1</v>
      </c>
      <c r="AA36">
        <f t="shared" si="5"/>
        <v>1</v>
      </c>
      <c r="AB36">
        <f t="shared" si="5"/>
        <v>1</v>
      </c>
      <c r="AC36">
        <f t="shared" si="5"/>
        <v>1</v>
      </c>
    </row>
    <row r="37" spans="17:29" x14ac:dyDescent="0.2">
      <c r="Q37" s="66"/>
      <c r="R37" s="67">
        <f t="shared" si="2"/>
        <v>33</v>
      </c>
      <c r="S37">
        <f t="shared" si="5"/>
        <v>0.6875</v>
      </c>
      <c r="T37">
        <f t="shared" si="5"/>
        <v>0.6875</v>
      </c>
      <c r="U37">
        <f t="shared" si="5"/>
        <v>0.6875</v>
      </c>
      <c r="V37">
        <f t="shared" si="5"/>
        <v>0.6875</v>
      </c>
      <c r="W37">
        <f t="shared" si="5"/>
        <v>0.6875</v>
      </c>
      <c r="X37">
        <f t="shared" si="5"/>
        <v>1</v>
      </c>
      <c r="Y37">
        <f t="shared" si="5"/>
        <v>1</v>
      </c>
      <c r="Z37">
        <f t="shared" si="5"/>
        <v>1</v>
      </c>
      <c r="AA37">
        <f t="shared" si="5"/>
        <v>1</v>
      </c>
      <c r="AB37">
        <f t="shared" si="5"/>
        <v>1</v>
      </c>
      <c r="AC37">
        <f t="shared" si="5"/>
        <v>1</v>
      </c>
    </row>
    <row r="38" spans="17:29" x14ac:dyDescent="0.2">
      <c r="Q38" s="66"/>
      <c r="R38" s="67">
        <f t="shared" si="2"/>
        <v>34</v>
      </c>
      <c r="S38">
        <f t="shared" si="5"/>
        <v>0.70833333333333337</v>
      </c>
      <c r="T38">
        <f t="shared" si="5"/>
        <v>0.70833333333333337</v>
      </c>
      <c r="U38">
        <f t="shared" si="5"/>
        <v>0.70833333333333337</v>
      </c>
      <c r="V38">
        <f t="shared" si="5"/>
        <v>0.70833333333333337</v>
      </c>
      <c r="W38">
        <f t="shared" si="5"/>
        <v>0.70833333333333337</v>
      </c>
      <c r="X38">
        <f t="shared" si="5"/>
        <v>1</v>
      </c>
      <c r="Y38">
        <f t="shared" si="5"/>
        <v>1</v>
      </c>
      <c r="Z38">
        <f t="shared" si="5"/>
        <v>1</v>
      </c>
      <c r="AA38">
        <f t="shared" si="5"/>
        <v>1</v>
      </c>
      <c r="AB38">
        <f t="shared" si="5"/>
        <v>1</v>
      </c>
      <c r="AC38">
        <f t="shared" si="5"/>
        <v>1</v>
      </c>
    </row>
    <row r="39" spans="17:29" x14ac:dyDescent="0.2">
      <c r="Q39" s="66"/>
      <c r="R39" s="67">
        <f t="shared" ref="R39:R51" si="6">R38+1</f>
        <v>35</v>
      </c>
      <c r="S39">
        <f t="shared" si="5"/>
        <v>0.72916666666666663</v>
      </c>
      <c r="T39">
        <f t="shared" si="5"/>
        <v>0.72916666666666663</v>
      </c>
      <c r="U39">
        <f t="shared" si="5"/>
        <v>0.72916666666666663</v>
      </c>
      <c r="V39">
        <f t="shared" si="5"/>
        <v>0.72916666666666663</v>
      </c>
      <c r="W39">
        <f t="shared" si="5"/>
        <v>0.72916666666666663</v>
      </c>
      <c r="X39">
        <f t="shared" si="5"/>
        <v>1</v>
      </c>
      <c r="Y39">
        <f t="shared" si="5"/>
        <v>1</v>
      </c>
      <c r="Z39">
        <f t="shared" si="5"/>
        <v>1</v>
      </c>
      <c r="AA39">
        <f t="shared" si="5"/>
        <v>1</v>
      </c>
      <c r="AB39">
        <f t="shared" si="5"/>
        <v>1</v>
      </c>
      <c r="AC39">
        <f t="shared" si="5"/>
        <v>1</v>
      </c>
    </row>
    <row r="40" spans="17:29" x14ac:dyDescent="0.2">
      <c r="Q40" s="66"/>
      <c r="R40" s="67">
        <f t="shared" si="6"/>
        <v>36</v>
      </c>
      <c r="S40">
        <f t="shared" si="5"/>
        <v>0.75</v>
      </c>
      <c r="T40">
        <f t="shared" si="5"/>
        <v>0.75</v>
      </c>
      <c r="U40">
        <f t="shared" si="5"/>
        <v>0.75</v>
      </c>
      <c r="V40">
        <f t="shared" si="5"/>
        <v>0.75</v>
      </c>
      <c r="W40">
        <f t="shared" si="5"/>
        <v>0.75</v>
      </c>
      <c r="X40">
        <f t="shared" si="5"/>
        <v>1</v>
      </c>
      <c r="Y40">
        <f t="shared" si="5"/>
        <v>1</v>
      </c>
      <c r="Z40">
        <f t="shared" si="5"/>
        <v>1</v>
      </c>
      <c r="AA40">
        <f t="shared" si="5"/>
        <v>1</v>
      </c>
      <c r="AB40">
        <f t="shared" si="5"/>
        <v>1</v>
      </c>
      <c r="AC40">
        <f t="shared" si="5"/>
        <v>1</v>
      </c>
    </row>
    <row r="41" spans="17:29" x14ac:dyDescent="0.2">
      <c r="Q41" s="66"/>
      <c r="R41" s="67">
        <f t="shared" si="6"/>
        <v>37</v>
      </c>
      <c r="S41">
        <f t="shared" si="5"/>
        <v>0.77083333333333337</v>
      </c>
      <c r="T41">
        <f t="shared" si="5"/>
        <v>0.77083333333333337</v>
      </c>
      <c r="U41">
        <f t="shared" si="5"/>
        <v>0.77083333333333337</v>
      </c>
      <c r="V41">
        <f t="shared" si="5"/>
        <v>0.77083333333333337</v>
      </c>
      <c r="W41">
        <f t="shared" si="5"/>
        <v>0.77083333333333337</v>
      </c>
      <c r="X41">
        <f t="shared" si="5"/>
        <v>1</v>
      </c>
      <c r="Y41">
        <f t="shared" si="5"/>
        <v>1</v>
      </c>
      <c r="Z41">
        <f t="shared" si="5"/>
        <v>1</v>
      </c>
      <c r="AA41">
        <f t="shared" si="5"/>
        <v>1</v>
      </c>
      <c r="AB41">
        <f t="shared" si="5"/>
        <v>1</v>
      </c>
      <c r="AC41">
        <f t="shared" si="5"/>
        <v>1</v>
      </c>
    </row>
    <row r="42" spans="17:29" x14ac:dyDescent="0.2">
      <c r="Q42" s="66"/>
      <c r="R42" s="67">
        <f t="shared" si="6"/>
        <v>38</v>
      </c>
      <c r="S42">
        <f t="shared" si="5"/>
        <v>0.79166666666666663</v>
      </c>
      <c r="T42">
        <f t="shared" si="5"/>
        <v>0.79166666666666663</v>
      </c>
      <c r="U42">
        <f t="shared" si="5"/>
        <v>0.79166666666666663</v>
      </c>
      <c r="V42">
        <f t="shared" si="5"/>
        <v>0.79166666666666663</v>
      </c>
      <c r="W42">
        <f t="shared" si="5"/>
        <v>0.79166666666666663</v>
      </c>
      <c r="X42">
        <f t="shared" si="5"/>
        <v>1</v>
      </c>
      <c r="Y42">
        <f t="shared" si="5"/>
        <v>1</v>
      </c>
      <c r="Z42">
        <f t="shared" si="5"/>
        <v>1</v>
      </c>
      <c r="AA42">
        <f t="shared" si="5"/>
        <v>1</v>
      </c>
      <c r="AB42">
        <f t="shared" si="5"/>
        <v>1</v>
      </c>
      <c r="AC42">
        <f t="shared" si="5"/>
        <v>1</v>
      </c>
    </row>
    <row r="43" spans="17:29" x14ac:dyDescent="0.2">
      <c r="Q43" s="66"/>
      <c r="R43" s="67">
        <f t="shared" si="6"/>
        <v>39</v>
      </c>
      <c r="S43">
        <f t="shared" si="5"/>
        <v>0.8125</v>
      </c>
      <c r="T43">
        <f t="shared" si="5"/>
        <v>0.8125</v>
      </c>
      <c r="U43">
        <f t="shared" si="5"/>
        <v>0.8125</v>
      </c>
      <c r="V43">
        <f t="shared" si="5"/>
        <v>0.8125</v>
      </c>
      <c r="W43">
        <f t="shared" si="5"/>
        <v>0.8125</v>
      </c>
      <c r="X43">
        <f t="shared" si="5"/>
        <v>1</v>
      </c>
      <c r="Y43">
        <f t="shared" si="5"/>
        <v>1</v>
      </c>
      <c r="Z43">
        <f t="shared" si="5"/>
        <v>1</v>
      </c>
      <c r="AA43">
        <f t="shared" si="5"/>
        <v>1</v>
      </c>
      <c r="AB43">
        <f t="shared" si="5"/>
        <v>1</v>
      </c>
      <c r="AC43">
        <f t="shared" si="5"/>
        <v>1</v>
      </c>
    </row>
    <row r="44" spans="17:29" x14ac:dyDescent="0.2">
      <c r="Q44" s="66"/>
      <c r="R44" s="67">
        <f t="shared" si="6"/>
        <v>40</v>
      </c>
      <c r="S44">
        <f t="shared" si="5"/>
        <v>0.83333333333333337</v>
      </c>
      <c r="T44">
        <f t="shared" si="5"/>
        <v>0.83333333333333337</v>
      </c>
      <c r="U44">
        <f t="shared" si="5"/>
        <v>0.83333333333333337</v>
      </c>
      <c r="V44">
        <f t="shared" si="5"/>
        <v>0.83333333333333337</v>
      </c>
      <c r="W44">
        <f t="shared" si="5"/>
        <v>0.83333333333333337</v>
      </c>
      <c r="X44">
        <f t="shared" si="5"/>
        <v>1</v>
      </c>
      <c r="Y44">
        <f t="shared" si="5"/>
        <v>1</v>
      </c>
      <c r="Z44">
        <f t="shared" si="5"/>
        <v>1</v>
      </c>
      <c r="AA44">
        <f t="shared" si="5"/>
        <v>1</v>
      </c>
      <c r="AB44">
        <f t="shared" si="5"/>
        <v>1</v>
      </c>
      <c r="AC44">
        <f t="shared" si="5"/>
        <v>1</v>
      </c>
    </row>
    <row r="45" spans="17:29" x14ac:dyDescent="0.2">
      <c r="Q45" s="66"/>
      <c r="R45" s="67">
        <f t="shared" si="6"/>
        <v>41</v>
      </c>
      <c r="S45">
        <f t="shared" ref="S45:AC54" si="7">MIN($R45/VLOOKUP(S$4,$J$6:$K$16,2,FALSE),1)</f>
        <v>0.85416666666666663</v>
      </c>
      <c r="T45">
        <f t="shared" si="7"/>
        <v>0.85416666666666663</v>
      </c>
      <c r="U45">
        <f t="shared" si="7"/>
        <v>0.85416666666666663</v>
      </c>
      <c r="V45">
        <f t="shared" si="7"/>
        <v>0.85416666666666663</v>
      </c>
      <c r="W45">
        <f t="shared" si="7"/>
        <v>0.85416666666666663</v>
      </c>
      <c r="X45">
        <f t="shared" si="7"/>
        <v>1</v>
      </c>
      <c r="Y45">
        <f t="shared" si="7"/>
        <v>1</v>
      </c>
      <c r="Z45">
        <f t="shared" si="7"/>
        <v>1</v>
      </c>
      <c r="AA45">
        <f t="shared" si="7"/>
        <v>1</v>
      </c>
      <c r="AB45">
        <f t="shared" si="7"/>
        <v>1</v>
      </c>
      <c r="AC45">
        <f t="shared" si="7"/>
        <v>1</v>
      </c>
    </row>
    <row r="46" spans="17:29" x14ac:dyDescent="0.2">
      <c r="Q46" s="66"/>
      <c r="R46" s="67">
        <f t="shared" si="6"/>
        <v>42</v>
      </c>
      <c r="S46">
        <f t="shared" si="7"/>
        <v>0.875</v>
      </c>
      <c r="T46">
        <f t="shared" si="7"/>
        <v>0.875</v>
      </c>
      <c r="U46">
        <f t="shared" si="7"/>
        <v>0.875</v>
      </c>
      <c r="V46">
        <f t="shared" si="7"/>
        <v>0.875</v>
      </c>
      <c r="W46">
        <f t="shared" si="7"/>
        <v>0.875</v>
      </c>
      <c r="X46">
        <f t="shared" si="7"/>
        <v>1</v>
      </c>
      <c r="Y46">
        <f t="shared" si="7"/>
        <v>1</v>
      </c>
      <c r="Z46">
        <f t="shared" si="7"/>
        <v>1</v>
      </c>
      <c r="AA46">
        <f t="shared" si="7"/>
        <v>1</v>
      </c>
      <c r="AB46">
        <f t="shared" si="7"/>
        <v>1</v>
      </c>
      <c r="AC46">
        <f t="shared" si="7"/>
        <v>1</v>
      </c>
    </row>
    <row r="47" spans="17:29" x14ac:dyDescent="0.2">
      <c r="Q47" s="66"/>
      <c r="R47" s="67">
        <f t="shared" si="6"/>
        <v>43</v>
      </c>
      <c r="S47">
        <f t="shared" si="7"/>
        <v>0.89583333333333337</v>
      </c>
      <c r="T47">
        <f t="shared" si="7"/>
        <v>0.89583333333333337</v>
      </c>
      <c r="U47">
        <f t="shared" si="7"/>
        <v>0.89583333333333337</v>
      </c>
      <c r="V47">
        <f t="shared" si="7"/>
        <v>0.89583333333333337</v>
      </c>
      <c r="W47">
        <f t="shared" si="7"/>
        <v>0.89583333333333337</v>
      </c>
      <c r="X47">
        <f t="shared" si="7"/>
        <v>1</v>
      </c>
      <c r="Y47">
        <f t="shared" si="7"/>
        <v>1</v>
      </c>
      <c r="Z47">
        <f t="shared" si="7"/>
        <v>1</v>
      </c>
      <c r="AA47">
        <f t="shared" si="7"/>
        <v>1</v>
      </c>
      <c r="AB47">
        <f t="shared" si="7"/>
        <v>1</v>
      </c>
      <c r="AC47">
        <f t="shared" si="7"/>
        <v>1</v>
      </c>
    </row>
    <row r="48" spans="17:29" x14ac:dyDescent="0.2">
      <c r="Q48" s="66"/>
      <c r="R48" s="67">
        <f t="shared" si="6"/>
        <v>44</v>
      </c>
      <c r="S48">
        <f t="shared" si="7"/>
        <v>0.91666666666666663</v>
      </c>
      <c r="T48">
        <f t="shared" si="7"/>
        <v>0.91666666666666663</v>
      </c>
      <c r="U48">
        <f t="shared" si="7"/>
        <v>0.91666666666666663</v>
      </c>
      <c r="V48">
        <f t="shared" si="7"/>
        <v>0.91666666666666663</v>
      </c>
      <c r="W48">
        <f t="shared" si="7"/>
        <v>0.91666666666666663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</row>
    <row r="49" spans="17:29" x14ac:dyDescent="0.2">
      <c r="Q49" s="66"/>
      <c r="R49" s="67">
        <f t="shared" si="6"/>
        <v>45</v>
      </c>
      <c r="S49">
        <f t="shared" si="7"/>
        <v>0.9375</v>
      </c>
      <c r="T49">
        <f t="shared" si="7"/>
        <v>0.9375</v>
      </c>
      <c r="U49">
        <f t="shared" si="7"/>
        <v>0.9375</v>
      </c>
      <c r="V49">
        <f t="shared" si="7"/>
        <v>0.9375</v>
      </c>
      <c r="W49">
        <f t="shared" si="7"/>
        <v>0.9375</v>
      </c>
      <c r="X49">
        <f t="shared" si="7"/>
        <v>1</v>
      </c>
      <c r="Y49">
        <f t="shared" si="7"/>
        <v>1</v>
      </c>
      <c r="Z49">
        <f t="shared" si="7"/>
        <v>1</v>
      </c>
      <c r="AA49">
        <f t="shared" si="7"/>
        <v>1</v>
      </c>
      <c r="AB49">
        <f t="shared" si="7"/>
        <v>1</v>
      </c>
      <c r="AC49">
        <f t="shared" si="7"/>
        <v>1</v>
      </c>
    </row>
    <row r="50" spans="17:29" x14ac:dyDescent="0.2">
      <c r="Q50" s="66"/>
      <c r="R50" s="67">
        <f t="shared" si="6"/>
        <v>46</v>
      </c>
      <c r="S50">
        <f t="shared" si="7"/>
        <v>0.95833333333333337</v>
      </c>
      <c r="T50">
        <f t="shared" si="7"/>
        <v>0.95833333333333337</v>
      </c>
      <c r="U50">
        <f t="shared" si="7"/>
        <v>0.95833333333333337</v>
      </c>
      <c r="V50">
        <f t="shared" si="7"/>
        <v>0.95833333333333337</v>
      </c>
      <c r="W50">
        <f t="shared" si="7"/>
        <v>0.95833333333333337</v>
      </c>
      <c r="X50">
        <f t="shared" si="7"/>
        <v>1</v>
      </c>
      <c r="Y50">
        <f t="shared" si="7"/>
        <v>1</v>
      </c>
      <c r="Z50">
        <f t="shared" si="7"/>
        <v>1</v>
      </c>
      <c r="AA50">
        <f t="shared" si="7"/>
        <v>1</v>
      </c>
      <c r="AB50">
        <f t="shared" si="7"/>
        <v>1</v>
      </c>
      <c r="AC50">
        <f t="shared" si="7"/>
        <v>1</v>
      </c>
    </row>
    <row r="51" spans="17:29" x14ac:dyDescent="0.2">
      <c r="Q51" s="66"/>
      <c r="R51" s="67">
        <f t="shared" si="6"/>
        <v>47</v>
      </c>
      <c r="S51">
        <f t="shared" si="7"/>
        <v>0.97916666666666663</v>
      </c>
      <c r="T51">
        <f t="shared" si="7"/>
        <v>0.97916666666666663</v>
      </c>
      <c r="U51">
        <f t="shared" si="7"/>
        <v>0.97916666666666663</v>
      </c>
      <c r="V51">
        <f t="shared" si="7"/>
        <v>0.97916666666666663</v>
      </c>
      <c r="W51">
        <f t="shared" si="7"/>
        <v>0.97916666666666663</v>
      </c>
      <c r="X51">
        <f t="shared" si="7"/>
        <v>1</v>
      </c>
      <c r="Y51">
        <f t="shared" si="7"/>
        <v>1</v>
      </c>
      <c r="Z51">
        <f t="shared" si="7"/>
        <v>1</v>
      </c>
      <c r="AA51">
        <f t="shared" si="7"/>
        <v>1</v>
      </c>
      <c r="AB51">
        <f t="shared" si="7"/>
        <v>1</v>
      </c>
      <c r="AC51">
        <f t="shared" si="7"/>
        <v>1</v>
      </c>
    </row>
    <row r="52" spans="17:29" x14ac:dyDescent="0.2">
      <c r="Q52" s="66"/>
      <c r="R52" s="67">
        <f t="shared" ref="R52:R115" si="8">R51+1</f>
        <v>48</v>
      </c>
      <c r="S52">
        <f t="shared" si="7"/>
        <v>1</v>
      </c>
      <c r="T52">
        <f t="shared" si="7"/>
        <v>1</v>
      </c>
      <c r="U52">
        <f t="shared" si="7"/>
        <v>1</v>
      </c>
      <c r="V52">
        <f t="shared" si="7"/>
        <v>1</v>
      </c>
      <c r="W52">
        <f t="shared" si="7"/>
        <v>1</v>
      </c>
      <c r="X52">
        <f t="shared" si="7"/>
        <v>1</v>
      </c>
      <c r="Y52">
        <f t="shared" si="7"/>
        <v>1</v>
      </c>
      <c r="Z52">
        <f t="shared" si="7"/>
        <v>1</v>
      </c>
      <c r="AA52">
        <f t="shared" si="7"/>
        <v>1</v>
      </c>
      <c r="AB52">
        <f t="shared" si="7"/>
        <v>1</v>
      </c>
      <c r="AC52">
        <f t="shared" si="7"/>
        <v>1</v>
      </c>
    </row>
    <row r="53" spans="17:29" x14ac:dyDescent="0.2">
      <c r="Q53" s="66"/>
      <c r="R53" s="67">
        <f t="shared" si="8"/>
        <v>49</v>
      </c>
      <c r="S53">
        <f t="shared" si="7"/>
        <v>1</v>
      </c>
      <c r="T53">
        <f t="shared" si="7"/>
        <v>1</v>
      </c>
      <c r="U53">
        <f t="shared" si="7"/>
        <v>1</v>
      </c>
      <c r="V53">
        <f t="shared" si="7"/>
        <v>1</v>
      </c>
      <c r="W53">
        <f t="shared" si="7"/>
        <v>1</v>
      </c>
      <c r="X53">
        <f t="shared" si="7"/>
        <v>1</v>
      </c>
      <c r="Y53">
        <f t="shared" si="7"/>
        <v>1</v>
      </c>
      <c r="Z53">
        <f t="shared" si="7"/>
        <v>1</v>
      </c>
      <c r="AA53">
        <f t="shared" si="7"/>
        <v>1</v>
      </c>
      <c r="AB53">
        <f t="shared" si="7"/>
        <v>1</v>
      </c>
      <c r="AC53">
        <f t="shared" si="7"/>
        <v>1</v>
      </c>
    </row>
    <row r="54" spans="17:29" x14ac:dyDescent="0.2">
      <c r="Q54" s="66"/>
      <c r="R54" s="67">
        <f t="shared" si="8"/>
        <v>50</v>
      </c>
      <c r="S54">
        <f t="shared" si="7"/>
        <v>1</v>
      </c>
      <c r="T54">
        <f t="shared" si="7"/>
        <v>1</v>
      </c>
      <c r="U54">
        <f t="shared" si="7"/>
        <v>1</v>
      </c>
      <c r="V54">
        <f t="shared" si="7"/>
        <v>1</v>
      </c>
      <c r="W54">
        <f t="shared" si="7"/>
        <v>1</v>
      </c>
      <c r="X54">
        <f t="shared" si="7"/>
        <v>1</v>
      </c>
      <c r="Y54">
        <f t="shared" si="7"/>
        <v>1</v>
      </c>
      <c r="Z54">
        <f t="shared" si="7"/>
        <v>1</v>
      </c>
      <c r="AA54">
        <f t="shared" si="7"/>
        <v>1</v>
      </c>
      <c r="AB54">
        <f t="shared" si="7"/>
        <v>1</v>
      </c>
      <c r="AC54">
        <f t="shared" si="7"/>
        <v>1</v>
      </c>
    </row>
    <row r="55" spans="17:29" x14ac:dyDescent="0.2">
      <c r="Q55" s="66"/>
      <c r="R55" s="67">
        <f t="shared" si="8"/>
        <v>51</v>
      </c>
      <c r="S55">
        <f t="shared" ref="S55:AC64" si="9">MIN($R55/VLOOKUP(S$4,$J$6:$K$16,2,FALSE),1)</f>
        <v>1</v>
      </c>
      <c r="T55">
        <f t="shared" si="9"/>
        <v>1</v>
      </c>
      <c r="U55">
        <f t="shared" si="9"/>
        <v>1</v>
      </c>
      <c r="V55">
        <f t="shared" si="9"/>
        <v>1</v>
      </c>
      <c r="W55">
        <f t="shared" si="9"/>
        <v>1</v>
      </c>
      <c r="X55">
        <f t="shared" si="9"/>
        <v>1</v>
      </c>
      <c r="Y55">
        <f t="shared" si="9"/>
        <v>1</v>
      </c>
      <c r="Z55">
        <f t="shared" si="9"/>
        <v>1</v>
      </c>
      <c r="AA55">
        <f t="shared" si="9"/>
        <v>1</v>
      </c>
      <c r="AB55">
        <f t="shared" si="9"/>
        <v>1</v>
      </c>
      <c r="AC55">
        <f t="shared" si="9"/>
        <v>1</v>
      </c>
    </row>
    <row r="56" spans="17:29" x14ac:dyDescent="0.2">
      <c r="Q56" s="66"/>
      <c r="R56" s="67">
        <f t="shared" si="8"/>
        <v>52</v>
      </c>
      <c r="S56">
        <f t="shared" si="9"/>
        <v>1</v>
      </c>
      <c r="T56">
        <f t="shared" si="9"/>
        <v>1</v>
      </c>
      <c r="U56">
        <f t="shared" si="9"/>
        <v>1</v>
      </c>
      <c r="V56">
        <f t="shared" si="9"/>
        <v>1</v>
      </c>
      <c r="W56">
        <f t="shared" si="9"/>
        <v>1</v>
      </c>
      <c r="X56">
        <f t="shared" si="9"/>
        <v>1</v>
      </c>
      <c r="Y56">
        <f t="shared" si="9"/>
        <v>1</v>
      </c>
      <c r="Z56">
        <f t="shared" si="9"/>
        <v>1</v>
      </c>
      <c r="AA56">
        <f t="shared" si="9"/>
        <v>1</v>
      </c>
      <c r="AB56">
        <f t="shared" si="9"/>
        <v>1</v>
      </c>
      <c r="AC56">
        <f t="shared" si="9"/>
        <v>1</v>
      </c>
    </row>
    <row r="57" spans="17:29" x14ac:dyDescent="0.2">
      <c r="Q57" s="66"/>
      <c r="R57" s="67">
        <f t="shared" si="8"/>
        <v>53</v>
      </c>
      <c r="S57">
        <f t="shared" si="9"/>
        <v>1</v>
      </c>
      <c r="T57">
        <f t="shared" si="9"/>
        <v>1</v>
      </c>
      <c r="U57">
        <f t="shared" si="9"/>
        <v>1</v>
      </c>
      <c r="V57">
        <f t="shared" si="9"/>
        <v>1</v>
      </c>
      <c r="W57">
        <f t="shared" si="9"/>
        <v>1</v>
      </c>
      <c r="X57">
        <f t="shared" si="9"/>
        <v>1</v>
      </c>
      <c r="Y57">
        <f t="shared" si="9"/>
        <v>1</v>
      </c>
      <c r="Z57">
        <f t="shared" si="9"/>
        <v>1</v>
      </c>
      <c r="AA57">
        <f t="shared" si="9"/>
        <v>1</v>
      </c>
      <c r="AB57">
        <f t="shared" si="9"/>
        <v>1</v>
      </c>
      <c r="AC57">
        <f t="shared" si="9"/>
        <v>1</v>
      </c>
    </row>
    <row r="58" spans="17:29" x14ac:dyDescent="0.2">
      <c r="Q58" s="66"/>
      <c r="R58" s="67">
        <f t="shared" si="8"/>
        <v>54</v>
      </c>
      <c r="S58">
        <f t="shared" si="9"/>
        <v>1</v>
      </c>
      <c r="T58">
        <f t="shared" si="9"/>
        <v>1</v>
      </c>
      <c r="U58">
        <f t="shared" si="9"/>
        <v>1</v>
      </c>
      <c r="V58">
        <f t="shared" si="9"/>
        <v>1</v>
      </c>
      <c r="W58">
        <f t="shared" si="9"/>
        <v>1</v>
      </c>
      <c r="X58">
        <f t="shared" si="9"/>
        <v>1</v>
      </c>
      <c r="Y58">
        <f t="shared" si="9"/>
        <v>1</v>
      </c>
      <c r="Z58">
        <f t="shared" si="9"/>
        <v>1</v>
      </c>
      <c r="AA58">
        <f t="shared" si="9"/>
        <v>1</v>
      </c>
      <c r="AB58">
        <f t="shared" si="9"/>
        <v>1</v>
      </c>
      <c r="AC58">
        <f t="shared" si="9"/>
        <v>1</v>
      </c>
    </row>
    <row r="59" spans="17:29" x14ac:dyDescent="0.2">
      <c r="Q59" s="66"/>
      <c r="R59" s="67">
        <f t="shared" si="8"/>
        <v>55</v>
      </c>
      <c r="S59">
        <f t="shared" si="9"/>
        <v>1</v>
      </c>
      <c r="T59">
        <f t="shared" si="9"/>
        <v>1</v>
      </c>
      <c r="U59">
        <f t="shared" si="9"/>
        <v>1</v>
      </c>
      <c r="V59">
        <f t="shared" si="9"/>
        <v>1</v>
      </c>
      <c r="W59">
        <f t="shared" si="9"/>
        <v>1</v>
      </c>
      <c r="X59">
        <f t="shared" si="9"/>
        <v>1</v>
      </c>
      <c r="Y59">
        <f t="shared" si="9"/>
        <v>1</v>
      </c>
      <c r="Z59">
        <f t="shared" si="9"/>
        <v>1</v>
      </c>
      <c r="AA59">
        <f t="shared" si="9"/>
        <v>1</v>
      </c>
      <c r="AB59">
        <f t="shared" si="9"/>
        <v>1</v>
      </c>
      <c r="AC59">
        <f t="shared" si="9"/>
        <v>1</v>
      </c>
    </row>
    <row r="60" spans="17:29" x14ac:dyDescent="0.2">
      <c r="Q60" s="66"/>
      <c r="R60" s="67">
        <f t="shared" si="8"/>
        <v>56</v>
      </c>
      <c r="S60">
        <f t="shared" si="9"/>
        <v>1</v>
      </c>
      <c r="T60">
        <f t="shared" si="9"/>
        <v>1</v>
      </c>
      <c r="U60">
        <f t="shared" si="9"/>
        <v>1</v>
      </c>
      <c r="V60">
        <f t="shared" si="9"/>
        <v>1</v>
      </c>
      <c r="W60">
        <f t="shared" si="9"/>
        <v>1</v>
      </c>
      <c r="X60">
        <f t="shared" si="9"/>
        <v>1</v>
      </c>
      <c r="Y60">
        <f t="shared" si="9"/>
        <v>1</v>
      </c>
      <c r="Z60">
        <f t="shared" si="9"/>
        <v>1</v>
      </c>
      <c r="AA60">
        <f t="shared" si="9"/>
        <v>1</v>
      </c>
      <c r="AB60">
        <f t="shared" si="9"/>
        <v>1</v>
      </c>
      <c r="AC60">
        <f t="shared" si="9"/>
        <v>1</v>
      </c>
    </row>
    <row r="61" spans="17:29" x14ac:dyDescent="0.2">
      <c r="Q61" s="66"/>
      <c r="R61" s="67">
        <f t="shared" si="8"/>
        <v>57</v>
      </c>
      <c r="S61">
        <f t="shared" si="9"/>
        <v>1</v>
      </c>
      <c r="T61">
        <f t="shared" si="9"/>
        <v>1</v>
      </c>
      <c r="U61">
        <f t="shared" si="9"/>
        <v>1</v>
      </c>
      <c r="V61">
        <f t="shared" si="9"/>
        <v>1</v>
      </c>
      <c r="W61">
        <f t="shared" si="9"/>
        <v>1</v>
      </c>
      <c r="X61">
        <f t="shared" si="9"/>
        <v>1</v>
      </c>
      <c r="Y61">
        <f t="shared" si="9"/>
        <v>1</v>
      </c>
      <c r="Z61">
        <f t="shared" si="9"/>
        <v>1</v>
      </c>
      <c r="AA61">
        <f t="shared" si="9"/>
        <v>1</v>
      </c>
      <c r="AB61">
        <f t="shared" si="9"/>
        <v>1</v>
      </c>
      <c r="AC61">
        <f t="shared" si="9"/>
        <v>1</v>
      </c>
    </row>
    <row r="62" spans="17:29" x14ac:dyDescent="0.2">
      <c r="Q62" s="66"/>
      <c r="R62" s="67">
        <f t="shared" si="8"/>
        <v>58</v>
      </c>
      <c r="S62">
        <f t="shared" si="9"/>
        <v>1</v>
      </c>
      <c r="T62">
        <f t="shared" si="9"/>
        <v>1</v>
      </c>
      <c r="U62">
        <f t="shared" si="9"/>
        <v>1</v>
      </c>
      <c r="V62">
        <f t="shared" si="9"/>
        <v>1</v>
      </c>
      <c r="W62">
        <f t="shared" si="9"/>
        <v>1</v>
      </c>
      <c r="X62">
        <f t="shared" si="9"/>
        <v>1</v>
      </c>
      <c r="Y62">
        <f t="shared" si="9"/>
        <v>1</v>
      </c>
      <c r="Z62">
        <f t="shared" si="9"/>
        <v>1</v>
      </c>
      <c r="AA62">
        <f t="shared" si="9"/>
        <v>1</v>
      </c>
      <c r="AB62">
        <f t="shared" si="9"/>
        <v>1</v>
      </c>
      <c r="AC62">
        <f t="shared" si="9"/>
        <v>1</v>
      </c>
    </row>
    <row r="63" spans="17:29" x14ac:dyDescent="0.2">
      <c r="Q63" s="66"/>
      <c r="R63" s="67">
        <f t="shared" si="8"/>
        <v>59</v>
      </c>
      <c r="S63">
        <f t="shared" si="9"/>
        <v>1</v>
      </c>
      <c r="T63">
        <f t="shared" si="9"/>
        <v>1</v>
      </c>
      <c r="U63">
        <f t="shared" si="9"/>
        <v>1</v>
      </c>
      <c r="V63">
        <f t="shared" si="9"/>
        <v>1</v>
      </c>
      <c r="W63">
        <f t="shared" si="9"/>
        <v>1</v>
      </c>
      <c r="X63">
        <f t="shared" si="9"/>
        <v>1</v>
      </c>
      <c r="Y63">
        <f t="shared" si="9"/>
        <v>1</v>
      </c>
      <c r="Z63">
        <f t="shared" si="9"/>
        <v>1</v>
      </c>
      <c r="AA63">
        <f t="shared" si="9"/>
        <v>1</v>
      </c>
      <c r="AB63">
        <f t="shared" si="9"/>
        <v>1</v>
      </c>
      <c r="AC63">
        <f t="shared" si="9"/>
        <v>1</v>
      </c>
    </row>
    <row r="64" spans="17:29" x14ac:dyDescent="0.2">
      <c r="Q64" s="66"/>
      <c r="R64" s="67">
        <f t="shared" si="8"/>
        <v>60</v>
      </c>
      <c r="S64">
        <f t="shared" si="9"/>
        <v>1</v>
      </c>
      <c r="T64">
        <f t="shared" si="9"/>
        <v>1</v>
      </c>
      <c r="U64">
        <f t="shared" si="9"/>
        <v>1</v>
      </c>
      <c r="V64">
        <f t="shared" si="9"/>
        <v>1</v>
      </c>
      <c r="W64">
        <f t="shared" si="9"/>
        <v>1</v>
      </c>
      <c r="X64">
        <f t="shared" si="9"/>
        <v>1</v>
      </c>
      <c r="Y64">
        <f t="shared" si="9"/>
        <v>1</v>
      </c>
      <c r="Z64">
        <f t="shared" si="9"/>
        <v>1</v>
      </c>
      <c r="AA64">
        <f t="shared" si="9"/>
        <v>1</v>
      </c>
      <c r="AB64">
        <f t="shared" si="9"/>
        <v>1</v>
      </c>
      <c r="AC64">
        <f t="shared" si="9"/>
        <v>1</v>
      </c>
    </row>
    <row r="65" spans="17:29" x14ac:dyDescent="0.2">
      <c r="Q65" s="66"/>
      <c r="R65" s="67">
        <f t="shared" si="8"/>
        <v>61</v>
      </c>
      <c r="S65">
        <f t="shared" ref="S65:AC74" si="10">MIN($R65/VLOOKUP(S$4,$J$6:$K$16,2,FALSE),1)</f>
        <v>1</v>
      </c>
      <c r="T65">
        <f t="shared" si="10"/>
        <v>1</v>
      </c>
      <c r="U65">
        <f t="shared" si="10"/>
        <v>1</v>
      </c>
      <c r="V65">
        <f t="shared" si="10"/>
        <v>1</v>
      </c>
      <c r="W65">
        <f t="shared" si="10"/>
        <v>1</v>
      </c>
      <c r="X65">
        <f t="shared" si="10"/>
        <v>1</v>
      </c>
      <c r="Y65">
        <f t="shared" si="10"/>
        <v>1</v>
      </c>
      <c r="Z65">
        <f t="shared" si="10"/>
        <v>1</v>
      </c>
      <c r="AA65">
        <f t="shared" si="10"/>
        <v>1</v>
      </c>
      <c r="AB65">
        <f t="shared" si="10"/>
        <v>1</v>
      </c>
      <c r="AC65">
        <f t="shared" si="10"/>
        <v>1</v>
      </c>
    </row>
    <row r="66" spans="17:29" x14ac:dyDescent="0.2">
      <c r="Q66" s="66"/>
      <c r="R66" s="67">
        <f t="shared" si="8"/>
        <v>62</v>
      </c>
      <c r="S66">
        <f t="shared" si="10"/>
        <v>1</v>
      </c>
      <c r="T66">
        <f t="shared" si="10"/>
        <v>1</v>
      </c>
      <c r="U66">
        <f t="shared" si="10"/>
        <v>1</v>
      </c>
      <c r="V66">
        <f t="shared" si="10"/>
        <v>1</v>
      </c>
      <c r="W66">
        <f t="shared" si="10"/>
        <v>1</v>
      </c>
      <c r="X66">
        <f t="shared" si="10"/>
        <v>1</v>
      </c>
      <c r="Y66">
        <f t="shared" si="10"/>
        <v>1</v>
      </c>
      <c r="Z66">
        <f t="shared" si="10"/>
        <v>1</v>
      </c>
      <c r="AA66">
        <f t="shared" si="10"/>
        <v>1</v>
      </c>
      <c r="AB66">
        <f t="shared" si="10"/>
        <v>1</v>
      </c>
      <c r="AC66">
        <f t="shared" si="10"/>
        <v>1</v>
      </c>
    </row>
    <row r="67" spans="17:29" x14ac:dyDescent="0.2">
      <c r="Q67" s="66"/>
      <c r="R67" s="67">
        <f t="shared" si="8"/>
        <v>63</v>
      </c>
      <c r="S67">
        <f t="shared" si="10"/>
        <v>1</v>
      </c>
      <c r="T67">
        <f t="shared" si="10"/>
        <v>1</v>
      </c>
      <c r="U67">
        <f t="shared" si="10"/>
        <v>1</v>
      </c>
      <c r="V67">
        <f t="shared" si="10"/>
        <v>1</v>
      </c>
      <c r="W67">
        <f t="shared" si="10"/>
        <v>1</v>
      </c>
      <c r="X67">
        <f t="shared" si="10"/>
        <v>1</v>
      </c>
      <c r="Y67">
        <f t="shared" si="10"/>
        <v>1</v>
      </c>
      <c r="Z67">
        <f t="shared" si="10"/>
        <v>1</v>
      </c>
      <c r="AA67">
        <f t="shared" si="10"/>
        <v>1</v>
      </c>
      <c r="AB67">
        <f t="shared" si="10"/>
        <v>1</v>
      </c>
      <c r="AC67">
        <f t="shared" si="10"/>
        <v>1</v>
      </c>
    </row>
    <row r="68" spans="17:29" x14ac:dyDescent="0.2">
      <c r="Q68" s="66"/>
      <c r="R68" s="67">
        <f t="shared" si="8"/>
        <v>64</v>
      </c>
      <c r="S68">
        <f t="shared" si="10"/>
        <v>1</v>
      </c>
      <c r="T68">
        <f t="shared" si="10"/>
        <v>1</v>
      </c>
      <c r="U68">
        <f t="shared" si="10"/>
        <v>1</v>
      </c>
      <c r="V68">
        <f t="shared" si="10"/>
        <v>1</v>
      </c>
      <c r="W68">
        <f t="shared" si="10"/>
        <v>1</v>
      </c>
      <c r="X68">
        <f t="shared" si="10"/>
        <v>1</v>
      </c>
      <c r="Y68">
        <f t="shared" si="10"/>
        <v>1</v>
      </c>
      <c r="Z68">
        <f t="shared" si="10"/>
        <v>1</v>
      </c>
      <c r="AA68">
        <f t="shared" si="10"/>
        <v>1</v>
      </c>
      <c r="AB68">
        <f t="shared" si="10"/>
        <v>1</v>
      </c>
      <c r="AC68">
        <f t="shared" si="10"/>
        <v>1</v>
      </c>
    </row>
    <row r="69" spans="17:29" x14ac:dyDescent="0.2">
      <c r="Q69" s="66"/>
      <c r="R69" s="67">
        <f t="shared" si="8"/>
        <v>65</v>
      </c>
      <c r="S69">
        <f t="shared" si="10"/>
        <v>1</v>
      </c>
      <c r="T69">
        <f t="shared" si="10"/>
        <v>1</v>
      </c>
      <c r="U69">
        <f t="shared" si="10"/>
        <v>1</v>
      </c>
      <c r="V69">
        <f t="shared" si="10"/>
        <v>1</v>
      </c>
      <c r="W69">
        <f t="shared" si="10"/>
        <v>1</v>
      </c>
      <c r="X69">
        <f t="shared" si="10"/>
        <v>1</v>
      </c>
      <c r="Y69">
        <f t="shared" si="10"/>
        <v>1</v>
      </c>
      <c r="Z69">
        <f t="shared" si="10"/>
        <v>1</v>
      </c>
      <c r="AA69">
        <f t="shared" si="10"/>
        <v>1</v>
      </c>
      <c r="AB69">
        <f t="shared" si="10"/>
        <v>1</v>
      </c>
      <c r="AC69">
        <f t="shared" si="10"/>
        <v>1</v>
      </c>
    </row>
    <row r="70" spans="17:29" x14ac:dyDescent="0.2">
      <c r="Q70" s="66"/>
      <c r="R70" s="67">
        <f t="shared" si="8"/>
        <v>66</v>
      </c>
      <c r="S70">
        <f t="shared" si="10"/>
        <v>1</v>
      </c>
      <c r="T70">
        <f t="shared" si="10"/>
        <v>1</v>
      </c>
      <c r="U70">
        <f t="shared" si="10"/>
        <v>1</v>
      </c>
      <c r="V70">
        <f t="shared" si="10"/>
        <v>1</v>
      </c>
      <c r="W70">
        <f t="shared" si="10"/>
        <v>1</v>
      </c>
      <c r="X70">
        <f t="shared" si="10"/>
        <v>1</v>
      </c>
      <c r="Y70">
        <f t="shared" si="10"/>
        <v>1</v>
      </c>
      <c r="Z70">
        <f t="shared" si="10"/>
        <v>1</v>
      </c>
      <c r="AA70">
        <f t="shared" si="10"/>
        <v>1</v>
      </c>
      <c r="AB70">
        <f t="shared" si="10"/>
        <v>1</v>
      </c>
      <c r="AC70">
        <f t="shared" si="10"/>
        <v>1</v>
      </c>
    </row>
    <row r="71" spans="17:29" x14ac:dyDescent="0.2">
      <c r="Q71" s="66"/>
      <c r="R71" s="67">
        <f t="shared" si="8"/>
        <v>67</v>
      </c>
      <c r="S71">
        <f t="shared" si="10"/>
        <v>1</v>
      </c>
      <c r="T71">
        <f t="shared" si="10"/>
        <v>1</v>
      </c>
      <c r="U71">
        <f t="shared" si="10"/>
        <v>1</v>
      </c>
      <c r="V71">
        <f t="shared" si="10"/>
        <v>1</v>
      </c>
      <c r="W71">
        <f t="shared" si="10"/>
        <v>1</v>
      </c>
      <c r="X71">
        <f t="shared" si="10"/>
        <v>1</v>
      </c>
      <c r="Y71">
        <f t="shared" si="10"/>
        <v>1</v>
      </c>
      <c r="Z71">
        <f t="shared" si="10"/>
        <v>1</v>
      </c>
      <c r="AA71">
        <f t="shared" si="10"/>
        <v>1</v>
      </c>
      <c r="AB71">
        <f t="shared" si="10"/>
        <v>1</v>
      </c>
      <c r="AC71">
        <f t="shared" si="10"/>
        <v>1</v>
      </c>
    </row>
    <row r="72" spans="17:29" x14ac:dyDescent="0.2">
      <c r="Q72" s="66"/>
      <c r="R72" s="67">
        <f t="shared" si="8"/>
        <v>68</v>
      </c>
      <c r="S72">
        <f t="shared" si="10"/>
        <v>1</v>
      </c>
      <c r="T72">
        <f t="shared" si="10"/>
        <v>1</v>
      </c>
      <c r="U72">
        <f t="shared" si="10"/>
        <v>1</v>
      </c>
      <c r="V72">
        <f t="shared" si="10"/>
        <v>1</v>
      </c>
      <c r="W72">
        <f t="shared" si="10"/>
        <v>1</v>
      </c>
      <c r="X72">
        <f t="shared" si="10"/>
        <v>1</v>
      </c>
      <c r="Y72">
        <f t="shared" si="10"/>
        <v>1</v>
      </c>
      <c r="Z72">
        <f t="shared" si="10"/>
        <v>1</v>
      </c>
      <c r="AA72">
        <f t="shared" si="10"/>
        <v>1</v>
      </c>
      <c r="AB72">
        <f t="shared" si="10"/>
        <v>1</v>
      </c>
      <c r="AC72">
        <f t="shared" si="10"/>
        <v>1</v>
      </c>
    </row>
    <row r="73" spans="17:29" x14ac:dyDescent="0.2">
      <c r="Q73" s="66"/>
      <c r="R73" s="67">
        <f t="shared" si="8"/>
        <v>69</v>
      </c>
      <c r="S73">
        <f t="shared" si="10"/>
        <v>1</v>
      </c>
      <c r="T73">
        <f t="shared" si="10"/>
        <v>1</v>
      </c>
      <c r="U73">
        <f t="shared" si="10"/>
        <v>1</v>
      </c>
      <c r="V73">
        <f t="shared" si="10"/>
        <v>1</v>
      </c>
      <c r="W73">
        <f t="shared" si="10"/>
        <v>1</v>
      </c>
      <c r="X73">
        <f t="shared" si="10"/>
        <v>1</v>
      </c>
      <c r="Y73">
        <f t="shared" si="10"/>
        <v>1</v>
      </c>
      <c r="Z73">
        <f t="shared" si="10"/>
        <v>1</v>
      </c>
      <c r="AA73">
        <f t="shared" si="10"/>
        <v>1</v>
      </c>
      <c r="AB73">
        <f t="shared" si="10"/>
        <v>1</v>
      </c>
      <c r="AC73">
        <f t="shared" si="10"/>
        <v>1</v>
      </c>
    </row>
    <row r="74" spans="17:29" x14ac:dyDescent="0.2">
      <c r="Q74" s="66"/>
      <c r="R74" s="67">
        <f t="shared" si="8"/>
        <v>70</v>
      </c>
      <c r="S74">
        <f t="shared" si="10"/>
        <v>1</v>
      </c>
      <c r="T74">
        <f t="shared" si="10"/>
        <v>1</v>
      </c>
      <c r="U74">
        <f t="shared" si="10"/>
        <v>1</v>
      </c>
      <c r="V74">
        <f t="shared" si="10"/>
        <v>1</v>
      </c>
      <c r="W74">
        <f t="shared" si="10"/>
        <v>1</v>
      </c>
      <c r="X74">
        <f t="shared" si="10"/>
        <v>1</v>
      </c>
      <c r="Y74">
        <f t="shared" si="10"/>
        <v>1</v>
      </c>
      <c r="Z74">
        <f t="shared" si="10"/>
        <v>1</v>
      </c>
      <c r="AA74">
        <f t="shared" si="10"/>
        <v>1</v>
      </c>
      <c r="AB74">
        <f t="shared" si="10"/>
        <v>1</v>
      </c>
      <c r="AC74">
        <f t="shared" si="10"/>
        <v>1</v>
      </c>
    </row>
    <row r="75" spans="17:29" x14ac:dyDescent="0.2">
      <c r="Q75" s="66"/>
      <c r="R75" s="67">
        <f t="shared" si="8"/>
        <v>71</v>
      </c>
      <c r="S75">
        <f t="shared" ref="S75:AC84" si="11">MIN($R75/VLOOKUP(S$4,$J$6:$K$16,2,FALSE),1)</f>
        <v>1</v>
      </c>
      <c r="T75">
        <f t="shared" si="11"/>
        <v>1</v>
      </c>
      <c r="U75">
        <f t="shared" si="11"/>
        <v>1</v>
      </c>
      <c r="V75">
        <f t="shared" si="11"/>
        <v>1</v>
      </c>
      <c r="W75">
        <f t="shared" si="11"/>
        <v>1</v>
      </c>
      <c r="X75">
        <f t="shared" si="11"/>
        <v>1</v>
      </c>
      <c r="Y75">
        <f t="shared" si="11"/>
        <v>1</v>
      </c>
      <c r="Z75">
        <f t="shared" si="11"/>
        <v>1</v>
      </c>
      <c r="AA75">
        <f t="shared" si="11"/>
        <v>1</v>
      </c>
      <c r="AB75">
        <f t="shared" si="11"/>
        <v>1</v>
      </c>
      <c r="AC75">
        <f t="shared" si="11"/>
        <v>1</v>
      </c>
    </row>
    <row r="76" spans="17:29" x14ac:dyDescent="0.2">
      <c r="Q76" s="66"/>
      <c r="R76" s="67">
        <f t="shared" si="8"/>
        <v>72</v>
      </c>
      <c r="S76">
        <f t="shared" si="11"/>
        <v>1</v>
      </c>
      <c r="T76">
        <f t="shared" si="11"/>
        <v>1</v>
      </c>
      <c r="U76">
        <f t="shared" si="11"/>
        <v>1</v>
      </c>
      <c r="V76">
        <f t="shared" si="11"/>
        <v>1</v>
      </c>
      <c r="W76">
        <f t="shared" si="11"/>
        <v>1</v>
      </c>
      <c r="X76">
        <f t="shared" si="11"/>
        <v>1</v>
      </c>
      <c r="Y76">
        <f t="shared" si="11"/>
        <v>1</v>
      </c>
      <c r="Z76">
        <f t="shared" si="11"/>
        <v>1</v>
      </c>
      <c r="AA76">
        <f t="shared" si="11"/>
        <v>1</v>
      </c>
      <c r="AB76">
        <f t="shared" si="11"/>
        <v>1</v>
      </c>
      <c r="AC76">
        <f t="shared" si="11"/>
        <v>1</v>
      </c>
    </row>
    <row r="77" spans="17:29" x14ac:dyDescent="0.2">
      <c r="Q77" s="66"/>
      <c r="R77" s="67">
        <f t="shared" si="8"/>
        <v>73</v>
      </c>
      <c r="S77">
        <f t="shared" si="11"/>
        <v>1</v>
      </c>
      <c r="T77">
        <f t="shared" si="11"/>
        <v>1</v>
      </c>
      <c r="U77">
        <f t="shared" si="11"/>
        <v>1</v>
      </c>
      <c r="V77">
        <f t="shared" si="11"/>
        <v>1</v>
      </c>
      <c r="W77">
        <f t="shared" si="11"/>
        <v>1</v>
      </c>
      <c r="X77">
        <f t="shared" si="11"/>
        <v>1</v>
      </c>
      <c r="Y77">
        <f t="shared" si="11"/>
        <v>1</v>
      </c>
      <c r="Z77">
        <f t="shared" si="11"/>
        <v>1</v>
      </c>
      <c r="AA77">
        <f t="shared" si="11"/>
        <v>1</v>
      </c>
      <c r="AB77">
        <f t="shared" si="11"/>
        <v>1</v>
      </c>
      <c r="AC77">
        <f t="shared" si="11"/>
        <v>1</v>
      </c>
    </row>
    <row r="78" spans="17:29" x14ac:dyDescent="0.2">
      <c r="Q78" s="66"/>
      <c r="R78" s="67">
        <f t="shared" si="8"/>
        <v>74</v>
      </c>
      <c r="S78">
        <f t="shared" si="11"/>
        <v>1</v>
      </c>
      <c r="T78">
        <f t="shared" si="11"/>
        <v>1</v>
      </c>
      <c r="U78">
        <f t="shared" si="11"/>
        <v>1</v>
      </c>
      <c r="V78">
        <f t="shared" si="11"/>
        <v>1</v>
      </c>
      <c r="W78">
        <f t="shared" si="11"/>
        <v>1</v>
      </c>
      <c r="X78">
        <f t="shared" si="11"/>
        <v>1</v>
      </c>
      <c r="Y78">
        <f t="shared" si="11"/>
        <v>1</v>
      </c>
      <c r="Z78">
        <f t="shared" si="11"/>
        <v>1</v>
      </c>
      <c r="AA78">
        <f t="shared" si="11"/>
        <v>1</v>
      </c>
      <c r="AB78">
        <f t="shared" si="11"/>
        <v>1</v>
      </c>
      <c r="AC78">
        <f t="shared" si="11"/>
        <v>1</v>
      </c>
    </row>
    <row r="79" spans="17:29" x14ac:dyDescent="0.2">
      <c r="Q79" s="66"/>
      <c r="R79" s="67">
        <f t="shared" si="8"/>
        <v>75</v>
      </c>
      <c r="S79">
        <f t="shared" si="11"/>
        <v>1</v>
      </c>
      <c r="T79">
        <f t="shared" si="11"/>
        <v>1</v>
      </c>
      <c r="U79">
        <f t="shared" si="11"/>
        <v>1</v>
      </c>
      <c r="V79">
        <f t="shared" si="11"/>
        <v>1</v>
      </c>
      <c r="W79">
        <f t="shared" si="11"/>
        <v>1</v>
      </c>
      <c r="X79">
        <f t="shared" si="11"/>
        <v>1</v>
      </c>
      <c r="Y79">
        <f t="shared" si="11"/>
        <v>1</v>
      </c>
      <c r="Z79">
        <f t="shared" si="11"/>
        <v>1</v>
      </c>
      <c r="AA79">
        <f t="shared" si="11"/>
        <v>1</v>
      </c>
      <c r="AB79">
        <f t="shared" si="11"/>
        <v>1</v>
      </c>
      <c r="AC79">
        <f t="shared" si="11"/>
        <v>1</v>
      </c>
    </row>
    <row r="80" spans="17:29" x14ac:dyDescent="0.2">
      <c r="Q80" s="66"/>
      <c r="R80" s="67">
        <f t="shared" si="8"/>
        <v>76</v>
      </c>
      <c r="S80">
        <f t="shared" si="11"/>
        <v>1</v>
      </c>
      <c r="T80">
        <f t="shared" si="11"/>
        <v>1</v>
      </c>
      <c r="U80">
        <f t="shared" si="11"/>
        <v>1</v>
      </c>
      <c r="V80">
        <f t="shared" si="11"/>
        <v>1</v>
      </c>
      <c r="W80">
        <f t="shared" si="11"/>
        <v>1</v>
      </c>
      <c r="X80">
        <f t="shared" si="11"/>
        <v>1</v>
      </c>
      <c r="Y80">
        <f t="shared" si="11"/>
        <v>1</v>
      </c>
      <c r="Z80">
        <f t="shared" si="11"/>
        <v>1</v>
      </c>
      <c r="AA80">
        <f t="shared" si="11"/>
        <v>1</v>
      </c>
      <c r="AB80">
        <f t="shared" si="11"/>
        <v>1</v>
      </c>
      <c r="AC80">
        <f t="shared" si="11"/>
        <v>1</v>
      </c>
    </row>
    <row r="81" spans="17:29" x14ac:dyDescent="0.2">
      <c r="Q81" s="66"/>
      <c r="R81" s="67">
        <f t="shared" si="8"/>
        <v>77</v>
      </c>
      <c r="S81">
        <f t="shared" si="11"/>
        <v>1</v>
      </c>
      <c r="T81">
        <f t="shared" si="11"/>
        <v>1</v>
      </c>
      <c r="U81">
        <f t="shared" si="11"/>
        <v>1</v>
      </c>
      <c r="V81">
        <f t="shared" si="11"/>
        <v>1</v>
      </c>
      <c r="W81">
        <f t="shared" si="11"/>
        <v>1</v>
      </c>
      <c r="X81">
        <f t="shared" si="11"/>
        <v>1</v>
      </c>
      <c r="Y81">
        <f t="shared" si="11"/>
        <v>1</v>
      </c>
      <c r="Z81">
        <f t="shared" si="11"/>
        <v>1</v>
      </c>
      <c r="AA81">
        <f t="shared" si="11"/>
        <v>1</v>
      </c>
      <c r="AB81">
        <f t="shared" si="11"/>
        <v>1</v>
      </c>
      <c r="AC81">
        <f t="shared" si="11"/>
        <v>1</v>
      </c>
    </row>
    <row r="82" spans="17:29" x14ac:dyDescent="0.2">
      <c r="Q82" s="66"/>
      <c r="R82" s="67">
        <f t="shared" si="8"/>
        <v>78</v>
      </c>
      <c r="S82">
        <f t="shared" si="11"/>
        <v>1</v>
      </c>
      <c r="T82">
        <f t="shared" si="11"/>
        <v>1</v>
      </c>
      <c r="U82">
        <f t="shared" si="11"/>
        <v>1</v>
      </c>
      <c r="V82">
        <f t="shared" si="11"/>
        <v>1</v>
      </c>
      <c r="W82">
        <f t="shared" si="11"/>
        <v>1</v>
      </c>
      <c r="X82">
        <f t="shared" si="11"/>
        <v>1</v>
      </c>
      <c r="Y82">
        <f t="shared" si="11"/>
        <v>1</v>
      </c>
      <c r="Z82">
        <f t="shared" si="11"/>
        <v>1</v>
      </c>
      <c r="AA82">
        <f t="shared" si="11"/>
        <v>1</v>
      </c>
      <c r="AB82">
        <f t="shared" si="11"/>
        <v>1</v>
      </c>
      <c r="AC82">
        <f t="shared" si="11"/>
        <v>1</v>
      </c>
    </row>
    <row r="83" spans="17:29" x14ac:dyDescent="0.2">
      <c r="Q83" s="66"/>
      <c r="R83" s="67">
        <f t="shared" si="8"/>
        <v>79</v>
      </c>
      <c r="S83">
        <f t="shared" si="11"/>
        <v>1</v>
      </c>
      <c r="T83">
        <f t="shared" si="11"/>
        <v>1</v>
      </c>
      <c r="U83">
        <f t="shared" si="11"/>
        <v>1</v>
      </c>
      <c r="V83">
        <f t="shared" si="11"/>
        <v>1</v>
      </c>
      <c r="W83">
        <f t="shared" si="11"/>
        <v>1</v>
      </c>
      <c r="X83">
        <f t="shared" si="11"/>
        <v>1</v>
      </c>
      <c r="Y83">
        <f t="shared" si="11"/>
        <v>1</v>
      </c>
      <c r="Z83">
        <f t="shared" si="11"/>
        <v>1</v>
      </c>
      <c r="AA83">
        <f t="shared" si="11"/>
        <v>1</v>
      </c>
      <c r="AB83">
        <f t="shared" si="11"/>
        <v>1</v>
      </c>
      <c r="AC83">
        <f t="shared" si="11"/>
        <v>1</v>
      </c>
    </row>
    <row r="84" spans="17:29" x14ac:dyDescent="0.2">
      <c r="Q84" s="66"/>
      <c r="R84" s="67">
        <f t="shared" si="8"/>
        <v>80</v>
      </c>
      <c r="S84">
        <f t="shared" si="11"/>
        <v>1</v>
      </c>
      <c r="T84">
        <f t="shared" si="11"/>
        <v>1</v>
      </c>
      <c r="U84">
        <f t="shared" si="11"/>
        <v>1</v>
      </c>
      <c r="V84">
        <f t="shared" si="11"/>
        <v>1</v>
      </c>
      <c r="W84">
        <f t="shared" si="11"/>
        <v>1</v>
      </c>
      <c r="X84">
        <f t="shared" si="11"/>
        <v>1</v>
      </c>
      <c r="Y84">
        <f t="shared" si="11"/>
        <v>1</v>
      </c>
      <c r="Z84">
        <f t="shared" si="11"/>
        <v>1</v>
      </c>
      <c r="AA84">
        <f t="shared" si="11"/>
        <v>1</v>
      </c>
      <c r="AB84">
        <f t="shared" si="11"/>
        <v>1</v>
      </c>
      <c r="AC84">
        <f t="shared" si="11"/>
        <v>1</v>
      </c>
    </row>
    <row r="85" spans="17:29" x14ac:dyDescent="0.2">
      <c r="Q85" s="66"/>
      <c r="R85" s="67">
        <f t="shared" si="8"/>
        <v>81</v>
      </c>
      <c r="S85">
        <f t="shared" ref="S85:AC94" si="12">MIN($R85/VLOOKUP(S$4,$J$6:$K$16,2,FALSE),1)</f>
        <v>1</v>
      </c>
      <c r="T85">
        <f t="shared" si="12"/>
        <v>1</v>
      </c>
      <c r="U85">
        <f t="shared" si="12"/>
        <v>1</v>
      </c>
      <c r="V85">
        <f t="shared" si="12"/>
        <v>1</v>
      </c>
      <c r="W85">
        <f t="shared" si="12"/>
        <v>1</v>
      </c>
      <c r="X85">
        <f t="shared" si="12"/>
        <v>1</v>
      </c>
      <c r="Y85">
        <f t="shared" si="12"/>
        <v>1</v>
      </c>
      <c r="Z85">
        <f t="shared" si="12"/>
        <v>1</v>
      </c>
      <c r="AA85">
        <f t="shared" si="12"/>
        <v>1</v>
      </c>
      <c r="AB85">
        <f t="shared" si="12"/>
        <v>1</v>
      </c>
      <c r="AC85">
        <f t="shared" si="12"/>
        <v>1</v>
      </c>
    </row>
    <row r="86" spans="17:29" x14ac:dyDescent="0.2">
      <c r="Q86" s="66"/>
      <c r="R86" s="67">
        <f t="shared" si="8"/>
        <v>82</v>
      </c>
      <c r="S86">
        <f t="shared" si="12"/>
        <v>1</v>
      </c>
      <c r="T86">
        <f t="shared" si="12"/>
        <v>1</v>
      </c>
      <c r="U86">
        <f t="shared" si="12"/>
        <v>1</v>
      </c>
      <c r="V86">
        <f t="shared" si="12"/>
        <v>1</v>
      </c>
      <c r="W86">
        <f t="shared" si="12"/>
        <v>1</v>
      </c>
      <c r="X86">
        <f t="shared" si="12"/>
        <v>1</v>
      </c>
      <c r="Y86">
        <f t="shared" si="12"/>
        <v>1</v>
      </c>
      <c r="Z86">
        <f t="shared" si="12"/>
        <v>1</v>
      </c>
      <c r="AA86">
        <f t="shared" si="12"/>
        <v>1</v>
      </c>
      <c r="AB86">
        <f t="shared" si="12"/>
        <v>1</v>
      </c>
      <c r="AC86">
        <f t="shared" si="12"/>
        <v>1</v>
      </c>
    </row>
    <row r="87" spans="17:29" x14ac:dyDescent="0.2">
      <c r="Q87" s="66"/>
      <c r="R87" s="67">
        <f t="shared" si="8"/>
        <v>83</v>
      </c>
      <c r="S87">
        <f t="shared" si="12"/>
        <v>1</v>
      </c>
      <c r="T87">
        <f t="shared" si="12"/>
        <v>1</v>
      </c>
      <c r="U87">
        <f t="shared" si="12"/>
        <v>1</v>
      </c>
      <c r="V87">
        <f t="shared" si="12"/>
        <v>1</v>
      </c>
      <c r="W87">
        <f t="shared" si="12"/>
        <v>1</v>
      </c>
      <c r="X87">
        <f t="shared" si="12"/>
        <v>1</v>
      </c>
      <c r="Y87">
        <f t="shared" si="12"/>
        <v>1</v>
      </c>
      <c r="Z87">
        <f t="shared" si="12"/>
        <v>1</v>
      </c>
      <c r="AA87">
        <f t="shared" si="12"/>
        <v>1</v>
      </c>
      <c r="AB87">
        <f t="shared" si="12"/>
        <v>1</v>
      </c>
      <c r="AC87">
        <f t="shared" si="12"/>
        <v>1</v>
      </c>
    </row>
    <row r="88" spans="17:29" x14ac:dyDescent="0.2">
      <c r="Q88" s="66"/>
      <c r="R88" s="67">
        <f t="shared" si="8"/>
        <v>84</v>
      </c>
      <c r="S88">
        <f t="shared" si="12"/>
        <v>1</v>
      </c>
      <c r="T88">
        <f t="shared" si="12"/>
        <v>1</v>
      </c>
      <c r="U88">
        <f t="shared" si="12"/>
        <v>1</v>
      </c>
      <c r="V88">
        <f t="shared" si="12"/>
        <v>1</v>
      </c>
      <c r="W88">
        <f t="shared" si="12"/>
        <v>1</v>
      </c>
      <c r="X88">
        <f t="shared" si="12"/>
        <v>1</v>
      </c>
      <c r="Y88">
        <f t="shared" si="12"/>
        <v>1</v>
      </c>
      <c r="Z88">
        <f t="shared" si="12"/>
        <v>1</v>
      </c>
      <c r="AA88">
        <f t="shared" si="12"/>
        <v>1</v>
      </c>
      <c r="AB88">
        <f t="shared" si="12"/>
        <v>1</v>
      </c>
      <c r="AC88">
        <f t="shared" si="12"/>
        <v>1</v>
      </c>
    </row>
    <row r="89" spans="17:29" x14ac:dyDescent="0.2">
      <c r="Q89" s="66"/>
      <c r="R89" s="67">
        <f t="shared" si="8"/>
        <v>85</v>
      </c>
      <c r="S89">
        <f t="shared" si="12"/>
        <v>1</v>
      </c>
      <c r="T89">
        <f t="shared" si="12"/>
        <v>1</v>
      </c>
      <c r="U89">
        <f t="shared" si="12"/>
        <v>1</v>
      </c>
      <c r="V89">
        <f t="shared" si="12"/>
        <v>1</v>
      </c>
      <c r="W89">
        <f t="shared" si="12"/>
        <v>1</v>
      </c>
      <c r="X89">
        <f t="shared" si="12"/>
        <v>1</v>
      </c>
      <c r="Y89">
        <f t="shared" si="12"/>
        <v>1</v>
      </c>
      <c r="Z89">
        <f t="shared" si="12"/>
        <v>1</v>
      </c>
      <c r="AA89">
        <f t="shared" si="12"/>
        <v>1</v>
      </c>
      <c r="AB89">
        <f t="shared" si="12"/>
        <v>1</v>
      </c>
      <c r="AC89">
        <f t="shared" si="12"/>
        <v>1</v>
      </c>
    </row>
    <row r="90" spans="17:29" x14ac:dyDescent="0.2">
      <c r="Q90" s="66"/>
      <c r="R90" s="67">
        <f t="shared" si="8"/>
        <v>86</v>
      </c>
      <c r="S90">
        <f t="shared" si="12"/>
        <v>1</v>
      </c>
      <c r="T90">
        <f t="shared" si="12"/>
        <v>1</v>
      </c>
      <c r="U90">
        <f t="shared" si="12"/>
        <v>1</v>
      </c>
      <c r="V90">
        <f t="shared" si="12"/>
        <v>1</v>
      </c>
      <c r="W90">
        <f t="shared" si="12"/>
        <v>1</v>
      </c>
      <c r="X90">
        <f t="shared" si="12"/>
        <v>1</v>
      </c>
      <c r="Y90">
        <f t="shared" si="12"/>
        <v>1</v>
      </c>
      <c r="Z90">
        <f t="shared" si="12"/>
        <v>1</v>
      </c>
      <c r="AA90">
        <f t="shared" si="12"/>
        <v>1</v>
      </c>
      <c r="AB90">
        <f t="shared" si="12"/>
        <v>1</v>
      </c>
      <c r="AC90">
        <f t="shared" si="12"/>
        <v>1</v>
      </c>
    </row>
    <row r="91" spans="17:29" x14ac:dyDescent="0.2">
      <c r="Q91" s="66"/>
      <c r="R91" s="67">
        <f t="shared" si="8"/>
        <v>87</v>
      </c>
      <c r="S91">
        <f t="shared" si="12"/>
        <v>1</v>
      </c>
      <c r="T91">
        <f t="shared" si="12"/>
        <v>1</v>
      </c>
      <c r="U91">
        <f t="shared" si="12"/>
        <v>1</v>
      </c>
      <c r="V91">
        <f t="shared" si="12"/>
        <v>1</v>
      </c>
      <c r="W91">
        <f t="shared" si="12"/>
        <v>1</v>
      </c>
      <c r="X91">
        <f t="shared" si="12"/>
        <v>1</v>
      </c>
      <c r="Y91">
        <f t="shared" si="12"/>
        <v>1</v>
      </c>
      <c r="Z91">
        <f t="shared" si="12"/>
        <v>1</v>
      </c>
      <c r="AA91">
        <f t="shared" si="12"/>
        <v>1</v>
      </c>
      <c r="AB91">
        <f t="shared" si="12"/>
        <v>1</v>
      </c>
      <c r="AC91">
        <f t="shared" si="12"/>
        <v>1</v>
      </c>
    </row>
    <row r="92" spans="17:29" x14ac:dyDescent="0.2">
      <c r="Q92" s="66"/>
      <c r="R92" s="67">
        <f t="shared" si="8"/>
        <v>88</v>
      </c>
      <c r="S92">
        <f t="shared" si="12"/>
        <v>1</v>
      </c>
      <c r="T92">
        <f t="shared" si="12"/>
        <v>1</v>
      </c>
      <c r="U92">
        <f t="shared" si="12"/>
        <v>1</v>
      </c>
      <c r="V92">
        <f t="shared" si="12"/>
        <v>1</v>
      </c>
      <c r="W92">
        <f t="shared" si="12"/>
        <v>1</v>
      </c>
      <c r="X92">
        <f t="shared" si="12"/>
        <v>1</v>
      </c>
      <c r="Y92">
        <f t="shared" si="12"/>
        <v>1</v>
      </c>
      <c r="Z92">
        <f t="shared" si="12"/>
        <v>1</v>
      </c>
      <c r="AA92">
        <f t="shared" si="12"/>
        <v>1</v>
      </c>
      <c r="AB92">
        <f t="shared" si="12"/>
        <v>1</v>
      </c>
      <c r="AC92">
        <f t="shared" si="12"/>
        <v>1</v>
      </c>
    </row>
    <row r="93" spans="17:29" x14ac:dyDescent="0.2">
      <c r="Q93" s="66"/>
      <c r="R93" s="67">
        <f t="shared" si="8"/>
        <v>89</v>
      </c>
      <c r="S93">
        <f t="shared" si="12"/>
        <v>1</v>
      </c>
      <c r="T93">
        <f t="shared" si="12"/>
        <v>1</v>
      </c>
      <c r="U93">
        <f t="shared" si="12"/>
        <v>1</v>
      </c>
      <c r="V93">
        <f t="shared" si="12"/>
        <v>1</v>
      </c>
      <c r="W93">
        <f t="shared" si="12"/>
        <v>1</v>
      </c>
      <c r="X93">
        <f t="shared" si="12"/>
        <v>1</v>
      </c>
      <c r="Y93">
        <f t="shared" si="12"/>
        <v>1</v>
      </c>
      <c r="Z93">
        <f t="shared" si="12"/>
        <v>1</v>
      </c>
      <c r="AA93">
        <f t="shared" si="12"/>
        <v>1</v>
      </c>
      <c r="AB93">
        <f t="shared" si="12"/>
        <v>1</v>
      </c>
      <c r="AC93">
        <f t="shared" si="12"/>
        <v>1</v>
      </c>
    </row>
    <row r="94" spans="17:29" x14ac:dyDescent="0.2">
      <c r="Q94" s="66"/>
      <c r="R94" s="67">
        <f t="shared" si="8"/>
        <v>90</v>
      </c>
      <c r="S94">
        <f t="shared" si="12"/>
        <v>1</v>
      </c>
      <c r="T94">
        <f t="shared" si="12"/>
        <v>1</v>
      </c>
      <c r="U94">
        <f t="shared" si="12"/>
        <v>1</v>
      </c>
      <c r="V94">
        <f t="shared" si="12"/>
        <v>1</v>
      </c>
      <c r="W94">
        <f t="shared" si="12"/>
        <v>1</v>
      </c>
      <c r="X94">
        <f t="shared" si="12"/>
        <v>1</v>
      </c>
      <c r="Y94">
        <f t="shared" si="12"/>
        <v>1</v>
      </c>
      <c r="Z94">
        <f t="shared" si="12"/>
        <v>1</v>
      </c>
      <c r="AA94">
        <f t="shared" si="12"/>
        <v>1</v>
      </c>
      <c r="AB94">
        <f t="shared" si="12"/>
        <v>1</v>
      </c>
      <c r="AC94">
        <f t="shared" si="12"/>
        <v>1</v>
      </c>
    </row>
    <row r="95" spans="17:29" x14ac:dyDescent="0.2">
      <c r="Q95" s="66"/>
      <c r="R95" s="67">
        <f t="shared" si="8"/>
        <v>91</v>
      </c>
      <c r="S95">
        <f t="shared" ref="S95:AC104" si="13">MIN($R95/VLOOKUP(S$4,$J$6:$K$16,2,FALSE),1)</f>
        <v>1</v>
      </c>
      <c r="T95">
        <f t="shared" si="13"/>
        <v>1</v>
      </c>
      <c r="U95">
        <f t="shared" si="13"/>
        <v>1</v>
      </c>
      <c r="V95">
        <f t="shared" si="13"/>
        <v>1</v>
      </c>
      <c r="W95">
        <f t="shared" si="13"/>
        <v>1</v>
      </c>
      <c r="X95">
        <f t="shared" si="13"/>
        <v>1</v>
      </c>
      <c r="Y95">
        <f t="shared" si="13"/>
        <v>1</v>
      </c>
      <c r="Z95">
        <f t="shared" si="13"/>
        <v>1</v>
      </c>
      <c r="AA95">
        <f t="shared" si="13"/>
        <v>1</v>
      </c>
      <c r="AB95">
        <f t="shared" si="13"/>
        <v>1</v>
      </c>
      <c r="AC95">
        <f t="shared" si="13"/>
        <v>1</v>
      </c>
    </row>
    <row r="96" spans="17:29" x14ac:dyDescent="0.2">
      <c r="Q96" s="66"/>
      <c r="R96" s="67">
        <f t="shared" si="8"/>
        <v>92</v>
      </c>
      <c r="S96">
        <f t="shared" si="13"/>
        <v>1</v>
      </c>
      <c r="T96">
        <f t="shared" si="13"/>
        <v>1</v>
      </c>
      <c r="U96">
        <f t="shared" si="13"/>
        <v>1</v>
      </c>
      <c r="V96">
        <f t="shared" si="13"/>
        <v>1</v>
      </c>
      <c r="W96">
        <f t="shared" si="13"/>
        <v>1</v>
      </c>
      <c r="X96">
        <f t="shared" si="13"/>
        <v>1</v>
      </c>
      <c r="Y96">
        <f t="shared" si="13"/>
        <v>1</v>
      </c>
      <c r="Z96">
        <f t="shared" si="13"/>
        <v>1</v>
      </c>
      <c r="AA96">
        <f t="shared" si="13"/>
        <v>1</v>
      </c>
      <c r="AB96">
        <f t="shared" si="13"/>
        <v>1</v>
      </c>
      <c r="AC96">
        <f t="shared" si="13"/>
        <v>1</v>
      </c>
    </row>
    <row r="97" spans="17:29" x14ac:dyDescent="0.2">
      <c r="Q97" s="66"/>
      <c r="R97" s="67">
        <f t="shared" si="8"/>
        <v>93</v>
      </c>
      <c r="S97">
        <f t="shared" si="13"/>
        <v>1</v>
      </c>
      <c r="T97">
        <f t="shared" si="13"/>
        <v>1</v>
      </c>
      <c r="U97">
        <f t="shared" si="13"/>
        <v>1</v>
      </c>
      <c r="V97">
        <f t="shared" si="13"/>
        <v>1</v>
      </c>
      <c r="W97">
        <f t="shared" si="13"/>
        <v>1</v>
      </c>
      <c r="X97">
        <f t="shared" si="13"/>
        <v>1</v>
      </c>
      <c r="Y97">
        <f t="shared" si="13"/>
        <v>1</v>
      </c>
      <c r="Z97">
        <f t="shared" si="13"/>
        <v>1</v>
      </c>
      <c r="AA97">
        <f t="shared" si="13"/>
        <v>1</v>
      </c>
      <c r="AB97">
        <f t="shared" si="13"/>
        <v>1</v>
      </c>
      <c r="AC97">
        <f t="shared" si="13"/>
        <v>1</v>
      </c>
    </row>
    <row r="98" spans="17:29" x14ac:dyDescent="0.2">
      <c r="Q98" s="66"/>
      <c r="R98" s="67">
        <f t="shared" si="8"/>
        <v>94</v>
      </c>
      <c r="S98">
        <f t="shared" si="13"/>
        <v>1</v>
      </c>
      <c r="T98">
        <f t="shared" si="13"/>
        <v>1</v>
      </c>
      <c r="U98">
        <f t="shared" si="13"/>
        <v>1</v>
      </c>
      <c r="V98">
        <f t="shared" si="13"/>
        <v>1</v>
      </c>
      <c r="W98">
        <f t="shared" si="13"/>
        <v>1</v>
      </c>
      <c r="X98">
        <f t="shared" si="13"/>
        <v>1</v>
      </c>
      <c r="Y98">
        <f t="shared" si="13"/>
        <v>1</v>
      </c>
      <c r="Z98">
        <f t="shared" si="13"/>
        <v>1</v>
      </c>
      <c r="AA98">
        <f t="shared" si="13"/>
        <v>1</v>
      </c>
      <c r="AB98">
        <f t="shared" si="13"/>
        <v>1</v>
      </c>
      <c r="AC98">
        <f t="shared" si="13"/>
        <v>1</v>
      </c>
    </row>
    <row r="99" spans="17:29" x14ac:dyDescent="0.2">
      <c r="Q99" s="66"/>
      <c r="R99" s="67">
        <f t="shared" si="8"/>
        <v>95</v>
      </c>
      <c r="S99">
        <f t="shared" si="13"/>
        <v>1</v>
      </c>
      <c r="T99">
        <f t="shared" si="13"/>
        <v>1</v>
      </c>
      <c r="U99">
        <f t="shared" si="13"/>
        <v>1</v>
      </c>
      <c r="V99">
        <f t="shared" si="13"/>
        <v>1</v>
      </c>
      <c r="W99">
        <f t="shared" si="13"/>
        <v>1</v>
      </c>
      <c r="X99">
        <f t="shared" si="13"/>
        <v>1</v>
      </c>
      <c r="Y99">
        <f t="shared" si="13"/>
        <v>1</v>
      </c>
      <c r="Z99">
        <f t="shared" si="13"/>
        <v>1</v>
      </c>
      <c r="AA99">
        <f t="shared" si="13"/>
        <v>1</v>
      </c>
      <c r="AB99">
        <f t="shared" si="13"/>
        <v>1</v>
      </c>
      <c r="AC99">
        <f t="shared" si="13"/>
        <v>1</v>
      </c>
    </row>
    <row r="100" spans="17:29" x14ac:dyDescent="0.2">
      <c r="Q100" s="66"/>
      <c r="R100" s="67">
        <f t="shared" si="8"/>
        <v>96</v>
      </c>
      <c r="S100">
        <f t="shared" si="13"/>
        <v>1</v>
      </c>
      <c r="T100">
        <f t="shared" si="13"/>
        <v>1</v>
      </c>
      <c r="U100">
        <f t="shared" si="13"/>
        <v>1</v>
      </c>
      <c r="V100">
        <f t="shared" si="13"/>
        <v>1</v>
      </c>
      <c r="W100">
        <f t="shared" si="13"/>
        <v>1</v>
      </c>
      <c r="X100">
        <f t="shared" si="13"/>
        <v>1</v>
      </c>
      <c r="Y100">
        <f t="shared" si="13"/>
        <v>1</v>
      </c>
      <c r="Z100">
        <f t="shared" si="13"/>
        <v>1</v>
      </c>
      <c r="AA100">
        <f t="shared" si="13"/>
        <v>1</v>
      </c>
      <c r="AB100">
        <f t="shared" si="13"/>
        <v>1</v>
      </c>
      <c r="AC100">
        <f t="shared" si="13"/>
        <v>1</v>
      </c>
    </row>
    <row r="101" spans="17:29" x14ac:dyDescent="0.2">
      <c r="Q101" s="66"/>
      <c r="R101" s="67">
        <f t="shared" si="8"/>
        <v>97</v>
      </c>
      <c r="S101">
        <f t="shared" si="13"/>
        <v>1</v>
      </c>
      <c r="T101">
        <f t="shared" si="13"/>
        <v>1</v>
      </c>
      <c r="U101">
        <f t="shared" si="13"/>
        <v>1</v>
      </c>
      <c r="V101">
        <f t="shared" si="13"/>
        <v>1</v>
      </c>
      <c r="W101">
        <f t="shared" si="13"/>
        <v>1</v>
      </c>
      <c r="X101">
        <f t="shared" si="13"/>
        <v>1</v>
      </c>
      <c r="Y101">
        <f t="shared" si="13"/>
        <v>1</v>
      </c>
      <c r="Z101">
        <f t="shared" si="13"/>
        <v>1</v>
      </c>
      <c r="AA101">
        <f t="shared" si="13"/>
        <v>1</v>
      </c>
      <c r="AB101">
        <f t="shared" si="13"/>
        <v>1</v>
      </c>
      <c r="AC101">
        <f t="shared" si="13"/>
        <v>1</v>
      </c>
    </row>
    <row r="102" spans="17:29" x14ac:dyDescent="0.2">
      <c r="Q102" s="66"/>
      <c r="R102" s="67">
        <f t="shared" si="8"/>
        <v>98</v>
      </c>
      <c r="S102">
        <f t="shared" si="13"/>
        <v>1</v>
      </c>
      <c r="T102">
        <f t="shared" si="13"/>
        <v>1</v>
      </c>
      <c r="U102">
        <f t="shared" si="13"/>
        <v>1</v>
      </c>
      <c r="V102">
        <f t="shared" si="13"/>
        <v>1</v>
      </c>
      <c r="W102">
        <f t="shared" si="13"/>
        <v>1</v>
      </c>
      <c r="X102">
        <f t="shared" si="13"/>
        <v>1</v>
      </c>
      <c r="Y102">
        <f t="shared" si="13"/>
        <v>1</v>
      </c>
      <c r="Z102">
        <f t="shared" si="13"/>
        <v>1</v>
      </c>
      <c r="AA102">
        <f t="shared" si="13"/>
        <v>1</v>
      </c>
      <c r="AB102">
        <f t="shared" si="13"/>
        <v>1</v>
      </c>
      <c r="AC102">
        <f t="shared" si="13"/>
        <v>1</v>
      </c>
    </row>
    <row r="103" spans="17:29" x14ac:dyDescent="0.2">
      <c r="Q103" s="66"/>
      <c r="R103" s="67">
        <f t="shared" si="8"/>
        <v>99</v>
      </c>
      <c r="S103">
        <f t="shared" si="13"/>
        <v>1</v>
      </c>
      <c r="T103">
        <f t="shared" si="13"/>
        <v>1</v>
      </c>
      <c r="U103">
        <f t="shared" si="13"/>
        <v>1</v>
      </c>
      <c r="V103">
        <f t="shared" si="13"/>
        <v>1</v>
      </c>
      <c r="W103">
        <f t="shared" si="13"/>
        <v>1</v>
      </c>
      <c r="X103">
        <f t="shared" si="13"/>
        <v>1</v>
      </c>
      <c r="Y103">
        <f t="shared" si="13"/>
        <v>1</v>
      </c>
      <c r="Z103">
        <f t="shared" si="13"/>
        <v>1</v>
      </c>
      <c r="AA103">
        <f t="shared" si="13"/>
        <v>1</v>
      </c>
      <c r="AB103">
        <f t="shared" si="13"/>
        <v>1</v>
      </c>
      <c r="AC103">
        <f t="shared" si="13"/>
        <v>1</v>
      </c>
    </row>
    <row r="104" spans="17:29" x14ac:dyDescent="0.2">
      <c r="Q104" s="66"/>
      <c r="R104" s="67">
        <f t="shared" si="8"/>
        <v>100</v>
      </c>
      <c r="S104">
        <f t="shared" si="13"/>
        <v>1</v>
      </c>
      <c r="T104">
        <f t="shared" si="13"/>
        <v>1</v>
      </c>
      <c r="U104">
        <f t="shared" si="13"/>
        <v>1</v>
      </c>
      <c r="V104">
        <f t="shared" si="13"/>
        <v>1</v>
      </c>
      <c r="W104">
        <f t="shared" si="13"/>
        <v>1</v>
      </c>
      <c r="X104">
        <f t="shared" si="13"/>
        <v>1</v>
      </c>
      <c r="Y104">
        <f t="shared" si="13"/>
        <v>1</v>
      </c>
      <c r="Z104">
        <f t="shared" si="13"/>
        <v>1</v>
      </c>
      <c r="AA104">
        <f t="shared" si="13"/>
        <v>1</v>
      </c>
      <c r="AB104">
        <f t="shared" si="13"/>
        <v>1</v>
      </c>
      <c r="AC104">
        <f t="shared" si="13"/>
        <v>1</v>
      </c>
    </row>
    <row r="105" spans="17:29" x14ac:dyDescent="0.2">
      <c r="Q105" s="66"/>
      <c r="R105" s="67">
        <f t="shared" si="8"/>
        <v>101</v>
      </c>
      <c r="S105">
        <f t="shared" ref="S105:AC115" si="14">MIN($R105/VLOOKUP(S$4,$J$6:$K$16,2,FALSE),1)</f>
        <v>1</v>
      </c>
      <c r="T105">
        <f t="shared" si="14"/>
        <v>1</v>
      </c>
      <c r="U105">
        <f t="shared" si="14"/>
        <v>1</v>
      </c>
      <c r="V105">
        <f t="shared" si="14"/>
        <v>1</v>
      </c>
      <c r="W105">
        <f t="shared" si="14"/>
        <v>1</v>
      </c>
      <c r="X105">
        <f t="shared" si="14"/>
        <v>1</v>
      </c>
      <c r="Y105">
        <f t="shared" si="14"/>
        <v>1</v>
      </c>
      <c r="Z105">
        <f t="shared" si="14"/>
        <v>1</v>
      </c>
      <c r="AA105">
        <f t="shared" si="14"/>
        <v>1</v>
      </c>
      <c r="AB105">
        <f t="shared" si="14"/>
        <v>1</v>
      </c>
      <c r="AC105">
        <f t="shared" si="14"/>
        <v>1</v>
      </c>
    </row>
    <row r="106" spans="17:29" x14ac:dyDescent="0.2">
      <c r="Q106" s="66"/>
      <c r="R106" s="67">
        <f t="shared" si="8"/>
        <v>102</v>
      </c>
      <c r="S106">
        <f t="shared" si="14"/>
        <v>1</v>
      </c>
      <c r="T106">
        <f t="shared" si="14"/>
        <v>1</v>
      </c>
      <c r="U106">
        <f t="shared" si="14"/>
        <v>1</v>
      </c>
      <c r="V106">
        <f t="shared" si="14"/>
        <v>1</v>
      </c>
      <c r="W106">
        <f t="shared" si="14"/>
        <v>1</v>
      </c>
      <c r="X106">
        <f t="shared" si="14"/>
        <v>1</v>
      </c>
      <c r="Y106">
        <f t="shared" si="14"/>
        <v>1</v>
      </c>
      <c r="Z106">
        <f t="shared" si="14"/>
        <v>1</v>
      </c>
      <c r="AA106">
        <f t="shared" si="14"/>
        <v>1</v>
      </c>
      <c r="AB106">
        <f t="shared" si="14"/>
        <v>1</v>
      </c>
      <c r="AC106">
        <f t="shared" si="14"/>
        <v>1</v>
      </c>
    </row>
    <row r="107" spans="17:29" x14ac:dyDescent="0.2">
      <c r="Q107" s="66"/>
      <c r="R107" s="67">
        <f t="shared" si="8"/>
        <v>103</v>
      </c>
      <c r="S107">
        <f t="shared" si="14"/>
        <v>1</v>
      </c>
      <c r="T107">
        <f t="shared" si="14"/>
        <v>1</v>
      </c>
      <c r="U107">
        <f t="shared" si="14"/>
        <v>1</v>
      </c>
      <c r="V107">
        <f t="shared" si="14"/>
        <v>1</v>
      </c>
      <c r="W107">
        <f t="shared" si="14"/>
        <v>1</v>
      </c>
      <c r="X107">
        <f t="shared" si="14"/>
        <v>1</v>
      </c>
      <c r="Y107">
        <f t="shared" si="14"/>
        <v>1</v>
      </c>
      <c r="Z107">
        <f t="shared" si="14"/>
        <v>1</v>
      </c>
      <c r="AA107">
        <f t="shared" si="14"/>
        <v>1</v>
      </c>
      <c r="AB107">
        <f t="shared" si="14"/>
        <v>1</v>
      </c>
      <c r="AC107">
        <f t="shared" si="14"/>
        <v>1</v>
      </c>
    </row>
    <row r="108" spans="17:29" x14ac:dyDescent="0.2">
      <c r="Q108" s="66"/>
      <c r="R108" s="67">
        <f t="shared" si="8"/>
        <v>104</v>
      </c>
      <c r="S108">
        <f t="shared" si="14"/>
        <v>1</v>
      </c>
      <c r="T108">
        <f t="shared" si="14"/>
        <v>1</v>
      </c>
      <c r="U108">
        <f t="shared" si="14"/>
        <v>1</v>
      </c>
      <c r="V108">
        <f t="shared" si="14"/>
        <v>1</v>
      </c>
      <c r="W108">
        <f t="shared" si="14"/>
        <v>1</v>
      </c>
      <c r="X108">
        <f t="shared" si="14"/>
        <v>1</v>
      </c>
      <c r="Y108">
        <f t="shared" si="14"/>
        <v>1</v>
      </c>
      <c r="Z108">
        <f t="shared" si="14"/>
        <v>1</v>
      </c>
      <c r="AA108">
        <f t="shared" si="14"/>
        <v>1</v>
      </c>
      <c r="AB108">
        <f t="shared" si="14"/>
        <v>1</v>
      </c>
      <c r="AC108">
        <f t="shared" si="14"/>
        <v>1</v>
      </c>
    </row>
    <row r="109" spans="17:29" x14ac:dyDescent="0.2">
      <c r="Q109" s="66"/>
      <c r="R109" s="67">
        <f t="shared" si="8"/>
        <v>105</v>
      </c>
      <c r="S109">
        <f t="shared" si="14"/>
        <v>1</v>
      </c>
      <c r="T109">
        <f t="shared" si="14"/>
        <v>1</v>
      </c>
      <c r="U109">
        <f t="shared" si="14"/>
        <v>1</v>
      </c>
      <c r="V109">
        <f t="shared" si="14"/>
        <v>1</v>
      </c>
      <c r="W109">
        <f t="shared" si="14"/>
        <v>1</v>
      </c>
      <c r="X109">
        <f t="shared" si="14"/>
        <v>1</v>
      </c>
      <c r="Y109">
        <f t="shared" si="14"/>
        <v>1</v>
      </c>
      <c r="Z109">
        <f t="shared" si="14"/>
        <v>1</v>
      </c>
      <c r="AA109">
        <f t="shared" si="14"/>
        <v>1</v>
      </c>
      <c r="AB109">
        <f t="shared" si="14"/>
        <v>1</v>
      </c>
      <c r="AC109">
        <f t="shared" si="14"/>
        <v>1</v>
      </c>
    </row>
    <row r="110" spans="17:29" x14ac:dyDescent="0.2">
      <c r="Q110" s="66"/>
      <c r="R110" s="67">
        <f t="shared" si="8"/>
        <v>106</v>
      </c>
      <c r="S110">
        <f t="shared" si="14"/>
        <v>1</v>
      </c>
      <c r="T110">
        <f t="shared" si="14"/>
        <v>1</v>
      </c>
      <c r="U110">
        <f t="shared" si="14"/>
        <v>1</v>
      </c>
      <c r="V110">
        <f t="shared" si="14"/>
        <v>1</v>
      </c>
      <c r="W110">
        <f t="shared" si="14"/>
        <v>1</v>
      </c>
      <c r="X110">
        <f t="shared" si="14"/>
        <v>1</v>
      </c>
      <c r="Y110">
        <f t="shared" si="14"/>
        <v>1</v>
      </c>
      <c r="Z110">
        <f t="shared" si="14"/>
        <v>1</v>
      </c>
      <c r="AA110">
        <f t="shared" si="14"/>
        <v>1</v>
      </c>
      <c r="AB110">
        <f t="shared" si="14"/>
        <v>1</v>
      </c>
      <c r="AC110">
        <f t="shared" si="14"/>
        <v>1</v>
      </c>
    </row>
    <row r="111" spans="17:29" x14ac:dyDescent="0.2">
      <c r="Q111" s="66"/>
      <c r="R111" s="67">
        <f t="shared" si="8"/>
        <v>107</v>
      </c>
      <c r="S111">
        <f t="shared" si="14"/>
        <v>1</v>
      </c>
      <c r="T111">
        <f t="shared" si="14"/>
        <v>1</v>
      </c>
      <c r="U111">
        <f t="shared" si="14"/>
        <v>1</v>
      </c>
      <c r="V111">
        <f t="shared" si="14"/>
        <v>1</v>
      </c>
      <c r="W111">
        <f t="shared" si="14"/>
        <v>1</v>
      </c>
      <c r="X111">
        <f t="shared" si="14"/>
        <v>1</v>
      </c>
      <c r="Y111">
        <f t="shared" si="14"/>
        <v>1</v>
      </c>
      <c r="Z111">
        <f t="shared" si="14"/>
        <v>1</v>
      </c>
      <c r="AA111">
        <f t="shared" si="14"/>
        <v>1</v>
      </c>
      <c r="AB111">
        <f t="shared" si="14"/>
        <v>1</v>
      </c>
      <c r="AC111">
        <f t="shared" si="14"/>
        <v>1</v>
      </c>
    </row>
    <row r="112" spans="17:29" x14ac:dyDescent="0.2">
      <c r="Q112" s="66"/>
      <c r="R112" s="67">
        <f t="shared" si="8"/>
        <v>108</v>
      </c>
      <c r="S112">
        <f t="shared" si="14"/>
        <v>1</v>
      </c>
      <c r="T112">
        <f t="shared" si="14"/>
        <v>1</v>
      </c>
      <c r="U112">
        <f t="shared" si="14"/>
        <v>1</v>
      </c>
      <c r="V112">
        <f t="shared" si="14"/>
        <v>1</v>
      </c>
      <c r="W112">
        <f t="shared" si="14"/>
        <v>1</v>
      </c>
      <c r="X112">
        <f t="shared" si="14"/>
        <v>1</v>
      </c>
      <c r="Y112">
        <f t="shared" si="14"/>
        <v>1</v>
      </c>
      <c r="Z112">
        <f t="shared" si="14"/>
        <v>1</v>
      </c>
      <c r="AA112">
        <f t="shared" si="14"/>
        <v>1</v>
      </c>
      <c r="AB112">
        <f t="shared" si="14"/>
        <v>1</v>
      </c>
      <c r="AC112">
        <f t="shared" si="14"/>
        <v>1</v>
      </c>
    </row>
    <row r="113" spans="17:29" x14ac:dyDescent="0.2">
      <c r="Q113" s="66"/>
      <c r="R113" s="67">
        <f t="shared" si="8"/>
        <v>109</v>
      </c>
      <c r="S113">
        <f t="shared" si="14"/>
        <v>1</v>
      </c>
      <c r="T113">
        <f t="shared" si="14"/>
        <v>1</v>
      </c>
      <c r="U113">
        <f t="shared" si="14"/>
        <v>1</v>
      </c>
      <c r="V113">
        <f t="shared" si="14"/>
        <v>1</v>
      </c>
      <c r="W113">
        <f t="shared" si="14"/>
        <v>1</v>
      </c>
      <c r="X113">
        <f t="shared" si="14"/>
        <v>1</v>
      </c>
      <c r="Y113">
        <f t="shared" si="14"/>
        <v>1</v>
      </c>
      <c r="Z113">
        <f t="shared" si="14"/>
        <v>1</v>
      </c>
      <c r="AA113">
        <f t="shared" si="14"/>
        <v>1</v>
      </c>
      <c r="AB113">
        <f t="shared" si="14"/>
        <v>1</v>
      </c>
      <c r="AC113">
        <f t="shared" si="14"/>
        <v>1</v>
      </c>
    </row>
    <row r="114" spans="17:29" x14ac:dyDescent="0.2">
      <c r="Q114" s="66"/>
      <c r="R114" s="67">
        <f t="shared" si="8"/>
        <v>110</v>
      </c>
      <c r="S114">
        <f t="shared" si="14"/>
        <v>1</v>
      </c>
      <c r="T114">
        <f t="shared" si="14"/>
        <v>1</v>
      </c>
      <c r="U114">
        <f t="shared" si="14"/>
        <v>1</v>
      </c>
      <c r="V114">
        <f t="shared" si="14"/>
        <v>1</v>
      </c>
      <c r="W114">
        <f t="shared" si="14"/>
        <v>1</v>
      </c>
      <c r="X114">
        <f t="shared" si="14"/>
        <v>1</v>
      </c>
      <c r="Y114">
        <f t="shared" si="14"/>
        <v>1</v>
      </c>
      <c r="Z114">
        <f t="shared" si="14"/>
        <v>1</v>
      </c>
      <c r="AA114">
        <f t="shared" si="14"/>
        <v>1</v>
      </c>
      <c r="AB114">
        <f t="shared" si="14"/>
        <v>1</v>
      </c>
      <c r="AC114">
        <f t="shared" si="14"/>
        <v>1</v>
      </c>
    </row>
    <row r="115" spans="17:29" x14ac:dyDescent="0.2">
      <c r="Q115" s="68"/>
      <c r="R115" s="64">
        <f t="shared" si="8"/>
        <v>111</v>
      </c>
      <c r="S115">
        <f t="shared" si="14"/>
        <v>1</v>
      </c>
      <c r="T115">
        <f t="shared" si="14"/>
        <v>1</v>
      </c>
      <c r="U115">
        <f t="shared" si="14"/>
        <v>1</v>
      </c>
      <c r="V115">
        <f t="shared" si="14"/>
        <v>1</v>
      </c>
      <c r="W115">
        <f t="shared" si="14"/>
        <v>1</v>
      </c>
      <c r="X115">
        <f t="shared" si="14"/>
        <v>1</v>
      </c>
      <c r="Y115">
        <f t="shared" si="14"/>
        <v>1</v>
      </c>
      <c r="Z115">
        <f t="shared" si="14"/>
        <v>1</v>
      </c>
      <c r="AA115">
        <f t="shared" si="14"/>
        <v>1</v>
      </c>
      <c r="AB115">
        <f t="shared" si="14"/>
        <v>1</v>
      </c>
      <c r="AC115">
        <f t="shared" si="14"/>
        <v>1</v>
      </c>
    </row>
  </sheetData>
  <mergeCells count="6">
    <mergeCell ref="A4:B4"/>
    <mergeCell ref="M4:O4"/>
    <mergeCell ref="J21:K21"/>
    <mergeCell ref="D4:E4"/>
    <mergeCell ref="G4:H4"/>
    <mergeCell ref="J4:K4"/>
  </mergeCells>
  <dataValidations count="2">
    <dataValidation type="list" allowBlank="1" showInputMessage="1" showErrorMessage="1" sqref="M19" xr:uid="{00000000-0002-0000-0100-000000000000}">
      <formula1>$M$6:$M$17</formula1>
    </dataValidation>
    <dataValidation type="list" allowBlank="1" showInputMessage="1" showErrorMessage="1" sqref="D19" xr:uid="{00000000-0002-0000-0100-000001000000}">
      <formula1>$D$6:$D$16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Amortization Model 101</vt:lpstr>
      <vt:lpstr>Amortization Model S Shape</vt:lpstr>
      <vt:lpstr>4-Factor Model</vt:lpstr>
      <vt:lpstr>Burnout</vt:lpstr>
      <vt:lpstr>CPR</vt:lpstr>
      <vt:lpstr>Seasonality</vt:lpstr>
      <vt:lpstr>Seasoning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Pistulka</dc:creator>
  <cp:lastModifiedBy>Domenico Picone</cp:lastModifiedBy>
  <dcterms:created xsi:type="dcterms:W3CDTF">2014-08-24T23:07:44Z</dcterms:created>
  <dcterms:modified xsi:type="dcterms:W3CDTF">2022-09-19T15:28:24Z</dcterms:modified>
</cp:coreProperties>
</file>